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tables/table4.xml" ContentType="application/vnd.openxmlformats-officedocument.spreadsheetml.table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tables/table5.xml" ContentType="application/vnd.openxmlformats-officedocument.spreadsheetml.table+xml"/>
  <Override PartName="/xl/drawings/drawing13.xml" ContentType="application/vnd.openxmlformats-officedocument.drawing+xml"/>
  <Override PartName="/xl/tables/table6.xml" ContentType="application/vnd.openxmlformats-officedocument.spreadsheetml.table+xml"/>
  <Override PartName="/xl/drawings/drawing14.xml" ContentType="application/vnd.openxmlformats-officedocument.drawing+xml"/>
  <Override PartName="/xl/tables/table7.xml" ContentType="application/vnd.openxmlformats-officedocument.spreadsheetml.table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tables/table8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tables/table9.xml" ContentType="application/vnd.openxmlformats-officedocument.spreadsheetml.table+xml"/>
  <Override PartName="/xl/drawings/drawing20.xml" ContentType="application/vnd.openxmlformats-officedocument.drawing+xml"/>
  <Override PartName="/xl/tables/table10.xml" ContentType="application/vnd.openxmlformats-officedocument.spreadsheetml.table+xml"/>
  <Override PartName="/xl/drawings/drawing21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22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filterPrivacy="1" codeName="ThisWorkbook" hidePivotFieldList="1"/>
  <bookViews>
    <workbookView xWindow="0" yWindow="0" windowWidth="19200" windowHeight="7035" firstSheet="2" activeTab="7" xr2:uid="{BD96C078-043C-4955-82AB-2D1584F785FB}"/>
  </bookViews>
  <sheets>
    <sheet name="MENU" sheetId="9" r:id="rId1"/>
    <sheet name="TESTS" sheetId="35" r:id="rId2"/>
    <sheet name="BON DE LIVRAISON" sheetId="24" r:id="rId3"/>
    <sheet name="FACTURE CLIENT" sheetId="45" r:id="rId4"/>
    <sheet name="BDD VENTES" sheetId="11" r:id="rId5"/>
    <sheet name="BDD FACTURES CLIENTS" sheetId="46" r:id="rId6"/>
    <sheet name="NOUVELLE VENTE" sheetId="32" r:id="rId7"/>
    <sheet name="BDD BL CLIENTS" sheetId="43" r:id="rId8"/>
    <sheet name="BDD FACTURES TRANSPORTEURS" sheetId="47" r:id="rId9"/>
    <sheet name="RESERVATION" sheetId="38" r:id="rId10"/>
    <sheet name="BDD FROMAGES_CONSOMMABLES" sheetId="4" r:id="rId11"/>
    <sheet name="FACTURE" sheetId="37" r:id="rId12"/>
    <sheet name="BDD FACTURE PRO_SALOIR" sheetId="40" r:id="rId13"/>
    <sheet name="BDD PAYSANS" sheetId="2" r:id="rId14"/>
    <sheet name="ENTREES DE STOCK" sheetId="17" r:id="rId15"/>
    <sheet name="SUIVI STOCKS PAR PAYSAN" sheetId="19" r:id="rId16"/>
    <sheet name="BDD RESERVATIONS" sheetId="41" r:id="rId17"/>
    <sheet name="NOUVELLE FACTURE_AVOIR" sheetId="36" r:id="rId18"/>
    <sheet name="BDD FONCTIONS" sheetId="34" r:id="rId19"/>
    <sheet name="FormXLProTblList" sheetId="14" state="veryHidden" r:id="rId20"/>
    <sheet name="wksListBoxRowSource" sheetId="15" state="veryHidden" r:id="rId21"/>
    <sheet name="TRAME RECEPTION DE FROMAGE" sheetId="20" r:id="rId22"/>
    <sheet name="BDD CLIENTS" sheetId="1" r:id="rId23"/>
    <sheet name="SAISIE ACHATS CONSOMMABLES" sheetId="12" r:id="rId24"/>
    <sheet name="QUESTIONS" sheetId="8" r:id="rId25"/>
    <sheet name="Fonctionnement fichiers" sheetId="6" r:id="rId26"/>
    <sheet name="relevé heuresd" sheetId="13" r:id="rId27"/>
  </sheets>
  <functionGroups builtInGroupCount="19"/>
  <definedNames>
    <definedName name="affinage">'BDD FROMAGES_CONSOMMABLES'!$B$1:$B$13</definedName>
    <definedName name="ancre_concatener">'FACTURE CLIENT'!$M$1</definedName>
    <definedName name="balise_bas">'BDD VENTES'!$X$1048572</definedName>
    <definedName name="balise_bas_n°factureclient">'BDD VENTES'!$X$1048069</definedName>
    <definedName name="bbdp_taille">'BDD FROMAGES_CONSOMMABLES'!$K:$K</definedName>
    <definedName name="bdd_fac_mois">'BDD FACTURES CLIENTS'!$R$2</definedName>
    <definedName name="bdd_mois">OFFSET('BDD FROMAGES_CONSOMMABLES'!#REF!,0,0,COUNTA('BDD FROMAGES_CONSOMMABLES'!#REF!),1)</definedName>
    <definedName name="BDD_VENTE_concatener_année_mois_client">'BDD VENTES'!$W$1</definedName>
    <definedName name="bddbl_client">'BDD BL CLIENTS'!$C$1</definedName>
    <definedName name="bddbl_date">'BDD BL CLIENTS'!$B$1</definedName>
    <definedName name="bddbl_N°">'BDD BL CLIENTS'!$A$1</definedName>
    <definedName name="bddbl_path">'BDD BL CLIENTS'!$F$1</definedName>
    <definedName name="bddbl_poids_livraison">'BDD BL CLIENTS'!$D$1</definedName>
    <definedName name="bddbl_totalHT">'BDD BL CLIENTS'!$E$1</definedName>
    <definedName name="bddblc_frais_charge_client">'BDD BL CLIENTS'!$I$1</definedName>
    <definedName name="bddblclients_cout_transport">Tableau13[[#Headers],[Cout transport]]</definedName>
    <definedName name="bddfac_bal_bas">'BDD FACTURE PRO_SALOIR'!$A$1048558</definedName>
    <definedName name="bddfac_date">Tableau9[Date de la facture]</definedName>
    <definedName name="bddfac_lien_facture_papier">'BDD FACTURE PRO_SALOIR'!$E$1</definedName>
    <definedName name="bddfac_montantHT">'BDD FACTURE PRO_SALOIR'!$D$1</definedName>
    <definedName name="bddfac_producteur">'BDD FACTURE PRO_SALOIR'!$C$1</definedName>
    <definedName name="bddfacclient_N°facture">Tableau11[[#Headers],[N° FACTURE]]</definedName>
    <definedName name="bddfacclients_annee_facturation">'BDD FACTURES CLIENTS'!$Q$2</definedName>
    <definedName name="bddfacclients_date_facturation">'BDD FACTURES CLIENTS'!$P$2</definedName>
    <definedName name="bddfacture_bt_N°facture">Tableau9[[#Headers],[N° facture]]</definedName>
    <definedName name="bddfacturesclient_n°facture">'BDD FACTURES CLIENTS'!$C$1</definedName>
    <definedName name="bddfacturesclients_annee">'BDD FACTURES CLIENTS'!$E$1</definedName>
    <definedName name="bddfacturesclients_client">'BDD FACTURES CLIENTS'!$G$1</definedName>
    <definedName name="bddfacturesclients_concat_annee_mois">'BDD FACTURES CLIENTS'!$S$2</definedName>
    <definedName name="bddfacturesclients_date_facture">'BDD FACTURES CLIENTS'!$D$1</definedName>
    <definedName name="bddfacturesclients_mois">'BDD FACTURES CLIENTS'!$F$1</definedName>
    <definedName name="bddfacturesclients_montantht">'BDD FACTURES CLIENTS'!$I$1</definedName>
    <definedName name="bddfacturesclients_montantttc">Tableau11[[#Headers],[MONTANT TTC]]</definedName>
    <definedName name="bddfacturesclients_transport_HT">Tableau11[[#Headers],[Montant transport HT]]</definedName>
    <definedName name="bddres_affinage">'BDD RESERVATIONS'!$H$1</definedName>
    <definedName name="bddres_balise_bas">'BDD RESERVATIONS'!$B$1048561</definedName>
    <definedName name="bddres_c_prod_type_aff">'BDD RESERVATIONS'!$M:$M</definedName>
    <definedName name="bddres_c_qte">'BDD RESERVATIONS'!$J:$J</definedName>
    <definedName name="bddres_client">'BDD RESERVATIONS'!$D$1</definedName>
    <definedName name="bddres_date">'BDD RESERVATIONS'!$B$1</definedName>
    <definedName name="bddres_date_exp">'BDD RESERVATIONS'!$C$1</definedName>
    <definedName name="bddres_N°">'BDD RESERVATIONS'!$A$1</definedName>
    <definedName name="bddres_N°lot">'BDD RESERVATIONS'!$I$1</definedName>
    <definedName name="bddres_nombre">'BDD RESERVATIONS'!$K$1</definedName>
    <definedName name="bddres_pieces">'BDD RESERVATIONS'!$K:$K</definedName>
    <definedName name="bddres_prix_propose">'BDD RESERVATIONS'!$L$1</definedName>
    <definedName name="bddres_producteur">'BDD RESERVATIONS'!$E$1</definedName>
    <definedName name="bddres_quantite">'BDD RESERVATIONS'!$J$1</definedName>
    <definedName name="bddres_taille">'BDD RESERVATIONS'!$G$1</definedName>
    <definedName name="bddres_type">'BDD RESERVATIONS'!$F$1</definedName>
    <definedName name="bddventes_annee">Tableau2[[#Headers],[année bl]]</definedName>
    <definedName name="bddventes_année_bl">'BDD VENTES'!$S$1</definedName>
    <definedName name="bddventes_mois">'BDD VENTES'!$T$1</definedName>
    <definedName name="bddventes_N°_facture_client">'BDD VENTES'!$X$1</definedName>
    <definedName name="bddventes_N°facture_client">Tableau2[[#Headers],[N° facture client]]</definedName>
    <definedName name="bdl_client">'BON DE LIVRAISON'!$E$11</definedName>
    <definedName name="bdl_Date">'BON DE LIVRAISON'!$B$9</definedName>
    <definedName name="bdl_N°BL">'BON DE LIVRAISON'!$B$8</definedName>
    <definedName name="bl_balise_date_exp" localSheetId="11">FACTURE!$A$31</definedName>
    <definedName name="bl_balise_date_exp">'BON DE LIVRAISON'!$A$27</definedName>
    <definedName name="bl_c_date_exp">'BON DE LIVRAISON'!$A$16</definedName>
    <definedName name="bl_date_expedition">'BON DE LIVRAISON'!$A$16:$A$26</definedName>
    <definedName name="bl_designation">'BON DE LIVRAISON'!$B$16:$B$26</definedName>
    <definedName name="bl_espace_saisie" localSheetId="11">FACTURE!$A$21:$E$30</definedName>
    <definedName name="bl_espace_saisie">'BON DE LIVRAISON'!$A$17:$E$26</definedName>
    <definedName name="BL_plage_cid">'BON DE LIVRAISON'!$E$26</definedName>
    <definedName name="BL_plage_csg">'BON DE LIVRAISON'!$A$17</definedName>
    <definedName name="bl_prix_total">'BON DE LIVRAISON'!$F$16:$F$26</definedName>
    <definedName name="bl_prix_unitaire">'BON DE LIVRAISON'!$E$16:$E$26</definedName>
    <definedName name="bl_producteur" localSheetId="9">'BON DE LIVRAISON'!#REF!</definedName>
    <definedName name="bl_producteur">'BON DE LIVRAISON'!#REF!</definedName>
    <definedName name="bl_quantite">'BON DE LIVRAISON'!$D$16:$D$26</definedName>
    <definedName name="bl_taille">'BON DE LIVRAISON'!$C$16:$C$26</definedName>
    <definedName name="c_bddres_N°">'BDD RESERVATIONS'!$A:$A</definedName>
    <definedName name="cdi_plage_vente" localSheetId="9">RESERVATION!$I$23</definedName>
    <definedName name="cdi_plage_vente">'NOUVELLE VENTE'!$I$22</definedName>
    <definedName name="cgs_plage_reservation" localSheetId="9">RESERVATION!$C$14</definedName>
    <definedName name="cgs_plage_vente">'NOUVELLE VENTE'!$C$13</definedName>
    <definedName name="cid_plage_reservation">RESERVATION!$J$23</definedName>
    <definedName name="colonneentiereproducteur" localSheetId="9">RESERVATION!$C:$C</definedName>
    <definedName name="colonneentiereproducteur">'NOUVELLE VENTE'!$C:$C</definedName>
    <definedName name="Concat_année_mois">'BDD VENTES'!$U$1</definedName>
    <definedName name="Concat_année_mois_n°facture">'BDD VENTES'!$V$1</definedName>
    <definedName name="concat_type_affinage">'BDD FROMAGES_CONSOMMABLES'!$C:$C</definedName>
    <definedName name="Concatener_Eligibilite_à_la_facturation_en_cours_client">'BDD VENTES'!$Z$1</definedName>
    <definedName name="Cout_transport">Tableau13[[#Headers],[Cout transport]]</definedName>
    <definedName name="date_inventaire">'SUIVI STOCKS PAR PAYSAN'!$S$3</definedName>
    <definedName name="eligibilite">Tableau2[[#Headers],[Eligibilite à la facturation en cours]]</definedName>
    <definedName name="Eligibilite_à_la_facturation_en_cours">'BDD VENTES'!$Y$1</definedName>
    <definedName name="es_date_entree">'ENTREES DE STOCK'!$C:$C</definedName>
    <definedName name="es_pieces">'ENTREES DE STOCK'!$N:$N</definedName>
    <definedName name="es_poids">'ENTREES DE STOCK'!$L:$L</definedName>
    <definedName name="es_prod_type_affinage">'ENTREES DE STOCK'!$O:$O</definedName>
    <definedName name="es_taille">'ENTREES DE STOCK'!$M:$M</definedName>
    <definedName name="fac_c_date_exp" localSheetId="11">FACTURE!$A$20</definedName>
    <definedName name="fac_c_taille">FACTURE!$C$20</definedName>
    <definedName name="fac_Date" localSheetId="11">FACTURE!$E$14</definedName>
    <definedName name="fac_date_expedition" localSheetId="11">FACTURE!$A$20:$A$30</definedName>
    <definedName name="fac_designation" localSheetId="11">FACTURE!$B$20:$B$30</definedName>
    <definedName name="fac_N°FACTURE" localSheetId="11">FACTURE!$B$14</definedName>
    <definedName name="fac_pl_produc">FACTURE!$A$2</definedName>
    <definedName name="fac_prix_total" localSheetId="11">FACTURE!$F$20:$F$30</definedName>
    <definedName name="fac_prix_unitaire" localSheetId="11">FACTURE!$E$20:$E$30</definedName>
    <definedName name="fac_quantite" localSheetId="11">FACTURE!$D$20:$D$30</definedName>
    <definedName name="fac_taille">FACTURE!$C$20:$C$30</definedName>
    <definedName name="facclient_date">'FACTURE CLIENT'!$D$9</definedName>
    <definedName name="facclient_nom_du_client">'FACTURE CLIENT'!$F$8</definedName>
    <definedName name="facclient_papier_N°">'FACTURE CLIENT'!$D$8</definedName>
    <definedName name="facture_client_affinage">'FACTURE CLIENT'!$E$14</definedName>
    <definedName name="facture_client_balisebas_saisie">'FACTURE CLIENT'!$C$20</definedName>
    <definedName name="facture_client_cid">'FACTURE CLIENT'!$G$19</definedName>
    <definedName name="facture_client_csg">'FACTURE CLIENT'!$C$15</definedName>
    <definedName name="facture_client_date_exp">'FACTURE CLIENT'!$C$14</definedName>
    <definedName name="facture_client_PUHT">'FACTURE CLIENT'!$G$14</definedName>
    <definedName name="facture_client_quantite">'FACTURE CLIENT'!$F$14</definedName>
    <definedName name="facture_client_type">'FACTURE CLIENT'!$D$14</definedName>
    <definedName name="facture_montantHT">FACTURE!$F$32</definedName>
    <definedName name="facture_plage_cid">FACTURE!$E$30</definedName>
    <definedName name="facture_plage_csg">FACTURE!$A$21</definedName>
    <definedName name="factures_clients_baliseconcatener">'FACTURE CLIENT'!$M$1</definedName>
    <definedName name="fermier">'SUIVI STOCKS PAR PAYSAN'!$L$5</definedName>
    <definedName name="Form_Feuil10_Tableau4_N">23</definedName>
    <definedName name="Form_Feuil11_Tableau35_N">2</definedName>
    <definedName name="Form_Feuil16_N">3</definedName>
    <definedName name="Form_Feuil16_Tableau3_N" localSheetId="3">9</definedName>
    <definedName name="Form_Feuil16_Tableau3_N">3</definedName>
    <definedName name="Form_Feuil16_Tableau6_N">5</definedName>
    <definedName name="Form_Feuil2_Tableau2_N" localSheetId="3">13</definedName>
    <definedName name="Form_Feuil2_Tableau2_N">2</definedName>
    <definedName name="Form_Feuil20_Tableau1110_N">2</definedName>
    <definedName name="Form_Feuil3_Tableau3_N">3</definedName>
    <definedName name="Form_Feuil4_Tableau8_N">21</definedName>
    <definedName name="Form_Feuil5_Tableau1_N" localSheetId="3">8</definedName>
    <definedName name="Form_Feuil5_Tableau1_N">9</definedName>
    <definedName name="Form_Feuil7_Tableau11_N">4</definedName>
    <definedName name="formule_Propo_prix">'BDD FONCTIONS'!$I$2</definedName>
    <definedName name="Gestion_des_stocks" localSheetId="2">Tableau3[]</definedName>
    <definedName name="Gestion_des_stocks" localSheetId="11">Tableau3[]</definedName>
    <definedName name="Gestion_des_stocks" localSheetId="9">Tableau3[]</definedName>
    <definedName name="Gestion_des_stocks">Tableau3[]</definedName>
    <definedName name="LISTE_CONSOMMABLES">'BDD FROMAGES_CONSOMMABLES'!$H:$H</definedName>
    <definedName name="nb_Tableauventes" localSheetId="9">RESERVATION!$C$14:$H$23</definedName>
    <definedName name="nb_Tableauventes">'NOUVELLE VENTE'!$C$13:$H$22</definedName>
    <definedName name="nfa_aujourdhui">'NOUVELLE FACTURE_AVOIR'!$G$1</definedName>
    <definedName name="nfa_Producteur">'NOUVELLE FACTURE_AVOIR'!$F$2</definedName>
    <definedName name="NOM_CLIENT">'BDD CLIENTS'!$B:$B</definedName>
    <definedName name="nom_exploitation">'BDD PAYSANS'!$B:$B</definedName>
    <definedName name="nouveau_num_BL" localSheetId="9">RESERVATION!$D$3</definedName>
    <definedName name="nouveau_num_BL">'NOUVELLE VENTE'!$D$3</definedName>
    <definedName name="Numero_de_BL" localSheetId="9">RESERVATION!$D$3</definedName>
    <definedName name="Numero_de_BL">'NOUVELLE VENTE'!$D$3</definedName>
    <definedName name="nv_Affinage" localSheetId="9">RESERVATION!$E$14:$E$23</definedName>
    <definedName name="nv_Affinage">'NOUVELLE VENTE'!$E$14:$E$22</definedName>
    <definedName name="nv_Client" localSheetId="9">RESERVATION!$D$6</definedName>
    <definedName name="nv_Client">'NOUVELLE VENTE'!$D$6</definedName>
    <definedName name="nv_Date_commande" localSheetId="9">RESERVATION!$D$4</definedName>
    <definedName name="nv_Date_commande">'NOUVELLE VENTE'!$D$4</definedName>
    <definedName name="nv_Date_exp" localSheetId="9">RESERVATION!$D$5</definedName>
    <definedName name="nv_Date_exp">'NOUVELLE VENTE'!$D$5</definedName>
    <definedName name="nv_Lot" localSheetId="9">RESERVATION!$F$14:$F$23</definedName>
    <definedName name="nv_Lot">'NOUVELLE VENTE'!$F$13:$F$22</definedName>
    <definedName name="nv_Nombre" localSheetId="9">RESERVATION!$H$14:$H$23</definedName>
    <definedName name="nv_Nombre">'NOUVELLE VENTE'!$H$13:$H$22</definedName>
    <definedName name="nv_Producteur" localSheetId="9">RESERVATION!$C$13:$C$23</definedName>
    <definedName name="nv_Producteur">'NOUVELLE VENTE'!$C$12:$C$22</definedName>
    <definedName name="nv_Type_fromage" localSheetId="9">RESERVATION!$D$14:$D$23</definedName>
    <definedName name="nv_Type_fromage">'NOUVELLE VENTE'!$D$13:$D$22</definedName>
    <definedName name="nvbal_Affinage" localSheetId="9">RESERVATION!$F$24</definedName>
    <definedName name="nvbal_Affinage">'NOUVELLE VENTE'!$E$23</definedName>
    <definedName name="nvbal_Kg" localSheetId="9">RESERVATION!$H$24</definedName>
    <definedName name="nvbal_Kg">'NOUVELLE VENTE'!$H$23</definedName>
    <definedName name="nvbal_Lot" localSheetId="9">RESERVATION!$G$24</definedName>
    <definedName name="nvbal_Lot">'NOUVELLE VENTE'!$G$23</definedName>
    <definedName name="nvbal_nombre" localSheetId="9">RESERVATION!#REF!</definedName>
    <definedName name="nvbal_nombre">'NOUVELLE VENTE'!$I$23</definedName>
    <definedName name="nvbal_Prix" localSheetId="9">RESERVATION!$I$24</definedName>
    <definedName name="nvbal_Prix">'NOUVELLE VENTE'!#REF!</definedName>
    <definedName name="nvbal_Producteur" localSheetId="9">RESERVATION!$C$24</definedName>
    <definedName name="nvbal_Producteur">'NOUVELLE VENTE'!$C$23</definedName>
    <definedName name="nvbal_Type_fromage" localSheetId="9">RESERVATION!$D$24</definedName>
    <definedName name="nvbal_Type_fromage">'NOUVELLE VENTE'!$D$23</definedName>
    <definedName name="nvf_nbval" localSheetId="9">RESERVATION!$K:$K</definedName>
    <definedName name="nvf_nbval">'NOUVELLE VENTE'!$K:$K</definedName>
    <definedName name="plage_Prix_proposés" localSheetId="9">RESERVATION!$I$14:$I$23</definedName>
    <definedName name="plage_Prix_proposés">'NOUVELLE VENTE'!$I$13:$I$22</definedName>
    <definedName name="plage_QuantitésKg" localSheetId="9">RESERVATION!$G$14:$G$23</definedName>
    <definedName name="plage_QuantitésKg">'NOUVELLE VENTE'!$G$14:$G$22</definedName>
    <definedName name="plage_Ventes" localSheetId="9">RESERVATION!$C$15:$C$23</definedName>
    <definedName name="plage_Ventes">'NOUVELLE VENTE'!$C$14:$C$22</definedName>
    <definedName name="prix_vente_HT_par_defaut">'BDD FROMAGES_CONSOMMABLES'!$D:$D</definedName>
    <definedName name="prix_vente_ttc_par_defaut">'BDD FROMAGES_CONSOMMABLES'!$F:$F</definedName>
    <definedName name="somme_nb_val" localSheetId="9">RESERVATION!$K$24</definedName>
    <definedName name="somme_nb_val">'NOUVELLE VENTE'!$K$23</definedName>
    <definedName name="titre_facture">'BDD VENTES'!$B$1</definedName>
    <definedName name="total_fromage_HT" localSheetId="11">'BDD VENTES'!#REF!</definedName>
    <definedName name="total_HT_cumule">'BDD VENTES'!$Q:$Q</definedName>
    <definedName name="total_TTC_cumule">'BDD VENTES'!$T:$T</definedName>
    <definedName name="TVA_CONSOMMABLES">'BDD FROMAGES_CONSOMMABLES'!$J$2</definedName>
    <definedName name="TVA_FROMAGE">'BDD FROMAGES_CONSOMMABLES'!$E$2</definedName>
    <definedName name="TVA_TRANSPORT">'BDD FROMAGES_CONSOMMABLES'!$G$2</definedName>
    <definedName name="type_de_fromage">'BDD FROMAGES_CONSOMMABLES'!$A$1:$A$13</definedName>
    <definedName name="v_Affinage">'BDD VENTES'!$K:$K</definedName>
    <definedName name="v_bal_Affinage" localSheetId="9">RESERVATION!$F$13</definedName>
    <definedName name="v_bal_Affinage">'NOUVELLE VENTE'!$E$12</definedName>
    <definedName name="v_bal_N°lot" localSheetId="9">RESERVATION!$G$13</definedName>
    <definedName name="v_bal_N°lot">'NOUVELLE VENTE'!$G$12</definedName>
    <definedName name="v_bal_Prix_proposé" localSheetId="9">RESERVATION!$J$13</definedName>
    <definedName name="v_bal_Prix_proposé">'NOUVELLE VENTE'!$J$12</definedName>
    <definedName name="v_bal_Producteur" localSheetId="9">RESERVATION!$C$13</definedName>
    <definedName name="v_bal_Producteur">'NOUVELLE VENTE'!$C$12</definedName>
    <definedName name="v_bal_Qtekg" localSheetId="9">RESERVATION!$H$13</definedName>
    <definedName name="v_bal_Qtekg">'NOUVELLE VENTE'!$H$12</definedName>
    <definedName name="v_bal_Qteunite" localSheetId="9">RESERVATION!$I$13</definedName>
    <definedName name="v_bal_Qteunite">'NOUVELLE VENTE'!$I$12</definedName>
    <definedName name="v_bal_taille" localSheetId="9">RESERVATION!$E$13</definedName>
    <definedName name="v_bal_taille">'NOUVELLE VENTE'!$F$12</definedName>
    <definedName name="v_bal_Typefromage" localSheetId="9">RESERVATION!$D$13</definedName>
    <definedName name="v_bal_Typefromage">'NOUVELLE VENTE'!$D$12</definedName>
    <definedName name="v_Client">'BDD VENTES'!$H:$H</definedName>
    <definedName name="v_conc_prod_tye_affinage">'BDD VENTES'!$R:$R</definedName>
    <definedName name="v_Date_commande">'BDD VENTES'!$F:$F</definedName>
    <definedName name="v_Date_expedition">'BDD VENTES'!$G:$G</definedName>
    <definedName name="v_Expedition" localSheetId="11">'BDD VENTES'!#REF!</definedName>
    <definedName name="v_Expedition" localSheetId="9">'BDD VENTES'!#REF!</definedName>
    <definedName name="v_Expedition">'BDD VENTES'!#REF!</definedName>
    <definedName name="v_Facture">'BDD VENTES'!$B:$B</definedName>
    <definedName name="v_N°_lot">'BDD VENTES'!$L:$L</definedName>
    <definedName name="v_N°BL">'BDD VENTES'!$E:$E</definedName>
    <definedName name="v_Nom_client" localSheetId="11">'BDD VENTES'!#REF!</definedName>
    <definedName name="v_Nom_client" localSheetId="9">'BDD VENTES'!#REF!</definedName>
    <definedName name="v_Nom_client">'BDD VENTES'!#REF!</definedName>
    <definedName name="v_Nom_producteur" localSheetId="11">'BDD VENTES'!#REF!</definedName>
    <definedName name="v_Nom_producteur" localSheetId="9">'BDD VENTES'!#REF!</definedName>
    <definedName name="v_Nom_producteur">'BDD VENTES'!#REF!</definedName>
    <definedName name="v_Pièces">'BDD VENTES'!$O:$O</definedName>
    <definedName name="v_Poids">'BDD VENTES'!$N:$N</definedName>
    <definedName name="v_Prix_confirmé">'BDD VENTES'!$P:$P</definedName>
    <definedName name="v_Producteur">'BDD VENTES'!$I:$I</definedName>
    <definedName name="v_Taille">'BDD VENTES'!$M:$M</definedName>
    <definedName name="v_type_document">'BDD VENTES'!$A:$A</definedName>
    <definedName name="v_Type_fromage">'BDD VENTES'!$J:$J</definedName>
    <definedName name="Vente1" localSheetId="9">RESERVATION!$B$14</definedName>
    <definedName name="Vente1">'NOUVELLE VENTE'!$B$13</definedName>
    <definedName name="Vente10" localSheetId="9">RESERVATION!$B$23</definedName>
    <definedName name="Vente10">'NOUVELLE VENTE'!$B$22</definedName>
    <definedName name="vv_bal_bl">'BDD VENTES'!$E$1048009</definedName>
    <definedName name="vv_bal_producteur">'BDD VENTES'!$I$1047998</definedName>
    <definedName name="vv_type_fromage">'BDD VENTES'!$J$1047998</definedName>
    <definedName name="vvbal_Facture">'BDD VENTES'!$B$1048009</definedName>
    <definedName name="vvbal_producteur">'BDD VENTES'!$I$1048009</definedName>
    <definedName name="_xlnm.Print_Area" localSheetId="2">'BON DE LIVRAISON'!$A$1:$E$33</definedName>
    <definedName name="_xlnm.Print_Area" localSheetId="11">FACTURE!$A$1:$E$43</definedName>
    <definedName name="_xlnm.Print_Area" localSheetId="3">'FACTURE CLIENT'!$B$1:$H$49</definedName>
    <definedName name="_xlnm.Print_Area" localSheetId="25">'Fonctionnement fichiers'!$A$1:$BR$41</definedName>
    <definedName name="_xlnm.Print_Area" localSheetId="21">'TRAME RECEPTION DE FROMAGE'!$A$1:$J$29</definedName>
  </definedNames>
  <calcPr calcId="171027"/>
  <pivotCaches>
    <pivotCache cacheId="3" r:id="rId2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45" l="1"/>
  <c r="J13" i="32" l="1"/>
  <c r="F10" i="45"/>
  <c r="H10" i="45"/>
  <c r="G10" i="45"/>
  <c r="E13" i="24"/>
  <c r="F9" i="45"/>
  <c r="H9" i="45"/>
  <c r="G9" i="45"/>
  <c r="E12" i="24"/>
  <c r="H19" i="45" l="1"/>
  <c r="H18" i="45"/>
  <c r="H17" i="45"/>
  <c r="H16" i="45"/>
  <c r="H15" i="45" l="1"/>
  <c r="S2" i="46"/>
  <c r="T6" i="11"/>
  <c r="S6" i="11"/>
  <c r="R6" i="11"/>
  <c r="Q6" i="11"/>
  <c r="C6" i="11"/>
  <c r="V6" i="11" l="1"/>
  <c r="Y6" i="11" s="1"/>
  <c r="Z6" i="11" s="1"/>
  <c r="W6" i="11"/>
  <c r="U6" i="11"/>
  <c r="H2" i="46"/>
  <c r="J3" i="43"/>
  <c r="J2" i="43"/>
  <c r="T3" i="11"/>
  <c r="T4" i="11"/>
  <c r="T5" i="11"/>
  <c r="T7" i="11"/>
  <c r="T8" i="11"/>
  <c r="T2" i="11"/>
  <c r="S3" i="11"/>
  <c r="V3" i="11" s="1"/>
  <c r="Y3" i="11" s="1"/>
  <c r="Z3" i="11" s="1"/>
  <c r="S4" i="11"/>
  <c r="S5" i="11"/>
  <c r="S7" i="11"/>
  <c r="S8" i="11"/>
  <c r="V8" i="11" s="1"/>
  <c r="Y8" i="11" s="1"/>
  <c r="Z8" i="11" s="1"/>
  <c r="S2" i="11"/>
  <c r="G3" i="43"/>
  <c r="C8" i="11"/>
  <c r="Q8" i="11"/>
  <c r="R8" i="11"/>
  <c r="C7" i="11"/>
  <c r="Q7" i="11"/>
  <c r="R7" i="11"/>
  <c r="C5" i="11"/>
  <c r="Q5" i="11"/>
  <c r="R5" i="11"/>
  <c r="C4" i="11"/>
  <c r="Q4" i="11"/>
  <c r="R4" i="11"/>
  <c r="J14" i="32"/>
  <c r="H23" i="32"/>
  <c r="V7" i="11" l="1"/>
  <c r="Y7" i="11" s="1"/>
  <c r="Z7" i="11" s="1"/>
  <c r="V5" i="11"/>
  <c r="Y5" i="11" s="1"/>
  <c r="Z5" i="11" s="1"/>
  <c r="V2" i="11"/>
  <c r="Y2" i="11" s="1"/>
  <c r="Z2" i="11" s="1"/>
  <c r="V4" i="11"/>
  <c r="Y4" i="11" s="1"/>
  <c r="Z4" i="11" s="1"/>
  <c r="U2" i="11"/>
  <c r="U4" i="11"/>
  <c r="U8" i="11"/>
  <c r="U3" i="11"/>
  <c r="U5" i="11"/>
  <c r="U7" i="11"/>
  <c r="W7" i="11"/>
  <c r="W2" i="11"/>
  <c r="W4" i="11"/>
  <c r="W8" i="11"/>
  <c r="W3" i="11"/>
  <c r="W5" i="11"/>
  <c r="I23" i="32"/>
  <c r="P2" i="46" l="1"/>
  <c r="F3" i="46"/>
  <c r="E3" i="46"/>
  <c r="C8" i="4"/>
  <c r="C9" i="4"/>
  <c r="C10" i="4"/>
  <c r="C11" i="4"/>
  <c r="C12" i="4"/>
  <c r="C13" i="4"/>
  <c r="F8" i="4"/>
  <c r="F9" i="4"/>
  <c r="F10" i="4"/>
  <c r="F11" i="4"/>
  <c r="F12" i="4"/>
  <c r="F13" i="4"/>
  <c r="F2" i="40"/>
  <c r="C3" i="11"/>
  <c r="Q3" i="11"/>
  <c r="R3" i="11"/>
  <c r="C2" i="11"/>
  <c r="Q2" i="11"/>
  <c r="R2" i="11"/>
  <c r="G34" i="45"/>
  <c r="H33" i="45"/>
  <c r="G23" i="45"/>
  <c r="H34" i="45" l="1"/>
  <c r="H35" i="45" s="1"/>
  <c r="H22" i="45"/>
  <c r="H39" i="45" s="1"/>
  <c r="H23" i="45" l="1"/>
  <c r="H24" i="45" s="1"/>
  <c r="H40" i="45" l="1"/>
  <c r="H41" i="45" s="1"/>
  <c r="M3" i="41"/>
  <c r="M2" i="41"/>
  <c r="A31" i="19"/>
  <c r="A32" i="19"/>
  <c r="F32" i="19" s="1"/>
  <c r="A33" i="19"/>
  <c r="A34" i="19"/>
  <c r="H34" i="19" s="1"/>
  <c r="AU34" i="19" s="1"/>
  <c r="A35" i="19"/>
  <c r="A36" i="19"/>
  <c r="F36" i="19" s="1"/>
  <c r="A37" i="19"/>
  <c r="A38" i="19"/>
  <c r="A39" i="19"/>
  <c r="A40" i="19"/>
  <c r="F40" i="19" s="1"/>
  <c r="A41" i="19"/>
  <c r="A42" i="19"/>
  <c r="A43" i="19"/>
  <c r="A44" i="19"/>
  <c r="F44" i="19" s="1"/>
  <c r="A45" i="19"/>
  <c r="A46" i="19"/>
  <c r="H46" i="19" s="1"/>
  <c r="AU46" i="19" s="1"/>
  <c r="A47" i="19"/>
  <c r="A48" i="19"/>
  <c r="F48" i="19" s="1"/>
  <c r="A49" i="19"/>
  <c r="A50" i="19"/>
  <c r="A51" i="19"/>
  <c r="A52" i="19"/>
  <c r="F52" i="19" s="1"/>
  <c r="A53" i="19"/>
  <c r="A54" i="19"/>
  <c r="H54" i="19" s="1"/>
  <c r="AU54" i="19" s="1"/>
  <c r="A55" i="19"/>
  <c r="J55" i="19" s="1"/>
  <c r="BG55" i="19" s="1"/>
  <c r="A56" i="19"/>
  <c r="C56" i="19" s="1"/>
  <c r="A57" i="19"/>
  <c r="C57" i="19" s="1"/>
  <c r="A58" i="19"/>
  <c r="A59" i="19"/>
  <c r="C59" i="19" s="1"/>
  <c r="Q59" i="19" s="1"/>
  <c r="A60" i="19"/>
  <c r="C60" i="19" s="1"/>
  <c r="A61" i="19"/>
  <c r="A62" i="19"/>
  <c r="C62" i="19" s="1"/>
  <c r="A63" i="19"/>
  <c r="C63" i="19" s="1"/>
  <c r="A64" i="19"/>
  <c r="C64" i="19" s="1"/>
  <c r="A65" i="19"/>
  <c r="A66" i="19"/>
  <c r="A67" i="19"/>
  <c r="C67" i="19" s="1"/>
  <c r="A68" i="19"/>
  <c r="C68" i="19" s="1"/>
  <c r="A69" i="19"/>
  <c r="C69" i="19" s="1"/>
  <c r="A70" i="19"/>
  <c r="C70" i="19" s="1"/>
  <c r="A71" i="19"/>
  <c r="C71" i="19" s="1"/>
  <c r="A72" i="19"/>
  <c r="C72" i="19" s="1"/>
  <c r="A73" i="19"/>
  <c r="C73" i="19" s="1"/>
  <c r="A74" i="19"/>
  <c r="A75" i="19"/>
  <c r="C75" i="19" s="1"/>
  <c r="A76" i="19"/>
  <c r="C76" i="19" s="1"/>
  <c r="A77" i="19"/>
  <c r="G77" i="19" s="1"/>
  <c r="A78" i="19"/>
  <c r="A79" i="19"/>
  <c r="C79" i="19" s="1"/>
  <c r="A80" i="19"/>
  <c r="G80" i="19" s="1"/>
  <c r="AO80" i="19" s="1"/>
  <c r="A81" i="19"/>
  <c r="C81" i="19" s="1"/>
  <c r="A82" i="19"/>
  <c r="C82" i="19" s="1"/>
  <c r="A83" i="19"/>
  <c r="C83" i="19" s="1"/>
  <c r="A84" i="19"/>
  <c r="F84" i="19" s="1"/>
  <c r="A85" i="19"/>
  <c r="G85" i="19" s="1"/>
  <c r="A86" i="19"/>
  <c r="A87" i="19"/>
  <c r="C87" i="19" s="1"/>
  <c r="Q87" i="19" s="1"/>
  <c r="A88" i="19"/>
  <c r="F88" i="19" s="1"/>
  <c r="A89" i="19"/>
  <c r="C89" i="19" s="1"/>
  <c r="A90" i="19"/>
  <c r="C90" i="19" s="1"/>
  <c r="A91" i="19"/>
  <c r="C91" i="19" s="1"/>
  <c r="Q91" i="19" s="1"/>
  <c r="A92" i="19"/>
  <c r="G92" i="19" s="1"/>
  <c r="AO92" i="19" s="1"/>
  <c r="A93" i="19"/>
  <c r="G93" i="19" s="1"/>
  <c r="A94" i="19"/>
  <c r="A95" i="19"/>
  <c r="C95" i="19" s="1"/>
  <c r="A96" i="19"/>
  <c r="G96" i="19" s="1"/>
  <c r="AO96" i="19" s="1"/>
  <c r="A97" i="19"/>
  <c r="C97" i="19" s="1"/>
  <c r="A98" i="19"/>
  <c r="D98" i="19" s="1"/>
  <c r="A99" i="19"/>
  <c r="C99" i="19" s="1"/>
  <c r="A100" i="19"/>
  <c r="C100" i="19" s="1"/>
  <c r="A101" i="19"/>
  <c r="C101" i="19" s="1"/>
  <c r="A102" i="19"/>
  <c r="C102" i="19" s="1"/>
  <c r="A103" i="19"/>
  <c r="C103" i="19" s="1"/>
  <c r="A104" i="19"/>
  <c r="C104" i="19" s="1"/>
  <c r="A105" i="19"/>
  <c r="C105" i="19" s="1"/>
  <c r="A106" i="19"/>
  <c r="C106" i="19" s="1"/>
  <c r="A107" i="19"/>
  <c r="C107" i="19" s="1"/>
  <c r="A108" i="19"/>
  <c r="C108" i="19" s="1"/>
  <c r="A109" i="19"/>
  <c r="C109" i="19" s="1"/>
  <c r="A110" i="19"/>
  <c r="C110" i="19" s="1"/>
  <c r="A111" i="19"/>
  <c r="C111" i="19" s="1"/>
  <c r="A13" i="19"/>
  <c r="A14" i="19"/>
  <c r="H14" i="19" s="1"/>
  <c r="AU14" i="19" s="1"/>
  <c r="A15" i="19"/>
  <c r="A16" i="19"/>
  <c r="F16" i="19" s="1"/>
  <c r="AI16" i="19" s="1"/>
  <c r="A17" i="19"/>
  <c r="A18" i="19"/>
  <c r="A19" i="19"/>
  <c r="A20" i="19"/>
  <c r="H20" i="19" s="1"/>
  <c r="AU20" i="19" s="1"/>
  <c r="A21" i="19"/>
  <c r="A22" i="19"/>
  <c r="H22" i="19" s="1"/>
  <c r="AU22" i="19" s="1"/>
  <c r="A23" i="19"/>
  <c r="A24" i="19"/>
  <c r="F24" i="19" s="1"/>
  <c r="AI24" i="19" s="1"/>
  <c r="A25" i="19"/>
  <c r="A26" i="19"/>
  <c r="A27" i="19"/>
  <c r="A28" i="19"/>
  <c r="F28" i="19" s="1"/>
  <c r="AI28" i="19" s="1"/>
  <c r="A29" i="19"/>
  <c r="A30" i="19"/>
  <c r="H30" i="19" s="1"/>
  <c r="AU30" i="19" s="1"/>
  <c r="O109" i="19" l="1"/>
  <c r="O105" i="19"/>
  <c r="O101" i="19"/>
  <c r="O97" i="19"/>
  <c r="AM93" i="19"/>
  <c r="O89" i="19"/>
  <c r="AM85" i="19"/>
  <c r="O81" i="19"/>
  <c r="AM77" i="19"/>
  <c r="O73" i="19"/>
  <c r="O69" i="19"/>
  <c r="O57" i="19"/>
  <c r="O60" i="19"/>
  <c r="AG48" i="19"/>
  <c r="O108" i="19"/>
  <c r="O104" i="19"/>
  <c r="O100" i="19"/>
  <c r="AG88" i="19"/>
  <c r="AG84" i="19"/>
  <c r="O76" i="19"/>
  <c r="O72" i="19"/>
  <c r="O68" i="19"/>
  <c r="O64" i="19"/>
  <c r="O56" i="19"/>
  <c r="AG52" i="19"/>
  <c r="AG44" i="19"/>
  <c r="AG40" i="19"/>
  <c r="AG36" i="19"/>
  <c r="AG32" i="19"/>
  <c r="O111" i="19"/>
  <c r="O107" i="19"/>
  <c r="O103" i="19"/>
  <c r="O99" i="19"/>
  <c r="O95" i="19"/>
  <c r="O83" i="19"/>
  <c r="O79" i="19"/>
  <c r="O75" i="19"/>
  <c r="O71" i="19"/>
  <c r="O67" i="19"/>
  <c r="O63" i="19"/>
  <c r="O110" i="19"/>
  <c r="O106" i="19"/>
  <c r="O102" i="19"/>
  <c r="U98" i="19"/>
  <c r="O90" i="19"/>
  <c r="O82" i="19"/>
  <c r="O70" i="19"/>
  <c r="O62" i="19"/>
  <c r="AO93" i="19"/>
  <c r="AO85" i="19"/>
  <c r="AO77" i="19"/>
  <c r="AM96" i="19"/>
  <c r="AM92" i="19"/>
  <c r="AM80" i="19"/>
  <c r="AI88" i="19"/>
  <c r="AI84" i="19"/>
  <c r="AI52" i="19"/>
  <c r="AI48" i="19"/>
  <c r="AI44" i="19"/>
  <c r="AI40" i="19"/>
  <c r="AI36" i="19"/>
  <c r="AI32" i="19"/>
  <c r="AG28" i="19"/>
  <c r="AG24" i="19"/>
  <c r="AG16" i="19"/>
  <c r="W98" i="19"/>
  <c r="Q104" i="19"/>
  <c r="Q108" i="19"/>
  <c r="Q56" i="19"/>
  <c r="Q72" i="19"/>
  <c r="Q68" i="19"/>
  <c r="Q82" i="19"/>
  <c r="Q100" i="19"/>
  <c r="Q62" i="19"/>
  <c r="Q106" i="19"/>
  <c r="Q90" i="19"/>
  <c r="Q70" i="19"/>
  <c r="Q60" i="19"/>
  <c r="Q110" i="19"/>
  <c r="Q102" i="19"/>
  <c r="Q76" i="19"/>
  <c r="Q64" i="19"/>
  <c r="Q111" i="19"/>
  <c r="Q107" i="19"/>
  <c r="Q103" i="19"/>
  <c r="Q99" i="19"/>
  <c r="Q95" i="19"/>
  <c r="Q83" i="19"/>
  <c r="Q79" i="19"/>
  <c r="Q75" i="19"/>
  <c r="Q71" i="19"/>
  <c r="Q67" i="19"/>
  <c r="Q63" i="19"/>
  <c r="Q109" i="19"/>
  <c r="Q105" i="19"/>
  <c r="Q101" i="19"/>
  <c r="Q97" i="19"/>
  <c r="Q89" i="19"/>
  <c r="Q81" i="19"/>
  <c r="Q73" i="19"/>
  <c r="Q69" i="19"/>
  <c r="Q57" i="19"/>
  <c r="O91" i="19"/>
  <c r="O59" i="19"/>
  <c r="O87" i="19"/>
  <c r="J101" i="19"/>
  <c r="BG101" i="19" s="1"/>
  <c r="G89" i="19"/>
  <c r="AO89" i="19" s="1"/>
  <c r="I103" i="19"/>
  <c r="BA103" i="19" s="1"/>
  <c r="H28" i="19"/>
  <c r="AU28" i="19" s="1"/>
  <c r="F111" i="19"/>
  <c r="F87" i="19"/>
  <c r="F20" i="19"/>
  <c r="J107" i="19"/>
  <c r="BG107" i="19" s="1"/>
  <c r="F99" i="19"/>
  <c r="F83" i="19"/>
  <c r="E107" i="19"/>
  <c r="AC107" i="19" s="1"/>
  <c r="F95" i="19"/>
  <c r="G79" i="19"/>
  <c r="AO79" i="19" s="1"/>
  <c r="J111" i="19"/>
  <c r="BG111" i="19" s="1"/>
  <c r="F108" i="19"/>
  <c r="E100" i="19"/>
  <c r="AC100" i="19" s="1"/>
  <c r="F96" i="19"/>
  <c r="F92" i="19"/>
  <c r="H52" i="19"/>
  <c r="AU52" i="19" s="1"/>
  <c r="H36" i="19"/>
  <c r="AU36" i="19" s="1"/>
  <c r="H24" i="19"/>
  <c r="AU24" i="19" s="1"/>
  <c r="I111" i="19"/>
  <c r="BA111" i="19" s="1"/>
  <c r="E108" i="19"/>
  <c r="AC108" i="19" s="1"/>
  <c r="J104" i="19"/>
  <c r="BG104" i="19" s="1"/>
  <c r="F103" i="19"/>
  <c r="J99" i="19"/>
  <c r="BG99" i="19" s="1"/>
  <c r="G95" i="19"/>
  <c r="AO95" i="19" s="1"/>
  <c r="G91" i="19"/>
  <c r="AO91" i="19" s="1"/>
  <c r="G83" i="19"/>
  <c r="AO83" i="19" s="1"/>
  <c r="F79" i="19"/>
  <c r="J67" i="19"/>
  <c r="BG67" i="19" s="1"/>
  <c r="I104" i="19"/>
  <c r="BA104" i="19" s="1"/>
  <c r="H44" i="19"/>
  <c r="AU44" i="19" s="1"/>
  <c r="J109" i="19"/>
  <c r="BG109" i="19" s="1"/>
  <c r="F107" i="19"/>
  <c r="J103" i="19"/>
  <c r="BG103" i="19" s="1"/>
  <c r="F100" i="19"/>
  <c r="E99" i="19"/>
  <c r="AC99" i="19" s="1"/>
  <c r="G88" i="19"/>
  <c r="AO88" i="19" s="1"/>
  <c r="F80" i="19"/>
  <c r="J75" i="19"/>
  <c r="BG75" i="19" s="1"/>
  <c r="J59" i="19"/>
  <c r="BG59" i="19" s="1"/>
  <c r="H16" i="19"/>
  <c r="AU16" i="19" s="1"/>
  <c r="F109" i="19"/>
  <c r="F101" i="19"/>
  <c r="J108" i="19"/>
  <c r="BG108" i="19" s="1"/>
  <c r="J105" i="19"/>
  <c r="BG105" i="19" s="1"/>
  <c r="F104" i="19"/>
  <c r="J100" i="19"/>
  <c r="BG100" i="19" s="1"/>
  <c r="G97" i="19"/>
  <c r="AO97" i="19" s="1"/>
  <c r="G84" i="19"/>
  <c r="AO84" i="19" s="1"/>
  <c r="G81" i="19"/>
  <c r="AO81" i="19" s="1"/>
  <c r="H48" i="19"/>
  <c r="AU48" i="19" s="1"/>
  <c r="H40" i="19"/>
  <c r="AU40" i="19" s="1"/>
  <c r="H32" i="19"/>
  <c r="AU32" i="19" s="1"/>
  <c r="E111" i="19"/>
  <c r="AC111" i="19" s="1"/>
  <c r="I108" i="19"/>
  <c r="BA108" i="19" s="1"/>
  <c r="I107" i="19"/>
  <c r="BA107" i="19" s="1"/>
  <c r="F105" i="19"/>
  <c r="E104" i="19"/>
  <c r="AC104" i="19" s="1"/>
  <c r="E103" i="19"/>
  <c r="AC103" i="19" s="1"/>
  <c r="I100" i="19"/>
  <c r="BA100" i="19" s="1"/>
  <c r="I99" i="19"/>
  <c r="BA99" i="19" s="1"/>
  <c r="F91" i="19"/>
  <c r="G87" i="19"/>
  <c r="AO87" i="19" s="1"/>
  <c r="J71" i="19"/>
  <c r="BG71" i="19" s="1"/>
  <c r="J63" i="19"/>
  <c r="BG63" i="19" s="1"/>
  <c r="AS14" i="19"/>
  <c r="C27" i="19"/>
  <c r="Q27" i="19" s="1"/>
  <c r="G27" i="19"/>
  <c r="AO27" i="19" s="1"/>
  <c r="E27" i="19"/>
  <c r="AC27" i="19" s="1"/>
  <c r="I27" i="19"/>
  <c r="BA27" i="19" s="1"/>
  <c r="D27" i="19"/>
  <c r="W27" i="19" s="1"/>
  <c r="J27" i="19"/>
  <c r="BG27" i="19" s="1"/>
  <c r="F27" i="19"/>
  <c r="H27" i="19"/>
  <c r="AU27" i="19" s="1"/>
  <c r="C19" i="19"/>
  <c r="Q19" i="19" s="1"/>
  <c r="G19" i="19"/>
  <c r="AO19" i="19" s="1"/>
  <c r="E19" i="19"/>
  <c r="AC19" i="19" s="1"/>
  <c r="I19" i="19"/>
  <c r="BA19" i="19" s="1"/>
  <c r="D19" i="19"/>
  <c r="W19" i="19" s="1"/>
  <c r="J19" i="19"/>
  <c r="BG19" i="19" s="1"/>
  <c r="F19" i="19"/>
  <c r="H19" i="19"/>
  <c r="AU19" i="19" s="1"/>
  <c r="D94" i="19"/>
  <c r="W94" i="19" s="1"/>
  <c r="H94" i="19"/>
  <c r="AU94" i="19" s="1"/>
  <c r="E94" i="19"/>
  <c r="AC94" i="19" s="1"/>
  <c r="I94" i="19"/>
  <c r="BA94" i="19" s="1"/>
  <c r="D86" i="19"/>
  <c r="W86" i="19" s="1"/>
  <c r="H86" i="19"/>
  <c r="AU86" i="19" s="1"/>
  <c r="E86" i="19"/>
  <c r="AC86" i="19" s="1"/>
  <c r="I86" i="19"/>
  <c r="BA86" i="19" s="1"/>
  <c r="D78" i="19"/>
  <c r="W78" i="19" s="1"/>
  <c r="H78" i="19"/>
  <c r="AU78" i="19" s="1"/>
  <c r="E78" i="19"/>
  <c r="AC78" i="19" s="1"/>
  <c r="I78" i="19"/>
  <c r="BA78" i="19" s="1"/>
  <c r="E74" i="19"/>
  <c r="AC74" i="19" s="1"/>
  <c r="I74" i="19"/>
  <c r="BA74" i="19" s="1"/>
  <c r="D74" i="19"/>
  <c r="W74" i="19" s="1"/>
  <c r="H74" i="19"/>
  <c r="AU74" i="19" s="1"/>
  <c r="F74" i="19"/>
  <c r="G74" i="19"/>
  <c r="AO74" i="19" s="1"/>
  <c r="E58" i="19"/>
  <c r="AC58" i="19" s="1"/>
  <c r="I58" i="19"/>
  <c r="BA58" i="19" s="1"/>
  <c r="D58" i="19"/>
  <c r="W58" i="19" s="1"/>
  <c r="H58" i="19"/>
  <c r="AU58" i="19" s="1"/>
  <c r="F58" i="19"/>
  <c r="G58" i="19"/>
  <c r="AO58" i="19" s="1"/>
  <c r="C50" i="19"/>
  <c r="Q50" i="19" s="1"/>
  <c r="G50" i="19"/>
  <c r="AO50" i="19" s="1"/>
  <c r="E50" i="19"/>
  <c r="AC50" i="19" s="1"/>
  <c r="I50" i="19"/>
  <c r="BA50" i="19" s="1"/>
  <c r="D50" i="19"/>
  <c r="W50" i="19" s="1"/>
  <c r="J50" i="19"/>
  <c r="BG50" i="19" s="1"/>
  <c r="C42" i="19"/>
  <c r="Q42" i="19" s="1"/>
  <c r="G42" i="19"/>
  <c r="AO42" i="19" s="1"/>
  <c r="E42" i="19"/>
  <c r="AC42" i="19" s="1"/>
  <c r="I42" i="19"/>
  <c r="BA42" i="19" s="1"/>
  <c r="D42" i="19"/>
  <c r="W42" i="19" s="1"/>
  <c r="J42" i="19"/>
  <c r="BG42" i="19" s="1"/>
  <c r="C38" i="19"/>
  <c r="Q38" i="19" s="1"/>
  <c r="G38" i="19"/>
  <c r="AO38" i="19" s="1"/>
  <c r="E38" i="19"/>
  <c r="AC38" i="19" s="1"/>
  <c r="I38" i="19"/>
  <c r="BA38" i="19" s="1"/>
  <c r="D38" i="19"/>
  <c r="W38" i="19" s="1"/>
  <c r="J38" i="19"/>
  <c r="BG38" i="19" s="1"/>
  <c r="F110" i="19"/>
  <c r="J106" i="19"/>
  <c r="BG106" i="19" s="1"/>
  <c r="G82" i="19"/>
  <c r="AO82" i="19" s="1"/>
  <c r="C26" i="19"/>
  <c r="Q26" i="19" s="1"/>
  <c r="G26" i="19"/>
  <c r="AO26" i="19" s="1"/>
  <c r="E26" i="19"/>
  <c r="AC26" i="19" s="1"/>
  <c r="I26" i="19"/>
  <c r="BA26" i="19" s="1"/>
  <c r="D26" i="19"/>
  <c r="W26" i="19" s="1"/>
  <c r="J26" i="19"/>
  <c r="BG26" i="19" s="1"/>
  <c r="C18" i="19"/>
  <c r="Q18" i="19" s="1"/>
  <c r="G18" i="19"/>
  <c r="AO18" i="19" s="1"/>
  <c r="E18" i="19"/>
  <c r="AC18" i="19" s="1"/>
  <c r="I18" i="19"/>
  <c r="BA18" i="19" s="1"/>
  <c r="D18" i="19"/>
  <c r="W18" i="19" s="1"/>
  <c r="J18" i="19"/>
  <c r="BG18" i="19" s="1"/>
  <c r="D93" i="19"/>
  <c r="W93" i="19" s="1"/>
  <c r="H93" i="19"/>
  <c r="AU93" i="19" s="1"/>
  <c r="E93" i="19"/>
  <c r="AC93" i="19" s="1"/>
  <c r="I93" i="19"/>
  <c r="BA93" i="19" s="1"/>
  <c r="D85" i="19"/>
  <c r="W85" i="19" s="1"/>
  <c r="H85" i="19"/>
  <c r="AU85" i="19" s="1"/>
  <c r="E85" i="19"/>
  <c r="AC85" i="19" s="1"/>
  <c r="I85" i="19"/>
  <c r="BA85" i="19" s="1"/>
  <c r="D77" i="19"/>
  <c r="W77" i="19" s="1"/>
  <c r="H77" i="19"/>
  <c r="AU77" i="19" s="1"/>
  <c r="E77" i="19"/>
  <c r="AC77" i="19" s="1"/>
  <c r="I77" i="19"/>
  <c r="BA77" i="19" s="1"/>
  <c r="E65" i="19"/>
  <c r="AC65" i="19" s="1"/>
  <c r="I65" i="19"/>
  <c r="BA65" i="19" s="1"/>
  <c r="D65" i="19"/>
  <c r="W65" i="19" s="1"/>
  <c r="H65" i="19"/>
  <c r="AU65" i="19" s="1"/>
  <c r="F65" i="19"/>
  <c r="G65" i="19"/>
  <c r="AO65" i="19" s="1"/>
  <c r="E61" i="19"/>
  <c r="AC61" i="19" s="1"/>
  <c r="I61" i="19"/>
  <c r="BA61" i="19" s="1"/>
  <c r="D61" i="19"/>
  <c r="W61" i="19" s="1"/>
  <c r="H61" i="19"/>
  <c r="AU61" i="19" s="1"/>
  <c r="F61" i="19"/>
  <c r="G61" i="19"/>
  <c r="AO61" i="19" s="1"/>
  <c r="C49" i="19"/>
  <c r="Q49" i="19" s="1"/>
  <c r="G49" i="19"/>
  <c r="AO49" i="19" s="1"/>
  <c r="E49" i="19"/>
  <c r="AC49" i="19" s="1"/>
  <c r="I49" i="19"/>
  <c r="BA49" i="19" s="1"/>
  <c r="D49" i="19"/>
  <c r="W49" i="19" s="1"/>
  <c r="J49" i="19"/>
  <c r="BG49" i="19" s="1"/>
  <c r="F49" i="19"/>
  <c r="H49" i="19"/>
  <c r="AU49" i="19" s="1"/>
  <c r="C45" i="19"/>
  <c r="Q45" i="19" s="1"/>
  <c r="G45" i="19"/>
  <c r="AO45" i="19" s="1"/>
  <c r="E45" i="19"/>
  <c r="AC45" i="19" s="1"/>
  <c r="I45" i="19"/>
  <c r="BA45" i="19" s="1"/>
  <c r="D45" i="19"/>
  <c r="W45" i="19" s="1"/>
  <c r="J45" i="19"/>
  <c r="BG45" i="19" s="1"/>
  <c r="F45" i="19"/>
  <c r="H45" i="19"/>
  <c r="AU45" i="19" s="1"/>
  <c r="C37" i="19"/>
  <c r="Q37" i="19" s="1"/>
  <c r="G37" i="19"/>
  <c r="AO37" i="19" s="1"/>
  <c r="E37" i="19"/>
  <c r="AC37" i="19" s="1"/>
  <c r="I37" i="19"/>
  <c r="BA37" i="19" s="1"/>
  <c r="D37" i="19"/>
  <c r="W37" i="19" s="1"/>
  <c r="J37" i="19"/>
  <c r="BG37" i="19" s="1"/>
  <c r="F37" i="19"/>
  <c r="H37" i="19"/>
  <c r="AU37" i="19" s="1"/>
  <c r="I110" i="19"/>
  <c r="BA110" i="19" s="1"/>
  <c r="I109" i="19"/>
  <c r="BA109" i="19" s="1"/>
  <c r="E106" i="19"/>
  <c r="AC106" i="19" s="1"/>
  <c r="E105" i="19"/>
  <c r="AC105" i="19" s="1"/>
  <c r="I102" i="19"/>
  <c r="BA102" i="19" s="1"/>
  <c r="I101" i="19"/>
  <c r="BA101" i="19" s="1"/>
  <c r="E98" i="19"/>
  <c r="AC98" i="19" s="1"/>
  <c r="F93" i="19"/>
  <c r="F89" i="19"/>
  <c r="F86" i="19"/>
  <c r="F81" i="19"/>
  <c r="F77" i="19"/>
  <c r="J65" i="19"/>
  <c r="BG65" i="19" s="1"/>
  <c r="J61" i="19"/>
  <c r="BG61" i="19" s="1"/>
  <c r="C29" i="19"/>
  <c r="Q29" i="19" s="1"/>
  <c r="G29" i="19"/>
  <c r="AO29" i="19" s="1"/>
  <c r="E29" i="19"/>
  <c r="AC29" i="19" s="1"/>
  <c r="I29" i="19"/>
  <c r="BA29" i="19" s="1"/>
  <c r="D29" i="19"/>
  <c r="W29" i="19" s="1"/>
  <c r="J29" i="19"/>
  <c r="BG29" i="19" s="1"/>
  <c r="F29" i="19"/>
  <c r="H29" i="19"/>
  <c r="AU29" i="19" s="1"/>
  <c r="C25" i="19"/>
  <c r="Q25" i="19" s="1"/>
  <c r="G25" i="19"/>
  <c r="AO25" i="19" s="1"/>
  <c r="E25" i="19"/>
  <c r="AC25" i="19" s="1"/>
  <c r="I25" i="19"/>
  <c r="BA25" i="19" s="1"/>
  <c r="D25" i="19"/>
  <c r="W25" i="19" s="1"/>
  <c r="J25" i="19"/>
  <c r="BG25" i="19" s="1"/>
  <c r="F25" i="19"/>
  <c r="H25" i="19"/>
  <c r="AU25" i="19" s="1"/>
  <c r="C21" i="19"/>
  <c r="Q21" i="19" s="1"/>
  <c r="G21" i="19"/>
  <c r="AO21" i="19" s="1"/>
  <c r="E21" i="19"/>
  <c r="AC21" i="19" s="1"/>
  <c r="I21" i="19"/>
  <c r="BA21" i="19" s="1"/>
  <c r="D21" i="19"/>
  <c r="W21" i="19" s="1"/>
  <c r="J21" i="19"/>
  <c r="BG21" i="19" s="1"/>
  <c r="F21" i="19"/>
  <c r="H21" i="19"/>
  <c r="AU21" i="19" s="1"/>
  <c r="C17" i="19"/>
  <c r="Q17" i="19" s="1"/>
  <c r="G17" i="19"/>
  <c r="AO17" i="19" s="1"/>
  <c r="E17" i="19"/>
  <c r="AC17" i="19" s="1"/>
  <c r="I17" i="19"/>
  <c r="BA17" i="19" s="1"/>
  <c r="D17" i="19"/>
  <c r="W17" i="19" s="1"/>
  <c r="J17" i="19"/>
  <c r="BG17" i="19" s="1"/>
  <c r="F17" i="19"/>
  <c r="H17" i="19"/>
  <c r="AU17" i="19" s="1"/>
  <c r="C13" i="19"/>
  <c r="Q13" i="19" s="1"/>
  <c r="G13" i="19"/>
  <c r="AO13" i="19" s="1"/>
  <c r="E13" i="19"/>
  <c r="AC13" i="19" s="1"/>
  <c r="I13" i="19"/>
  <c r="BA13" i="19" s="1"/>
  <c r="D13" i="19"/>
  <c r="W13" i="19" s="1"/>
  <c r="J13" i="19"/>
  <c r="BG13" i="19" s="1"/>
  <c r="F13" i="19"/>
  <c r="H13" i="19"/>
  <c r="AU13" i="19" s="1"/>
  <c r="D96" i="19"/>
  <c r="W96" i="19" s="1"/>
  <c r="H96" i="19"/>
  <c r="AU96" i="19" s="1"/>
  <c r="E96" i="19"/>
  <c r="AC96" i="19" s="1"/>
  <c r="I96" i="19"/>
  <c r="BA96" i="19" s="1"/>
  <c r="D92" i="19"/>
  <c r="W92" i="19" s="1"/>
  <c r="H92" i="19"/>
  <c r="AU92" i="19" s="1"/>
  <c r="E92" i="19"/>
  <c r="AC92" i="19" s="1"/>
  <c r="I92" i="19"/>
  <c r="BA92" i="19" s="1"/>
  <c r="D88" i="19"/>
  <c r="W88" i="19" s="1"/>
  <c r="H88" i="19"/>
  <c r="AU88" i="19" s="1"/>
  <c r="E88" i="19"/>
  <c r="AC88" i="19" s="1"/>
  <c r="I88" i="19"/>
  <c r="BA88" i="19" s="1"/>
  <c r="D84" i="19"/>
  <c r="W84" i="19" s="1"/>
  <c r="H84" i="19"/>
  <c r="AU84" i="19" s="1"/>
  <c r="E84" i="19"/>
  <c r="AC84" i="19" s="1"/>
  <c r="I84" i="19"/>
  <c r="BA84" i="19" s="1"/>
  <c r="D80" i="19"/>
  <c r="W80" i="19" s="1"/>
  <c r="H80" i="19"/>
  <c r="AU80" i="19" s="1"/>
  <c r="E80" i="19"/>
  <c r="AC80" i="19" s="1"/>
  <c r="I80" i="19"/>
  <c r="BA80" i="19" s="1"/>
  <c r="E76" i="19"/>
  <c r="AC76" i="19" s="1"/>
  <c r="I76" i="19"/>
  <c r="BA76" i="19" s="1"/>
  <c r="D76" i="19"/>
  <c r="W76" i="19" s="1"/>
  <c r="H76" i="19"/>
  <c r="AU76" i="19" s="1"/>
  <c r="F76" i="19"/>
  <c r="G76" i="19"/>
  <c r="AO76" i="19" s="1"/>
  <c r="E72" i="19"/>
  <c r="AC72" i="19" s="1"/>
  <c r="I72" i="19"/>
  <c r="BA72" i="19" s="1"/>
  <c r="D72" i="19"/>
  <c r="W72" i="19" s="1"/>
  <c r="H72" i="19"/>
  <c r="AU72" i="19" s="1"/>
  <c r="F72" i="19"/>
  <c r="G72" i="19"/>
  <c r="AO72" i="19" s="1"/>
  <c r="E68" i="19"/>
  <c r="AC68" i="19" s="1"/>
  <c r="I68" i="19"/>
  <c r="BA68" i="19" s="1"/>
  <c r="D68" i="19"/>
  <c r="W68" i="19" s="1"/>
  <c r="H68" i="19"/>
  <c r="AU68" i="19" s="1"/>
  <c r="F68" i="19"/>
  <c r="G68" i="19"/>
  <c r="AO68" i="19" s="1"/>
  <c r="E64" i="19"/>
  <c r="AC64" i="19" s="1"/>
  <c r="I64" i="19"/>
  <c r="BA64" i="19" s="1"/>
  <c r="D64" i="19"/>
  <c r="W64" i="19" s="1"/>
  <c r="H64" i="19"/>
  <c r="AU64" i="19" s="1"/>
  <c r="F64" i="19"/>
  <c r="G64" i="19"/>
  <c r="AO64" i="19" s="1"/>
  <c r="E60" i="19"/>
  <c r="AC60" i="19" s="1"/>
  <c r="I60" i="19"/>
  <c r="BA60" i="19" s="1"/>
  <c r="D60" i="19"/>
  <c r="W60" i="19" s="1"/>
  <c r="H60" i="19"/>
  <c r="AU60" i="19" s="1"/>
  <c r="F60" i="19"/>
  <c r="G60" i="19"/>
  <c r="AO60" i="19" s="1"/>
  <c r="E56" i="19"/>
  <c r="AC56" i="19" s="1"/>
  <c r="I56" i="19"/>
  <c r="BA56" i="19" s="1"/>
  <c r="D56" i="19"/>
  <c r="W56" i="19" s="1"/>
  <c r="H56" i="19"/>
  <c r="AU56" i="19" s="1"/>
  <c r="F56" i="19"/>
  <c r="G56" i="19"/>
  <c r="AO56" i="19" s="1"/>
  <c r="C52" i="19"/>
  <c r="Q52" i="19" s="1"/>
  <c r="G52" i="19"/>
  <c r="AO52" i="19" s="1"/>
  <c r="E52" i="19"/>
  <c r="AC52" i="19" s="1"/>
  <c r="I52" i="19"/>
  <c r="BA52" i="19" s="1"/>
  <c r="D52" i="19"/>
  <c r="W52" i="19" s="1"/>
  <c r="J52" i="19"/>
  <c r="BG52" i="19" s="1"/>
  <c r="C48" i="19"/>
  <c r="Q48" i="19" s="1"/>
  <c r="G48" i="19"/>
  <c r="AO48" i="19" s="1"/>
  <c r="E48" i="19"/>
  <c r="AC48" i="19" s="1"/>
  <c r="I48" i="19"/>
  <c r="BA48" i="19" s="1"/>
  <c r="D48" i="19"/>
  <c r="W48" i="19" s="1"/>
  <c r="J48" i="19"/>
  <c r="BG48" i="19" s="1"/>
  <c r="C44" i="19"/>
  <c r="Q44" i="19" s="1"/>
  <c r="G44" i="19"/>
  <c r="AO44" i="19" s="1"/>
  <c r="E44" i="19"/>
  <c r="AC44" i="19" s="1"/>
  <c r="I44" i="19"/>
  <c r="BA44" i="19" s="1"/>
  <c r="D44" i="19"/>
  <c r="W44" i="19" s="1"/>
  <c r="J44" i="19"/>
  <c r="BG44" i="19" s="1"/>
  <c r="C40" i="19"/>
  <c r="Q40" i="19" s="1"/>
  <c r="G40" i="19"/>
  <c r="AO40" i="19" s="1"/>
  <c r="E40" i="19"/>
  <c r="AC40" i="19" s="1"/>
  <c r="I40" i="19"/>
  <c r="BA40" i="19" s="1"/>
  <c r="D40" i="19"/>
  <c r="W40" i="19" s="1"/>
  <c r="J40" i="19"/>
  <c r="BG40" i="19" s="1"/>
  <c r="C36" i="19"/>
  <c r="Q36" i="19" s="1"/>
  <c r="G36" i="19"/>
  <c r="AO36" i="19" s="1"/>
  <c r="E36" i="19"/>
  <c r="AC36" i="19" s="1"/>
  <c r="I36" i="19"/>
  <c r="BA36" i="19" s="1"/>
  <c r="D36" i="19"/>
  <c r="W36" i="19" s="1"/>
  <c r="J36" i="19"/>
  <c r="BG36" i="19" s="1"/>
  <c r="C32" i="19"/>
  <c r="Q32" i="19" s="1"/>
  <c r="G32" i="19"/>
  <c r="AO32" i="19" s="1"/>
  <c r="E32" i="19"/>
  <c r="AC32" i="19" s="1"/>
  <c r="I32" i="19"/>
  <c r="BA32" i="19" s="1"/>
  <c r="D32" i="19"/>
  <c r="W32" i="19" s="1"/>
  <c r="J32" i="19"/>
  <c r="BG32" i="19" s="1"/>
  <c r="H111" i="19"/>
  <c r="AU111" i="19" s="1"/>
  <c r="D111" i="19"/>
  <c r="W111" i="19" s="1"/>
  <c r="H110" i="19"/>
  <c r="AU110" i="19" s="1"/>
  <c r="D110" i="19"/>
  <c r="W110" i="19" s="1"/>
  <c r="H109" i="19"/>
  <c r="AU109" i="19" s="1"/>
  <c r="D109" i="19"/>
  <c r="W109" i="19" s="1"/>
  <c r="H108" i="19"/>
  <c r="AU108" i="19" s="1"/>
  <c r="D108" i="19"/>
  <c r="W108" i="19" s="1"/>
  <c r="H107" i="19"/>
  <c r="AU107" i="19" s="1"/>
  <c r="D107" i="19"/>
  <c r="W107" i="19" s="1"/>
  <c r="H106" i="19"/>
  <c r="AU106" i="19" s="1"/>
  <c r="D106" i="19"/>
  <c r="W106" i="19" s="1"/>
  <c r="H105" i="19"/>
  <c r="AU105" i="19" s="1"/>
  <c r="D105" i="19"/>
  <c r="W105" i="19" s="1"/>
  <c r="H104" i="19"/>
  <c r="AU104" i="19" s="1"/>
  <c r="D104" i="19"/>
  <c r="W104" i="19" s="1"/>
  <c r="H103" i="19"/>
  <c r="AU103" i="19" s="1"/>
  <c r="D103" i="19"/>
  <c r="W103" i="19" s="1"/>
  <c r="H102" i="19"/>
  <c r="AU102" i="19" s="1"/>
  <c r="D102" i="19"/>
  <c r="W102" i="19" s="1"/>
  <c r="H101" i="19"/>
  <c r="AU101" i="19" s="1"/>
  <c r="D101" i="19"/>
  <c r="W101" i="19" s="1"/>
  <c r="H100" i="19"/>
  <c r="AU100" i="19" s="1"/>
  <c r="D100" i="19"/>
  <c r="W100" i="19" s="1"/>
  <c r="H99" i="19"/>
  <c r="AU99" i="19" s="1"/>
  <c r="D99" i="19"/>
  <c r="W99" i="19" s="1"/>
  <c r="H98" i="19"/>
  <c r="AU98" i="19" s="1"/>
  <c r="C98" i="19"/>
  <c r="Q98" i="19" s="1"/>
  <c r="C96" i="19"/>
  <c r="Q96" i="19" s="1"/>
  <c r="C94" i="19"/>
  <c r="Q94" i="19" s="1"/>
  <c r="C93" i="19"/>
  <c r="Q93" i="19" s="1"/>
  <c r="C92" i="19"/>
  <c r="Q92" i="19" s="1"/>
  <c r="C88" i="19"/>
  <c r="Q88" i="19" s="1"/>
  <c r="C86" i="19"/>
  <c r="Q86" i="19" s="1"/>
  <c r="C85" i="19"/>
  <c r="Q85" i="19" s="1"/>
  <c r="C84" i="19"/>
  <c r="Q84" i="19" s="1"/>
  <c r="C80" i="19"/>
  <c r="Q80" i="19" s="1"/>
  <c r="C78" i="19"/>
  <c r="Q78" i="19" s="1"/>
  <c r="C77" i="19"/>
  <c r="Q77" i="19" s="1"/>
  <c r="C65" i="19"/>
  <c r="Q65" i="19" s="1"/>
  <c r="C61" i="19"/>
  <c r="Q61" i="19" s="1"/>
  <c r="H50" i="19"/>
  <c r="AU50" i="19" s="1"/>
  <c r="H42" i="19"/>
  <c r="AU42" i="19" s="1"/>
  <c r="H38" i="19"/>
  <c r="AU38" i="19" s="1"/>
  <c r="H26" i="19"/>
  <c r="AU26" i="19" s="1"/>
  <c r="H18" i="19"/>
  <c r="AU18" i="19" s="1"/>
  <c r="C23" i="19"/>
  <c r="Q23" i="19" s="1"/>
  <c r="G23" i="19"/>
  <c r="AO23" i="19" s="1"/>
  <c r="E23" i="19"/>
  <c r="AC23" i="19" s="1"/>
  <c r="I23" i="19"/>
  <c r="BA23" i="19" s="1"/>
  <c r="D23" i="19"/>
  <c r="W23" i="19" s="1"/>
  <c r="J23" i="19"/>
  <c r="BG23" i="19" s="1"/>
  <c r="F23" i="19"/>
  <c r="H23" i="19"/>
  <c r="AU23" i="19" s="1"/>
  <c r="C15" i="19"/>
  <c r="Q15" i="19" s="1"/>
  <c r="G15" i="19"/>
  <c r="AO15" i="19" s="1"/>
  <c r="E15" i="19"/>
  <c r="AC15" i="19" s="1"/>
  <c r="I15" i="19"/>
  <c r="BA15" i="19" s="1"/>
  <c r="D15" i="19"/>
  <c r="W15" i="19" s="1"/>
  <c r="J15" i="19"/>
  <c r="BG15" i="19" s="1"/>
  <c r="F15" i="19"/>
  <c r="H15" i="19"/>
  <c r="AU15" i="19" s="1"/>
  <c r="D90" i="19"/>
  <c r="W90" i="19" s="1"/>
  <c r="H90" i="19"/>
  <c r="AU90" i="19" s="1"/>
  <c r="E90" i="19"/>
  <c r="AC90" i="19" s="1"/>
  <c r="I90" i="19"/>
  <c r="BA90" i="19" s="1"/>
  <c r="D82" i="19"/>
  <c r="W82" i="19" s="1"/>
  <c r="H82" i="19"/>
  <c r="AU82" i="19" s="1"/>
  <c r="E82" i="19"/>
  <c r="AC82" i="19" s="1"/>
  <c r="I82" i="19"/>
  <c r="BA82" i="19" s="1"/>
  <c r="E70" i="19"/>
  <c r="AC70" i="19" s="1"/>
  <c r="I70" i="19"/>
  <c r="BA70" i="19" s="1"/>
  <c r="D70" i="19"/>
  <c r="W70" i="19" s="1"/>
  <c r="H70" i="19"/>
  <c r="AU70" i="19" s="1"/>
  <c r="F70" i="19"/>
  <c r="G70" i="19"/>
  <c r="AO70" i="19" s="1"/>
  <c r="E66" i="19"/>
  <c r="AC66" i="19" s="1"/>
  <c r="I66" i="19"/>
  <c r="BA66" i="19" s="1"/>
  <c r="D66" i="19"/>
  <c r="W66" i="19" s="1"/>
  <c r="H66" i="19"/>
  <c r="AU66" i="19" s="1"/>
  <c r="F66" i="19"/>
  <c r="G66" i="19"/>
  <c r="AO66" i="19" s="1"/>
  <c r="E62" i="19"/>
  <c r="AC62" i="19" s="1"/>
  <c r="I62" i="19"/>
  <c r="BA62" i="19" s="1"/>
  <c r="D62" i="19"/>
  <c r="W62" i="19" s="1"/>
  <c r="H62" i="19"/>
  <c r="AU62" i="19" s="1"/>
  <c r="F62" i="19"/>
  <c r="G62" i="19"/>
  <c r="AO62" i="19" s="1"/>
  <c r="C54" i="19"/>
  <c r="Q54" i="19" s="1"/>
  <c r="G54" i="19"/>
  <c r="AO54" i="19" s="1"/>
  <c r="E54" i="19"/>
  <c r="AC54" i="19" s="1"/>
  <c r="I54" i="19"/>
  <c r="BA54" i="19" s="1"/>
  <c r="D54" i="19"/>
  <c r="W54" i="19" s="1"/>
  <c r="J54" i="19"/>
  <c r="BG54" i="19" s="1"/>
  <c r="C46" i="19"/>
  <c r="Q46" i="19" s="1"/>
  <c r="G46" i="19"/>
  <c r="AO46" i="19" s="1"/>
  <c r="E46" i="19"/>
  <c r="AC46" i="19" s="1"/>
  <c r="I46" i="19"/>
  <c r="BA46" i="19" s="1"/>
  <c r="D46" i="19"/>
  <c r="W46" i="19" s="1"/>
  <c r="J46" i="19"/>
  <c r="BG46" i="19" s="1"/>
  <c r="C34" i="19"/>
  <c r="Q34" i="19" s="1"/>
  <c r="G34" i="19"/>
  <c r="AO34" i="19" s="1"/>
  <c r="E34" i="19"/>
  <c r="AC34" i="19" s="1"/>
  <c r="I34" i="19"/>
  <c r="BA34" i="19" s="1"/>
  <c r="D34" i="19"/>
  <c r="W34" i="19" s="1"/>
  <c r="J34" i="19"/>
  <c r="BG34" i="19" s="1"/>
  <c r="J110" i="19"/>
  <c r="BG110" i="19" s="1"/>
  <c r="F106" i="19"/>
  <c r="J102" i="19"/>
  <c r="BG102" i="19" s="1"/>
  <c r="F102" i="19"/>
  <c r="J98" i="19"/>
  <c r="BG98" i="19" s="1"/>
  <c r="F98" i="19"/>
  <c r="G94" i="19"/>
  <c r="AO94" i="19" s="1"/>
  <c r="G90" i="19"/>
  <c r="AO90" i="19" s="1"/>
  <c r="G86" i="19"/>
  <c r="AO86" i="19" s="1"/>
  <c r="G78" i="19"/>
  <c r="AO78" i="19" s="1"/>
  <c r="C74" i="19"/>
  <c r="Q74" i="19" s="1"/>
  <c r="C66" i="19"/>
  <c r="Q66" i="19" s="1"/>
  <c r="C58" i="19"/>
  <c r="Q58" i="19" s="1"/>
  <c r="C30" i="19"/>
  <c r="Q30" i="19" s="1"/>
  <c r="G30" i="19"/>
  <c r="AO30" i="19" s="1"/>
  <c r="E30" i="19"/>
  <c r="AC30" i="19" s="1"/>
  <c r="I30" i="19"/>
  <c r="BA30" i="19" s="1"/>
  <c r="D30" i="19"/>
  <c r="W30" i="19" s="1"/>
  <c r="J30" i="19"/>
  <c r="BG30" i="19" s="1"/>
  <c r="C22" i="19"/>
  <c r="Q22" i="19" s="1"/>
  <c r="G22" i="19"/>
  <c r="AO22" i="19" s="1"/>
  <c r="E22" i="19"/>
  <c r="AC22" i="19" s="1"/>
  <c r="I22" i="19"/>
  <c r="BA22" i="19" s="1"/>
  <c r="D22" i="19"/>
  <c r="W22" i="19" s="1"/>
  <c r="J22" i="19"/>
  <c r="BG22" i="19" s="1"/>
  <c r="C14" i="19"/>
  <c r="Q14" i="19" s="1"/>
  <c r="G14" i="19"/>
  <c r="AO14" i="19" s="1"/>
  <c r="E14" i="19"/>
  <c r="AC14" i="19" s="1"/>
  <c r="I14" i="19"/>
  <c r="BA14" i="19" s="1"/>
  <c r="D14" i="19"/>
  <c r="W14" i="19" s="1"/>
  <c r="J14" i="19"/>
  <c r="BG14" i="19" s="1"/>
  <c r="D97" i="19"/>
  <c r="W97" i="19" s="1"/>
  <c r="H97" i="19"/>
  <c r="AU97" i="19" s="1"/>
  <c r="E97" i="19"/>
  <c r="AC97" i="19" s="1"/>
  <c r="I97" i="19"/>
  <c r="BA97" i="19" s="1"/>
  <c r="D89" i="19"/>
  <c r="W89" i="19" s="1"/>
  <c r="H89" i="19"/>
  <c r="AU89" i="19" s="1"/>
  <c r="E89" i="19"/>
  <c r="AC89" i="19" s="1"/>
  <c r="I89" i="19"/>
  <c r="BA89" i="19" s="1"/>
  <c r="D81" i="19"/>
  <c r="W81" i="19" s="1"/>
  <c r="H81" i="19"/>
  <c r="AU81" i="19" s="1"/>
  <c r="E81" i="19"/>
  <c r="AC81" i="19" s="1"/>
  <c r="I81" i="19"/>
  <c r="BA81" i="19" s="1"/>
  <c r="E73" i="19"/>
  <c r="AC73" i="19" s="1"/>
  <c r="I73" i="19"/>
  <c r="BA73" i="19" s="1"/>
  <c r="D73" i="19"/>
  <c r="W73" i="19" s="1"/>
  <c r="H73" i="19"/>
  <c r="AU73" i="19" s="1"/>
  <c r="F73" i="19"/>
  <c r="G73" i="19"/>
  <c r="AO73" i="19" s="1"/>
  <c r="E69" i="19"/>
  <c r="AC69" i="19" s="1"/>
  <c r="I69" i="19"/>
  <c r="BA69" i="19" s="1"/>
  <c r="D69" i="19"/>
  <c r="W69" i="19" s="1"/>
  <c r="H69" i="19"/>
  <c r="AU69" i="19" s="1"/>
  <c r="F69" i="19"/>
  <c r="G69" i="19"/>
  <c r="AO69" i="19" s="1"/>
  <c r="E57" i="19"/>
  <c r="AC57" i="19" s="1"/>
  <c r="I57" i="19"/>
  <c r="BA57" i="19" s="1"/>
  <c r="D57" i="19"/>
  <c r="W57" i="19" s="1"/>
  <c r="H57" i="19"/>
  <c r="AU57" i="19" s="1"/>
  <c r="F57" i="19"/>
  <c r="G57" i="19"/>
  <c r="AO57" i="19" s="1"/>
  <c r="C53" i="19"/>
  <c r="Q53" i="19" s="1"/>
  <c r="G53" i="19"/>
  <c r="AO53" i="19" s="1"/>
  <c r="E53" i="19"/>
  <c r="AC53" i="19" s="1"/>
  <c r="I53" i="19"/>
  <c r="BA53" i="19" s="1"/>
  <c r="D53" i="19"/>
  <c r="W53" i="19" s="1"/>
  <c r="J53" i="19"/>
  <c r="BG53" i="19" s="1"/>
  <c r="F53" i="19"/>
  <c r="H53" i="19"/>
  <c r="AU53" i="19" s="1"/>
  <c r="C41" i="19"/>
  <c r="Q41" i="19" s="1"/>
  <c r="G41" i="19"/>
  <c r="AO41" i="19" s="1"/>
  <c r="E41" i="19"/>
  <c r="AC41" i="19" s="1"/>
  <c r="I41" i="19"/>
  <c r="BA41" i="19" s="1"/>
  <c r="D41" i="19"/>
  <c r="W41" i="19" s="1"/>
  <c r="J41" i="19"/>
  <c r="BG41" i="19" s="1"/>
  <c r="F41" i="19"/>
  <c r="H41" i="19"/>
  <c r="AU41" i="19" s="1"/>
  <c r="C33" i="19"/>
  <c r="Q33" i="19" s="1"/>
  <c r="G33" i="19"/>
  <c r="AO33" i="19" s="1"/>
  <c r="E33" i="19"/>
  <c r="AC33" i="19" s="1"/>
  <c r="I33" i="19"/>
  <c r="BA33" i="19" s="1"/>
  <c r="D33" i="19"/>
  <c r="W33" i="19" s="1"/>
  <c r="J33" i="19"/>
  <c r="BG33" i="19" s="1"/>
  <c r="F33" i="19"/>
  <c r="H33" i="19"/>
  <c r="AU33" i="19" s="1"/>
  <c r="E110" i="19"/>
  <c r="AC110" i="19" s="1"/>
  <c r="E109" i="19"/>
  <c r="AC109" i="19" s="1"/>
  <c r="I106" i="19"/>
  <c r="BA106" i="19" s="1"/>
  <c r="I105" i="19"/>
  <c r="BA105" i="19" s="1"/>
  <c r="E102" i="19"/>
  <c r="AC102" i="19" s="1"/>
  <c r="E101" i="19"/>
  <c r="AC101" i="19" s="1"/>
  <c r="I98" i="19"/>
  <c r="BA98" i="19" s="1"/>
  <c r="F97" i="19"/>
  <c r="F94" i="19"/>
  <c r="F90" i="19"/>
  <c r="F85" i="19"/>
  <c r="F82" i="19"/>
  <c r="F78" i="19"/>
  <c r="J73" i="19"/>
  <c r="BG73" i="19" s="1"/>
  <c r="J69" i="19"/>
  <c r="BG69" i="19" s="1"/>
  <c r="J57" i="19"/>
  <c r="BG57" i="19" s="1"/>
  <c r="C28" i="19"/>
  <c r="Q28" i="19" s="1"/>
  <c r="G28" i="19"/>
  <c r="AO28" i="19" s="1"/>
  <c r="E28" i="19"/>
  <c r="AC28" i="19" s="1"/>
  <c r="I28" i="19"/>
  <c r="BA28" i="19" s="1"/>
  <c r="D28" i="19"/>
  <c r="W28" i="19" s="1"/>
  <c r="J28" i="19"/>
  <c r="BG28" i="19" s="1"/>
  <c r="C24" i="19"/>
  <c r="Q24" i="19" s="1"/>
  <c r="G24" i="19"/>
  <c r="AO24" i="19" s="1"/>
  <c r="E24" i="19"/>
  <c r="AC24" i="19" s="1"/>
  <c r="I24" i="19"/>
  <c r="BA24" i="19" s="1"/>
  <c r="D24" i="19"/>
  <c r="W24" i="19" s="1"/>
  <c r="J24" i="19"/>
  <c r="BG24" i="19" s="1"/>
  <c r="C20" i="19"/>
  <c r="Q20" i="19" s="1"/>
  <c r="G20" i="19"/>
  <c r="AO20" i="19" s="1"/>
  <c r="E20" i="19"/>
  <c r="AC20" i="19" s="1"/>
  <c r="I20" i="19"/>
  <c r="BA20" i="19" s="1"/>
  <c r="D20" i="19"/>
  <c r="W20" i="19" s="1"/>
  <c r="J20" i="19"/>
  <c r="BG20" i="19" s="1"/>
  <c r="C16" i="19"/>
  <c r="Q16" i="19" s="1"/>
  <c r="G16" i="19"/>
  <c r="AO16" i="19" s="1"/>
  <c r="E16" i="19"/>
  <c r="AC16" i="19" s="1"/>
  <c r="I16" i="19"/>
  <c r="BA16" i="19" s="1"/>
  <c r="D16" i="19"/>
  <c r="W16" i="19" s="1"/>
  <c r="J16" i="19"/>
  <c r="BG16" i="19" s="1"/>
  <c r="D95" i="19"/>
  <c r="W95" i="19" s="1"/>
  <c r="H95" i="19"/>
  <c r="AU95" i="19" s="1"/>
  <c r="E95" i="19"/>
  <c r="AC95" i="19" s="1"/>
  <c r="I95" i="19"/>
  <c r="BA95" i="19" s="1"/>
  <c r="D91" i="19"/>
  <c r="W91" i="19" s="1"/>
  <c r="H91" i="19"/>
  <c r="AU91" i="19" s="1"/>
  <c r="E91" i="19"/>
  <c r="AC91" i="19" s="1"/>
  <c r="I91" i="19"/>
  <c r="BA91" i="19" s="1"/>
  <c r="D87" i="19"/>
  <c r="W87" i="19" s="1"/>
  <c r="H87" i="19"/>
  <c r="AU87" i="19" s="1"/>
  <c r="E87" i="19"/>
  <c r="AC87" i="19" s="1"/>
  <c r="I87" i="19"/>
  <c r="BA87" i="19" s="1"/>
  <c r="D83" i="19"/>
  <c r="W83" i="19" s="1"/>
  <c r="H83" i="19"/>
  <c r="AU83" i="19" s="1"/>
  <c r="E83" i="19"/>
  <c r="AC83" i="19" s="1"/>
  <c r="I83" i="19"/>
  <c r="BA83" i="19" s="1"/>
  <c r="D79" i="19"/>
  <c r="W79" i="19" s="1"/>
  <c r="H79" i="19"/>
  <c r="AU79" i="19" s="1"/>
  <c r="E79" i="19"/>
  <c r="AC79" i="19" s="1"/>
  <c r="I79" i="19"/>
  <c r="BA79" i="19" s="1"/>
  <c r="E75" i="19"/>
  <c r="AC75" i="19" s="1"/>
  <c r="I75" i="19"/>
  <c r="BA75" i="19" s="1"/>
  <c r="D75" i="19"/>
  <c r="W75" i="19" s="1"/>
  <c r="H75" i="19"/>
  <c r="AU75" i="19" s="1"/>
  <c r="F75" i="19"/>
  <c r="G75" i="19"/>
  <c r="AO75" i="19" s="1"/>
  <c r="E71" i="19"/>
  <c r="AC71" i="19" s="1"/>
  <c r="I71" i="19"/>
  <c r="BA71" i="19" s="1"/>
  <c r="D71" i="19"/>
  <c r="W71" i="19" s="1"/>
  <c r="H71" i="19"/>
  <c r="AU71" i="19" s="1"/>
  <c r="F71" i="19"/>
  <c r="G71" i="19"/>
  <c r="AO71" i="19" s="1"/>
  <c r="E67" i="19"/>
  <c r="AC67" i="19" s="1"/>
  <c r="I67" i="19"/>
  <c r="BA67" i="19" s="1"/>
  <c r="D67" i="19"/>
  <c r="W67" i="19" s="1"/>
  <c r="H67" i="19"/>
  <c r="AU67" i="19" s="1"/>
  <c r="F67" i="19"/>
  <c r="G67" i="19"/>
  <c r="AO67" i="19" s="1"/>
  <c r="E63" i="19"/>
  <c r="AC63" i="19" s="1"/>
  <c r="I63" i="19"/>
  <c r="BA63" i="19" s="1"/>
  <c r="D63" i="19"/>
  <c r="W63" i="19" s="1"/>
  <c r="H63" i="19"/>
  <c r="AU63" i="19" s="1"/>
  <c r="F63" i="19"/>
  <c r="G63" i="19"/>
  <c r="AO63" i="19" s="1"/>
  <c r="E59" i="19"/>
  <c r="AC59" i="19" s="1"/>
  <c r="I59" i="19"/>
  <c r="BA59" i="19" s="1"/>
  <c r="D59" i="19"/>
  <c r="W59" i="19" s="1"/>
  <c r="H59" i="19"/>
  <c r="AU59" i="19" s="1"/>
  <c r="F59" i="19"/>
  <c r="G59" i="19"/>
  <c r="AO59" i="19" s="1"/>
  <c r="C55" i="19"/>
  <c r="Q55" i="19" s="1"/>
  <c r="E55" i="19"/>
  <c r="AC55" i="19" s="1"/>
  <c r="D55" i="19"/>
  <c r="W55" i="19" s="1"/>
  <c r="I55" i="19"/>
  <c r="BA55" i="19" s="1"/>
  <c r="H55" i="19"/>
  <c r="AU55" i="19" s="1"/>
  <c r="F55" i="19"/>
  <c r="G55" i="19"/>
  <c r="AO55" i="19" s="1"/>
  <c r="C51" i="19"/>
  <c r="Q51" i="19" s="1"/>
  <c r="G51" i="19"/>
  <c r="AO51" i="19" s="1"/>
  <c r="E51" i="19"/>
  <c r="AC51" i="19" s="1"/>
  <c r="I51" i="19"/>
  <c r="BA51" i="19" s="1"/>
  <c r="D51" i="19"/>
  <c r="W51" i="19" s="1"/>
  <c r="J51" i="19"/>
  <c r="BG51" i="19" s="1"/>
  <c r="F51" i="19"/>
  <c r="H51" i="19"/>
  <c r="AU51" i="19" s="1"/>
  <c r="C47" i="19"/>
  <c r="Q47" i="19" s="1"/>
  <c r="G47" i="19"/>
  <c r="AO47" i="19" s="1"/>
  <c r="E47" i="19"/>
  <c r="AC47" i="19" s="1"/>
  <c r="I47" i="19"/>
  <c r="BA47" i="19" s="1"/>
  <c r="D47" i="19"/>
  <c r="W47" i="19" s="1"/>
  <c r="J47" i="19"/>
  <c r="BG47" i="19" s="1"/>
  <c r="F47" i="19"/>
  <c r="H47" i="19"/>
  <c r="AU47" i="19" s="1"/>
  <c r="C43" i="19"/>
  <c r="Q43" i="19" s="1"/>
  <c r="G43" i="19"/>
  <c r="AO43" i="19" s="1"/>
  <c r="E43" i="19"/>
  <c r="AC43" i="19" s="1"/>
  <c r="I43" i="19"/>
  <c r="BA43" i="19" s="1"/>
  <c r="D43" i="19"/>
  <c r="W43" i="19" s="1"/>
  <c r="J43" i="19"/>
  <c r="BG43" i="19" s="1"/>
  <c r="F43" i="19"/>
  <c r="H43" i="19"/>
  <c r="AU43" i="19" s="1"/>
  <c r="C39" i="19"/>
  <c r="Q39" i="19" s="1"/>
  <c r="G39" i="19"/>
  <c r="AO39" i="19" s="1"/>
  <c r="E39" i="19"/>
  <c r="AC39" i="19" s="1"/>
  <c r="I39" i="19"/>
  <c r="BA39" i="19" s="1"/>
  <c r="D39" i="19"/>
  <c r="W39" i="19" s="1"/>
  <c r="J39" i="19"/>
  <c r="BG39" i="19" s="1"/>
  <c r="F39" i="19"/>
  <c r="H39" i="19"/>
  <c r="AU39" i="19" s="1"/>
  <c r="C35" i="19"/>
  <c r="Q35" i="19" s="1"/>
  <c r="G35" i="19"/>
  <c r="AO35" i="19" s="1"/>
  <c r="E35" i="19"/>
  <c r="AC35" i="19" s="1"/>
  <c r="I35" i="19"/>
  <c r="BA35" i="19" s="1"/>
  <c r="D35" i="19"/>
  <c r="W35" i="19" s="1"/>
  <c r="J35" i="19"/>
  <c r="BG35" i="19" s="1"/>
  <c r="F35" i="19"/>
  <c r="H35" i="19"/>
  <c r="AU35" i="19" s="1"/>
  <c r="C31" i="19"/>
  <c r="Q31" i="19" s="1"/>
  <c r="G31" i="19"/>
  <c r="AO31" i="19" s="1"/>
  <c r="E31" i="19"/>
  <c r="AC31" i="19" s="1"/>
  <c r="I31" i="19"/>
  <c r="BA31" i="19" s="1"/>
  <c r="D31" i="19"/>
  <c r="W31" i="19" s="1"/>
  <c r="J31" i="19"/>
  <c r="BG31" i="19" s="1"/>
  <c r="F31" i="19"/>
  <c r="H31" i="19"/>
  <c r="AU31" i="19" s="1"/>
  <c r="G111" i="19"/>
  <c r="AO111" i="19" s="1"/>
  <c r="G110" i="19"/>
  <c r="AO110" i="19" s="1"/>
  <c r="G109" i="19"/>
  <c r="AO109" i="19" s="1"/>
  <c r="G108" i="19"/>
  <c r="AO108" i="19" s="1"/>
  <c r="G107" i="19"/>
  <c r="AO107" i="19" s="1"/>
  <c r="G106" i="19"/>
  <c r="AO106" i="19" s="1"/>
  <c r="G105" i="19"/>
  <c r="AO105" i="19" s="1"/>
  <c r="G104" i="19"/>
  <c r="AO104" i="19" s="1"/>
  <c r="G103" i="19"/>
  <c r="AO103" i="19" s="1"/>
  <c r="G102" i="19"/>
  <c r="AO102" i="19" s="1"/>
  <c r="G101" i="19"/>
  <c r="AO101" i="19" s="1"/>
  <c r="G100" i="19"/>
  <c r="AO100" i="19" s="1"/>
  <c r="G99" i="19"/>
  <c r="AO99" i="19" s="1"/>
  <c r="G98" i="19"/>
  <c r="AO98" i="19" s="1"/>
  <c r="J97" i="19"/>
  <c r="BG97" i="19" s="1"/>
  <c r="J96" i="19"/>
  <c r="BG96" i="19" s="1"/>
  <c r="J95" i="19"/>
  <c r="BG95" i="19" s="1"/>
  <c r="J94" i="19"/>
  <c r="BG94" i="19" s="1"/>
  <c r="J93" i="19"/>
  <c r="BG93" i="19" s="1"/>
  <c r="J92" i="19"/>
  <c r="BG92" i="19" s="1"/>
  <c r="J91" i="19"/>
  <c r="BG91" i="19" s="1"/>
  <c r="J90" i="19"/>
  <c r="BG90" i="19" s="1"/>
  <c r="J89" i="19"/>
  <c r="BG89" i="19" s="1"/>
  <c r="J88" i="19"/>
  <c r="BG88" i="19" s="1"/>
  <c r="J87" i="19"/>
  <c r="BG87" i="19" s="1"/>
  <c r="J86" i="19"/>
  <c r="BG86" i="19" s="1"/>
  <c r="J85" i="19"/>
  <c r="BG85" i="19" s="1"/>
  <c r="J84" i="19"/>
  <c r="BG84" i="19" s="1"/>
  <c r="J83" i="19"/>
  <c r="BG83" i="19" s="1"/>
  <c r="J82" i="19"/>
  <c r="BG82" i="19" s="1"/>
  <c r="J81" i="19"/>
  <c r="BG81" i="19" s="1"/>
  <c r="J80" i="19"/>
  <c r="BG80" i="19" s="1"/>
  <c r="J79" i="19"/>
  <c r="BG79" i="19" s="1"/>
  <c r="J78" i="19"/>
  <c r="BG78" i="19" s="1"/>
  <c r="J77" i="19"/>
  <c r="BG77" i="19" s="1"/>
  <c r="J76" i="19"/>
  <c r="BG76" i="19" s="1"/>
  <c r="J74" i="19"/>
  <c r="BG74" i="19" s="1"/>
  <c r="J72" i="19"/>
  <c r="BG72" i="19" s="1"/>
  <c r="J70" i="19"/>
  <c r="BG70" i="19" s="1"/>
  <c r="J68" i="19"/>
  <c r="BG68" i="19" s="1"/>
  <c r="J66" i="19"/>
  <c r="BG66" i="19" s="1"/>
  <c r="J64" i="19"/>
  <c r="BG64" i="19" s="1"/>
  <c r="J62" i="19"/>
  <c r="BG62" i="19" s="1"/>
  <c r="J60" i="19"/>
  <c r="BG60" i="19" s="1"/>
  <c r="J58" i="19"/>
  <c r="BG58" i="19" s="1"/>
  <c r="J56" i="19"/>
  <c r="BG56" i="19" s="1"/>
  <c r="F54" i="19"/>
  <c r="F50" i="19"/>
  <c r="F46" i="19"/>
  <c r="F42" i="19"/>
  <c r="F38" i="19"/>
  <c r="F34" i="19"/>
  <c r="F30" i="19"/>
  <c r="F26" i="19"/>
  <c r="F22" i="19"/>
  <c r="F18" i="19"/>
  <c r="F14" i="19"/>
  <c r="A12" i="19"/>
  <c r="AY35" i="19" l="1"/>
  <c r="AY39" i="19"/>
  <c r="AY47" i="19"/>
  <c r="AY31" i="19"/>
  <c r="AY43" i="19"/>
  <c r="AY51" i="19"/>
  <c r="AY34" i="19"/>
  <c r="AY54" i="19"/>
  <c r="AY70" i="19"/>
  <c r="AY44" i="19"/>
  <c r="AY52" i="19"/>
  <c r="AY72" i="19"/>
  <c r="AY17" i="19"/>
  <c r="AY29" i="19"/>
  <c r="AY101" i="19"/>
  <c r="AY109" i="19"/>
  <c r="AY18" i="19"/>
  <c r="AY63" i="19"/>
  <c r="AY79" i="19"/>
  <c r="AY83" i="19"/>
  <c r="AY87" i="19"/>
  <c r="AY91" i="19"/>
  <c r="AY95" i="19"/>
  <c r="AY20" i="19"/>
  <c r="AY33" i="19"/>
  <c r="AY57" i="19"/>
  <c r="AY30" i="19"/>
  <c r="AY102" i="19"/>
  <c r="AY110" i="19"/>
  <c r="AY42" i="19"/>
  <c r="AY74" i="19"/>
  <c r="AY100" i="19"/>
  <c r="AY107" i="19"/>
  <c r="AY111" i="19"/>
  <c r="AY62" i="19"/>
  <c r="AY36" i="19"/>
  <c r="AY56" i="19"/>
  <c r="AY64" i="19"/>
  <c r="AY80" i="19"/>
  <c r="AY84" i="19"/>
  <c r="AY88" i="19"/>
  <c r="AY92" i="19"/>
  <c r="AY96" i="19"/>
  <c r="AY13" i="19"/>
  <c r="AY21" i="19"/>
  <c r="AY25" i="19"/>
  <c r="AY65" i="19"/>
  <c r="AY99" i="19"/>
  <c r="AY103" i="19"/>
  <c r="AY71" i="19"/>
  <c r="AY28" i="19"/>
  <c r="AY105" i="19"/>
  <c r="AY41" i="19"/>
  <c r="AY53" i="19"/>
  <c r="AY73" i="19"/>
  <c r="AY14" i="19"/>
  <c r="AY98" i="19"/>
  <c r="AY106" i="19"/>
  <c r="AY46" i="19"/>
  <c r="AY66" i="19"/>
  <c r="AY82" i="19"/>
  <c r="AY90" i="19"/>
  <c r="AY15" i="19"/>
  <c r="AY23" i="19"/>
  <c r="AY32" i="19"/>
  <c r="AY40" i="19"/>
  <c r="AY48" i="19"/>
  <c r="AY60" i="19"/>
  <c r="AY68" i="19"/>
  <c r="AY76" i="19"/>
  <c r="AY37" i="19"/>
  <c r="AY45" i="19"/>
  <c r="AY49" i="19"/>
  <c r="AY61" i="19"/>
  <c r="AY77" i="19"/>
  <c r="AY85" i="19"/>
  <c r="AY93" i="19"/>
  <c r="AY26" i="19"/>
  <c r="AY108" i="19"/>
  <c r="AY55" i="19"/>
  <c r="AY59" i="19"/>
  <c r="AY67" i="19"/>
  <c r="AY75" i="19"/>
  <c r="AY16" i="19"/>
  <c r="AY24" i="19"/>
  <c r="AY69" i="19"/>
  <c r="AY81" i="19"/>
  <c r="AY89" i="19"/>
  <c r="AY97" i="19"/>
  <c r="AY22" i="19"/>
  <c r="AY38" i="19"/>
  <c r="AY50" i="19"/>
  <c r="AY58" i="19"/>
  <c r="AY78" i="19"/>
  <c r="AY86" i="19"/>
  <c r="AY94" i="19"/>
  <c r="AY19" i="19"/>
  <c r="AY27" i="19"/>
  <c r="AY104" i="19"/>
  <c r="AM98" i="19"/>
  <c r="AM100" i="19"/>
  <c r="AM108" i="19"/>
  <c r="AM78" i="19"/>
  <c r="AM70" i="19"/>
  <c r="AM15" i="19"/>
  <c r="AM40" i="19"/>
  <c r="AM48" i="19"/>
  <c r="AM56" i="19"/>
  <c r="AM72" i="19"/>
  <c r="AM37" i="19"/>
  <c r="AM49" i="19"/>
  <c r="AM26" i="19"/>
  <c r="AM101" i="19"/>
  <c r="AM105" i="19"/>
  <c r="AM109" i="19"/>
  <c r="AM63" i="19"/>
  <c r="AM71" i="19"/>
  <c r="AM16" i="19"/>
  <c r="AM24" i="19"/>
  <c r="AM57" i="19"/>
  <c r="AM73" i="19"/>
  <c r="AM22" i="19"/>
  <c r="AM86" i="19"/>
  <c r="AM38" i="19"/>
  <c r="AM50" i="19"/>
  <c r="AM74" i="19"/>
  <c r="AM19" i="19"/>
  <c r="AM27" i="19"/>
  <c r="AM84" i="19"/>
  <c r="AM88" i="19"/>
  <c r="AM95" i="19"/>
  <c r="AM102" i="19"/>
  <c r="AM106" i="19"/>
  <c r="AM110" i="19"/>
  <c r="AM31" i="19"/>
  <c r="AM35" i="19"/>
  <c r="AM39" i="19"/>
  <c r="AM43" i="19"/>
  <c r="AM47" i="19"/>
  <c r="AM51" i="19"/>
  <c r="AM90" i="19"/>
  <c r="AM34" i="19"/>
  <c r="AM54" i="19"/>
  <c r="AM66" i="19"/>
  <c r="AM36" i="19"/>
  <c r="AM44" i="19"/>
  <c r="AM52" i="19"/>
  <c r="AM60" i="19"/>
  <c r="AM68" i="19"/>
  <c r="AM76" i="19"/>
  <c r="AM13" i="19"/>
  <c r="AM17" i="19"/>
  <c r="AM21" i="19"/>
  <c r="AM25" i="19"/>
  <c r="AM29" i="19"/>
  <c r="AM61" i="19"/>
  <c r="AM18" i="19"/>
  <c r="AM82" i="19"/>
  <c r="AM97" i="19"/>
  <c r="AM89" i="19"/>
  <c r="AM99" i="19"/>
  <c r="AM103" i="19"/>
  <c r="AM107" i="19"/>
  <c r="AM111" i="19"/>
  <c r="AM59" i="19"/>
  <c r="AM67" i="19"/>
  <c r="AM75" i="19"/>
  <c r="AM20" i="19"/>
  <c r="AM28" i="19"/>
  <c r="AM33" i="19"/>
  <c r="AM41" i="19"/>
  <c r="AM53" i="19"/>
  <c r="AM69" i="19"/>
  <c r="AM14" i="19"/>
  <c r="AM30" i="19"/>
  <c r="AM94" i="19"/>
  <c r="AM42" i="19"/>
  <c r="AM58" i="19"/>
  <c r="AM87" i="19"/>
  <c r="AM83" i="19"/>
  <c r="AM79" i="19"/>
  <c r="AM104" i="19"/>
  <c r="AM55" i="19"/>
  <c r="AM46" i="19"/>
  <c r="AM62" i="19"/>
  <c r="AM23" i="19"/>
  <c r="AM32" i="19"/>
  <c r="AM64" i="19"/>
  <c r="AM45" i="19"/>
  <c r="AM65" i="19"/>
  <c r="AM81" i="19"/>
  <c r="AM91" i="19"/>
  <c r="AI22" i="19"/>
  <c r="AI14" i="19"/>
  <c r="AI30" i="19"/>
  <c r="AI90" i="19"/>
  <c r="AI66" i="19"/>
  <c r="AI23" i="19"/>
  <c r="AI18" i="19"/>
  <c r="AI34" i="19"/>
  <c r="AI50" i="19"/>
  <c r="AI59" i="19"/>
  <c r="AI67" i="19"/>
  <c r="AI75" i="19"/>
  <c r="AI78" i="19"/>
  <c r="AI94" i="19"/>
  <c r="AI69" i="19"/>
  <c r="AI98" i="19"/>
  <c r="AI106" i="19"/>
  <c r="AI86" i="19"/>
  <c r="AI110" i="19"/>
  <c r="AI58" i="19"/>
  <c r="AI19" i="19"/>
  <c r="AI27" i="19"/>
  <c r="AI91" i="19"/>
  <c r="AI104" i="19"/>
  <c r="AI109" i="19"/>
  <c r="AI80" i="19"/>
  <c r="AI95" i="19"/>
  <c r="AI38" i="19"/>
  <c r="AI54" i="19"/>
  <c r="AI31" i="19"/>
  <c r="AI35" i="19"/>
  <c r="AI39" i="19"/>
  <c r="AI43" i="19"/>
  <c r="AI47" i="19"/>
  <c r="AI51" i="19"/>
  <c r="AI55" i="19"/>
  <c r="AI82" i="19"/>
  <c r="AI97" i="19"/>
  <c r="AI62" i="19"/>
  <c r="AI70" i="19"/>
  <c r="AI56" i="19"/>
  <c r="AI64" i="19"/>
  <c r="AI72" i="19"/>
  <c r="AI13" i="19"/>
  <c r="AI17" i="19"/>
  <c r="AI21" i="19"/>
  <c r="AI25" i="19"/>
  <c r="AI29" i="19"/>
  <c r="AI89" i="19"/>
  <c r="AI65" i="19"/>
  <c r="AI105" i="19"/>
  <c r="AI107" i="19"/>
  <c r="AI108" i="19"/>
  <c r="AI20" i="19"/>
  <c r="AI26" i="19"/>
  <c r="AI42" i="19"/>
  <c r="AI63" i="19"/>
  <c r="AI71" i="19"/>
  <c r="AI85" i="19"/>
  <c r="AI33" i="19"/>
  <c r="AI41" i="19"/>
  <c r="AI53" i="19"/>
  <c r="AI57" i="19"/>
  <c r="AI73" i="19"/>
  <c r="AI102" i="19"/>
  <c r="AI77" i="19"/>
  <c r="AI93" i="19"/>
  <c r="AI74" i="19"/>
  <c r="AI79" i="19"/>
  <c r="AI92" i="19"/>
  <c r="AI83" i="19"/>
  <c r="AI87" i="19"/>
  <c r="AI46" i="19"/>
  <c r="AI15" i="19"/>
  <c r="AI60" i="19"/>
  <c r="AI68" i="19"/>
  <c r="AI76" i="19"/>
  <c r="AI81" i="19"/>
  <c r="AI37" i="19"/>
  <c r="AI45" i="19"/>
  <c r="AI49" i="19"/>
  <c r="AI61" i="19"/>
  <c r="AI101" i="19"/>
  <c r="AI100" i="19"/>
  <c r="AI103" i="19"/>
  <c r="AI96" i="19"/>
  <c r="AI99" i="19"/>
  <c r="AI111" i="19"/>
  <c r="AG42" i="19"/>
  <c r="AG63" i="19"/>
  <c r="AG71" i="19"/>
  <c r="AG85" i="19"/>
  <c r="AG33" i="19"/>
  <c r="AG41" i="19"/>
  <c r="AG53" i="19"/>
  <c r="AG57" i="19"/>
  <c r="AG73" i="19"/>
  <c r="AG102" i="19"/>
  <c r="AG77" i="19"/>
  <c r="AG93" i="19"/>
  <c r="AG74" i="19"/>
  <c r="AG79" i="19"/>
  <c r="AG92" i="19"/>
  <c r="AG83" i="19"/>
  <c r="AG87" i="19"/>
  <c r="AG14" i="19"/>
  <c r="AG30" i="19"/>
  <c r="AG46" i="19"/>
  <c r="AG90" i="19"/>
  <c r="AG66" i="19"/>
  <c r="AG15" i="19"/>
  <c r="AG23" i="19"/>
  <c r="AG60" i="19"/>
  <c r="AG68" i="19"/>
  <c r="AG76" i="19"/>
  <c r="AG81" i="19"/>
  <c r="AG37" i="19"/>
  <c r="AG45" i="19"/>
  <c r="AG49" i="19"/>
  <c r="AG61" i="19"/>
  <c r="AG101" i="19"/>
  <c r="AG100" i="19"/>
  <c r="AG103" i="19"/>
  <c r="AG96" i="19"/>
  <c r="AG99" i="19"/>
  <c r="AG111" i="19"/>
  <c r="AG26" i="19"/>
  <c r="AG18" i="19"/>
  <c r="AG34" i="19"/>
  <c r="AG50" i="19"/>
  <c r="AG59" i="19"/>
  <c r="AG67" i="19"/>
  <c r="AG75" i="19"/>
  <c r="AG78" i="19"/>
  <c r="AG94" i="19"/>
  <c r="AG69" i="19"/>
  <c r="AG98" i="19"/>
  <c r="AG106" i="19"/>
  <c r="AG86" i="19"/>
  <c r="AG110" i="19"/>
  <c r="AG58" i="19"/>
  <c r="AG19" i="19"/>
  <c r="AG27" i="19"/>
  <c r="AG91" i="19"/>
  <c r="AG104" i="19"/>
  <c r="AG109" i="19"/>
  <c r="AG80" i="19"/>
  <c r="AG95" i="19"/>
  <c r="AG22" i="19"/>
  <c r="AG38" i="19"/>
  <c r="AG54" i="19"/>
  <c r="AG31" i="19"/>
  <c r="AG35" i="19"/>
  <c r="AG39" i="19"/>
  <c r="AG43" i="19"/>
  <c r="AG47" i="19"/>
  <c r="AG51" i="19"/>
  <c r="AG55" i="19"/>
  <c r="AG82" i="19"/>
  <c r="AG97" i="19"/>
  <c r="AG62" i="19"/>
  <c r="AG70" i="19"/>
  <c r="AG56" i="19"/>
  <c r="AG64" i="19"/>
  <c r="AG72" i="19"/>
  <c r="AG13" i="19"/>
  <c r="AG17" i="19"/>
  <c r="AG21" i="19"/>
  <c r="AG25" i="19"/>
  <c r="AG29" i="19"/>
  <c r="AG89" i="19"/>
  <c r="AG65" i="19"/>
  <c r="AG105" i="19"/>
  <c r="AG107" i="19"/>
  <c r="AG108" i="19"/>
  <c r="AG20" i="19"/>
  <c r="AA46" i="19"/>
  <c r="AA59" i="19"/>
  <c r="AA67" i="19"/>
  <c r="AA75" i="19"/>
  <c r="AA16" i="19"/>
  <c r="AA24" i="19"/>
  <c r="AA102" i="19"/>
  <c r="AA110" i="19"/>
  <c r="AA69" i="19"/>
  <c r="AA81" i="19"/>
  <c r="AA89" i="19"/>
  <c r="AA97" i="19"/>
  <c r="AA22" i="19"/>
  <c r="AA38" i="19"/>
  <c r="AA50" i="19"/>
  <c r="AA58" i="19"/>
  <c r="AA78" i="19"/>
  <c r="AA86" i="19"/>
  <c r="AA94" i="19"/>
  <c r="AA19" i="19"/>
  <c r="AA27" i="19"/>
  <c r="AA104" i="19"/>
  <c r="AA111" i="19"/>
  <c r="AA100" i="19"/>
  <c r="AA31" i="19"/>
  <c r="AA35" i="19"/>
  <c r="AA39" i="19"/>
  <c r="AA43" i="19"/>
  <c r="AA47" i="19"/>
  <c r="AA51" i="19"/>
  <c r="AA55" i="19"/>
  <c r="AA34" i="19"/>
  <c r="AA54" i="19"/>
  <c r="AA62" i="19"/>
  <c r="AA70" i="19"/>
  <c r="AA36" i="19"/>
  <c r="AA44" i="19"/>
  <c r="AA52" i="19"/>
  <c r="AA56" i="19"/>
  <c r="AA64" i="19"/>
  <c r="AA72" i="19"/>
  <c r="AA80" i="19"/>
  <c r="AA84" i="19"/>
  <c r="AA88" i="19"/>
  <c r="AA92" i="19"/>
  <c r="AA96" i="19"/>
  <c r="AA13" i="19"/>
  <c r="AA17" i="19"/>
  <c r="AA21" i="19"/>
  <c r="AA25" i="19"/>
  <c r="AA29" i="19"/>
  <c r="AA65" i="19"/>
  <c r="AA18" i="19"/>
  <c r="AA108" i="19"/>
  <c r="AA107" i="19"/>
  <c r="AA63" i="19"/>
  <c r="AA71" i="19"/>
  <c r="AA79" i="19"/>
  <c r="AA83" i="19"/>
  <c r="AA87" i="19"/>
  <c r="AA91" i="19"/>
  <c r="AA95" i="19"/>
  <c r="AA20" i="19"/>
  <c r="AA28" i="19"/>
  <c r="AA33" i="19"/>
  <c r="AA41" i="19"/>
  <c r="AA53" i="19"/>
  <c r="AA57" i="19"/>
  <c r="AA73" i="19"/>
  <c r="AA14" i="19"/>
  <c r="AA30" i="19"/>
  <c r="AA105" i="19"/>
  <c r="AA42" i="19"/>
  <c r="AA74" i="19"/>
  <c r="AA99" i="19"/>
  <c r="AA101" i="19"/>
  <c r="AA109" i="19"/>
  <c r="AA66" i="19"/>
  <c r="AA82" i="19"/>
  <c r="AA90" i="19"/>
  <c r="AA15" i="19"/>
  <c r="AA23" i="19"/>
  <c r="AA32" i="19"/>
  <c r="AA40" i="19"/>
  <c r="AA48" i="19"/>
  <c r="AA60" i="19"/>
  <c r="AA68" i="19"/>
  <c r="AA76" i="19"/>
  <c r="AA98" i="19"/>
  <c r="AA106" i="19"/>
  <c r="AA37" i="19"/>
  <c r="AA45" i="19"/>
  <c r="AA49" i="19"/>
  <c r="AA61" i="19"/>
  <c r="AA77" i="19"/>
  <c r="AA85" i="19"/>
  <c r="AA93" i="19"/>
  <c r="AA26" i="19"/>
  <c r="AA103" i="19"/>
  <c r="U35" i="19"/>
  <c r="U39" i="19"/>
  <c r="U51" i="19"/>
  <c r="U34" i="19"/>
  <c r="U36" i="19"/>
  <c r="U52" i="19"/>
  <c r="U21" i="19"/>
  <c r="U25" i="19"/>
  <c r="U29" i="19"/>
  <c r="U65" i="19"/>
  <c r="U18" i="19"/>
  <c r="U55" i="19"/>
  <c r="U63" i="19"/>
  <c r="U79" i="19"/>
  <c r="U83" i="19"/>
  <c r="U87" i="19"/>
  <c r="U91" i="19"/>
  <c r="U95" i="19"/>
  <c r="U20" i="19"/>
  <c r="U28" i="19"/>
  <c r="U100" i="19"/>
  <c r="U106" i="19"/>
  <c r="U42" i="19"/>
  <c r="U46" i="19"/>
  <c r="U66" i="19"/>
  <c r="U82" i="19"/>
  <c r="U90" i="19"/>
  <c r="U15" i="19"/>
  <c r="U23" i="19"/>
  <c r="U32" i="19"/>
  <c r="U40" i="19"/>
  <c r="U48" i="19"/>
  <c r="U60" i="19"/>
  <c r="U68" i="19"/>
  <c r="U76" i="19"/>
  <c r="U37" i="19"/>
  <c r="U45" i="19"/>
  <c r="U49" i="19"/>
  <c r="U61" i="19"/>
  <c r="U77" i="19"/>
  <c r="U85" i="19"/>
  <c r="U93" i="19"/>
  <c r="U26" i="19"/>
  <c r="U31" i="19"/>
  <c r="U43" i="19"/>
  <c r="U47" i="19"/>
  <c r="U54" i="19"/>
  <c r="U62" i="19"/>
  <c r="U70" i="19"/>
  <c r="U44" i="19"/>
  <c r="U56" i="19"/>
  <c r="U64" i="19"/>
  <c r="U72" i="19"/>
  <c r="U80" i="19"/>
  <c r="U84" i="19"/>
  <c r="U88" i="19"/>
  <c r="U92" i="19"/>
  <c r="U96" i="19"/>
  <c r="U13" i="19"/>
  <c r="U17" i="19"/>
  <c r="U71" i="19"/>
  <c r="U33" i="19"/>
  <c r="U41" i="19"/>
  <c r="U53" i="19"/>
  <c r="U57" i="19"/>
  <c r="U73" i="19"/>
  <c r="U14" i="19"/>
  <c r="U30" i="19"/>
  <c r="U102" i="19"/>
  <c r="U104" i="19"/>
  <c r="U108" i="19"/>
  <c r="U110" i="19"/>
  <c r="U74" i="19"/>
  <c r="U59" i="19"/>
  <c r="U67" i="19"/>
  <c r="U75" i="19"/>
  <c r="U16" i="19"/>
  <c r="U24" i="19"/>
  <c r="U69" i="19"/>
  <c r="U81" i="19"/>
  <c r="U89" i="19"/>
  <c r="U97" i="19"/>
  <c r="U22" i="19"/>
  <c r="U99" i="19"/>
  <c r="U101" i="19"/>
  <c r="U103" i="19"/>
  <c r="U105" i="19"/>
  <c r="U107" i="19"/>
  <c r="U109" i="19"/>
  <c r="U111" i="19"/>
  <c r="U38" i="19"/>
  <c r="U50" i="19"/>
  <c r="U58" i="19"/>
  <c r="U78" i="19"/>
  <c r="U86" i="19"/>
  <c r="U94" i="19"/>
  <c r="U19" i="19"/>
  <c r="U27" i="19"/>
  <c r="O55" i="19"/>
  <c r="O16" i="19"/>
  <c r="O24" i="19"/>
  <c r="O22" i="19"/>
  <c r="O66" i="19"/>
  <c r="O78" i="19"/>
  <c r="O86" i="19"/>
  <c r="O94" i="19"/>
  <c r="O38" i="19"/>
  <c r="O50" i="19"/>
  <c r="O19" i="19"/>
  <c r="O27" i="19"/>
  <c r="O31" i="19"/>
  <c r="O35" i="19"/>
  <c r="O39" i="19"/>
  <c r="O43" i="19"/>
  <c r="O47" i="19"/>
  <c r="O51" i="19"/>
  <c r="O74" i="19"/>
  <c r="O34" i="19"/>
  <c r="O54" i="19"/>
  <c r="O61" i="19"/>
  <c r="O80" i="19"/>
  <c r="O88" i="19"/>
  <c r="O96" i="19"/>
  <c r="O36" i="19"/>
  <c r="O44" i="19"/>
  <c r="O52" i="19"/>
  <c r="O13" i="19"/>
  <c r="O17" i="19"/>
  <c r="O21" i="19"/>
  <c r="O25" i="19"/>
  <c r="O29" i="19"/>
  <c r="O18" i="19"/>
  <c r="O20" i="19"/>
  <c r="O28" i="19"/>
  <c r="O33" i="19"/>
  <c r="O41" i="19"/>
  <c r="O53" i="19"/>
  <c r="O14" i="19"/>
  <c r="O30" i="19"/>
  <c r="O65" i="19"/>
  <c r="O84" i="19"/>
  <c r="O92" i="19"/>
  <c r="O98" i="19"/>
  <c r="O42" i="19"/>
  <c r="O58" i="19"/>
  <c r="O46" i="19"/>
  <c r="O15" i="19"/>
  <c r="O23" i="19"/>
  <c r="O77" i="19"/>
  <c r="O85" i="19"/>
  <c r="O93" i="19"/>
  <c r="O32" i="19"/>
  <c r="O40" i="19"/>
  <c r="O48" i="19"/>
  <c r="O37" i="19"/>
  <c r="O45" i="19"/>
  <c r="O49" i="19"/>
  <c r="O26" i="19"/>
  <c r="BE14" i="19"/>
  <c r="AS15" i="19"/>
  <c r="BE13" i="19"/>
  <c r="BE15" i="19"/>
  <c r="AS13" i="19"/>
  <c r="AQ16" i="19"/>
  <c r="AQ20" i="19"/>
  <c r="AQ24" i="19"/>
  <c r="AQ28" i="19"/>
  <c r="AQ32" i="19"/>
  <c r="AQ36" i="19"/>
  <c r="AQ40" i="19"/>
  <c r="AQ44" i="19"/>
  <c r="AQ48" i="19"/>
  <c r="AQ52" i="19"/>
  <c r="AQ56" i="19"/>
  <c r="AQ60" i="19"/>
  <c r="AQ64" i="19"/>
  <c r="AQ68" i="19"/>
  <c r="AQ72" i="19"/>
  <c r="AQ76" i="19"/>
  <c r="AQ80" i="19"/>
  <c r="AQ84" i="19"/>
  <c r="AQ88" i="19"/>
  <c r="AQ92" i="19"/>
  <c r="AQ96" i="19"/>
  <c r="AQ100" i="19"/>
  <c r="AQ104" i="19"/>
  <c r="AQ108" i="19"/>
  <c r="AE13" i="19"/>
  <c r="AE17" i="19"/>
  <c r="AE21" i="19"/>
  <c r="AE25" i="19"/>
  <c r="AE29" i="19"/>
  <c r="AE33" i="19"/>
  <c r="AE37" i="19"/>
  <c r="AE41" i="19"/>
  <c r="AE45" i="19"/>
  <c r="AE49" i="19"/>
  <c r="AE53" i="19"/>
  <c r="AE57" i="19"/>
  <c r="AE61" i="19"/>
  <c r="AE65" i="19"/>
  <c r="AE69" i="19"/>
  <c r="AE73" i="19"/>
  <c r="AE77" i="19"/>
  <c r="AE81" i="19"/>
  <c r="AE85" i="19"/>
  <c r="AE89" i="19"/>
  <c r="AE93" i="19"/>
  <c r="AE97" i="19"/>
  <c r="AE101" i="19"/>
  <c r="AE105" i="19"/>
  <c r="AE109" i="19"/>
  <c r="Y14" i="19"/>
  <c r="Y18" i="19"/>
  <c r="Y22" i="19"/>
  <c r="Y26" i="19"/>
  <c r="Y30" i="19"/>
  <c r="Y34" i="19"/>
  <c r="Y38" i="19"/>
  <c r="Y42" i="19"/>
  <c r="Y46" i="19"/>
  <c r="Y50" i="19"/>
  <c r="Y54" i="19"/>
  <c r="Y58" i="19"/>
  <c r="Y62" i="19"/>
  <c r="Y66" i="19"/>
  <c r="Y70" i="19"/>
  <c r="Y74" i="19"/>
  <c r="Y78" i="19"/>
  <c r="Y82" i="19"/>
  <c r="Y86" i="19"/>
  <c r="Y90" i="19"/>
  <c r="Y94" i="19"/>
  <c r="Y98" i="19"/>
  <c r="Y102" i="19"/>
  <c r="Y106" i="19"/>
  <c r="Y110" i="19"/>
  <c r="S15" i="19"/>
  <c r="S19" i="19"/>
  <c r="S23" i="19"/>
  <c r="S27" i="19"/>
  <c r="S31" i="19"/>
  <c r="S35" i="19"/>
  <c r="S39" i="19"/>
  <c r="S43" i="19"/>
  <c r="S47" i="19"/>
  <c r="S51" i="19"/>
  <c r="S55" i="19"/>
  <c r="AQ17" i="19"/>
  <c r="AQ22" i="19"/>
  <c r="AQ27" i="19"/>
  <c r="AQ33" i="19"/>
  <c r="AQ38" i="19"/>
  <c r="AQ43" i="19"/>
  <c r="AQ49" i="19"/>
  <c r="AQ54" i="19"/>
  <c r="AQ59" i="19"/>
  <c r="AQ65" i="19"/>
  <c r="AQ70" i="19"/>
  <c r="AQ75" i="19"/>
  <c r="AQ81" i="19"/>
  <c r="AQ86" i="19"/>
  <c r="AQ91" i="19"/>
  <c r="AQ97" i="19"/>
  <c r="AQ102" i="19"/>
  <c r="AQ107" i="19"/>
  <c r="AE14" i="19"/>
  <c r="AE19" i="19"/>
  <c r="AE24" i="19"/>
  <c r="AE30" i="19"/>
  <c r="AE35" i="19"/>
  <c r="AE40" i="19"/>
  <c r="AE46" i="19"/>
  <c r="AE51" i="19"/>
  <c r="AE56" i="19"/>
  <c r="AE62" i="19"/>
  <c r="AE67" i="19"/>
  <c r="AE72" i="19"/>
  <c r="AE78" i="19"/>
  <c r="AE83" i="19"/>
  <c r="AE88" i="19"/>
  <c r="AE94" i="19"/>
  <c r="AE99" i="19"/>
  <c r="AE104" i="19"/>
  <c r="AE110" i="19"/>
  <c r="Y16" i="19"/>
  <c r="Y21" i="19"/>
  <c r="Y27" i="19"/>
  <c r="Y32" i="19"/>
  <c r="Y37" i="19"/>
  <c r="Y43" i="19"/>
  <c r="Y48" i="19"/>
  <c r="Y53" i="19"/>
  <c r="Y59" i="19"/>
  <c r="Y64" i="19"/>
  <c r="Y69" i="19"/>
  <c r="Y75" i="19"/>
  <c r="Y80" i="19"/>
  <c r="Y85" i="19"/>
  <c r="Y91" i="19"/>
  <c r="Y96" i="19"/>
  <c r="Y101" i="19"/>
  <c r="Y107" i="19"/>
  <c r="S13" i="19"/>
  <c r="S18" i="19"/>
  <c r="S24" i="19"/>
  <c r="S29" i="19"/>
  <c r="S34" i="19"/>
  <c r="S40" i="19"/>
  <c r="S45" i="19"/>
  <c r="S50" i="19"/>
  <c r="S56" i="19"/>
  <c r="S60" i="19"/>
  <c r="S64" i="19"/>
  <c r="AQ14" i="19"/>
  <c r="AQ19" i="19"/>
  <c r="AQ25" i="19"/>
  <c r="AQ30" i="19"/>
  <c r="AQ35" i="19"/>
  <c r="AQ41" i="19"/>
  <c r="AQ46" i="19"/>
  <c r="AQ51" i="19"/>
  <c r="AQ57" i="19"/>
  <c r="AQ62" i="19"/>
  <c r="AQ67" i="19"/>
  <c r="AQ73" i="19"/>
  <c r="AQ78" i="19"/>
  <c r="AQ83" i="19"/>
  <c r="AQ89" i="19"/>
  <c r="AQ94" i="19"/>
  <c r="AQ99" i="19"/>
  <c r="AQ105" i="19"/>
  <c r="AQ110" i="19"/>
  <c r="AE16" i="19"/>
  <c r="AE22" i="19"/>
  <c r="AE27" i="19"/>
  <c r="AE32" i="19"/>
  <c r="AE38" i="19"/>
  <c r="AE43" i="19"/>
  <c r="AE48" i="19"/>
  <c r="AE54" i="19"/>
  <c r="AE59" i="19"/>
  <c r="AE64" i="19"/>
  <c r="AE70" i="19"/>
  <c r="AE75" i="19"/>
  <c r="AE80" i="19"/>
  <c r="AE86" i="19"/>
  <c r="AE91" i="19"/>
  <c r="AE96" i="19"/>
  <c r="AE102" i="19"/>
  <c r="AE107" i="19"/>
  <c r="Y13" i="19"/>
  <c r="Y19" i="19"/>
  <c r="Y24" i="19"/>
  <c r="Y29" i="19"/>
  <c r="Y35" i="19"/>
  <c r="Y40" i="19"/>
  <c r="Y45" i="19"/>
  <c r="Y51" i="19"/>
  <c r="Y56" i="19"/>
  <c r="Y61" i="19"/>
  <c r="Y67" i="19"/>
  <c r="Y72" i="19"/>
  <c r="Y77" i="19"/>
  <c r="Y83" i="19"/>
  <c r="Y88" i="19"/>
  <c r="Y93" i="19"/>
  <c r="Y99" i="19"/>
  <c r="Y104" i="19"/>
  <c r="Y109" i="19"/>
  <c r="S16" i="19"/>
  <c r="S21" i="19"/>
  <c r="S26" i="19"/>
  <c r="S32" i="19"/>
  <c r="S37" i="19"/>
  <c r="S42" i="19"/>
  <c r="S48" i="19"/>
  <c r="S53" i="19"/>
  <c r="S58" i="19"/>
  <c r="S62" i="19"/>
  <c r="S66" i="19"/>
  <c r="S70" i="19"/>
  <c r="S74" i="19"/>
  <c r="S78" i="19"/>
  <c r="S82" i="19"/>
  <c r="S86" i="19"/>
  <c r="S90" i="19"/>
  <c r="S94" i="19"/>
  <c r="S98" i="19"/>
  <c r="S102" i="19"/>
  <c r="S106" i="19"/>
  <c r="S110" i="19"/>
  <c r="M15" i="19"/>
  <c r="M19" i="19"/>
  <c r="M23" i="19"/>
  <c r="M27" i="19"/>
  <c r="M31" i="19"/>
  <c r="M35" i="19"/>
  <c r="M39" i="19"/>
  <c r="AQ21" i="19"/>
  <c r="AQ31" i="19"/>
  <c r="AQ42" i="19"/>
  <c r="AQ53" i="19"/>
  <c r="AQ63" i="19"/>
  <c r="AQ74" i="19"/>
  <c r="AQ85" i="19"/>
  <c r="AQ95" i="19"/>
  <c r="AQ106" i="19"/>
  <c r="AE18" i="19"/>
  <c r="AE28" i="19"/>
  <c r="AE39" i="19"/>
  <c r="AE50" i="19"/>
  <c r="AE60" i="19"/>
  <c r="AE71" i="19"/>
  <c r="AE82" i="19"/>
  <c r="AE92" i="19"/>
  <c r="AE103" i="19"/>
  <c r="Y15" i="19"/>
  <c r="Y25" i="19"/>
  <c r="Y36" i="19"/>
  <c r="Y47" i="19"/>
  <c r="Y57" i="19"/>
  <c r="Y68" i="19"/>
  <c r="Y79" i="19"/>
  <c r="Y89" i="19"/>
  <c r="Y100" i="19"/>
  <c r="Y111" i="19"/>
  <c r="S22" i="19"/>
  <c r="S33" i="19"/>
  <c r="S44" i="19"/>
  <c r="S54" i="19"/>
  <c r="S63" i="19"/>
  <c r="S69" i="19"/>
  <c r="S75" i="19"/>
  <c r="S80" i="19"/>
  <c r="S85" i="19"/>
  <c r="S91" i="19"/>
  <c r="S96" i="19"/>
  <c r="S101" i="19"/>
  <c r="S107" i="19"/>
  <c r="M13" i="19"/>
  <c r="M18" i="19"/>
  <c r="M24" i="19"/>
  <c r="M29" i="19"/>
  <c r="M34" i="19"/>
  <c r="M40" i="19"/>
  <c r="M44" i="19"/>
  <c r="M48" i="19"/>
  <c r="M52" i="19"/>
  <c r="M56" i="19"/>
  <c r="M60" i="19"/>
  <c r="M64" i="19"/>
  <c r="M68" i="19"/>
  <c r="M72" i="19"/>
  <c r="M76" i="19"/>
  <c r="M80" i="19"/>
  <c r="M84" i="19"/>
  <c r="M88" i="19"/>
  <c r="M92" i="19"/>
  <c r="M96" i="19"/>
  <c r="M100" i="19"/>
  <c r="M104" i="19"/>
  <c r="M108" i="19"/>
  <c r="AK13" i="19"/>
  <c r="AK17" i="19"/>
  <c r="AK21" i="19"/>
  <c r="AK25" i="19"/>
  <c r="AK29" i="19"/>
  <c r="AK33" i="19"/>
  <c r="AK37" i="19"/>
  <c r="AK41" i="19"/>
  <c r="AK45" i="19"/>
  <c r="AK49" i="19"/>
  <c r="AK53" i="19"/>
  <c r="AK57" i="19"/>
  <c r="AK61" i="19"/>
  <c r="AK65" i="19"/>
  <c r="AQ15" i="19"/>
  <c r="AQ26" i="19"/>
  <c r="AQ37" i="19"/>
  <c r="AQ47" i="19"/>
  <c r="AQ58" i="19"/>
  <c r="AQ69" i="19"/>
  <c r="AQ79" i="19"/>
  <c r="AQ90" i="19"/>
  <c r="AQ101" i="19"/>
  <c r="AQ111" i="19"/>
  <c r="AE23" i="19"/>
  <c r="AE34" i="19"/>
  <c r="AE44" i="19"/>
  <c r="AE55" i="19"/>
  <c r="AE66" i="19"/>
  <c r="AE76" i="19"/>
  <c r="AE87" i="19"/>
  <c r="AE98" i="19"/>
  <c r="AE108" i="19"/>
  <c r="Y20" i="19"/>
  <c r="Y31" i="19"/>
  <c r="Y41" i="19"/>
  <c r="Y52" i="19"/>
  <c r="Y63" i="19"/>
  <c r="Y73" i="19"/>
  <c r="Y84" i="19"/>
  <c r="Y95" i="19"/>
  <c r="Y105" i="19"/>
  <c r="S17" i="19"/>
  <c r="S28" i="19"/>
  <c r="S38" i="19"/>
  <c r="S49" i="19"/>
  <c r="S59" i="19"/>
  <c r="S67" i="19"/>
  <c r="S72" i="19"/>
  <c r="S77" i="19"/>
  <c r="S83" i="19"/>
  <c r="S88" i="19"/>
  <c r="S93" i="19"/>
  <c r="S99" i="19"/>
  <c r="S104" i="19"/>
  <c r="S109" i="19"/>
  <c r="M16" i="19"/>
  <c r="M21" i="19"/>
  <c r="M26" i="19"/>
  <c r="M32" i="19"/>
  <c r="M37" i="19"/>
  <c r="M42" i="19"/>
  <c r="M46" i="19"/>
  <c r="M50" i="19"/>
  <c r="M54" i="19"/>
  <c r="M58" i="19"/>
  <c r="M62" i="19"/>
  <c r="M66" i="19"/>
  <c r="M70" i="19"/>
  <c r="M74" i="19"/>
  <c r="M78" i="19"/>
  <c r="M82" i="19"/>
  <c r="M86" i="19"/>
  <c r="M90" i="19"/>
  <c r="M94" i="19"/>
  <c r="M98" i="19"/>
  <c r="M102" i="19"/>
  <c r="M106" i="19"/>
  <c r="M110" i="19"/>
  <c r="AK15" i="19"/>
  <c r="AK19" i="19"/>
  <c r="AK23" i="19"/>
  <c r="AK27" i="19"/>
  <c r="AK31" i="19"/>
  <c r="AK35" i="19"/>
  <c r="AK39" i="19"/>
  <c r="AK43" i="19"/>
  <c r="AK47" i="19"/>
  <c r="AK51" i="19"/>
  <c r="AK55" i="19"/>
  <c r="AK59" i="19"/>
  <c r="AK63" i="19"/>
  <c r="AK67" i="19"/>
  <c r="AK71" i="19"/>
  <c r="AK75" i="19"/>
  <c r="AK79" i="19"/>
  <c r="AK83" i="19"/>
  <c r="AK87" i="19"/>
  <c r="AK91" i="19"/>
  <c r="AK95" i="19"/>
  <c r="AK99" i="19"/>
  <c r="AK103" i="19"/>
  <c r="AK107" i="19"/>
  <c r="AK111" i="19"/>
  <c r="BC13" i="19"/>
  <c r="BC15" i="19"/>
  <c r="BC16" i="19"/>
  <c r="BC18" i="19"/>
  <c r="BC20" i="19"/>
  <c r="BC22" i="19"/>
  <c r="BC24" i="19"/>
  <c r="BC26" i="19"/>
  <c r="BC28" i="19"/>
  <c r="BC30" i="19"/>
  <c r="BC32" i="19"/>
  <c r="BC34" i="19"/>
  <c r="BC36" i="19"/>
  <c r="BC38" i="19"/>
  <c r="BC40" i="19"/>
  <c r="BC42" i="19"/>
  <c r="BC44" i="19"/>
  <c r="BC46" i="19"/>
  <c r="BC48" i="19"/>
  <c r="BC50" i="19"/>
  <c r="BC52" i="19"/>
  <c r="BC54" i="19"/>
  <c r="BC56" i="19"/>
  <c r="BC58" i="19"/>
  <c r="BC60" i="19"/>
  <c r="BC62" i="19"/>
  <c r="BC64" i="19"/>
  <c r="BC66" i="19"/>
  <c r="BC68" i="19"/>
  <c r="BC70" i="19"/>
  <c r="BC72" i="19"/>
  <c r="BC74" i="19"/>
  <c r="BC76" i="19"/>
  <c r="BC78" i="19"/>
  <c r="BC80" i="19"/>
  <c r="BC82" i="19"/>
  <c r="BC84" i="19"/>
  <c r="BC86" i="19"/>
  <c r="BC88" i="19"/>
  <c r="BC90" i="19"/>
  <c r="BC92" i="19"/>
  <c r="BC94" i="19"/>
  <c r="BC96" i="19"/>
  <c r="BC98" i="19"/>
  <c r="BC100" i="19"/>
  <c r="BC102" i="19"/>
  <c r="BC104" i="19"/>
  <c r="BC106" i="19"/>
  <c r="BC108" i="19"/>
  <c r="BC110" i="19"/>
  <c r="AQ18" i="19"/>
  <c r="AQ29" i="19"/>
  <c r="AQ39" i="19"/>
  <c r="AQ50" i="19"/>
  <c r="AQ61" i="19"/>
  <c r="AQ71" i="19"/>
  <c r="AQ82" i="19"/>
  <c r="AQ93" i="19"/>
  <c r="AQ103" i="19"/>
  <c r="AE15" i="19"/>
  <c r="AE26" i="19"/>
  <c r="AE36" i="19"/>
  <c r="AE47" i="19"/>
  <c r="AE58" i="19"/>
  <c r="AE68" i="19"/>
  <c r="AE79" i="19"/>
  <c r="AE90" i="19"/>
  <c r="AE100" i="19"/>
  <c r="AE111" i="19"/>
  <c r="Y23" i="19"/>
  <c r="Y33" i="19"/>
  <c r="Y44" i="19"/>
  <c r="Y55" i="19"/>
  <c r="Y65" i="19"/>
  <c r="Y76" i="19"/>
  <c r="Y87" i="19"/>
  <c r="Y97" i="19"/>
  <c r="Y108" i="19"/>
  <c r="S20" i="19"/>
  <c r="S30" i="19"/>
  <c r="AQ45" i="19"/>
  <c r="AQ87" i="19"/>
  <c r="AE31" i="19"/>
  <c r="AE74" i="19"/>
  <c r="Y17" i="19"/>
  <c r="Y60" i="19"/>
  <c r="Y103" i="19"/>
  <c r="S41" i="19"/>
  <c r="S61" i="19"/>
  <c r="S73" i="19"/>
  <c r="S84" i="19"/>
  <c r="S95" i="19"/>
  <c r="S105" i="19"/>
  <c r="M17" i="19"/>
  <c r="M28" i="19"/>
  <c r="M38" i="19"/>
  <c r="M47" i="19"/>
  <c r="M55" i="19"/>
  <c r="M63" i="19"/>
  <c r="M71" i="19"/>
  <c r="M79" i="19"/>
  <c r="M87" i="19"/>
  <c r="M95" i="19"/>
  <c r="M103" i="19"/>
  <c r="M111" i="19"/>
  <c r="AK20" i="19"/>
  <c r="AK28" i="19"/>
  <c r="AK36" i="19"/>
  <c r="AK44" i="19"/>
  <c r="AK52" i="19"/>
  <c r="AK60" i="19"/>
  <c r="AK68" i="19"/>
  <c r="AK73" i="19"/>
  <c r="AK78" i="19"/>
  <c r="AK84" i="19"/>
  <c r="AK89" i="19"/>
  <c r="AK94" i="19"/>
  <c r="AK100" i="19"/>
  <c r="AK105" i="19"/>
  <c r="AK110" i="19"/>
  <c r="AW15" i="19"/>
  <c r="AW18" i="19"/>
  <c r="AW21" i="19"/>
  <c r="BC23" i="19"/>
  <c r="AW26" i="19"/>
  <c r="AW29" i="19"/>
  <c r="BC31" i="19"/>
  <c r="AW34" i="19"/>
  <c r="AW37" i="19"/>
  <c r="BC39" i="19"/>
  <c r="AW42" i="19"/>
  <c r="AW45" i="19"/>
  <c r="BC47" i="19"/>
  <c r="BC55" i="19"/>
  <c r="AW61" i="19"/>
  <c r="AW66" i="19"/>
  <c r="BC71" i="19"/>
  <c r="AW77" i="19"/>
  <c r="AW82" i="19"/>
  <c r="BC87" i="19"/>
  <c r="AW93" i="19"/>
  <c r="AW101" i="19"/>
  <c r="AW106" i="19"/>
  <c r="BC111" i="19"/>
  <c r="AQ13" i="19"/>
  <c r="AQ98" i="19"/>
  <c r="AE42" i="19"/>
  <c r="AE84" i="19"/>
  <c r="Y28" i="19"/>
  <c r="Y71" i="19"/>
  <c r="AW13" i="19"/>
  <c r="BC14" i="19"/>
  <c r="AW19" i="19"/>
  <c r="AW24" i="19"/>
  <c r="BC29" i="19"/>
  <c r="AW35" i="19"/>
  <c r="AW40" i="19"/>
  <c r="BC45" i="19"/>
  <c r="AW51" i="19"/>
  <c r="AW56" i="19"/>
  <c r="BC61" i="19"/>
  <c r="AW64" i="19"/>
  <c r="BC69" i="19"/>
  <c r="AW75" i="19"/>
  <c r="AQ23" i="19"/>
  <c r="AQ66" i="19"/>
  <c r="AQ109" i="19"/>
  <c r="AE52" i="19"/>
  <c r="AE95" i="19"/>
  <c r="Y39" i="19"/>
  <c r="Y81" i="19"/>
  <c r="S25" i="19"/>
  <c r="S52" i="19"/>
  <c r="S68" i="19"/>
  <c r="S79" i="19"/>
  <c r="S89" i="19"/>
  <c r="S100" i="19"/>
  <c r="S111" i="19"/>
  <c r="M22" i="19"/>
  <c r="M33" i="19"/>
  <c r="M43" i="19"/>
  <c r="M51" i="19"/>
  <c r="M59" i="19"/>
  <c r="M67" i="19"/>
  <c r="M75" i="19"/>
  <c r="M83" i="19"/>
  <c r="M91" i="19"/>
  <c r="M99" i="19"/>
  <c r="M107" i="19"/>
  <c r="AK16" i="19"/>
  <c r="AK24" i="19"/>
  <c r="AK32" i="19"/>
  <c r="AK40" i="19"/>
  <c r="AK48" i="19"/>
  <c r="AK56" i="19"/>
  <c r="AK64" i="19"/>
  <c r="AK70" i="19"/>
  <c r="AK76" i="19"/>
  <c r="AK81" i="19"/>
  <c r="AK86" i="19"/>
  <c r="AK92" i="19"/>
  <c r="AK97" i="19"/>
  <c r="AK102" i="19"/>
  <c r="AK108" i="19"/>
  <c r="AW14" i="19"/>
  <c r="AW17" i="19"/>
  <c r="BC19" i="19"/>
  <c r="AW22" i="19"/>
  <c r="AW25" i="19"/>
  <c r="BC27" i="19"/>
  <c r="AW30" i="19"/>
  <c r="AW33" i="19"/>
  <c r="BC35" i="19"/>
  <c r="AW38" i="19"/>
  <c r="AW41" i="19"/>
  <c r="BC43" i="19"/>
  <c r="AW46" i="19"/>
  <c r="AW49" i="19"/>
  <c r="BC51" i="19"/>
  <c r="AW54" i="19"/>
  <c r="AW57" i="19"/>
  <c r="BC59" i="19"/>
  <c r="AW62" i="19"/>
  <c r="AW65" i="19"/>
  <c r="BC67" i="19"/>
  <c r="AW70" i="19"/>
  <c r="AW73" i="19"/>
  <c r="BC75" i="19"/>
  <c r="AW78" i="19"/>
  <c r="AW81" i="19"/>
  <c r="BC83" i="19"/>
  <c r="AW86" i="19"/>
  <c r="AW89" i="19"/>
  <c r="BC91" i="19"/>
  <c r="AW94" i="19"/>
  <c r="AW97" i="19"/>
  <c r="BC99" i="19"/>
  <c r="AW102" i="19"/>
  <c r="AW105" i="19"/>
  <c r="BC107" i="19"/>
  <c r="AW110" i="19"/>
  <c r="AQ34" i="19"/>
  <c r="AQ77" i="19"/>
  <c r="AE20" i="19"/>
  <c r="AE63" i="19"/>
  <c r="AE106" i="19"/>
  <c r="Y49" i="19"/>
  <c r="Y92" i="19"/>
  <c r="S36" i="19"/>
  <c r="S57" i="19"/>
  <c r="S71" i="19"/>
  <c r="S81" i="19"/>
  <c r="S92" i="19"/>
  <c r="S103" i="19"/>
  <c r="M14" i="19"/>
  <c r="M25" i="19"/>
  <c r="M36" i="19"/>
  <c r="M45" i="19"/>
  <c r="M53" i="19"/>
  <c r="M61" i="19"/>
  <c r="M69" i="19"/>
  <c r="M77" i="19"/>
  <c r="M85" i="19"/>
  <c r="M93" i="19"/>
  <c r="M101" i="19"/>
  <c r="M109" i="19"/>
  <c r="AK18" i="19"/>
  <c r="AK26" i="19"/>
  <c r="AK34" i="19"/>
  <c r="AK42" i="19"/>
  <c r="AK50" i="19"/>
  <c r="AK58" i="19"/>
  <c r="AK66" i="19"/>
  <c r="AK72" i="19"/>
  <c r="AK77" i="19"/>
  <c r="AK82" i="19"/>
  <c r="AK88" i="19"/>
  <c r="AK93" i="19"/>
  <c r="AK98" i="19"/>
  <c r="AK104" i="19"/>
  <c r="AK109" i="19"/>
  <c r="BC17" i="19"/>
  <c r="AW20" i="19"/>
  <c r="AW23" i="19"/>
  <c r="BC25" i="19"/>
  <c r="AW28" i="19"/>
  <c r="AW31" i="19"/>
  <c r="BC33" i="19"/>
  <c r="AW36" i="19"/>
  <c r="AW39" i="19"/>
  <c r="BC41" i="19"/>
  <c r="AW44" i="19"/>
  <c r="AW47" i="19"/>
  <c r="BC49" i="19"/>
  <c r="AW52" i="19"/>
  <c r="AW55" i="19"/>
  <c r="BC57" i="19"/>
  <c r="AW60" i="19"/>
  <c r="AW63" i="19"/>
  <c r="BC65" i="19"/>
  <c r="AW68" i="19"/>
  <c r="AW71" i="19"/>
  <c r="BC73" i="19"/>
  <c r="AW76" i="19"/>
  <c r="AW79" i="19"/>
  <c r="BC81" i="19"/>
  <c r="AW84" i="19"/>
  <c r="AW87" i="19"/>
  <c r="BC89" i="19"/>
  <c r="AW92" i="19"/>
  <c r="AW95" i="19"/>
  <c r="BC97" i="19"/>
  <c r="AW100" i="19"/>
  <c r="AW103" i="19"/>
  <c r="BC105" i="19"/>
  <c r="AW108" i="19"/>
  <c r="AW111" i="19"/>
  <c r="AW50" i="19"/>
  <c r="AW53" i="19"/>
  <c r="AW58" i="19"/>
  <c r="BC63" i="19"/>
  <c r="AW69" i="19"/>
  <c r="AW74" i="19"/>
  <c r="BC79" i="19"/>
  <c r="AW85" i="19"/>
  <c r="AW90" i="19"/>
  <c r="BC95" i="19"/>
  <c r="AW98" i="19"/>
  <c r="BC103" i="19"/>
  <c r="AW109" i="19"/>
  <c r="AQ55" i="19"/>
  <c r="S14" i="19"/>
  <c r="S46" i="19"/>
  <c r="S65" i="19"/>
  <c r="S76" i="19"/>
  <c r="S87" i="19"/>
  <c r="S97" i="19"/>
  <c r="S108" i="19"/>
  <c r="M20" i="19"/>
  <c r="M30" i="19"/>
  <c r="M41" i="19"/>
  <c r="M49" i="19"/>
  <c r="M57" i="19"/>
  <c r="M65" i="19"/>
  <c r="M73" i="19"/>
  <c r="M81" i="19"/>
  <c r="M89" i="19"/>
  <c r="M97" i="19"/>
  <c r="M105" i="19"/>
  <c r="AK14" i="19"/>
  <c r="AK22" i="19"/>
  <c r="AK30" i="19"/>
  <c r="AK38" i="19"/>
  <c r="AK46" i="19"/>
  <c r="AK54" i="19"/>
  <c r="AK62" i="19"/>
  <c r="AK69" i="19"/>
  <c r="AK74" i="19"/>
  <c r="AK80" i="19"/>
  <c r="AK85" i="19"/>
  <c r="AK90" i="19"/>
  <c r="AK96" i="19"/>
  <c r="AK101" i="19"/>
  <c r="AK106" i="19"/>
  <c r="AW16" i="19"/>
  <c r="BC21" i="19"/>
  <c r="AW27" i="19"/>
  <c r="AW32" i="19"/>
  <c r="BC37" i="19"/>
  <c r="AW43" i="19"/>
  <c r="AW48" i="19"/>
  <c r="BC53" i="19"/>
  <c r="AW59" i="19"/>
  <c r="AW67" i="19"/>
  <c r="AW72" i="19"/>
  <c r="BC77" i="19"/>
  <c r="AW80" i="19"/>
  <c r="AW83" i="19"/>
  <c r="BC85" i="19"/>
  <c r="AW88" i="19"/>
  <c r="AW91" i="19"/>
  <c r="BC93" i="19"/>
  <c r="AW96" i="19"/>
  <c r="AW99" i="19"/>
  <c r="BC101" i="19"/>
  <c r="AW104" i="19"/>
  <c r="AW107" i="19"/>
  <c r="BC109" i="19"/>
  <c r="G2" i="43"/>
  <c r="K14" i="32"/>
  <c r="K15" i="32"/>
  <c r="K16" i="32"/>
  <c r="K17" i="32"/>
  <c r="K18" i="32"/>
  <c r="K19" i="32"/>
  <c r="K20" i="32"/>
  <c r="K21" i="32"/>
  <c r="K22" i="32"/>
  <c r="K23" i="38" l="1"/>
  <c r="K22" i="38"/>
  <c r="K21" i="38"/>
  <c r="K20" i="38"/>
  <c r="K19" i="38"/>
  <c r="K18" i="38"/>
  <c r="K17" i="38"/>
  <c r="K16" i="38"/>
  <c r="K15" i="38"/>
  <c r="K14" i="38"/>
  <c r="K24" i="38" l="1"/>
  <c r="K13" i="32"/>
  <c r="C12" i="19" l="1"/>
  <c r="Q12" i="19" s="1"/>
  <c r="H12" i="19"/>
  <c r="AU12" i="19" s="1"/>
  <c r="I12" i="19"/>
  <c r="BA12" i="19" s="1"/>
  <c r="J12" i="19"/>
  <c r="BG12" i="19" s="1"/>
  <c r="G12" i="19"/>
  <c r="AO12" i="19" s="1"/>
  <c r="F12" i="19"/>
  <c r="E12" i="19"/>
  <c r="AC12" i="19" s="1"/>
  <c r="D12" i="19"/>
  <c r="W12" i="19" s="1"/>
  <c r="F26" i="24"/>
  <c r="F25" i="24"/>
  <c r="F24" i="24"/>
  <c r="F23" i="24"/>
  <c r="F22" i="24"/>
  <c r="F21" i="24"/>
  <c r="F20" i="24"/>
  <c r="F19" i="24"/>
  <c r="F18" i="24"/>
  <c r="F17" i="24"/>
  <c r="AY12" i="19" l="1"/>
  <c r="AQ12" i="19"/>
  <c r="AQ11" i="19" s="1"/>
  <c r="AM12" i="19"/>
  <c r="AI12" i="19"/>
  <c r="AG12" i="19"/>
  <c r="AA12" i="19"/>
  <c r="U12" i="19"/>
  <c r="M12" i="19"/>
  <c r="M11" i="19" s="1"/>
  <c r="O12" i="19"/>
  <c r="S12" i="19"/>
  <c r="S11" i="19" s="1"/>
  <c r="AE12" i="19"/>
  <c r="AE11" i="19" s="1"/>
  <c r="Y12" i="19"/>
  <c r="Y11" i="19" s="1"/>
  <c r="AK12" i="19"/>
  <c r="AK11" i="19" s="1"/>
  <c r="BE12" i="19"/>
  <c r="BC12" i="19"/>
  <c r="BC11" i="19" s="1"/>
  <c r="AW12" i="19"/>
  <c r="AW11" i="19" s="1"/>
  <c r="AS12" i="19"/>
  <c r="K23" i="32"/>
  <c r="C38" i="37"/>
  <c r="C43" i="37"/>
  <c r="A43" i="37"/>
  <c r="E41" i="37"/>
  <c r="C41" i="37"/>
  <c r="B41" i="37"/>
  <c r="A41" i="37"/>
  <c r="E33" i="37"/>
  <c r="B6" i="37"/>
  <c r="B5" i="37"/>
  <c r="A4" i="37"/>
  <c r="A3" i="37"/>
  <c r="G1" i="36" l="1"/>
  <c r="F30" i="37"/>
  <c r="F29" i="37"/>
  <c r="F28" i="37"/>
  <c r="F27" i="37"/>
  <c r="F26" i="37"/>
  <c r="F25" i="37"/>
  <c r="F24" i="37"/>
  <c r="F23" i="37"/>
  <c r="F22" i="37"/>
  <c r="F21" i="37"/>
  <c r="F32" i="37" l="1"/>
  <c r="F33" i="37" s="1"/>
  <c r="F34" i="37" s="1"/>
  <c r="G1" i="13" l="1"/>
  <c r="A21" i="12"/>
  <c r="L21" i="12"/>
  <c r="N21" i="12"/>
  <c r="T21" i="12"/>
  <c r="V21" i="12"/>
  <c r="W21" i="12"/>
  <c r="AB21" i="12"/>
  <c r="AD21" i="12"/>
  <c r="AE21" i="12"/>
  <c r="AJ21" i="12"/>
  <c r="AL21" i="12"/>
  <c r="AM21" i="12"/>
  <c r="AR21" i="12"/>
  <c r="AT21" i="12"/>
  <c r="AU21" i="12"/>
  <c r="AV21" i="12" s="1"/>
  <c r="AZ21" i="12"/>
  <c r="BB21" i="12"/>
  <c r="BC21" i="12"/>
  <c r="H21" i="12" l="1"/>
  <c r="BD21" i="12"/>
  <c r="X21" i="12"/>
  <c r="AF21" i="12"/>
  <c r="AN21" i="12"/>
  <c r="O21" i="12"/>
  <c r="P21" i="12" s="1"/>
  <c r="L3" i="12"/>
  <c r="N3" i="12" s="1"/>
  <c r="O3" i="12" s="1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" i="12"/>
  <c r="N2" i="12" s="1"/>
  <c r="A3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O4" i="12"/>
  <c r="O5" i="12"/>
  <c r="O6" i="12"/>
  <c r="O7" i="12"/>
  <c r="O8" i="12"/>
  <c r="O9" i="12"/>
  <c r="O10" i="12"/>
  <c r="O11" i="12"/>
  <c r="O12" i="12"/>
  <c r="O13" i="12"/>
  <c r="O14" i="12"/>
  <c r="O15" i="12"/>
  <c r="O16" i="12"/>
  <c r="O17" i="12"/>
  <c r="O18" i="12"/>
  <c r="O19" i="12"/>
  <c r="O20" i="12"/>
  <c r="T3" i="12"/>
  <c r="T4" i="12"/>
  <c r="T5" i="12"/>
  <c r="T6" i="12"/>
  <c r="T7" i="12"/>
  <c r="T8" i="12"/>
  <c r="T9" i="12"/>
  <c r="T10" i="12"/>
  <c r="T11" i="12"/>
  <c r="T12" i="12"/>
  <c r="T13" i="12"/>
  <c r="T14" i="12"/>
  <c r="T15" i="12"/>
  <c r="T16" i="12"/>
  <c r="T17" i="12"/>
  <c r="T18" i="12"/>
  <c r="T19" i="12"/>
  <c r="T20" i="12"/>
  <c r="V3" i="12"/>
  <c r="V4" i="12"/>
  <c r="V5" i="12"/>
  <c r="V6" i="12"/>
  <c r="V7" i="12"/>
  <c r="V8" i="12"/>
  <c r="V9" i="12"/>
  <c r="V10" i="12"/>
  <c r="V11" i="12"/>
  <c r="V12" i="12"/>
  <c r="V13" i="12"/>
  <c r="V14" i="12"/>
  <c r="V15" i="12"/>
  <c r="V16" i="12"/>
  <c r="V17" i="12"/>
  <c r="V18" i="12"/>
  <c r="V19" i="12"/>
  <c r="V20" i="12"/>
  <c r="W3" i="12"/>
  <c r="W4" i="12"/>
  <c r="W5" i="12"/>
  <c r="W6" i="12"/>
  <c r="W7" i="12"/>
  <c r="W8" i="12"/>
  <c r="W9" i="12"/>
  <c r="W10" i="12"/>
  <c r="W11" i="12"/>
  <c r="W12" i="12"/>
  <c r="W13" i="12"/>
  <c r="W14" i="12"/>
  <c r="W15" i="12"/>
  <c r="W16" i="12"/>
  <c r="W17" i="12"/>
  <c r="W18" i="12"/>
  <c r="W19" i="12"/>
  <c r="W20" i="12"/>
  <c r="AB3" i="12"/>
  <c r="AB4" i="12"/>
  <c r="AB5" i="12"/>
  <c r="AB6" i="12"/>
  <c r="AB7" i="12"/>
  <c r="AB8" i="12"/>
  <c r="AB9" i="12"/>
  <c r="AB10" i="12"/>
  <c r="AB11" i="12"/>
  <c r="AB12" i="12"/>
  <c r="AB13" i="12"/>
  <c r="AB14" i="12"/>
  <c r="AB15" i="12"/>
  <c r="AB16" i="12"/>
  <c r="AB17" i="12"/>
  <c r="AB18" i="12"/>
  <c r="AB19" i="12"/>
  <c r="AB20" i="12"/>
  <c r="AD3" i="12"/>
  <c r="AD4" i="12"/>
  <c r="AD5" i="12"/>
  <c r="AD6" i="12"/>
  <c r="AD7" i="12"/>
  <c r="AD8" i="12"/>
  <c r="AD9" i="12"/>
  <c r="AD10" i="12"/>
  <c r="AD11" i="12"/>
  <c r="AD12" i="12"/>
  <c r="AD13" i="12"/>
  <c r="AD14" i="12"/>
  <c r="AD15" i="12"/>
  <c r="AD16" i="12"/>
  <c r="AD17" i="12"/>
  <c r="AD18" i="12"/>
  <c r="AD19" i="12"/>
  <c r="AD20" i="12"/>
  <c r="AE3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AE16" i="12"/>
  <c r="AE17" i="12"/>
  <c r="AE18" i="12"/>
  <c r="AE19" i="12"/>
  <c r="AE20" i="12"/>
  <c r="AJ3" i="12"/>
  <c r="AJ4" i="12"/>
  <c r="AJ5" i="12"/>
  <c r="AJ6" i="12"/>
  <c r="AJ7" i="12"/>
  <c r="AJ8" i="12"/>
  <c r="AJ9" i="12"/>
  <c r="AJ10" i="12"/>
  <c r="AJ11" i="12"/>
  <c r="AJ12" i="12"/>
  <c r="AJ13" i="12"/>
  <c r="AJ14" i="12"/>
  <c r="AJ15" i="12"/>
  <c r="AJ16" i="12"/>
  <c r="AJ17" i="12"/>
  <c r="AJ18" i="12"/>
  <c r="AJ19" i="12"/>
  <c r="AJ20" i="12"/>
  <c r="AL3" i="12"/>
  <c r="AL4" i="12"/>
  <c r="AL5" i="12"/>
  <c r="AL6" i="12"/>
  <c r="AL7" i="12"/>
  <c r="AL8" i="12"/>
  <c r="AL9" i="12"/>
  <c r="AL10" i="12"/>
  <c r="AL11" i="12"/>
  <c r="AL12" i="12"/>
  <c r="AL13" i="12"/>
  <c r="AL14" i="12"/>
  <c r="AL15" i="12"/>
  <c r="AL16" i="12"/>
  <c r="AL17" i="12"/>
  <c r="AL18" i="12"/>
  <c r="AL19" i="12"/>
  <c r="AL20" i="12"/>
  <c r="AM3" i="12"/>
  <c r="AM4" i="12"/>
  <c r="AM5" i="12"/>
  <c r="AM6" i="12"/>
  <c r="AM7" i="12"/>
  <c r="AM8" i="12"/>
  <c r="AM9" i="12"/>
  <c r="AM10" i="12"/>
  <c r="AM11" i="12"/>
  <c r="AM12" i="12"/>
  <c r="AM13" i="12"/>
  <c r="AM14" i="12"/>
  <c r="AM15" i="12"/>
  <c r="AM16" i="12"/>
  <c r="AM17" i="12"/>
  <c r="AM18" i="12"/>
  <c r="AM19" i="12"/>
  <c r="AM20" i="12"/>
  <c r="AR3" i="12"/>
  <c r="AR4" i="12"/>
  <c r="AR5" i="12"/>
  <c r="AR6" i="12"/>
  <c r="AR7" i="12"/>
  <c r="AR8" i="12"/>
  <c r="AR9" i="12"/>
  <c r="AR10" i="12"/>
  <c r="AR11" i="12"/>
  <c r="AR12" i="12"/>
  <c r="AR13" i="12"/>
  <c r="AR14" i="12"/>
  <c r="AR15" i="12"/>
  <c r="AR16" i="12"/>
  <c r="AR17" i="12"/>
  <c r="AR18" i="12"/>
  <c r="AR19" i="12"/>
  <c r="AR20" i="12"/>
  <c r="AT3" i="12"/>
  <c r="AT4" i="12"/>
  <c r="AT5" i="12"/>
  <c r="AT6" i="12"/>
  <c r="AT7" i="12"/>
  <c r="AT8" i="12"/>
  <c r="AT9" i="12"/>
  <c r="AT10" i="12"/>
  <c r="AT11" i="12"/>
  <c r="AT12" i="12"/>
  <c r="AT13" i="12"/>
  <c r="AT14" i="12"/>
  <c r="AT15" i="12"/>
  <c r="AT16" i="12"/>
  <c r="AT17" i="12"/>
  <c r="AT18" i="12"/>
  <c r="AT19" i="12"/>
  <c r="AT20" i="12"/>
  <c r="AU3" i="12"/>
  <c r="AU4" i="12"/>
  <c r="AU5" i="12"/>
  <c r="AU6" i="12"/>
  <c r="AU7" i="12"/>
  <c r="AU8" i="12"/>
  <c r="AU9" i="12"/>
  <c r="AU10" i="12"/>
  <c r="AU11" i="12"/>
  <c r="AU12" i="12"/>
  <c r="AU13" i="12"/>
  <c r="AU14" i="12"/>
  <c r="AU15" i="12"/>
  <c r="AU16" i="12"/>
  <c r="AU17" i="12"/>
  <c r="AU18" i="12"/>
  <c r="AU19" i="12"/>
  <c r="AU20" i="12"/>
  <c r="AZ3" i="12"/>
  <c r="AZ4" i="12"/>
  <c r="AZ5" i="12"/>
  <c r="AZ6" i="12"/>
  <c r="AZ7" i="12"/>
  <c r="AZ8" i="12"/>
  <c r="AZ9" i="12"/>
  <c r="AZ10" i="12"/>
  <c r="AZ11" i="12"/>
  <c r="AZ12" i="12"/>
  <c r="AZ13" i="12"/>
  <c r="AZ14" i="12"/>
  <c r="AZ15" i="12"/>
  <c r="AZ16" i="12"/>
  <c r="AZ17" i="12"/>
  <c r="AZ18" i="12"/>
  <c r="AZ19" i="12"/>
  <c r="AZ20" i="12"/>
  <c r="BB3" i="12"/>
  <c r="BB4" i="12"/>
  <c r="BB5" i="12"/>
  <c r="BB6" i="12"/>
  <c r="BB7" i="12"/>
  <c r="BB8" i="12"/>
  <c r="BB9" i="12"/>
  <c r="BB10" i="12"/>
  <c r="BB11" i="12"/>
  <c r="BB12" i="12"/>
  <c r="BB13" i="12"/>
  <c r="BB14" i="12"/>
  <c r="BB15" i="12"/>
  <c r="BB16" i="12"/>
  <c r="BB17" i="12"/>
  <c r="BB18" i="12"/>
  <c r="BB19" i="12"/>
  <c r="BB20" i="12"/>
  <c r="BC3" i="12"/>
  <c r="BC4" i="12"/>
  <c r="BC5" i="12"/>
  <c r="BC6" i="12"/>
  <c r="BC7" i="12"/>
  <c r="BC8" i="12"/>
  <c r="BC9" i="12"/>
  <c r="BC10" i="12"/>
  <c r="BC11" i="12"/>
  <c r="BC12" i="12"/>
  <c r="BC13" i="12"/>
  <c r="BC14" i="12"/>
  <c r="BC15" i="12"/>
  <c r="BC16" i="12"/>
  <c r="BC17" i="12"/>
  <c r="BC18" i="12"/>
  <c r="BC19" i="12"/>
  <c r="BC20" i="12"/>
  <c r="AZ2" i="12"/>
  <c r="BB2" i="12" s="1"/>
  <c r="AR2" i="12"/>
  <c r="AT2" i="12" s="1"/>
  <c r="AJ2" i="12"/>
  <c r="AL2" i="12" s="1"/>
  <c r="AB2" i="12"/>
  <c r="AD2" i="12" s="1"/>
  <c r="T2" i="12"/>
  <c r="V2" i="12" s="1"/>
  <c r="A2" i="12"/>
  <c r="F21" i="12" l="1"/>
  <c r="G21" i="12" s="1"/>
  <c r="BD19" i="12"/>
  <c r="BD3" i="12"/>
  <c r="H20" i="12"/>
  <c r="H16" i="12"/>
  <c r="H12" i="12"/>
  <c r="H8" i="12"/>
  <c r="H4" i="12"/>
  <c r="H19" i="12"/>
  <c r="H11" i="12"/>
  <c r="H15" i="12"/>
  <c r="H7" i="12"/>
  <c r="H18" i="12"/>
  <c r="H10" i="12"/>
  <c r="BD20" i="12"/>
  <c r="BD16" i="12"/>
  <c r="BD12" i="12"/>
  <c r="BD8" i="12"/>
  <c r="BD4" i="12"/>
  <c r="AV16" i="12"/>
  <c r="AV12" i="12"/>
  <c r="H14" i="12"/>
  <c r="AF10" i="12"/>
  <c r="AF6" i="12"/>
  <c r="X20" i="12"/>
  <c r="X16" i="12"/>
  <c r="X12" i="12"/>
  <c r="X8" i="12"/>
  <c r="X4" i="12"/>
  <c r="P20" i="12"/>
  <c r="P16" i="12"/>
  <c r="H17" i="12"/>
  <c r="H13" i="12"/>
  <c r="H9" i="12"/>
  <c r="H5" i="12"/>
  <c r="H6" i="12"/>
  <c r="H2" i="12"/>
  <c r="H3" i="12"/>
  <c r="P4" i="12"/>
  <c r="AN13" i="12"/>
  <c r="X7" i="12"/>
  <c r="BD15" i="12"/>
  <c r="BD11" i="12"/>
  <c r="BD7" i="12"/>
  <c r="AV19" i="12"/>
  <c r="AV15" i="12"/>
  <c r="AV11" i="12"/>
  <c r="AV7" i="12"/>
  <c r="AV3" i="12"/>
  <c r="AV17" i="12"/>
  <c r="AV13" i="12"/>
  <c r="AV9" i="12"/>
  <c r="AV5" i="12"/>
  <c r="AN17" i="12"/>
  <c r="AN9" i="12"/>
  <c r="AN5" i="12"/>
  <c r="AN19" i="12"/>
  <c r="AN15" i="12"/>
  <c r="AN11" i="12"/>
  <c r="AN7" i="12"/>
  <c r="AN3" i="12"/>
  <c r="AF17" i="12"/>
  <c r="AF13" i="12"/>
  <c r="AF9" i="12"/>
  <c r="AF5" i="12"/>
  <c r="X19" i="12"/>
  <c r="X15" i="12"/>
  <c r="X11" i="12"/>
  <c r="X3" i="12"/>
  <c r="P19" i="12"/>
  <c r="P15" i="12"/>
  <c r="P11" i="12"/>
  <c r="P7" i="12"/>
  <c r="P3" i="12"/>
  <c r="P17" i="12"/>
  <c r="P13" i="12"/>
  <c r="P9" i="12"/>
  <c r="P5" i="12"/>
  <c r="BD18" i="12"/>
  <c r="BD14" i="12"/>
  <c r="BD10" i="12"/>
  <c r="BD6" i="12"/>
  <c r="AV18" i="12"/>
  <c r="AV14" i="12"/>
  <c r="AV10" i="12"/>
  <c r="AV6" i="12"/>
  <c r="AV20" i="12"/>
  <c r="AV8" i="12"/>
  <c r="AV4" i="12"/>
  <c r="AN20" i="12"/>
  <c r="AN16" i="12"/>
  <c r="AN12" i="12"/>
  <c r="AN8" i="12"/>
  <c r="AN4" i="12"/>
  <c r="AN18" i="12"/>
  <c r="AN14" i="12"/>
  <c r="AN10" i="12"/>
  <c r="AN6" i="12"/>
  <c r="AF18" i="12"/>
  <c r="AF14" i="12"/>
  <c r="AF20" i="12"/>
  <c r="AF16" i="12"/>
  <c r="AF12" i="12"/>
  <c r="AF8" i="12"/>
  <c r="AF4" i="12"/>
  <c r="X18" i="12"/>
  <c r="X14" i="12"/>
  <c r="X10" i="12"/>
  <c r="X6" i="12"/>
  <c r="P18" i="12"/>
  <c r="P14" i="12"/>
  <c r="P10" i="12"/>
  <c r="P6" i="12"/>
  <c r="P12" i="12"/>
  <c r="P8" i="12"/>
  <c r="W2" i="12"/>
  <c r="X2" i="12" s="1"/>
  <c r="BD17" i="12"/>
  <c r="BD13" i="12"/>
  <c r="BD9" i="12"/>
  <c r="BD5" i="12"/>
  <c r="AF19" i="12"/>
  <c r="AF15" i="12"/>
  <c r="AF11" i="12"/>
  <c r="AF7" i="12"/>
  <c r="AF3" i="12"/>
  <c r="X17" i="12"/>
  <c r="X13" i="12"/>
  <c r="X9" i="12"/>
  <c r="X5" i="12"/>
  <c r="AM2" i="12"/>
  <c r="AN2" i="12" s="1"/>
  <c r="BC2" i="12"/>
  <c r="BD2" i="12" s="1"/>
  <c r="AU2" i="12"/>
  <c r="AV2" i="12" s="1"/>
  <c r="AE2" i="12"/>
  <c r="AF2" i="12" s="1"/>
  <c r="O2" i="12"/>
  <c r="P2" i="12" s="1"/>
  <c r="F12" i="12" l="1"/>
  <c r="G12" i="12" s="1"/>
  <c r="F18" i="12"/>
  <c r="G18" i="12" s="1"/>
  <c r="F16" i="12"/>
  <c r="G16" i="12" s="1"/>
  <c r="F20" i="12"/>
  <c r="G20" i="12" s="1"/>
  <c r="F5" i="12"/>
  <c r="G5" i="12" s="1"/>
  <c r="F3" i="12"/>
  <c r="G3" i="12" s="1"/>
  <c r="F19" i="12"/>
  <c r="G19" i="12" s="1"/>
  <c r="F6" i="12"/>
  <c r="G6" i="12" s="1"/>
  <c r="F9" i="12"/>
  <c r="G9" i="12" s="1"/>
  <c r="F7" i="12"/>
  <c r="G7" i="12" s="1"/>
  <c r="F10" i="12"/>
  <c r="G10" i="12" s="1"/>
  <c r="F13" i="12"/>
  <c r="G13" i="12" s="1"/>
  <c r="F11" i="12"/>
  <c r="G11" i="12" s="1"/>
  <c r="F8" i="12"/>
  <c r="G8" i="12" s="1"/>
  <c r="F14" i="12"/>
  <c r="G14" i="12" s="1"/>
  <c r="F17" i="12"/>
  <c r="G17" i="12" s="1"/>
  <c r="F15" i="12"/>
  <c r="G15" i="12" s="1"/>
  <c r="F4" i="12"/>
  <c r="G4" i="12" s="1"/>
  <c r="F2" i="12"/>
  <c r="A3" i="1"/>
  <c r="A4" i="1"/>
  <c r="A5" i="1"/>
  <c r="A6" i="1"/>
  <c r="A2" i="1"/>
  <c r="A3" i="17"/>
  <c r="A2" i="17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" i="2"/>
  <c r="G2" i="12" l="1"/>
  <c r="F3" i="4" l="1"/>
  <c r="F4" i="4"/>
  <c r="F5" i="4"/>
  <c r="F6" i="4"/>
  <c r="F7" i="4"/>
  <c r="F2" i="4"/>
  <c r="C6" i="4" l="1"/>
  <c r="C7" i="4"/>
  <c r="C5" i="4"/>
  <c r="C3" i="4"/>
  <c r="C4" i="4"/>
  <c r="C2" i="4"/>
  <c r="J24" i="38" l="1"/>
  <c r="J23" i="32"/>
  <c r="I2" i="34"/>
  <c r="J3" i="17" l="1"/>
  <c r="I3" i="17" s="1"/>
  <c r="O3" i="17" l="1"/>
  <c r="K3" i="17"/>
  <c r="J2" i="17"/>
  <c r="I2" i="17" s="1"/>
  <c r="O2" i="17" s="1"/>
  <c r="BF12" i="19" l="1"/>
  <c r="BF55" i="19"/>
  <c r="BF106" i="19"/>
  <c r="BF107" i="19"/>
  <c r="BF80" i="19"/>
  <c r="BF96" i="19"/>
  <c r="BF32" i="19"/>
  <c r="BF70" i="19"/>
  <c r="BF89" i="19"/>
  <c r="BF24" i="19"/>
  <c r="BF110" i="19"/>
  <c r="BF19" i="19"/>
  <c r="BF59" i="19"/>
  <c r="BF56" i="19"/>
  <c r="BF82" i="19"/>
  <c r="BF31" i="19"/>
  <c r="BF47" i="19"/>
  <c r="BF54" i="19"/>
  <c r="BF13" i="19"/>
  <c r="BF29" i="19"/>
  <c r="BF101" i="19"/>
  <c r="BF79" i="19"/>
  <c r="BF95" i="19"/>
  <c r="BF33" i="19"/>
  <c r="BF30" i="19"/>
  <c r="BF45" i="19"/>
  <c r="BF105" i="19"/>
  <c r="BF60" i="19"/>
  <c r="BF84" i="19"/>
  <c r="BF46" i="19"/>
  <c r="BF40" i="19"/>
  <c r="BF77" i="19"/>
  <c r="BF93" i="19"/>
  <c r="BF57" i="19"/>
  <c r="BF65" i="19"/>
  <c r="BF27" i="19"/>
  <c r="BF109" i="19"/>
  <c r="BF64" i="19"/>
  <c r="BF86" i="19"/>
  <c r="BF35" i="19"/>
  <c r="BF51" i="19"/>
  <c r="BF36" i="19"/>
  <c r="BF17" i="19"/>
  <c r="BF18" i="19"/>
  <c r="BF58" i="19"/>
  <c r="BF83" i="19"/>
  <c r="BF20" i="19"/>
  <c r="BF41" i="19"/>
  <c r="BF102" i="19"/>
  <c r="BF49" i="19"/>
  <c r="BF67" i="19"/>
  <c r="BF42" i="19"/>
  <c r="BF103" i="19"/>
  <c r="BF68" i="19"/>
  <c r="BF88" i="19"/>
  <c r="BF15" i="19"/>
  <c r="BF48" i="19"/>
  <c r="BF81" i="19"/>
  <c r="BF97" i="19"/>
  <c r="BF22" i="19"/>
  <c r="BF38" i="19"/>
  <c r="BF71" i="19"/>
  <c r="BF99" i="19"/>
  <c r="BF72" i="19"/>
  <c r="BF90" i="19"/>
  <c r="BF39" i="19"/>
  <c r="BF69" i="19"/>
  <c r="BF44" i="19"/>
  <c r="BF21" i="19"/>
  <c r="BF100" i="19"/>
  <c r="BF66" i="19"/>
  <c r="BF87" i="19"/>
  <c r="BF28" i="19"/>
  <c r="BF53" i="19"/>
  <c r="BF61" i="19"/>
  <c r="BF26" i="19"/>
  <c r="BF104" i="19"/>
  <c r="BF76" i="19"/>
  <c r="BF92" i="19"/>
  <c r="BF23" i="19"/>
  <c r="BF62" i="19"/>
  <c r="BF85" i="19"/>
  <c r="BF16" i="19"/>
  <c r="BF98" i="19"/>
  <c r="BF50" i="19"/>
  <c r="BF108" i="19"/>
  <c r="BF111" i="19"/>
  <c r="BF78" i="19"/>
  <c r="BF94" i="19"/>
  <c r="BF43" i="19"/>
  <c r="BF34" i="19"/>
  <c r="BF52" i="19"/>
  <c r="BF25" i="19"/>
  <c r="BF75" i="19"/>
  <c r="BF74" i="19"/>
  <c r="BF91" i="19"/>
  <c r="BF73" i="19"/>
  <c r="BF14" i="19"/>
  <c r="BF37" i="19"/>
  <c r="BF63" i="19"/>
  <c r="BD12" i="19"/>
  <c r="BD55" i="19"/>
  <c r="BD66" i="19"/>
  <c r="BD42" i="19"/>
  <c r="BD80" i="19"/>
  <c r="BD93" i="19"/>
  <c r="BD74" i="19"/>
  <c r="BD20" i="19"/>
  <c r="BD14" i="19"/>
  <c r="BD107" i="19"/>
  <c r="BD88" i="19"/>
  <c r="BD85" i="19"/>
  <c r="BD24" i="19"/>
  <c r="BD38" i="19"/>
  <c r="BD71" i="19"/>
  <c r="BD99" i="19"/>
  <c r="BD72" i="19"/>
  <c r="BD90" i="19"/>
  <c r="BD39" i="19"/>
  <c r="BD69" i="19"/>
  <c r="BD44" i="19"/>
  <c r="BD21" i="19"/>
  <c r="BD100" i="19"/>
  <c r="BD46" i="19"/>
  <c r="BD40" i="19"/>
  <c r="BD45" i="19"/>
  <c r="BD105" i="19"/>
  <c r="BD83" i="19"/>
  <c r="BD103" i="19"/>
  <c r="BD92" i="19"/>
  <c r="BD22" i="19"/>
  <c r="BD79" i="19"/>
  <c r="BD73" i="19"/>
  <c r="BD30" i="19"/>
  <c r="BD68" i="19"/>
  <c r="BD96" i="19"/>
  <c r="BD89" i="19"/>
  <c r="BD57" i="19"/>
  <c r="BD50" i="19"/>
  <c r="BD108" i="19"/>
  <c r="BD111" i="19"/>
  <c r="BD78" i="19"/>
  <c r="BD94" i="19"/>
  <c r="BD43" i="19"/>
  <c r="BD34" i="19"/>
  <c r="BD52" i="19"/>
  <c r="BD25" i="19"/>
  <c r="BD75" i="19"/>
  <c r="BD15" i="19"/>
  <c r="BD48" i="19"/>
  <c r="BD49" i="19"/>
  <c r="BD67" i="19"/>
  <c r="BD91" i="19"/>
  <c r="BD104" i="19"/>
  <c r="BD62" i="19"/>
  <c r="BD110" i="19"/>
  <c r="BD87" i="19"/>
  <c r="BD41" i="19"/>
  <c r="BD102" i="19"/>
  <c r="BD76" i="19"/>
  <c r="BD70" i="19"/>
  <c r="BD97" i="19"/>
  <c r="BD98" i="19"/>
  <c r="BD19" i="19"/>
  <c r="BD59" i="19"/>
  <c r="BD56" i="19"/>
  <c r="BD82" i="19"/>
  <c r="BD31" i="19"/>
  <c r="BD47" i="19"/>
  <c r="BD54" i="19"/>
  <c r="BD13" i="19"/>
  <c r="BD29" i="19"/>
  <c r="BD101" i="19"/>
  <c r="BD23" i="19"/>
  <c r="BD61" i="19"/>
  <c r="BD26" i="19"/>
  <c r="BD33" i="19"/>
  <c r="BD60" i="19"/>
  <c r="BD81" i="19"/>
  <c r="BD58" i="19"/>
  <c r="BD95" i="19"/>
  <c r="BD53" i="19"/>
  <c r="BD106" i="19"/>
  <c r="BD84" i="19"/>
  <c r="BD77" i="19"/>
  <c r="BD16" i="19"/>
  <c r="BD65" i="19"/>
  <c r="BD27" i="19"/>
  <c r="BD109" i="19"/>
  <c r="BD64" i="19"/>
  <c r="BD86" i="19"/>
  <c r="BD35" i="19"/>
  <c r="BD51" i="19"/>
  <c r="BD36" i="19"/>
  <c r="BD17" i="19"/>
  <c r="BD18" i="19"/>
  <c r="BD28" i="19"/>
  <c r="BD32" i="19"/>
  <c r="BD37" i="19"/>
  <c r="BD63" i="19"/>
  <c r="AZ12" i="19"/>
  <c r="AZ47" i="19"/>
  <c r="AZ70" i="19"/>
  <c r="AZ101" i="19"/>
  <c r="AZ87" i="19"/>
  <c r="AZ33" i="19"/>
  <c r="AZ74" i="19"/>
  <c r="AZ56" i="19"/>
  <c r="AZ96" i="19"/>
  <c r="AZ65" i="19"/>
  <c r="AZ41" i="19"/>
  <c r="AZ46" i="19"/>
  <c r="AZ32" i="19"/>
  <c r="AZ68" i="19"/>
  <c r="AZ49" i="19"/>
  <c r="AZ108" i="19"/>
  <c r="AZ75" i="19"/>
  <c r="AZ97" i="19"/>
  <c r="AZ86" i="19"/>
  <c r="AZ35" i="19"/>
  <c r="AZ43" i="19"/>
  <c r="AZ34" i="19"/>
  <c r="AZ52" i="19"/>
  <c r="AZ17" i="19"/>
  <c r="AZ18" i="19"/>
  <c r="AZ79" i="19"/>
  <c r="AZ95" i="19"/>
  <c r="AZ30" i="19"/>
  <c r="AZ110" i="19"/>
  <c r="AZ107" i="19"/>
  <c r="AZ62" i="19"/>
  <c r="AZ80" i="19"/>
  <c r="AZ88" i="19"/>
  <c r="AZ21" i="19"/>
  <c r="AZ103" i="19"/>
  <c r="AZ28" i="19"/>
  <c r="AZ73" i="19"/>
  <c r="AZ98" i="19"/>
  <c r="AZ82" i="19"/>
  <c r="AZ15" i="19"/>
  <c r="AZ48" i="19"/>
  <c r="AZ37" i="19"/>
  <c r="AZ77" i="19"/>
  <c r="AZ93" i="19"/>
  <c r="AZ59" i="19"/>
  <c r="AZ24" i="19"/>
  <c r="AZ81" i="19"/>
  <c r="AZ38" i="19"/>
  <c r="AZ58" i="19"/>
  <c r="AZ19" i="19"/>
  <c r="AZ104" i="19"/>
  <c r="AZ39" i="19"/>
  <c r="AZ31" i="19"/>
  <c r="AZ51" i="19"/>
  <c r="AZ54" i="19"/>
  <c r="AZ44" i="19"/>
  <c r="AZ72" i="19"/>
  <c r="AZ29" i="19"/>
  <c r="AZ109" i="19"/>
  <c r="AZ63" i="19"/>
  <c r="AZ83" i="19"/>
  <c r="AZ91" i="19"/>
  <c r="AZ20" i="19"/>
  <c r="AZ57" i="19"/>
  <c r="AZ102" i="19"/>
  <c r="AZ42" i="19"/>
  <c r="AZ100" i="19"/>
  <c r="AZ111" i="19"/>
  <c r="AZ36" i="19"/>
  <c r="AZ64" i="19"/>
  <c r="AZ84" i="19"/>
  <c r="AZ92" i="19"/>
  <c r="AZ13" i="19"/>
  <c r="AZ25" i="19"/>
  <c r="AZ99" i="19"/>
  <c r="AZ71" i="19"/>
  <c r="AZ105" i="19"/>
  <c r="AZ53" i="19"/>
  <c r="AZ14" i="19"/>
  <c r="AZ106" i="19"/>
  <c r="AZ66" i="19"/>
  <c r="AZ90" i="19"/>
  <c r="AZ23" i="19"/>
  <c r="AZ40" i="19"/>
  <c r="AZ60" i="19"/>
  <c r="AZ76" i="19"/>
  <c r="AZ45" i="19"/>
  <c r="AZ61" i="19"/>
  <c r="AZ85" i="19"/>
  <c r="AZ26" i="19"/>
  <c r="AZ55" i="19"/>
  <c r="AZ67" i="19"/>
  <c r="AZ16" i="19"/>
  <c r="AZ69" i="19"/>
  <c r="AZ89" i="19"/>
  <c r="AZ22" i="19"/>
  <c r="AZ50" i="19"/>
  <c r="AZ78" i="19"/>
  <c r="AZ94" i="19"/>
  <c r="AZ27" i="19"/>
  <c r="AX12" i="19"/>
  <c r="AX106" i="19"/>
  <c r="AX60" i="19"/>
  <c r="AX45" i="19"/>
  <c r="AX85" i="19"/>
  <c r="AX55" i="19"/>
  <c r="AX16" i="19"/>
  <c r="AX89" i="19"/>
  <c r="AX35" i="19"/>
  <c r="AX51" i="19"/>
  <c r="AX70" i="19"/>
  <c r="AX56" i="19"/>
  <c r="AX84" i="19"/>
  <c r="AX13" i="19"/>
  <c r="AX29" i="19"/>
  <c r="AX18" i="19"/>
  <c r="AX71" i="19"/>
  <c r="AX91" i="19"/>
  <c r="AX105" i="19"/>
  <c r="AX57" i="19"/>
  <c r="AX102" i="19"/>
  <c r="AX100" i="19"/>
  <c r="AX90" i="19"/>
  <c r="AX40" i="19"/>
  <c r="AX58" i="19"/>
  <c r="AX19" i="19"/>
  <c r="AX46" i="19"/>
  <c r="AX68" i="19"/>
  <c r="AX49" i="19"/>
  <c r="AX93" i="19"/>
  <c r="AX59" i="19"/>
  <c r="AX24" i="19"/>
  <c r="AX97" i="19"/>
  <c r="AX39" i="19"/>
  <c r="AX34" i="19"/>
  <c r="AX36" i="19"/>
  <c r="AX64" i="19"/>
  <c r="AX88" i="19"/>
  <c r="AX17" i="19"/>
  <c r="AX101" i="19"/>
  <c r="AX99" i="19"/>
  <c r="AX79" i="19"/>
  <c r="AX95" i="19"/>
  <c r="AX33" i="19"/>
  <c r="AX73" i="19"/>
  <c r="AX110" i="19"/>
  <c r="AX107" i="19"/>
  <c r="AX15" i="19"/>
  <c r="AX48" i="19"/>
  <c r="AX78" i="19"/>
  <c r="AX27" i="19"/>
  <c r="AX66" i="19"/>
  <c r="AX76" i="19"/>
  <c r="AX61" i="19"/>
  <c r="AX26" i="19"/>
  <c r="AX67" i="19"/>
  <c r="AX69" i="19"/>
  <c r="AX22" i="19"/>
  <c r="AX43" i="19"/>
  <c r="AX54" i="19"/>
  <c r="AX44" i="19"/>
  <c r="AX72" i="19"/>
  <c r="AX92" i="19"/>
  <c r="AX21" i="19"/>
  <c r="AX109" i="19"/>
  <c r="AX103" i="19"/>
  <c r="AX83" i="19"/>
  <c r="AX20" i="19"/>
  <c r="AX41" i="19"/>
  <c r="AX14" i="19"/>
  <c r="AX42" i="19"/>
  <c r="AX111" i="19"/>
  <c r="AX23" i="19"/>
  <c r="AX38" i="19"/>
  <c r="AX86" i="19"/>
  <c r="AX104" i="19"/>
  <c r="AX82" i="19"/>
  <c r="AX37" i="19"/>
  <c r="AX77" i="19"/>
  <c r="AX108" i="19"/>
  <c r="AX75" i="19"/>
  <c r="AX81" i="19"/>
  <c r="AX31" i="19"/>
  <c r="AX47" i="19"/>
  <c r="AX62" i="19"/>
  <c r="AX52" i="19"/>
  <c r="AX80" i="19"/>
  <c r="AX96" i="19"/>
  <c r="AX25" i="19"/>
  <c r="AX65" i="19"/>
  <c r="AX63" i="19"/>
  <c r="AX87" i="19"/>
  <c r="AX28" i="19"/>
  <c r="AX53" i="19"/>
  <c r="AX30" i="19"/>
  <c r="AX74" i="19"/>
  <c r="AX98" i="19"/>
  <c r="AX32" i="19"/>
  <c r="AX50" i="19"/>
  <c r="AX94" i="19"/>
  <c r="AT12" i="19"/>
  <c r="AT46" i="19"/>
  <c r="AT34" i="19"/>
  <c r="AT22" i="19"/>
  <c r="AT30" i="19"/>
  <c r="AT14" i="19"/>
  <c r="AT20" i="19"/>
  <c r="AT54" i="19"/>
  <c r="AT31" i="19"/>
  <c r="AT15" i="19"/>
  <c r="AT56" i="19"/>
  <c r="AT96" i="19"/>
  <c r="AT39" i="19"/>
  <c r="AT90" i="19"/>
  <c r="AT76" i="19"/>
  <c r="AT25" i="19"/>
  <c r="AT85" i="19"/>
  <c r="AT59" i="19"/>
  <c r="AT41" i="19"/>
  <c r="AT89" i="19"/>
  <c r="AT100" i="19"/>
  <c r="AT108" i="19"/>
  <c r="AT86" i="19"/>
  <c r="AT52" i="19"/>
  <c r="AT84" i="19"/>
  <c r="AT40" i="19"/>
  <c r="AT83" i="19"/>
  <c r="AT57" i="19"/>
  <c r="AT101" i="19"/>
  <c r="AT109" i="19"/>
  <c r="AT27" i="19"/>
  <c r="AT43" i="19"/>
  <c r="AT23" i="19"/>
  <c r="AT64" i="19"/>
  <c r="AT37" i="19"/>
  <c r="AT47" i="19"/>
  <c r="AT38" i="19"/>
  <c r="AT13" i="19"/>
  <c r="AT29" i="19"/>
  <c r="AT93" i="19"/>
  <c r="AT67" i="19"/>
  <c r="AT53" i="19"/>
  <c r="AT97" i="19"/>
  <c r="AT102" i="19"/>
  <c r="AT110" i="19"/>
  <c r="AT94" i="19"/>
  <c r="AT62" i="19"/>
  <c r="AT92" i="19"/>
  <c r="AT63" i="19"/>
  <c r="AT87" i="19"/>
  <c r="AT73" i="19"/>
  <c r="AT103" i="19"/>
  <c r="AT111" i="19"/>
  <c r="AT48" i="19"/>
  <c r="AT82" i="19"/>
  <c r="AT18" i="19"/>
  <c r="AT80" i="19"/>
  <c r="AT49" i="19"/>
  <c r="AT51" i="19"/>
  <c r="AT60" i="19"/>
  <c r="AT17" i="19"/>
  <c r="AT61" i="19"/>
  <c r="AT36" i="19"/>
  <c r="AT75" i="19"/>
  <c r="AT69" i="19"/>
  <c r="AT42" i="19"/>
  <c r="AT104" i="19"/>
  <c r="AT58" i="19"/>
  <c r="AT32" i="19"/>
  <c r="AT70" i="19"/>
  <c r="AT45" i="19"/>
  <c r="AT71" i="19"/>
  <c r="AT91" i="19"/>
  <c r="AT26" i="19"/>
  <c r="AT105" i="19"/>
  <c r="AT74" i="19"/>
  <c r="AT44" i="19"/>
  <c r="AT55" i="19"/>
  <c r="AT50" i="19"/>
  <c r="AT88" i="19"/>
  <c r="AT35" i="19"/>
  <c r="AT66" i="19"/>
  <c r="AT68" i="19"/>
  <c r="AT21" i="19"/>
  <c r="AT77" i="19"/>
  <c r="AT28" i="19"/>
  <c r="AT33" i="19"/>
  <c r="AT81" i="19"/>
  <c r="AT98" i="19"/>
  <c r="AT106" i="19"/>
  <c r="AT78" i="19"/>
  <c r="AT16" i="19"/>
  <c r="AT72" i="19"/>
  <c r="AT65" i="19"/>
  <c r="AT79" i="19"/>
  <c r="AT95" i="19"/>
  <c r="AT99" i="19"/>
  <c r="AT107" i="19"/>
  <c r="AT19" i="19"/>
  <c r="AT24" i="19"/>
  <c r="AR12" i="19"/>
  <c r="AR34" i="19"/>
  <c r="AR46" i="19"/>
  <c r="AR54" i="19"/>
  <c r="AR30" i="19"/>
  <c r="AR22" i="19"/>
  <c r="AR14" i="19"/>
  <c r="AR20" i="19"/>
  <c r="AR63" i="19"/>
  <c r="AR91" i="19"/>
  <c r="AR99" i="19"/>
  <c r="AR107" i="19"/>
  <c r="AR48" i="19"/>
  <c r="AR43" i="19"/>
  <c r="AR82" i="19"/>
  <c r="AR68" i="19"/>
  <c r="AR67" i="19"/>
  <c r="AR53" i="19"/>
  <c r="AR97" i="19"/>
  <c r="AR102" i="19"/>
  <c r="AR110" i="19"/>
  <c r="AR94" i="19"/>
  <c r="AR55" i="19"/>
  <c r="AR23" i="19"/>
  <c r="AR64" i="19"/>
  <c r="AR88" i="19"/>
  <c r="AR45" i="19"/>
  <c r="AR87" i="19"/>
  <c r="AR31" i="19"/>
  <c r="AR25" i="19"/>
  <c r="AR85" i="19"/>
  <c r="AR71" i="19"/>
  <c r="AR95" i="19"/>
  <c r="AR101" i="19"/>
  <c r="AR109" i="19"/>
  <c r="AR44" i="19"/>
  <c r="AR47" i="19"/>
  <c r="AR90" i="19"/>
  <c r="AR76" i="19"/>
  <c r="AR75" i="19"/>
  <c r="AR69" i="19"/>
  <c r="AR42" i="19"/>
  <c r="AR104" i="19"/>
  <c r="AR58" i="19"/>
  <c r="AR32" i="19"/>
  <c r="AR62" i="19"/>
  <c r="AR18" i="19"/>
  <c r="AR72" i="19"/>
  <c r="AR92" i="19"/>
  <c r="AR49" i="19"/>
  <c r="AR26" i="19"/>
  <c r="AR39" i="19"/>
  <c r="AR29" i="19"/>
  <c r="AR93" i="19"/>
  <c r="AR79" i="19"/>
  <c r="AR57" i="19"/>
  <c r="AR103" i="19"/>
  <c r="AR111" i="19"/>
  <c r="AR24" i="19"/>
  <c r="AR51" i="19"/>
  <c r="AR38" i="19"/>
  <c r="AR13" i="19"/>
  <c r="AR33" i="19"/>
  <c r="AR81" i="19"/>
  <c r="AR98" i="19"/>
  <c r="AR106" i="19"/>
  <c r="AR78" i="19"/>
  <c r="AR16" i="19"/>
  <c r="AR70" i="19"/>
  <c r="AR50" i="19"/>
  <c r="AR80" i="19"/>
  <c r="AR96" i="19"/>
  <c r="AR65" i="19"/>
  <c r="AR74" i="19"/>
  <c r="AR17" i="19"/>
  <c r="AR61" i="19"/>
  <c r="AR36" i="19"/>
  <c r="AR83" i="19"/>
  <c r="AR73" i="19"/>
  <c r="AR105" i="19"/>
  <c r="AR27" i="19"/>
  <c r="AR35" i="19"/>
  <c r="AR66" i="19"/>
  <c r="AR60" i="19"/>
  <c r="AR59" i="19"/>
  <c r="AR41" i="19"/>
  <c r="AR89" i="19"/>
  <c r="AR100" i="19"/>
  <c r="AR108" i="19"/>
  <c r="AR86" i="19"/>
  <c r="AR52" i="19"/>
  <c r="AR15" i="19"/>
  <c r="AR56" i="19"/>
  <c r="AR84" i="19"/>
  <c r="AR37" i="19"/>
  <c r="AR40" i="19"/>
  <c r="AR19" i="19"/>
  <c r="AR21" i="19"/>
  <c r="AR77" i="19"/>
  <c r="AR28" i="19"/>
  <c r="AN12" i="19"/>
  <c r="AN77" i="19"/>
  <c r="AN93" i="19"/>
  <c r="AN85" i="19"/>
  <c r="AN96" i="19"/>
  <c r="AN80" i="19"/>
  <c r="AN92" i="19"/>
  <c r="AN98" i="19"/>
  <c r="AN108" i="19"/>
  <c r="AN70" i="19"/>
  <c r="AN40" i="19"/>
  <c r="AN56" i="19"/>
  <c r="AN37" i="19"/>
  <c r="AN26" i="19"/>
  <c r="AN105" i="19"/>
  <c r="AN63" i="19"/>
  <c r="AN16" i="19"/>
  <c r="AN57" i="19"/>
  <c r="AN22" i="19"/>
  <c r="AN38" i="19"/>
  <c r="AN74" i="19"/>
  <c r="AN27" i="19"/>
  <c r="AN88" i="19"/>
  <c r="AN102" i="19"/>
  <c r="AN110" i="19"/>
  <c r="AN35" i="19"/>
  <c r="AN43" i="19"/>
  <c r="AN51" i="19"/>
  <c r="AN34" i="19"/>
  <c r="AN66" i="19"/>
  <c r="AN44" i="19"/>
  <c r="AN60" i="19"/>
  <c r="AN76" i="19"/>
  <c r="AN17" i="19"/>
  <c r="AN25" i="19"/>
  <c r="AN61" i="19"/>
  <c r="AN82" i="19"/>
  <c r="AN89" i="19"/>
  <c r="AN103" i="19"/>
  <c r="AN111" i="19"/>
  <c r="AN67" i="19"/>
  <c r="AN20" i="19"/>
  <c r="AN33" i="19"/>
  <c r="AN53" i="19"/>
  <c r="AN14" i="19"/>
  <c r="AN94" i="19"/>
  <c r="AN58" i="19"/>
  <c r="AN83" i="19"/>
  <c r="AN104" i="19"/>
  <c r="AN46" i="19"/>
  <c r="AN23" i="19"/>
  <c r="AN64" i="19"/>
  <c r="AN65" i="19"/>
  <c r="AN91" i="19"/>
  <c r="AN100" i="19"/>
  <c r="AN78" i="19"/>
  <c r="AN15" i="19"/>
  <c r="AN48" i="19"/>
  <c r="AN72" i="19"/>
  <c r="AN49" i="19"/>
  <c r="AN101" i="19"/>
  <c r="AN109" i="19"/>
  <c r="AN71" i="19"/>
  <c r="AN24" i="19"/>
  <c r="AN73" i="19"/>
  <c r="AN86" i="19"/>
  <c r="AN50" i="19"/>
  <c r="AN19" i="19"/>
  <c r="AN84" i="19"/>
  <c r="AN95" i="19"/>
  <c r="AN106" i="19"/>
  <c r="AN31" i="19"/>
  <c r="AN39" i="19"/>
  <c r="AN47" i="19"/>
  <c r="AN90" i="19"/>
  <c r="AN54" i="19"/>
  <c r="AN36" i="19"/>
  <c r="AN52" i="19"/>
  <c r="AN68" i="19"/>
  <c r="AN13" i="19"/>
  <c r="AN21" i="19"/>
  <c r="AN29" i="19"/>
  <c r="AN18" i="19"/>
  <c r="AN97" i="19"/>
  <c r="AN99" i="19"/>
  <c r="AN107" i="19"/>
  <c r="AN59" i="19"/>
  <c r="AN75" i="19"/>
  <c r="AN28" i="19"/>
  <c r="AN41" i="19"/>
  <c r="AN69" i="19"/>
  <c r="AN30" i="19"/>
  <c r="AN42" i="19"/>
  <c r="AN87" i="19"/>
  <c r="AN79" i="19"/>
  <c r="AN55" i="19"/>
  <c r="AN62" i="19"/>
  <c r="AN32" i="19"/>
  <c r="AN45" i="19"/>
  <c r="AN81" i="19"/>
  <c r="AL12" i="19"/>
  <c r="AL80" i="19"/>
  <c r="AL92" i="19"/>
  <c r="AL96" i="19"/>
  <c r="AL77" i="19"/>
  <c r="AL93" i="19"/>
  <c r="AL85" i="19"/>
  <c r="AL99" i="19"/>
  <c r="AL69" i="19"/>
  <c r="AL79" i="19"/>
  <c r="AL106" i="19"/>
  <c r="AL39" i="19"/>
  <c r="AL90" i="19"/>
  <c r="AL36" i="19"/>
  <c r="AL68" i="19"/>
  <c r="AL21" i="19"/>
  <c r="AL18" i="19"/>
  <c r="AL59" i="19"/>
  <c r="AL107" i="19"/>
  <c r="AL41" i="19"/>
  <c r="AL83" i="19"/>
  <c r="AL46" i="19"/>
  <c r="AL23" i="19"/>
  <c r="AL56" i="19"/>
  <c r="AL45" i="19"/>
  <c r="AL81" i="19"/>
  <c r="AL109" i="19"/>
  <c r="AL110" i="19"/>
  <c r="AL44" i="19"/>
  <c r="AL42" i="19"/>
  <c r="AL62" i="19"/>
  <c r="AL91" i="19"/>
  <c r="AL38" i="19"/>
  <c r="AL111" i="19"/>
  <c r="AL75" i="19"/>
  <c r="AL58" i="19"/>
  <c r="AL98" i="19"/>
  <c r="AL31" i="19"/>
  <c r="AL47" i="19"/>
  <c r="AL54" i="19"/>
  <c r="AL52" i="19"/>
  <c r="AL13" i="19"/>
  <c r="AL29" i="19"/>
  <c r="AL97" i="19"/>
  <c r="AL100" i="19"/>
  <c r="AL20" i="19"/>
  <c r="AL14" i="19"/>
  <c r="AL55" i="19"/>
  <c r="AL70" i="19"/>
  <c r="AL40" i="19"/>
  <c r="AL72" i="19"/>
  <c r="AL65" i="19"/>
  <c r="AL101" i="19"/>
  <c r="AL71" i="19"/>
  <c r="AL73" i="19"/>
  <c r="AL50" i="19"/>
  <c r="AL84" i="19"/>
  <c r="AL86" i="19"/>
  <c r="AL19" i="19"/>
  <c r="AL95" i="19"/>
  <c r="AL104" i="19"/>
  <c r="AL43" i="19"/>
  <c r="AL76" i="19"/>
  <c r="AL25" i="19"/>
  <c r="AL67" i="19"/>
  <c r="AL108" i="19"/>
  <c r="AL32" i="19"/>
  <c r="AL49" i="19"/>
  <c r="AL63" i="19"/>
  <c r="AL27" i="19"/>
  <c r="AL33" i="19"/>
  <c r="AL87" i="19"/>
  <c r="AL102" i="19"/>
  <c r="AL35" i="19"/>
  <c r="AL51" i="19"/>
  <c r="AL66" i="19"/>
  <c r="AL60" i="19"/>
  <c r="AL17" i="19"/>
  <c r="AL61" i="19"/>
  <c r="AL89" i="19"/>
  <c r="AL103" i="19"/>
  <c r="AL28" i="19"/>
  <c r="AL30" i="19"/>
  <c r="AL78" i="19"/>
  <c r="AL15" i="19"/>
  <c r="AL48" i="19"/>
  <c r="AL37" i="19"/>
  <c r="AL26" i="19"/>
  <c r="AL105" i="19"/>
  <c r="AL16" i="19"/>
  <c r="AL22" i="19"/>
  <c r="AL74" i="19"/>
  <c r="AL88" i="19"/>
  <c r="AL24" i="19"/>
  <c r="AL94" i="19"/>
  <c r="AL34" i="19"/>
  <c r="AL82" i="19"/>
  <c r="AL53" i="19"/>
  <c r="AL64" i="19"/>
  <c r="AL57" i="19"/>
  <c r="AH12" i="19"/>
  <c r="AH32" i="19"/>
  <c r="AH36" i="19"/>
  <c r="AH88" i="19"/>
  <c r="AH44" i="19"/>
  <c r="AH16" i="19"/>
  <c r="AH84" i="19"/>
  <c r="AH40" i="19"/>
  <c r="AH52" i="19"/>
  <c r="AH28" i="19"/>
  <c r="AH24" i="19"/>
  <c r="AH48" i="19"/>
  <c r="AH14" i="19"/>
  <c r="AH23" i="19"/>
  <c r="AH75" i="19"/>
  <c r="AH94" i="19"/>
  <c r="AH86" i="19"/>
  <c r="AH27" i="19"/>
  <c r="AH38" i="19"/>
  <c r="AH39" i="19"/>
  <c r="AH70" i="19"/>
  <c r="AH21" i="19"/>
  <c r="AH20" i="19"/>
  <c r="AH71" i="19"/>
  <c r="AH73" i="19"/>
  <c r="AH92" i="19"/>
  <c r="AH68" i="19"/>
  <c r="AH61" i="19"/>
  <c r="AH22" i="19"/>
  <c r="AH30" i="19"/>
  <c r="AH66" i="19"/>
  <c r="AH18" i="19"/>
  <c r="AH50" i="19"/>
  <c r="AH67" i="19"/>
  <c r="AH78" i="19"/>
  <c r="AH69" i="19"/>
  <c r="AH106" i="19"/>
  <c r="AH110" i="19"/>
  <c r="AH19" i="19"/>
  <c r="AH91" i="19"/>
  <c r="AH109" i="19"/>
  <c r="AH95" i="19"/>
  <c r="AH54" i="19"/>
  <c r="AH35" i="19"/>
  <c r="AH43" i="19"/>
  <c r="AH51" i="19"/>
  <c r="AH82" i="19"/>
  <c r="AH62" i="19"/>
  <c r="AH56" i="19"/>
  <c r="AH72" i="19"/>
  <c r="AH17" i="19"/>
  <c r="AH25" i="19"/>
  <c r="AH89" i="19"/>
  <c r="AH105" i="19"/>
  <c r="AH108" i="19"/>
  <c r="AH26" i="19"/>
  <c r="AH63" i="19"/>
  <c r="AH85" i="19"/>
  <c r="AH41" i="19"/>
  <c r="AH57" i="19"/>
  <c r="AH102" i="19"/>
  <c r="AH93" i="19"/>
  <c r="AH79" i="19"/>
  <c r="AH83" i="19"/>
  <c r="AH46" i="19"/>
  <c r="AH60" i="19"/>
  <c r="AH76" i="19"/>
  <c r="AH37" i="19"/>
  <c r="AH49" i="19"/>
  <c r="AH101" i="19"/>
  <c r="AH103" i="19"/>
  <c r="AH99" i="19"/>
  <c r="AH90" i="19"/>
  <c r="AH34" i="19"/>
  <c r="AH59" i="19"/>
  <c r="AH98" i="19"/>
  <c r="AH58" i="19"/>
  <c r="AH104" i="19"/>
  <c r="AH31" i="19"/>
  <c r="AH55" i="19"/>
  <c r="AH13" i="19"/>
  <c r="AH15" i="19"/>
  <c r="AH100" i="19"/>
  <c r="AH80" i="19"/>
  <c r="AH47" i="19"/>
  <c r="AH97" i="19"/>
  <c r="AH64" i="19"/>
  <c r="AH29" i="19"/>
  <c r="AH65" i="19"/>
  <c r="AH107" i="19"/>
  <c r="AH42" i="19"/>
  <c r="AH33" i="19"/>
  <c r="AH53" i="19"/>
  <c r="AH77" i="19"/>
  <c r="AH74" i="19"/>
  <c r="AH87" i="19"/>
  <c r="AH81" i="19"/>
  <c r="AH45" i="19"/>
  <c r="AH96" i="19"/>
  <c r="AH111" i="19"/>
  <c r="AF12" i="19"/>
  <c r="AF32" i="19"/>
  <c r="AF36" i="19"/>
  <c r="AF40" i="19"/>
  <c r="AF44" i="19"/>
  <c r="AF48" i="19"/>
  <c r="AF52" i="19"/>
  <c r="AF84" i="19"/>
  <c r="AF88" i="19"/>
  <c r="AF28" i="19"/>
  <c r="AF24" i="19"/>
  <c r="AF16" i="19"/>
  <c r="AF22" i="19"/>
  <c r="AF43" i="19"/>
  <c r="AF13" i="19"/>
  <c r="AF46" i="19"/>
  <c r="AF23" i="19"/>
  <c r="AF81" i="19"/>
  <c r="AF61" i="19"/>
  <c r="AF96" i="19"/>
  <c r="AF34" i="19"/>
  <c r="AF75" i="19"/>
  <c r="AF98" i="19"/>
  <c r="AF58" i="19"/>
  <c r="AF104" i="19"/>
  <c r="AF55" i="19"/>
  <c r="AF39" i="19"/>
  <c r="AF64" i="19"/>
  <c r="AF89" i="19"/>
  <c r="AF108" i="19"/>
  <c r="AF63" i="19"/>
  <c r="AF41" i="19"/>
  <c r="AF102" i="19"/>
  <c r="AF79" i="19"/>
  <c r="AF54" i="19"/>
  <c r="AF47" i="19"/>
  <c r="AF17" i="19"/>
  <c r="AF90" i="19"/>
  <c r="AF60" i="19"/>
  <c r="AF37" i="19"/>
  <c r="AF101" i="19"/>
  <c r="AF99" i="19"/>
  <c r="AF50" i="19"/>
  <c r="AF78" i="19"/>
  <c r="AF106" i="19"/>
  <c r="AF19" i="19"/>
  <c r="AF109" i="19"/>
  <c r="AF97" i="19"/>
  <c r="AF51" i="19"/>
  <c r="AF72" i="19"/>
  <c r="AF65" i="19"/>
  <c r="AF20" i="19"/>
  <c r="AF71" i="19"/>
  <c r="AF53" i="19"/>
  <c r="AF77" i="19"/>
  <c r="AF92" i="19"/>
  <c r="AF31" i="19"/>
  <c r="AF82" i="19"/>
  <c r="AF14" i="19"/>
  <c r="AF66" i="19"/>
  <c r="AF68" i="19"/>
  <c r="AF45" i="19"/>
  <c r="AF100" i="19"/>
  <c r="AF111" i="19"/>
  <c r="AF59" i="19"/>
  <c r="AF94" i="19"/>
  <c r="AF86" i="19"/>
  <c r="AF27" i="19"/>
  <c r="AF80" i="19"/>
  <c r="AF29" i="19"/>
  <c r="AF62" i="19"/>
  <c r="AF21" i="19"/>
  <c r="AF105" i="19"/>
  <c r="AF26" i="19"/>
  <c r="AF85" i="19"/>
  <c r="AF57" i="19"/>
  <c r="AF93" i="19"/>
  <c r="AF83" i="19"/>
  <c r="AF35" i="19"/>
  <c r="AF56" i="19"/>
  <c r="AF30" i="19"/>
  <c r="AF15" i="19"/>
  <c r="AF76" i="19"/>
  <c r="AF49" i="19"/>
  <c r="AF103" i="19"/>
  <c r="AF18" i="19"/>
  <c r="AF67" i="19"/>
  <c r="AF69" i="19"/>
  <c r="AF110" i="19"/>
  <c r="AF91" i="19"/>
  <c r="AF95" i="19"/>
  <c r="AF38" i="19"/>
  <c r="AF70" i="19"/>
  <c r="AF25" i="19"/>
  <c r="AF107" i="19"/>
  <c r="AF42" i="19"/>
  <c r="AF33" i="19"/>
  <c r="AF73" i="19"/>
  <c r="AF74" i="19"/>
  <c r="AF87" i="19"/>
  <c r="AB12" i="19"/>
  <c r="AB62" i="19"/>
  <c r="AB64" i="19"/>
  <c r="AB88" i="19"/>
  <c r="AB17" i="19"/>
  <c r="AB65" i="19"/>
  <c r="AB63" i="19"/>
  <c r="AB87" i="19"/>
  <c r="AB28" i="19"/>
  <c r="AB57" i="19"/>
  <c r="AB105" i="19"/>
  <c r="AB101" i="19"/>
  <c r="AB90" i="19"/>
  <c r="AB40" i="19"/>
  <c r="AB76" i="19"/>
  <c r="AB45" i="19"/>
  <c r="AB85" i="19"/>
  <c r="AB46" i="19"/>
  <c r="AB67" i="19"/>
  <c r="AB16" i="19"/>
  <c r="AB102" i="19"/>
  <c r="AB69" i="19"/>
  <c r="AB89" i="19"/>
  <c r="AB22" i="19"/>
  <c r="AB50" i="19"/>
  <c r="AB78" i="19"/>
  <c r="AB94" i="19"/>
  <c r="AB27" i="19"/>
  <c r="AB111" i="19"/>
  <c r="AB31" i="19"/>
  <c r="AB39" i="19"/>
  <c r="AB47" i="19"/>
  <c r="AB55" i="19"/>
  <c r="AB54" i="19"/>
  <c r="AB70" i="19"/>
  <c r="AB44" i="19"/>
  <c r="AB56" i="19"/>
  <c r="AB72" i="19"/>
  <c r="AB84" i="19"/>
  <c r="AB92" i="19"/>
  <c r="AB13" i="19"/>
  <c r="AB21" i="19"/>
  <c r="AB29" i="19"/>
  <c r="AB18" i="19"/>
  <c r="AB107" i="19"/>
  <c r="AB71" i="19"/>
  <c r="AB83" i="19"/>
  <c r="AB91" i="19"/>
  <c r="AB20" i="19"/>
  <c r="AB33" i="19"/>
  <c r="AB53" i="19"/>
  <c r="AB73" i="19"/>
  <c r="AB30" i="19"/>
  <c r="AB42" i="19"/>
  <c r="AB99" i="19"/>
  <c r="AB109" i="19"/>
  <c r="AB82" i="19"/>
  <c r="AB15" i="19"/>
  <c r="AB32" i="19"/>
  <c r="AB48" i="19"/>
  <c r="AB68" i="19"/>
  <c r="AB98" i="19"/>
  <c r="AB37" i="19"/>
  <c r="AB49" i="19"/>
  <c r="AB77" i="19"/>
  <c r="AB93" i="19"/>
  <c r="AB103" i="19"/>
  <c r="AB59" i="19"/>
  <c r="AB75" i="19"/>
  <c r="AB24" i="19"/>
  <c r="AB110" i="19"/>
  <c r="AB81" i="19"/>
  <c r="AB97" i="19"/>
  <c r="AB38" i="19"/>
  <c r="AB58" i="19"/>
  <c r="AB86" i="19"/>
  <c r="AB19" i="19"/>
  <c r="AB104" i="19"/>
  <c r="AB100" i="19"/>
  <c r="AB35" i="19"/>
  <c r="AB43" i="19"/>
  <c r="AB51" i="19"/>
  <c r="AB34" i="19"/>
  <c r="AB36" i="19"/>
  <c r="AB52" i="19"/>
  <c r="AB80" i="19"/>
  <c r="AB96" i="19"/>
  <c r="AB25" i="19"/>
  <c r="AB108" i="19"/>
  <c r="AB79" i="19"/>
  <c r="AB95" i="19"/>
  <c r="AB41" i="19"/>
  <c r="AB14" i="19"/>
  <c r="AB74" i="19"/>
  <c r="AB66" i="19"/>
  <c r="AB23" i="19"/>
  <c r="AB60" i="19"/>
  <c r="AB106" i="19"/>
  <c r="AB61" i="19"/>
  <c r="AB26" i="19"/>
  <c r="Z12" i="19"/>
  <c r="Z63" i="19"/>
  <c r="Z95" i="19"/>
  <c r="Z16" i="19"/>
  <c r="Z69" i="19"/>
  <c r="Z22" i="19"/>
  <c r="Z78" i="19"/>
  <c r="Z27" i="19"/>
  <c r="Z31" i="19"/>
  <c r="Z47" i="19"/>
  <c r="Z54" i="19"/>
  <c r="Z44" i="19"/>
  <c r="Z72" i="19"/>
  <c r="Z92" i="19"/>
  <c r="Z21" i="19"/>
  <c r="Z18" i="19"/>
  <c r="Z91" i="19"/>
  <c r="Z41" i="19"/>
  <c r="Z14" i="19"/>
  <c r="Z74" i="19"/>
  <c r="Z46" i="19"/>
  <c r="Z15" i="19"/>
  <c r="Z48" i="19"/>
  <c r="Z98" i="19"/>
  <c r="Z49" i="19"/>
  <c r="Z93" i="19"/>
  <c r="Z71" i="19"/>
  <c r="Z59" i="19"/>
  <c r="Z24" i="19"/>
  <c r="Z81" i="19"/>
  <c r="Z38" i="19"/>
  <c r="Z86" i="19"/>
  <c r="Z104" i="19"/>
  <c r="Z35" i="19"/>
  <c r="Z51" i="19"/>
  <c r="Z62" i="19"/>
  <c r="Z52" i="19"/>
  <c r="Z80" i="19"/>
  <c r="Z96" i="19"/>
  <c r="Z25" i="19"/>
  <c r="Z108" i="19"/>
  <c r="Z20" i="19"/>
  <c r="Z53" i="19"/>
  <c r="Z30" i="19"/>
  <c r="Z99" i="19"/>
  <c r="Z66" i="19"/>
  <c r="Z23" i="19"/>
  <c r="Z60" i="19"/>
  <c r="Z106" i="19"/>
  <c r="Z61" i="19"/>
  <c r="Z26" i="19"/>
  <c r="Z79" i="19"/>
  <c r="Z67" i="19"/>
  <c r="Z102" i="19"/>
  <c r="Z89" i="19"/>
  <c r="Z50" i="19"/>
  <c r="Z94" i="19"/>
  <c r="Z111" i="19"/>
  <c r="Z39" i="19"/>
  <c r="Z55" i="19"/>
  <c r="Z70" i="19"/>
  <c r="Z56" i="19"/>
  <c r="Z84" i="19"/>
  <c r="Z13" i="19"/>
  <c r="Z29" i="19"/>
  <c r="Z107" i="19"/>
  <c r="Z28" i="19"/>
  <c r="Z57" i="19"/>
  <c r="Z105" i="19"/>
  <c r="Z101" i="19"/>
  <c r="Z82" i="19"/>
  <c r="Z32" i="19"/>
  <c r="Z68" i="19"/>
  <c r="Z37" i="19"/>
  <c r="Z77" i="19"/>
  <c r="Z103" i="19"/>
  <c r="Z87" i="19"/>
  <c r="Z75" i="19"/>
  <c r="Z110" i="19"/>
  <c r="Z97" i="19"/>
  <c r="Z58" i="19"/>
  <c r="Z19" i="19"/>
  <c r="Z100" i="19"/>
  <c r="Z43" i="19"/>
  <c r="Z34" i="19"/>
  <c r="Z36" i="19"/>
  <c r="Z64" i="19"/>
  <c r="Z88" i="19"/>
  <c r="Z17" i="19"/>
  <c r="Z65" i="19"/>
  <c r="Z83" i="19"/>
  <c r="Z33" i="19"/>
  <c r="Z73" i="19"/>
  <c r="Z42" i="19"/>
  <c r="Z109" i="19"/>
  <c r="Z90" i="19"/>
  <c r="Z40" i="19"/>
  <c r="Z76" i="19"/>
  <c r="Z45" i="19"/>
  <c r="Z85" i="19"/>
  <c r="V12" i="19"/>
  <c r="V98" i="19"/>
  <c r="V34" i="19"/>
  <c r="V25" i="19"/>
  <c r="V55" i="19"/>
  <c r="V87" i="19"/>
  <c r="V28" i="19"/>
  <c r="V46" i="19"/>
  <c r="V15" i="19"/>
  <c r="V48" i="19"/>
  <c r="V37" i="19"/>
  <c r="V77" i="19"/>
  <c r="V31" i="19"/>
  <c r="V62" i="19"/>
  <c r="V64" i="19"/>
  <c r="V88" i="19"/>
  <c r="V17" i="19"/>
  <c r="V53" i="19"/>
  <c r="V30" i="19"/>
  <c r="V110" i="19"/>
  <c r="V75" i="19"/>
  <c r="V81" i="19"/>
  <c r="V99" i="19"/>
  <c r="V107" i="19"/>
  <c r="V50" i="19"/>
  <c r="V94" i="19"/>
  <c r="V35" i="19"/>
  <c r="V51" i="19"/>
  <c r="V36" i="19"/>
  <c r="V21" i="19"/>
  <c r="V29" i="19"/>
  <c r="V18" i="19"/>
  <c r="V63" i="19"/>
  <c r="V83" i="19"/>
  <c r="V91" i="19"/>
  <c r="V20" i="19"/>
  <c r="V100" i="19"/>
  <c r="V42" i="19"/>
  <c r="V66" i="19"/>
  <c r="V90" i="19"/>
  <c r="V23" i="19"/>
  <c r="V40" i="19"/>
  <c r="V60" i="19"/>
  <c r="V76" i="19"/>
  <c r="V45" i="19"/>
  <c r="V61" i="19"/>
  <c r="V85" i="19"/>
  <c r="V26" i="19"/>
  <c r="V43" i="19"/>
  <c r="V54" i="19"/>
  <c r="V70" i="19"/>
  <c r="V56" i="19"/>
  <c r="V72" i="19"/>
  <c r="V84" i="19"/>
  <c r="V92" i="19"/>
  <c r="V13" i="19"/>
  <c r="V71" i="19"/>
  <c r="V41" i="19"/>
  <c r="V57" i="19"/>
  <c r="V14" i="19"/>
  <c r="V102" i="19"/>
  <c r="V108" i="19"/>
  <c r="V74" i="19"/>
  <c r="V67" i="19"/>
  <c r="V16" i="19"/>
  <c r="V69" i="19"/>
  <c r="V89" i="19"/>
  <c r="V22" i="19"/>
  <c r="V101" i="19"/>
  <c r="V105" i="19"/>
  <c r="V109" i="19"/>
  <c r="V38" i="19"/>
  <c r="V58" i="19"/>
  <c r="V86" i="19"/>
  <c r="V19" i="19"/>
  <c r="V39" i="19"/>
  <c r="V52" i="19"/>
  <c r="V65" i="19"/>
  <c r="V79" i="19"/>
  <c r="V95" i="19"/>
  <c r="V106" i="19"/>
  <c r="V82" i="19"/>
  <c r="V32" i="19"/>
  <c r="V68" i="19"/>
  <c r="V49" i="19"/>
  <c r="V93" i="19"/>
  <c r="V47" i="19"/>
  <c r="V44" i="19"/>
  <c r="V80" i="19"/>
  <c r="V96" i="19"/>
  <c r="V33" i="19"/>
  <c r="V73" i="19"/>
  <c r="V104" i="19"/>
  <c r="V59" i="19"/>
  <c r="V24" i="19"/>
  <c r="V97" i="19"/>
  <c r="V103" i="19"/>
  <c r="V111" i="19"/>
  <c r="V78" i="19"/>
  <c r="V27" i="19"/>
  <c r="T12" i="19"/>
  <c r="T98" i="19"/>
  <c r="T59" i="19"/>
  <c r="T24" i="19"/>
  <c r="T97" i="19"/>
  <c r="T103" i="19"/>
  <c r="T111" i="19"/>
  <c r="T78" i="19"/>
  <c r="T27" i="19"/>
  <c r="T43" i="19"/>
  <c r="T54" i="19"/>
  <c r="T44" i="19"/>
  <c r="T72" i="19"/>
  <c r="T92" i="19"/>
  <c r="T21" i="19"/>
  <c r="T18" i="19"/>
  <c r="T79" i="19"/>
  <c r="T95" i="19"/>
  <c r="T41" i="19"/>
  <c r="T14" i="19"/>
  <c r="T104" i="19"/>
  <c r="T42" i="19"/>
  <c r="T82" i="19"/>
  <c r="T32" i="19"/>
  <c r="T68" i="19"/>
  <c r="T49" i="19"/>
  <c r="T93" i="19"/>
  <c r="T67" i="19"/>
  <c r="T69" i="19"/>
  <c r="T22" i="19"/>
  <c r="T105" i="19"/>
  <c r="T38" i="19"/>
  <c r="T86" i="19"/>
  <c r="T31" i="19"/>
  <c r="T47" i="19"/>
  <c r="T62" i="19"/>
  <c r="T52" i="19"/>
  <c r="T80" i="19"/>
  <c r="T96" i="19"/>
  <c r="T25" i="19"/>
  <c r="T55" i="19"/>
  <c r="T83" i="19"/>
  <c r="T20" i="19"/>
  <c r="T53" i="19"/>
  <c r="T30" i="19"/>
  <c r="T106" i="19"/>
  <c r="T74" i="19"/>
  <c r="T90" i="19"/>
  <c r="T40" i="19"/>
  <c r="T76" i="19"/>
  <c r="T61" i="19"/>
  <c r="T26" i="19"/>
  <c r="T75" i="19"/>
  <c r="T81" i="19"/>
  <c r="T99" i="19"/>
  <c r="T107" i="19"/>
  <c r="T50" i="19"/>
  <c r="T94" i="19"/>
  <c r="T35" i="19"/>
  <c r="T51" i="19"/>
  <c r="T70" i="19"/>
  <c r="T56" i="19"/>
  <c r="T84" i="19"/>
  <c r="T13" i="19"/>
  <c r="T29" i="19"/>
  <c r="T63" i="19"/>
  <c r="T87" i="19"/>
  <c r="T28" i="19"/>
  <c r="T57" i="19"/>
  <c r="T100" i="19"/>
  <c r="T108" i="19"/>
  <c r="T46" i="19"/>
  <c r="T15" i="19"/>
  <c r="T48" i="19"/>
  <c r="T37" i="19"/>
  <c r="T77" i="19"/>
  <c r="T16" i="19"/>
  <c r="T89" i="19"/>
  <c r="T101" i="19"/>
  <c r="T109" i="19"/>
  <c r="T58" i="19"/>
  <c r="T19" i="19"/>
  <c r="T39" i="19"/>
  <c r="T34" i="19"/>
  <c r="T36" i="19"/>
  <c r="T64" i="19"/>
  <c r="T88" i="19"/>
  <c r="T17" i="19"/>
  <c r="T65" i="19"/>
  <c r="T71" i="19"/>
  <c r="T91" i="19"/>
  <c r="T33" i="19"/>
  <c r="T73" i="19"/>
  <c r="T102" i="19"/>
  <c r="T110" i="19"/>
  <c r="T66" i="19"/>
  <c r="T23" i="19"/>
  <c r="T60" i="19"/>
  <c r="T45" i="19"/>
  <c r="T85" i="19"/>
  <c r="P12" i="19"/>
  <c r="P107" i="19"/>
  <c r="P75" i="19"/>
  <c r="P104" i="19"/>
  <c r="P68" i="19"/>
  <c r="P110" i="19"/>
  <c r="P111" i="19"/>
  <c r="P83" i="19"/>
  <c r="P63" i="19"/>
  <c r="P70" i="19"/>
  <c r="P97" i="19"/>
  <c r="P69" i="19"/>
  <c r="P109" i="19"/>
  <c r="P89" i="19"/>
  <c r="P57" i="19"/>
  <c r="P59" i="19"/>
  <c r="P76" i="19"/>
  <c r="P60" i="19"/>
  <c r="P62" i="19"/>
  <c r="P99" i="19"/>
  <c r="P71" i="19"/>
  <c r="P90" i="19"/>
  <c r="P105" i="19"/>
  <c r="P81" i="19"/>
  <c r="P87" i="19"/>
  <c r="P100" i="19"/>
  <c r="P64" i="19"/>
  <c r="P106" i="19"/>
  <c r="P103" i="19"/>
  <c r="P79" i="19"/>
  <c r="P102" i="19"/>
  <c r="P108" i="19"/>
  <c r="P72" i="19"/>
  <c r="P56" i="19"/>
  <c r="P95" i="19"/>
  <c r="P67" i="19"/>
  <c r="P82" i="19"/>
  <c r="P101" i="19"/>
  <c r="P73" i="19"/>
  <c r="P91" i="19"/>
  <c r="P29" i="19"/>
  <c r="P20" i="19"/>
  <c r="P33" i="19"/>
  <c r="P53" i="19"/>
  <c r="P30" i="19"/>
  <c r="P84" i="19"/>
  <c r="P98" i="19"/>
  <c r="P15" i="19"/>
  <c r="P77" i="19"/>
  <c r="P93" i="19"/>
  <c r="P40" i="19"/>
  <c r="P37" i="19"/>
  <c r="P49" i="19"/>
  <c r="P55" i="19"/>
  <c r="P24" i="19"/>
  <c r="P66" i="19"/>
  <c r="P86" i="19"/>
  <c r="P38" i="19"/>
  <c r="P19" i="19"/>
  <c r="P31" i="19"/>
  <c r="P39" i="19"/>
  <c r="P47" i="19"/>
  <c r="P74" i="19"/>
  <c r="P54" i="19"/>
  <c r="P80" i="19"/>
  <c r="P96" i="19"/>
  <c r="P44" i="19"/>
  <c r="P13" i="19"/>
  <c r="P21" i="19"/>
  <c r="P58" i="19"/>
  <c r="P16" i="19"/>
  <c r="P22" i="19"/>
  <c r="P78" i="19"/>
  <c r="P94" i="19"/>
  <c r="P50" i="19"/>
  <c r="P27" i="19"/>
  <c r="P35" i="19"/>
  <c r="P43" i="19"/>
  <c r="P51" i="19"/>
  <c r="P34" i="19"/>
  <c r="P61" i="19"/>
  <c r="P88" i="19"/>
  <c r="P36" i="19"/>
  <c r="P52" i="19"/>
  <c r="P17" i="19"/>
  <c r="P25" i="19"/>
  <c r="P18" i="19"/>
  <c r="P28" i="19"/>
  <c r="P41" i="19"/>
  <c r="P14" i="19"/>
  <c r="P65" i="19"/>
  <c r="P92" i="19"/>
  <c r="P42" i="19"/>
  <c r="P46" i="19"/>
  <c r="P23" i="19"/>
  <c r="P85" i="19"/>
  <c r="P32" i="19"/>
  <c r="P48" i="19"/>
  <c r="P45" i="19"/>
  <c r="P26" i="19"/>
  <c r="N62" i="19"/>
  <c r="N70" i="19"/>
  <c r="N82" i="19"/>
  <c r="N90" i="19"/>
  <c r="N102" i="19"/>
  <c r="N106" i="19"/>
  <c r="N110" i="19"/>
  <c r="N56" i="19"/>
  <c r="N60" i="19"/>
  <c r="N64" i="19"/>
  <c r="N68" i="19"/>
  <c r="N72" i="19"/>
  <c r="N76" i="19"/>
  <c r="N100" i="19"/>
  <c r="N104" i="19"/>
  <c r="N108" i="19"/>
  <c r="N89" i="19"/>
  <c r="N87" i="19"/>
  <c r="N105" i="19"/>
  <c r="N57" i="19"/>
  <c r="N91" i="19"/>
  <c r="N67" i="19"/>
  <c r="N69" i="19"/>
  <c r="N75" i="19"/>
  <c r="N97" i="19"/>
  <c r="N111" i="19"/>
  <c r="N83" i="19"/>
  <c r="N59" i="19"/>
  <c r="N101" i="19"/>
  <c r="N109" i="19"/>
  <c r="N73" i="19"/>
  <c r="N71" i="19"/>
  <c r="N107" i="19"/>
  <c r="N63" i="19"/>
  <c r="N81" i="19"/>
  <c r="N103" i="19"/>
  <c r="N79" i="19"/>
  <c r="N95" i="19"/>
  <c r="N99" i="19"/>
  <c r="N22" i="19"/>
  <c r="N35" i="19"/>
  <c r="N51" i="19"/>
  <c r="N61" i="19"/>
  <c r="N36" i="19"/>
  <c r="N17" i="19"/>
  <c r="N18" i="19"/>
  <c r="N78" i="19"/>
  <c r="N31" i="19"/>
  <c r="N41" i="19"/>
  <c r="N65" i="19"/>
  <c r="N42" i="19"/>
  <c r="N23" i="19"/>
  <c r="N32" i="19"/>
  <c r="N45" i="19"/>
  <c r="N86" i="19"/>
  <c r="N39" i="19"/>
  <c r="N74" i="19"/>
  <c r="N80" i="19"/>
  <c r="N44" i="19"/>
  <c r="N21" i="19"/>
  <c r="N55" i="19"/>
  <c r="N94" i="19"/>
  <c r="N20" i="19"/>
  <c r="N53" i="19"/>
  <c r="N84" i="19"/>
  <c r="N58" i="19"/>
  <c r="N77" i="19"/>
  <c r="N40" i="19"/>
  <c r="N49" i="19"/>
  <c r="N24" i="19"/>
  <c r="N47" i="19"/>
  <c r="N54" i="19"/>
  <c r="N96" i="19"/>
  <c r="N29" i="19"/>
  <c r="N19" i="19"/>
  <c r="N33" i="19"/>
  <c r="N98" i="19"/>
  <c r="N15" i="19"/>
  <c r="N37" i="19"/>
  <c r="N38" i="19"/>
  <c r="N43" i="19"/>
  <c r="N34" i="19"/>
  <c r="N88" i="19"/>
  <c r="N52" i="19"/>
  <c r="N25" i="19"/>
  <c r="N16" i="19"/>
  <c r="N50" i="19"/>
  <c r="N28" i="19"/>
  <c r="N14" i="19"/>
  <c r="N92" i="19"/>
  <c r="N46" i="19"/>
  <c r="N85" i="19"/>
  <c r="N48" i="19"/>
  <c r="N26" i="19"/>
  <c r="N27" i="19"/>
  <c r="N13" i="19"/>
  <c r="N66" i="19"/>
  <c r="N30" i="19"/>
  <c r="N93" i="19"/>
  <c r="AJ13" i="19"/>
  <c r="AJ17" i="19"/>
  <c r="AJ21" i="19"/>
  <c r="AJ25" i="19"/>
  <c r="AJ29" i="19"/>
  <c r="AJ33" i="19"/>
  <c r="AJ37" i="19"/>
  <c r="AJ41" i="19"/>
  <c r="AJ45" i="19"/>
  <c r="AJ49" i="19"/>
  <c r="AJ53" i="19"/>
  <c r="AJ57" i="19"/>
  <c r="AJ61" i="19"/>
  <c r="AJ65" i="19"/>
  <c r="AJ69" i="19"/>
  <c r="AJ73" i="19"/>
  <c r="AJ77" i="19"/>
  <c r="AJ81" i="19"/>
  <c r="AJ85" i="19"/>
  <c r="AJ89" i="19"/>
  <c r="AJ93" i="19"/>
  <c r="AJ97" i="19"/>
  <c r="AJ101" i="19"/>
  <c r="AJ105" i="19"/>
  <c r="AJ109" i="19"/>
  <c r="AJ14" i="19"/>
  <c r="AJ18" i="19"/>
  <c r="AJ22" i="19"/>
  <c r="AJ26" i="19"/>
  <c r="AJ30" i="19"/>
  <c r="AJ34" i="19"/>
  <c r="AJ38" i="19"/>
  <c r="AJ42" i="19"/>
  <c r="AJ46" i="19"/>
  <c r="AJ50" i="19"/>
  <c r="AJ54" i="19"/>
  <c r="AJ58" i="19"/>
  <c r="AJ62" i="19"/>
  <c r="AJ66" i="19"/>
  <c r="AJ70" i="19"/>
  <c r="AJ74" i="19"/>
  <c r="AJ78" i="19"/>
  <c r="AJ82" i="19"/>
  <c r="AJ86" i="19"/>
  <c r="AJ90" i="19"/>
  <c r="AJ94" i="19"/>
  <c r="AJ98" i="19"/>
  <c r="AJ102" i="19"/>
  <c r="AJ106" i="19"/>
  <c r="AJ110" i="19"/>
  <c r="AJ15" i="19"/>
  <c r="AJ19" i="19"/>
  <c r="AJ23" i="19"/>
  <c r="AJ27" i="19"/>
  <c r="AJ31" i="19"/>
  <c r="AJ35" i="19"/>
  <c r="AJ39" i="19"/>
  <c r="AJ43" i="19"/>
  <c r="AJ47" i="19"/>
  <c r="AJ51" i="19"/>
  <c r="AJ55" i="19"/>
  <c r="AJ59" i="19"/>
  <c r="AJ63" i="19"/>
  <c r="AJ67" i="19"/>
  <c r="AJ71" i="19"/>
  <c r="AJ75" i="19"/>
  <c r="AJ79" i="19"/>
  <c r="AJ83" i="19"/>
  <c r="AJ87" i="19"/>
  <c r="AJ91" i="19"/>
  <c r="AJ95" i="19"/>
  <c r="AJ99" i="19"/>
  <c r="AJ103" i="19"/>
  <c r="AJ107" i="19"/>
  <c r="AJ111" i="19"/>
  <c r="AJ16" i="19"/>
  <c r="AJ20" i="19"/>
  <c r="AJ24" i="19"/>
  <c r="AJ28" i="19"/>
  <c r="AJ32" i="19"/>
  <c r="AJ36" i="19"/>
  <c r="AJ40" i="19"/>
  <c r="AJ44" i="19"/>
  <c r="AJ48" i="19"/>
  <c r="AJ52" i="19"/>
  <c r="AJ56" i="19"/>
  <c r="AJ72" i="19"/>
  <c r="AJ88" i="19"/>
  <c r="AJ104" i="19"/>
  <c r="AJ60" i="19"/>
  <c r="AJ76" i="19"/>
  <c r="AJ92" i="19"/>
  <c r="AJ108" i="19"/>
  <c r="AJ64" i="19"/>
  <c r="AJ80" i="19"/>
  <c r="AJ96" i="19"/>
  <c r="AJ68" i="19"/>
  <c r="AJ84" i="19"/>
  <c r="AJ100" i="19"/>
  <c r="L13" i="19"/>
  <c r="X13" i="19"/>
  <c r="AV13" i="19"/>
  <c r="L14" i="19"/>
  <c r="X14" i="19"/>
  <c r="AV14" i="19"/>
  <c r="L15" i="19"/>
  <c r="X15" i="19"/>
  <c r="AV15" i="19"/>
  <c r="L16" i="19"/>
  <c r="X16" i="19"/>
  <c r="AV16" i="19"/>
  <c r="L17" i="19"/>
  <c r="X17" i="19"/>
  <c r="AV17" i="19"/>
  <c r="L18" i="19"/>
  <c r="X18" i="19"/>
  <c r="AV18" i="19"/>
  <c r="L19" i="19"/>
  <c r="X19" i="19"/>
  <c r="AV19" i="19"/>
  <c r="L20" i="19"/>
  <c r="R13" i="19"/>
  <c r="R14" i="19"/>
  <c r="AP13" i="19"/>
  <c r="AP14" i="19"/>
  <c r="AP15" i="19"/>
  <c r="AP16" i="19"/>
  <c r="AP17" i="19"/>
  <c r="AP18" i="19"/>
  <c r="AP19" i="19"/>
  <c r="BB14" i="19"/>
  <c r="R15" i="19"/>
  <c r="AD15" i="19"/>
  <c r="AD17" i="19"/>
  <c r="R18" i="19"/>
  <c r="BB18" i="19"/>
  <c r="AD20" i="19"/>
  <c r="R21" i="19"/>
  <c r="X21" i="19"/>
  <c r="L22" i="19"/>
  <c r="BB22" i="19"/>
  <c r="X23" i="19"/>
  <c r="AV23" i="19"/>
  <c r="L24" i="19"/>
  <c r="X24" i="19"/>
  <c r="AV24" i="19"/>
  <c r="L25" i="19"/>
  <c r="X25" i="19"/>
  <c r="AV25" i="19"/>
  <c r="L26" i="19"/>
  <c r="X26" i="19"/>
  <c r="AV26" i="19"/>
  <c r="L27" i="19"/>
  <c r="X27" i="19"/>
  <c r="AV27" i="19"/>
  <c r="L28" i="19"/>
  <c r="X28" i="19"/>
  <c r="AV28" i="19"/>
  <c r="L29" i="19"/>
  <c r="X29" i="19"/>
  <c r="AV29" i="19"/>
  <c r="L30" i="19"/>
  <c r="X30" i="19"/>
  <c r="AV30" i="19"/>
  <c r="L31" i="19"/>
  <c r="X31" i="19"/>
  <c r="AV31" i="19"/>
  <c r="L32" i="19"/>
  <c r="AD14" i="19"/>
  <c r="AD13" i="19"/>
  <c r="BB15" i="19"/>
  <c r="AD18" i="19"/>
  <c r="AD19" i="19"/>
  <c r="AD21" i="19"/>
  <c r="AP22" i="19"/>
  <c r="AD23" i="19"/>
  <c r="AD24" i="19"/>
  <c r="AD25" i="19"/>
  <c r="R16" i="19"/>
  <c r="R17" i="19"/>
  <c r="R20" i="19"/>
  <c r="AV20" i="19"/>
  <c r="BB20" i="19"/>
  <c r="L21" i="19"/>
  <c r="AV21" i="19"/>
  <c r="BB21" i="19"/>
  <c r="R22" i="19"/>
  <c r="BB23" i="19"/>
  <c r="BB24" i="19"/>
  <c r="BB25" i="19"/>
  <c r="BB26" i="19"/>
  <c r="BB27" i="19"/>
  <c r="BB28" i="19"/>
  <c r="BB29" i="19"/>
  <c r="BB30" i="19"/>
  <c r="BB31" i="19"/>
  <c r="BB13" i="19"/>
  <c r="AD16" i="19"/>
  <c r="BB17" i="19"/>
  <c r="BB19" i="19"/>
  <c r="AD22" i="19"/>
  <c r="R24" i="19"/>
  <c r="AP25" i="19"/>
  <c r="AP26" i="19"/>
  <c r="X20" i="19"/>
  <c r="X22" i="19"/>
  <c r="AP23" i="19"/>
  <c r="R26" i="19"/>
  <c r="R27" i="19"/>
  <c r="R28" i="19"/>
  <c r="R29" i="19"/>
  <c r="R30" i="19"/>
  <c r="R31" i="19"/>
  <c r="R32" i="19"/>
  <c r="BB32" i="19"/>
  <c r="AV33" i="19"/>
  <c r="AP34" i="19"/>
  <c r="X35" i="19"/>
  <c r="AD35" i="19"/>
  <c r="L36" i="19"/>
  <c r="R36" i="19"/>
  <c r="BB36" i="19"/>
  <c r="AD27" i="19"/>
  <c r="AP30" i="19"/>
  <c r="AD31" i="19"/>
  <c r="R33" i="19"/>
  <c r="X33" i="19"/>
  <c r="R34" i="19"/>
  <c r="X34" i="19"/>
  <c r="R35" i="19"/>
  <c r="X36" i="19"/>
  <c r="AD37" i="19"/>
  <c r="R38" i="19"/>
  <c r="X38" i="19"/>
  <c r="L39" i="19"/>
  <c r="BB39" i="19"/>
  <c r="AP40" i="19"/>
  <c r="AV40" i="19"/>
  <c r="AD41" i="19"/>
  <c r="R42" i="19"/>
  <c r="X42" i="19"/>
  <c r="L43" i="19"/>
  <c r="BB43" i="19"/>
  <c r="AP44" i="19"/>
  <c r="AV44" i="19"/>
  <c r="AD45" i="19"/>
  <c r="R46" i="19"/>
  <c r="X46" i="19"/>
  <c r="L47" i="19"/>
  <c r="BB47" i="19"/>
  <c r="AP48" i="19"/>
  <c r="AV48" i="19"/>
  <c r="AD49" i="19"/>
  <c r="R50" i="19"/>
  <c r="X50" i="19"/>
  <c r="L51" i="19"/>
  <c r="BB51" i="19"/>
  <c r="AP52" i="19"/>
  <c r="AV52" i="19"/>
  <c r="AD53" i="19"/>
  <c r="R54" i="19"/>
  <c r="X54" i="19"/>
  <c r="L55" i="19"/>
  <c r="BB55" i="19"/>
  <c r="AP56" i="19"/>
  <c r="AV56" i="19"/>
  <c r="AD57" i="19"/>
  <c r="AP57" i="19"/>
  <c r="BB57" i="19"/>
  <c r="R58" i="19"/>
  <c r="AD58" i="19"/>
  <c r="AP58" i="19"/>
  <c r="BB58" i="19"/>
  <c r="R59" i="19"/>
  <c r="AD59" i="19"/>
  <c r="AP59" i="19"/>
  <c r="BB59" i="19"/>
  <c r="R60" i="19"/>
  <c r="AD60" i="19"/>
  <c r="AP60" i="19"/>
  <c r="BB60" i="19"/>
  <c r="R61" i="19"/>
  <c r="AD61" i="19"/>
  <c r="AP61" i="19"/>
  <c r="BB61" i="19"/>
  <c r="R62" i="19"/>
  <c r="AD62" i="19"/>
  <c r="AP62" i="19"/>
  <c r="BB62" i="19"/>
  <c r="R63" i="19"/>
  <c r="AD63" i="19"/>
  <c r="AP63" i="19"/>
  <c r="AP21" i="19"/>
  <c r="AV22" i="19"/>
  <c r="L23" i="19"/>
  <c r="AP24" i="19"/>
  <c r="AD26" i="19"/>
  <c r="AP27" i="19"/>
  <c r="AD28" i="19"/>
  <c r="AP31" i="19"/>
  <c r="AP32" i="19"/>
  <c r="AV32" i="19"/>
  <c r="L33" i="19"/>
  <c r="BB33" i="19"/>
  <c r="L34" i="19"/>
  <c r="AV34" i="19"/>
  <c r="BB34" i="19"/>
  <c r="L35" i="19"/>
  <c r="AP35" i="19"/>
  <c r="AV35" i="19"/>
  <c r="BB35" i="19"/>
  <c r="AP37" i="19"/>
  <c r="R19" i="19"/>
  <c r="AD29" i="19"/>
  <c r="AD30" i="19"/>
  <c r="AP33" i="19"/>
  <c r="AV36" i="19"/>
  <c r="L37" i="19"/>
  <c r="AD38" i="19"/>
  <c r="AP39" i="19"/>
  <c r="AP41" i="19"/>
  <c r="AP42" i="19"/>
  <c r="AV43" i="19"/>
  <c r="L44" i="19"/>
  <c r="R44" i="19"/>
  <c r="BB44" i="19"/>
  <c r="L45" i="19"/>
  <c r="R45" i="19"/>
  <c r="AV45" i="19"/>
  <c r="BB45" i="19"/>
  <c r="L46" i="19"/>
  <c r="AV46" i="19"/>
  <c r="BB46" i="19"/>
  <c r="R47" i="19"/>
  <c r="X48" i="19"/>
  <c r="AD48" i="19"/>
  <c r="X49" i="19"/>
  <c r="X51" i="19"/>
  <c r="AD51" i="19"/>
  <c r="AD54" i="19"/>
  <c r="AP55" i="19"/>
  <c r="L58" i="19"/>
  <c r="L59" i="19"/>
  <c r="L60" i="19"/>
  <c r="AP20" i="19"/>
  <c r="R23" i="19"/>
  <c r="AP28" i="19"/>
  <c r="AD32" i="19"/>
  <c r="AP36" i="19"/>
  <c r="AV37" i="19"/>
  <c r="BB37" i="19"/>
  <c r="L38" i="19"/>
  <c r="AV38" i="19"/>
  <c r="BB38" i="19"/>
  <c r="R39" i="19"/>
  <c r="X40" i="19"/>
  <c r="AD40" i="19"/>
  <c r="X41" i="19"/>
  <c r="X43" i="19"/>
  <c r="AD43" i="19"/>
  <c r="AD46" i="19"/>
  <c r="AP47" i="19"/>
  <c r="AP49" i="19"/>
  <c r="AP50" i="19"/>
  <c r="AV51" i="19"/>
  <c r="L52" i="19"/>
  <c r="R52" i="19"/>
  <c r="BB52" i="19"/>
  <c r="L53" i="19"/>
  <c r="R53" i="19"/>
  <c r="AV53" i="19"/>
  <c r="BB53" i="19"/>
  <c r="L54" i="19"/>
  <c r="AV54" i="19"/>
  <c r="BB54" i="19"/>
  <c r="R55" i="19"/>
  <c r="X56" i="19"/>
  <c r="AD56" i="19"/>
  <c r="X57" i="19"/>
  <c r="BB63" i="19"/>
  <c r="R64" i="19"/>
  <c r="AD64" i="19"/>
  <c r="AP64" i="19"/>
  <c r="BB64" i="19"/>
  <c r="R65" i="19"/>
  <c r="AD65" i="19"/>
  <c r="AP65" i="19"/>
  <c r="BB65" i="19"/>
  <c r="R66" i="19"/>
  <c r="AD66" i="19"/>
  <c r="AP66" i="19"/>
  <c r="BB66" i="19"/>
  <c r="R67" i="19"/>
  <c r="AD67" i="19"/>
  <c r="AP67" i="19"/>
  <c r="BB67" i="19"/>
  <c r="R68" i="19"/>
  <c r="AD68" i="19"/>
  <c r="AP68" i="19"/>
  <c r="BB68" i="19"/>
  <c r="R69" i="19"/>
  <c r="AD69" i="19"/>
  <c r="AP69" i="19"/>
  <c r="BB69" i="19"/>
  <c r="R70" i="19"/>
  <c r="AD70" i="19"/>
  <c r="AP70" i="19"/>
  <c r="BB70" i="19"/>
  <c r="R71" i="19"/>
  <c r="AD71" i="19"/>
  <c r="AP71" i="19"/>
  <c r="BB71" i="19"/>
  <c r="R72" i="19"/>
  <c r="AD72" i="19"/>
  <c r="AP72" i="19"/>
  <c r="BB72" i="19"/>
  <c r="R73" i="19"/>
  <c r="AD73" i="19"/>
  <c r="AP73" i="19"/>
  <c r="BB73" i="19"/>
  <c r="R74" i="19"/>
  <c r="AD74" i="19"/>
  <c r="AP74" i="19"/>
  <c r="BB74" i="19"/>
  <c r="R75" i="19"/>
  <c r="AD75" i="19"/>
  <c r="AP75" i="19"/>
  <c r="BB75" i="19"/>
  <c r="R76" i="19"/>
  <c r="AD76" i="19"/>
  <c r="AP76" i="19"/>
  <c r="BB76" i="19"/>
  <c r="R77" i="19"/>
  <c r="AD77" i="19"/>
  <c r="AP77" i="19"/>
  <c r="BB77" i="19"/>
  <c r="R78" i="19"/>
  <c r="AD78" i="19"/>
  <c r="AP78" i="19"/>
  <c r="BB78" i="19"/>
  <c r="R79" i="19"/>
  <c r="AD79" i="19"/>
  <c r="AP79" i="19"/>
  <c r="BB79" i="19"/>
  <c r="R80" i="19"/>
  <c r="AD80" i="19"/>
  <c r="AP80" i="19"/>
  <c r="BB80" i="19"/>
  <c r="R81" i="19"/>
  <c r="AD81" i="19"/>
  <c r="AP81" i="19"/>
  <c r="BB81" i="19"/>
  <c r="R82" i="19"/>
  <c r="AD82" i="19"/>
  <c r="AP82" i="19"/>
  <c r="BB82" i="19"/>
  <c r="R83" i="19"/>
  <c r="AD83" i="19"/>
  <c r="AP83" i="19"/>
  <c r="BB83" i="19"/>
  <c r="R84" i="19"/>
  <c r="AD84" i="19"/>
  <c r="AP84" i="19"/>
  <c r="BB84" i="19"/>
  <c r="R85" i="19"/>
  <c r="AD85" i="19"/>
  <c r="AP85" i="19"/>
  <c r="BB85" i="19"/>
  <c r="R86" i="19"/>
  <c r="AD86" i="19"/>
  <c r="AP86" i="19"/>
  <c r="BB86" i="19"/>
  <c r="R87" i="19"/>
  <c r="AD87" i="19"/>
  <c r="AP87" i="19"/>
  <c r="BB87" i="19"/>
  <c r="R88" i="19"/>
  <c r="AD88" i="19"/>
  <c r="AP88" i="19"/>
  <c r="BB88" i="19"/>
  <c r="R89" i="19"/>
  <c r="AD89" i="19"/>
  <c r="AP89" i="19"/>
  <c r="BB89" i="19"/>
  <c r="R90" i="19"/>
  <c r="AD90" i="19"/>
  <c r="AP90" i="19"/>
  <c r="BB90" i="19"/>
  <c r="R91" i="19"/>
  <c r="AD91" i="19"/>
  <c r="AP91" i="19"/>
  <c r="BB91" i="19"/>
  <c r="R92" i="19"/>
  <c r="AD92" i="19"/>
  <c r="AP92" i="19"/>
  <c r="BB92" i="19"/>
  <c r="R93" i="19"/>
  <c r="AD93" i="19"/>
  <c r="AP93" i="19"/>
  <c r="BB93" i="19"/>
  <c r="R94" i="19"/>
  <c r="AD94" i="19"/>
  <c r="AP94" i="19"/>
  <c r="BB94" i="19"/>
  <c r="R95" i="19"/>
  <c r="AD95" i="19"/>
  <c r="AP95" i="19"/>
  <c r="BB95" i="19"/>
  <c r="R96" i="19"/>
  <c r="AD96" i="19"/>
  <c r="AP96" i="19"/>
  <c r="BB96" i="19"/>
  <c r="R97" i="19"/>
  <c r="AD97" i="19"/>
  <c r="AP97" i="19"/>
  <c r="BB97" i="19"/>
  <c r="R98" i="19"/>
  <c r="AD98" i="19"/>
  <c r="AP98" i="19"/>
  <c r="BB98" i="19"/>
  <c r="R99" i="19"/>
  <c r="AD99" i="19"/>
  <c r="AP99" i="19"/>
  <c r="BB99" i="19"/>
  <c r="R100" i="19"/>
  <c r="AD100" i="19"/>
  <c r="AP100" i="19"/>
  <c r="BB100" i="19"/>
  <c r="R101" i="19"/>
  <c r="AD101" i="19"/>
  <c r="AP29" i="19"/>
  <c r="AD33" i="19"/>
  <c r="X39" i="19"/>
  <c r="AP46" i="19"/>
  <c r="AV47" i="19"/>
  <c r="R48" i="19"/>
  <c r="R49" i="19"/>
  <c r="AV49" i="19"/>
  <c r="AV50" i="19"/>
  <c r="R51" i="19"/>
  <c r="X52" i="19"/>
  <c r="AD55" i="19"/>
  <c r="BB56" i="19"/>
  <c r="X62" i="19"/>
  <c r="L63" i="19"/>
  <c r="R25" i="19"/>
  <c r="X32" i="19"/>
  <c r="X37" i="19"/>
  <c r="AD39" i="19"/>
  <c r="BB40" i="19"/>
  <c r="BB41" i="19"/>
  <c r="AD42" i="19"/>
  <c r="BB42" i="19"/>
  <c r="AP43" i="19"/>
  <c r="AP45" i="19"/>
  <c r="L48" i="19"/>
  <c r="L49" i="19"/>
  <c r="L50" i="19"/>
  <c r="AD52" i="19"/>
  <c r="X53" i="19"/>
  <c r="X55" i="19"/>
  <c r="X58" i="19"/>
  <c r="X59" i="19"/>
  <c r="X60" i="19"/>
  <c r="L61" i="19"/>
  <c r="AV61" i="19"/>
  <c r="L64" i="19"/>
  <c r="L65" i="19"/>
  <c r="L66" i="19"/>
  <c r="L67" i="19"/>
  <c r="L68" i="19"/>
  <c r="L69" i="19"/>
  <c r="L70" i="19"/>
  <c r="L71" i="19"/>
  <c r="L72" i="19"/>
  <c r="L73" i="19"/>
  <c r="L74" i="19"/>
  <c r="L75" i="19"/>
  <c r="L76" i="19"/>
  <c r="L77" i="19"/>
  <c r="L78" i="19"/>
  <c r="L79" i="19"/>
  <c r="L80" i="19"/>
  <c r="L81" i="19"/>
  <c r="L82" i="19"/>
  <c r="L83" i="19"/>
  <c r="L84" i="19"/>
  <c r="L85" i="19"/>
  <c r="L86" i="19"/>
  <c r="L87" i="19"/>
  <c r="L88" i="19"/>
  <c r="L89" i="19"/>
  <c r="L90" i="19"/>
  <c r="L91" i="19"/>
  <c r="L92" i="19"/>
  <c r="L93" i="19"/>
  <c r="L94" i="19"/>
  <c r="L95" i="19"/>
  <c r="L96" i="19"/>
  <c r="L97" i="19"/>
  <c r="L98" i="19"/>
  <c r="R41" i="19"/>
  <c r="AV41" i="19"/>
  <c r="L42" i="19"/>
  <c r="X44" i="19"/>
  <c r="AD47" i="19"/>
  <c r="AP53" i="19"/>
  <c r="R56" i="19"/>
  <c r="L57" i="19"/>
  <c r="AV59" i="19"/>
  <c r="AV62" i="19"/>
  <c r="X63" i="19"/>
  <c r="X89" i="19"/>
  <c r="AV91" i="19"/>
  <c r="X93" i="19"/>
  <c r="AV95" i="19"/>
  <c r="X97" i="19"/>
  <c r="L99" i="19"/>
  <c r="L100" i="19"/>
  <c r="L101" i="19"/>
  <c r="BB16" i="19"/>
  <c r="AD36" i="19"/>
  <c r="R37" i="19"/>
  <c r="AV42" i="19"/>
  <c r="AD44" i="19"/>
  <c r="X45" i="19"/>
  <c r="BB48" i="19"/>
  <c r="R57" i="19"/>
  <c r="AV58" i="19"/>
  <c r="L41" i="19"/>
  <c r="BB49" i="19"/>
  <c r="AV55" i="19"/>
  <c r="X61" i="19"/>
  <c r="AV63" i="19"/>
  <c r="X66" i="19"/>
  <c r="AV67" i="19"/>
  <c r="X70" i="19"/>
  <c r="AV71" i="19"/>
  <c r="X74" i="19"/>
  <c r="AV75" i="19"/>
  <c r="X78" i="19"/>
  <c r="AV79" i="19"/>
  <c r="X82" i="19"/>
  <c r="AV83" i="19"/>
  <c r="X92" i="19"/>
  <c r="AV93" i="19"/>
  <c r="X98" i="19"/>
  <c r="AV99" i="19"/>
  <c r="X101" i="19"/>
  <c r="AP101" i="19"/>
  <c r="AD102" i="19"/>
  <c r="X106" i="19"/>
  <c r="AD106" i="19"/>
  <c r="X111" i="19"/>
  <c r="AD111" i="19"/>
  <c r="AD34" i="19"/>
  <c r="AP38" i="19"/>
  <c r="L40" i="19"/>
  <c r="X47" i="19"/>
  <c r="AP54" i="19"/>
  <c r="L62" i="19"/>
  <c r="X64" i="19"/>
  <c r="AV65" i="19"/>
  <c r="X68" i="19"/>
  <c r="AV69" i="19"/>
  <c r="X72" i="19"/>
  <c r="AV73" i="19"/>
  <c r="X76" i="19"/>
  <c r="AV77" i="19"/>
  <c r="X80" i="19"/>
  <c r="AV81" i="19"/>
  <c r="X84" i="19"/>
  <c r="AV85" i="19"/>
  <c r="AV86" i="19"/>
  <c r="AV87" i="19"/>
  <c r="AV88" i="19"/>
  <c r="X90" i="19"/>
  <c r="X91" i="19"/>
  <c r="AV92" i="19"/>
  <c r="AV94" i="19"/>
  <c r="X99" i="19"/>
  <c r="BB101" i="19"/>
  <c r="AV102" i="19"/>
  <c r="AP103" i="19"/>
  <c r="X104" i="19"/>
  <c r="AD104" i="19"/>
  <c r="L105" i="19"/>
  <c r="R105" i="19"/>
  <c r="BB105" i="19"/>
  <c r="AV106" i="19"/>
  <c r="AP107" i="19"/>
  <c r="X108" i="19"/>
  <c r="AD108" i="19"/>
  <c r="L109" i="19"/>
  <c r="R109" i="19"/>
  <c r="BB109" i="19"/>
  <c r="AV110" i="19"/>
  <c r="AP111" i="19"/>
  <c r="AV39" i="19"/>
  <c r="R40" i="19"/>
  <c r="R43" i="19"/>
  <c r="AD50" i="19"/>
  <c r="L56" i="19"/>
  <c r="AV57" i="19"/>
  <c r="AV60" i="19"/>
  <c r="AV64" i="19"/>
  <c r="X67" i="19"/>
  <c r="AV68" i="19"/>
  <c r="X71" i="19"/>
  <c r="AV72" i="19"/>
  <c r="X75" i="19"/>
  <c r="AV76" i="19"/>
  <c r="X79" i="19"/>
  <c r="AV80" i="19"/>
  <c r="X83" i="19"/>
  <c r="AV84" i="19"/>
  <c r="X86" i="19"/>
  <c r="X87" i="19"/>
  <c r="X88" i="19"/>
  <c r="AV89" i="19"/>
  <c r="X94" i="19"/>
  <c r="X95" i="19"/>
  <c r="AV96" i="19"/>
  <c r="AV98" i="19"/>
  <c r="X100" i="19"/>
  <c r="L102" i="19"/>
  <c r="R102" i="19"/>
  <c r="BB102" i="19"/>
  <c r="AV103" i="19"/>
  <c r="AP104" i="19"/>
  <c r="X105" i="19"/>
  <c r="AD105" i="19"/>
  <c r="L106" i="19"/>
  <c r="R106" i="19"/>
  <c r="BB106" i="19"/>
  <c r="AV107" i="19"/>
  <c r="AP108" i="19"/>
  <c r="X109" i="19"/>
  <c r="AD109" i="19"/>
  <c r="L110" i="19"/>
  <c r="R110" i="19"/>
  <c r="BB110" i="19"/>
  <c r="AV111" i="19"/>
  <c r="X102" i="19"/>
  <c r="L103" i="19"/>
  <c r="R103" i="19"/>
  <c r="BB103" i="19"/>
  <c r="AV104" i="19"/>
  <c r="AP105" i="19"/>
  <c r="L107" i="19"/>
  <c r="R107" i="19"/>
  <c r="BB107" i="19"/>
  <c r="AV108" i="19"/>
  <c r="AP109" i="19"/>
  <c r="X110" i="19"/>
  <c r="AD110" i="19"/>
  <c r="L111" i="19"/>
  <c r="R111" i="19"/>
  <c r="BB111" i="19"/>
  <c r="BB50" i="19"/>
  <c r="AP51" i="19"/>
  <c r="X65" i="19"/>
  <c r="AV66" i="19"/>
  <c r="X69" i="19"/>
  <c r="AV70" i="19"/>
  <c r="X73" i="19"/>
  <c r="AV74" i="19"/>
  <c r="X77" i="19"/>
  <c r="AV78" i="19"/>
  <c r="X81" i="19"/>
  <c r="AV82" i="19"/>
  <c r="X85" i="19"/>
  <c r="AV90" i="19"/>
  <c r="X96" i="19"/>
  <c r="AV97" i="19"/>
  <c r="AV100" i="19"/>
  <c r="AV101" i="19"/>
  <c r="AP102" i="19"/>
  <c r="X103" i="19"/>
  <c r="AD103" i="19"/>
  <c r="L104" i="19"/>
  <c r="R104" i="19"/>
  <c r="BB104" i="19"/>
  <c r="AV105" i="19"/>
  <c r="AP106" i="19"/>
  <c r="X107" i="19"/>
  <c r="AD107" i="19"/>
  <c r="L108" i="19"/>
  <c r="R108" i="19"/>
  <c r="BB108" i="19"/>
  <c r="AV109" i="19"/>
  <c r="AP110" i="19"/>
  <c r="BB12" i="19"/>
  <c r="AV12" i="19"/>
  <c r="AP12" i="19"/>
  <c r="AJ12" i="19"/>
  <c r="AD12" i="19"/>
  <c r="X12" i="19"/>
  <c r="R12" i="19"/>
  <c r="N12" i="19"/>
  <c r="K2" i="17"/>
  <c r="AD11" i="19" l="1"/>
  <c r="AP11" i="19"/>
  <c r="AJ11" i="19"/>
  <c r="N11" i="19"/>
  <c r="X11" i="19"/>
  <c r="R11" i="19"/>
  <c r="AV11" i="19"/>
  <c r="BB11" i="19"/>
  <c r="BE17" i="19"/>
  <c r="AS17" i="19"/>
  <c r="BE20" i="19"/>
  <c r="BE19" i="19"/>
  <c r="BE18" i="19"/>
  <c r="AS20" i="19"/>
  <c r="AS19" i="19"/>
  <c r="AS18" i="19"/>
  <c r="L12" i="19"/>
  <c r="L11" i="19" s="1"/>
  <c r="AS23" i="19" l="1"/>
  <c r="AS25" i="19"/>
  <c r="BE22" i="19"/>
  <c r="AS22" i="19"/>
  <c r="AS24" i="19"/>
  <c r="BE23" i="19"/>
  <c r="BE24" i="19"/>
  <c r="BE25" i="19"/>
  <c r="BE27" i="19" l="1"/>
  <c r="AS27" i="19"/>
  <c r="BE29" i="19"/>
  <c r="AS29" i="19"/>
  <c r="AS30" i="19"/>
  <c r="BE30" i="19"/>
  <c r="BE28" i="19"/>
  <c r="AS28" i="19"/>
  <c r="O11" i="19" l="1"/>
  <c r="U11" i="19"/>
  <c r="BE33" i="19"/>
  <c r="BE32" i="19"/>
  <c r="AS35" i="19"/>
  <c r="AS34" i="19"/>
  <c r="BE34" i="19"/>
  <c r="AS32" i="19"/>
  <c r="BE35" i="19"/>
  <c r="AS33" i="19"/>
  <c r="AS39" i="19" l="1"/>
  <c r="BE37" i="19"/>
  <c r="BE39" i="19"/>
  <c r="AS38" i="19"/>
  <c r="BE40" i="19"/>
  <c r="AS40" i="19"/>
  <c r="AS37" i="19"/>
  <c r="BE38" i="19"/>
  <c r="BE43" i="19" l="1"/>
  <c r="AS43" i="19"/>
  <c r="BE44" i="19"/>
  <c r="BE42" i="19"/>
  <c r="AS44" i="19"/>
  <c r="AS42" i="19"/>
  <c r="AS45" i="19"/>
  <c r="BE45" i="19"/>
  <c r="BE47" i="19" l="1"/>
  <c r="BE49" i="19"/>
  <c r="AS50" i="19"/>
  <c r="BE50" i="19"/>
  <c r="AS47" i="19"/>
  <c r="AS49" i="19"/>
  <c r="AS48" i="19"/>
  <c r="BE48" i="19"/>
  <c r="BE55" i="19" l="1"/>
  <c r="AS53" i="19"/>
  <c r="AS55" i="19"/>
  <c r="BE54" i="19"/>
  <c r="BE52" i="19"/>
  <c r="AS54" i="19"/>
  <c r="AS52" i="19"/>
  <c r="BE53" i="19"/>
  <c r="BE59" i="19" l="1"/>
  <c r="BE57" i="19"/>
  <c r="AS58" i="19"/>
  <c r="AS57" i="19"/>
  <c r="AS59" i="19"/>
  <c r="AS60" i="19"/>
  <c r="BE60" i="19"/>
  <c r="BE58" i="19"/>
  <c r="AS65" i="19" l="1"/>
  <c r="BE64" i="19"/>
  <c r="BE63" i="19"/>
  <c r="AS64" i="19"/>
  <c r="AS63" i="19"/>
  <c r="BE65" i="19"/>
  <c r="AS62" i="19"/>
  <c r="BE62" i="19"/>
  <c r="AS69" i="19" l="1"/>
  <c r="AS68" i="19"/>
  <c r="BE69" i="19"/>
  <c r="AS67" i="19"/>
  <c r="BE67" i="19"/>
  <c r="BE70" i="19"/>
  <c r="AS70" i="19"/>
  <c r="BE68" i="19"/>
  <c r="BE72" i="19" l="1"/>
  <c r="BE75" i="19"/>
  <c r="BE73" i="19"/>
  <c r="AS75" i="19"/>
  <c r="BE74" i="19"/>
  <c r="AS74" i="19"/>
  <c r="AS73" i="19"/>
  <c r="AS72" i="19"/>
  <c r="BE80" i="19" l="1"/>
  <c r="AS79" i="19"/>
  <c r="AS80" i="19"/>
  <c r="BE77" i="19"/>
  <c r="AS77" i="19"/>
  <c r="BE79" i="19"/>
  <c r="AS78" i="19"/>
  <c r="BE78" i="19"/>
  <c r="BE84" i="19" l="1"/>
  <c r="AS85" i="19"/>
  <c r="BE83" i="19"/>
  <c r="AS83" i="19"/>
  <c r="AS82" i="19"/>
  <c r="BE82" i="19"/>
  <c r="AS84" i="19"/>
  <c r="BE85" i="19"/>
  <c r="BE90" i="19" l="1"/>
  <c r="AS89" i="19"/>
  <c r="AS87" i="19"/>
  <c r="AS90" i="19"/>
  <c r="BE87" i="19"/>
  <c r="BE88" i="19"/>
  <c r="BE89" i="19"/>
  <c r="AS88" i="19"/>
  <c r="BE94" i="19" l="1"/>
  <c r="AS94" i="19"/>
  <c r="AS93" i="19"/>
  <c r="AS95" i="19"/>
  <c r="AS92" i="19"/>
  <c r="BE95" i="19"/>
  <c r="BE93" i="19"/>
  <c r="BE92" i="19"/>
  <c r="AS97" i="19" l="1"/>
  <c r="BE100" i="19"/>
  <c r="AS99" i="19"/>
  <c r="BE98" i="19"/>
  <c r="AS100" i="19"/>
  <c r="BE97" i="19"/>
  <c r="AS98" i="19"/>
  <c r="BE99" i="19"/>
  <c r="BE104" i="19" l="1"/>
  <c r="AS102" i="19"/>
  <c r="AS103" i="19"/>
  <c r="AS105" i="19"/>
  <c r="BE103" i="19"/>
  <c r="BE105" i="19"/>
  <c r="AS104" i="19"/>
  <c r="BE102" i="19"/>
  <c r="BE108" i="19" l="1"/>
  <c r="AS110" i="19"/>
  <c r="AS108" i="19"/>
  <c r="BE107" i="19"/>
  <c r="AS109" i="19"/>
  <c r="BE110" i="19"/>
  <c r="AS107" i="19"/>
  <c r="BE109" i="19"/>
  <c r="P11" i="19" l="1"/>
  <c r="W11" i="19" l="1"/>
  <c r="Q11" i="19"/>
  <c r="T11" i="19"/>
  <c r="V11" i="19"/>
  <c r="Z11" i="19"/>
  <c r="AG11" i="19" l="1"/>
  <c r="AA11" i="19"/>
  <c r="AF11" i="19"/>
  <c r="AB11" i="19"/>
  <c r="AI11" i="19" l="1"/>
  <c r="AC11" i="19"/>
  <c r="AH11" i="19"/>
  <c r="AL11" i="19"/>
  <c r="AM11" i="19" l="1"/>
  <c r="AN11" i="19"/>
  <c r="AO11" i="19" l="1"/>
  <c r="AS31" i="19"/>
  <c r="AS111" i="19"/>
  <c r="AS61" i="19"/>
  <c r="AS101" i="19"/>
  <c r="AS51" i="19"/>
  <c r="AS71" i="19"/>
  <c r="AS21" i="19"/>
  <c r="AS81" i="19"/>
  <c r="AS36" i="19"/>
  <c r="AS76" i="19"/>
  <c r="AS86" i="19"/>
  <c r="AS41" i="19"/>
  <c r="AS106" i="19"/>
  <c r="AS46" i="19"/>
  <c r="AS56" i="19"/>
  <c r="AS91" i="19"/>
  <c r="AS96" i="19"/>
  <c r="AS66" i="19"/>
  <c r="AS26" i="19"/>
  <c r="AR11" i="19"/>
  <c r="AS16" i="19" s="1"/>
  <c r="AS11" i="19" l="1"/>
  <c r="AT11" i="19"/>
  <c r="AU11" i="19" l="1"/>
  <c r="AX11" i="19"/>
  <c r="AY11" i="19" l="1"/>
  <c r="AZ11" i="19"/>
  <c r="BA11" i="19" s="1"/>
  <c r="BE56" i="19"/>
  <c r="BE36" i="19"/>
  <c r="BE31" i="19"/>
  <c r="BE41" i="19"/>
  <c r="BE71" i="19"/>
  <c r="BE76" i="19"/>
  <c r="BE21" i="19"/>
  <c r="BE66" i="19"/>
  <c r="BE101" i="19"/>
  <c r="BE81" i="19"/>
  <c r="BE91" i="19"/>
  <c r="BE51" i="19"/>
  <c r="BE86" i="19"/>
  <c r="BE106" i="19"/>
  <c r="BE96" i="19"/>
  <c r="BE61" i="19"/>
  <c r="BE26" i="19"/>
  <c r="BE46" i="19"/>
  <c r="BD11" i="19"/>
  <c r="BE16" i="19" s="1"/>
  <c r="BE111" i="19"/>
  <c r="BE11" i="19" l="1"/>
  <c r="BF11" i="19"/>
  <c r="BG11" i="19"/>
</calcChain>
</file>

<file path=xl/sharedStrings.xml><?xml version="1.0" encoding="utf-8"?>
<sst xmlns="http://schemas.openxmlformats.org/spreadsheetml/2006/main" count="796" uniqueCount="423">
  <si>
    <t>N° CLIENT</t>
  </si>
  <si>
    <t>CIVILITE</t>
  </si>
  <si>
    <t>NOM</t>
  </si>
  <si>
    <t>PRENOM</t>
  </si>
  <si>
    <t>STATUT</t>
  </si>
  <si>
    <t>N° RUE</t>
  </si>
  <si>
    <t>INTITULE RUE</t>
  </si>
  <si>
    <t>CODE POSTAL</t>
  </si>
  <si>
    <t>COMMUNE</t>
  </si>
  <si>
    <t>MAIL</t>
  </si>
  <si>
    <t>TELEPHONE</t>
  </si>
  <si>
    <t>FAX</t>
  </si>
  <si>
    <t>COMMENTAIRES</t>
  </si>
  <si>
    <t>N° SIRET</t>
  </si>
  <si>
    <t>N° TVA</t>
  </si>
  <si>
    <t>N° SIREN</t>
  </si>
  <si>
    <t>Vincent</t>
  </si>
  <si>
    <t>PROFESSIONNEL</t>
  </si>
  <si>
    <t>Rue des Ponts</t>
  </si>
  <si>
    <t>CROISSY SUR SEINE</t>
  </si>
  <si>
    <t>FERMENT</t>
  </si>
  <si>
    <t>Question</t>
  </si>
  <si>
    <t>Réponse</t>
  </si>
  <si>
    <t>Faut-il émettre une facture par mois ou par éxpé?</t>
  </si>
  <si>
    <t>Nom</t>
  </si>
  <si>
    <t>Adresse</t>
  </si>
  <si>
    <t>Commune</t>
  </si>
  <si>
    <t>BIDABE Marcel</t>
  </si>
  <si>
    <t>Eskain – 20 Chemin Ascain</t>
  </si>
  <si>
    <t>64130 BARCUS</t>
  </si>
  <si>
    <t>BOUILLON Nicolas</t>
  </si>
  <si>
    <t>64130 IDAUX-MENDY</t>
  </si>
  <si>
    <t>GAEC BIAK INBIDO</t>
  </si>
  <si>
    <t>64560 LARRAU</t>
  </si>
  <si>
    <t>GAEC GASTELU GAT</t>
  </si>
  <si>
    <t>Gat</t>
  </si>
  <si>
    <t>GAEC JAUREGUIZAHAR</t>
  </si>
  <si>
    <t>64470 SAUGUIS</t>
  </si>
  <si>
    <t>GAEC LANDRAN</t>
  </si>
  <si>
    <t>Landran</t>
  </si>
  <si>
    <t>64130 ORDIARP</t>
  </si>
  <si>
    <t>GAEC OLALAINTY</t>
  </si>
  <si>
    <t>64470 LICHANS</t>
  </si>
  <si>
    <t>GAEC ORHI</t>
  </si>
  <si>
    <t>Etxalus</t>
  </si>
  <si>
    <t>GAEC PARADIS</t>
  </si>
  <si>
    <t>Paradis</t>
  </si>
  <si>
    <t>IRITÇITY Allande</t>
  </si>
  <si>
    <t>64 LICHANS</t>
  </si>
  <si>
    <t>JARAGOYHEN Jean</t>
  </si>
  <si>
    <t>Garaïbie</t>
  </si>
  <si>
    <t>64130 AUSSURUCQ</t>
  </si>
  <si>
    <t>JARAGOYHEN Pierre</t>
  </si>
  <si>
    <t>Abehea</t>
  </si>
  <si>
    <t>LASSERRE Alain</t>
  </si>
  <si>
    <t>Bagueguy</t>
  </si>
  <si>
    <t>64130 L'HOPITAL ST BLAISE</t>
  </si>
  <si>
    <t>LAUGA Grégoire</t>
  </si>
  <si>
    <t>64130 AINHARP</t>
  </si>
  <si>
    <t>MAINHAGUIET Jean Bernard</t>
  </si>
  <si>
    <t>64120 LARCEVEAU</t>
  </si>
  <si>
    <t>ORDOQUIHANDY Patrice</t>
  </si>
  <si>
    <t>Mendiondo</t>
  </si>
  <si>
    <t>64570 LANNE</t>
  </si>
  <si>
    <t>POINEAU Francis</t>
  </si>
  <si>
    <t>Othegain</t>
  </si>
  <si>
    <t>64130 MONCAYOLLE</t>
  </si>
  <si>
    <t>SAÜT Monique</t>
  </si>
  <si>
    <t>Elizabea</t>
  </si>
  <si>
    <t>64470 LACARRY</t>
  </si>
  <si>
    <t>VAUGON Ian</t>
  </si>
  <si>
    <t>64470 TARDETS</t>
  </si>
  <si>
    <t>clé</t>
  </si>
  <si>
    <t>Date</t>
  </si>
  <si>
    <t>Nom du client</t>
  </si>
  <si>
    <t>Nom commercial</t>
  </si>
  <si>
    <t>Crémier du nord</t>
  </si>
  <si>
    <t>Le Fromage d'or</t>
  </si>
  <si>
    <t>La crème de la crème</t>
  </si>
  <si>
    <t>Heures</t>
  </si>
  <si>
    <t>Heure début</t>
  </si>
  <si>
    <t>Heure fin</t>
  </si>
  <si>
    <t>8h</t>
  </si>
  <si>
    <t>Guérin</t>
  </si>
  <si>
    <t>TblName</t>
  </si>
  <si>
    <t>TblWksCodeName</t>
  </si>
  <si>
    <t>TblSettings</t>
  </si>
  <si>
    <t>Tableau2</t>
  </si>
  <si>
    <t>Feuil2</t>
  </si>
  <si>
    <t>Type de fromage</t>
  </si>
  <si>
    <t>Etchebarne</t>
  </si>
  <si>
    <t>Tableau1</t>
  </si>
  <si>
    <t>Feuil5</t>
  </si>
  <si>
    <t>1677721502FTT000002550005247900103200TDMYT                                                  01401100TTTTFTFFFF02MALAUFFFT00000000F</t>
  </si>
  <si>
    <t>Mme</t>
  </si>
  <si>
    <t>Ziburu</t>
  </si>
  <si>
    <t>Esne gaina</t>
  </si>
  <si>
    <t>Arzun</t>
  </si>
  <si>
    <t>Maria</t>
  </si>
  <si>
    <t>Hondarribi</t>
  </si>
  <si>
    <t>ESTIVE</t>
  </si>
  <si>
    <t>TYPE FROMAGE</t>
  </si>
  <si>
    <t>FERMIER</t>
  </si>
  <si>
    <t>AFFINAGE</t>
  </si>
  <si>
    <t>3-6 mois</t>
  </si>
  <si>
    <t>6-9 mois</t>
  </si>
  <si>
    <t>&gt;9 mois</t>
  </si>
  <si>
    <t>Clé</t>
  </si>
  <si>
    <t>Affinage</t>
  </si>
  <si>
    <t>Tableau6</t>
  </si>
  <si>
    <t>Feuil16</t>
  </si>
  <si>
    <t>1677721501FTT000002550005247900203200TDMYT                                                  01401100TTTTFTFFFF02MALAUFFFT00000000F</t>
  </si>
  <si>
    <t>Paysan</t>
  </si>
  <si>
    <t>aujourdhui</t>
  </si>
  <si>
    <t>Date de production</t>
  </si>
  <si>
    <t>Pile de rangement</t>
  </si>
  <si>
    <t>Est il possible de classer les arrivées par pile ou numéro de lot?</t>
  </si>
  <si>
    <t>Numéro de lot</t>
  </si>
  <si>
    <t>Age actuel en jours</t>
  </si>
  <si>
    <t>1677721501FTT000002550005247900303200FDMYT                                                  01401100TTTTFTFFFF02MALAUFFFT00000000F</t>
  </si>
  <si>
    <t>Type fromage-affinage</t>
  </si>
  <si>
    <t>Prix HT au kg</t>
  </si>
  <si>
    <t>Prix TTC au kg</t>
  </si>
  <si>
    <t>Tableau3</t>
  </si>
  <si>
    <t>1677721501FTT000002550005247900403200FDMYT                                                  01401100TTTTFTFFFF02MALAUFFFT00000000F</t>
  </si>
  <si>
    <t>IMBIDO001</t>
  </si>
  <si>
    <t>JAUREGIZAHAR1</t>
  </si>
  <si>
    <t>TVA FROMAGE</t>
  </si>
  <si>
    <t>1677721501FTT000002550005247900003200FDMYT                                                  01401100TTTTFTFFFF02MALAUFFFT00000000F</t>
  </si>
  <si>
    <t>TVA TRANSPORT</t>
  </si>
  <si>
    <t>&lt;3 mois</t>
  </si>
  <si>
    <t>ENTREE FROMAGE</t>
  </si>
  <si>
    <t>TYPE DE MOUVEMENT (sortie: mettre "-")</t>
  </si>
  <si>
    <t>Quantité en kg (sortie: mettre -)</t>
  </si>
  <si>
    <t>Tableau4</t>
  </si>
  <si>
    <t>Feuil10</t>
  </si>
  <si>
    <t>1677721501FTT000002550005247900503200FDMYT                                                  01401100TTTTFTFFFF02MALAUFFFT00000000F</t>
  </si>
  <si>
    <t>CONSOMMABLES</t>
  </si>
  <si>
    <t>CARTONS</t>
  </si>
  <si>
    <t>PRESURE</t>
  </si>
  <si>
    <t>AUTRE</t>
  </si>
  <si>
    <t>PRIX HT</t>
  </si>
  <si>
    <t>A METTRE A JOUR</t>
  </si>
  <si>
    <t>Prix fromages</t>
  </si>
  <si>
    <t>Prix consommables</t>
  </si>
  <si>
    <t>Créer avoir dans mouvements</t>
  </si>
  <si>
    <t>TVA Consommables</t>
  </si>
  <si>
    <t>Date d'expédition</t>
  </si>
  <si>
    <t>Nom:</t>
  </si>
  <si>
    <t>Prénom:</t>
  </si>
  <si>
    <t>Village:</t>
  </si>
  <si>
    <t>Téléphone:</t>
  </si>
  <si>
    <t>Marque:</t>
  </si>
  <si>
    <t>Signature</t>
  </si>
  <si>
    <t>Poids</t>
  </si>
  <si>
    <t>N° de lot</t>
  </si>
  <si>
    <t>N° EDE:</t>
  </si>
  <si>
    <t>N° DSV:</t>
  </si>
  <si>
    <t>Pile</t>
  </si>
  <si>
    <t>Entrée</t>
  </si>
  <si>
    <t>Sortie</t>
  </si>
  <si>
    <t>Nombre</t>
  </si>
  <si>
    <t>Réception fromages</t>
  </si>
  <si>
    <t>AXES AMELIO</t>
  </si>
  <si>
    <t>Appel factures:  trouver le numéro plus facilement</t>
  </si>
  <si>
    <t>Producteur</t>
  </si>
  <si>
    <t>TOTAL HT</t>
  </si>
  <si>
    <t>Collectif UHAITZA</t>
  </si>
  <si>
    <t>Coopérative Etxe Gazna, 64 470 SAUGUIS SAINT ETIENNE</t>
  </si>
  <si>
    <t>SIRET : 334 138 989 00010</t>
  </si>
  <si>
    <t>Numéro TVA Intracommunautaire : FR64 334 138 989</t>
  </si>
  <si>
    <t>Date:</t>
  </si>
  <si>
    <t>Montant HT</t>
  </si>
  <si>
    <t>Consignes</t>
  </si>
  <si>
    <t>La date d'inventaire est la base de la séparation des années: permet d ene pas émettre d efactures de février 2017 au lieu de février 2018 par exemple: PENSER A EMETTRE TOUTES LES FACTURES AVANT INVENTAIRE</t>
  </si>
  <si>
    <t>Montant TTC</t>
  </si>
  <si>
    <t>Total HT</t>
  </si>
  <si>
    <t>Zubialde</t>
  </si>
  <si>
    <t>Lilas</t>
  </si>
  <si>
    <t>Akertegi</t>
  </si>
  <si>
    <t>Lorient</t>
  </si>
  <si>
    <t>Total TTC</t>
  </si>
  <si>
    <t>Date de la facture</t>
  </si>
  <si>
    <t>Tableau11</t>
  </si>
  <si>
    <t>Feuil7</t>
  </si>
  <si>
    <t>1677721501FTT000002550005247900603200FDMYT                                                  01401100TTTTFTFFFF02MALAUFFFT00000000F</t>
  </si>
  <si>
    <t>Tome d'argent</t>
  </si>
  <si>
    <t>Beaufort</t>
  </si>
  <si>
    <t>Maia</t>
  </si>
  <si>
    <t>Impasse des cèdres</t>
  </si>
  <si>
    <t>VERSAILLES</t>
  </si>
  <si>
    <t>Crée une proposition de N° de facture</t>
  </si>
  <si>
    <t>Coopérative Etxe Gazna, 64 470 SAUGUIS SAINT ETIENNE   -   fromage.uhaitza@gmail.com   -   05.59.28.59.23</t>
  </si>
  <si>
    <t>BON DE LIVRAISON</t>
  </si>
  <si>
    <t>N° BL:</t>
  </si>
  <si>
    <t>SUPER GASNA</t>
  </si>
  <si>
    <t>BORDABERRI</t>
  </si>
  <si>
    <t>Katixa</t>
  </si>
  <si>
    <t>Pro</t>
  </si>
  <si>
    <t>ROSIERS</t>
  </si>
  <si>
    <t>PAU</t>
  </si>
  <si>
    <t>Type de document</t>
  </si>
  <si>
    <t>Suivi des stocks</t>
  </si>
  <si>
    <t>SA-1801</t>
  </si>
  <si>
    <t>Année</t>
  </si>
  <si>
    <t>Tableau8</t>
  </si>
  <si>
    <t>Feuil4</t>
  </si>
  <si>
    <t>1677721501FTT000002550005247900703200FDMYT                                                  01401100TTTTFTFFFF02MALAUFFFT00000000F</t>
  </si>
  <si>
    <t>Achat 1</t>
  </si>
  <si>
    <t>Date Achat 1</t>
  </si>
  <si>
    <t>Achat 2</t>
  </si>
  <si>
    <t>Quantité 1</t>
  </si>
  <si>
    <t>Date Achat 2</t>
  </si>
  <si>
    <t>Quantité 2</t>
  </si>
  <si>
    <t>Date Achat 3</t>
  </si>
  <si>
    <t>Achat 3</t>
  </si>
  <si>
    <t>Quantité 3</t>
  </si>
  <si>
    <t>Prix proposé achat 1 HT</t>
  </si>
  <si>
    <t>Total 1 HT</t>
  </si>
  <si>
    <t>Prix achat 2 HT (compléter si différent de prix proposé)</t>
  </si>
  <si>
    <t>Total 2 HT</t>
  </si>
  <si>
    <t>Prix proposé achat 3 HT</t>
  </si>
  <si>
    <t>Prix achat 3 HT (compléter si différent de prix proposé)</t>
  </si>
  <si>
    <t>Total 3 HT</t>
  </si>
  <si>
    <t>Prix proposé achat 2 HT</t>
  </si>
  <si>
    <t>N° de facture annuelle</t>
  </si>
  <si>
    <t>Date Achat 4</t>
  </si>
  <si>
    <t>Achat 4</t>
  </si>
  <si>
    <t>Quantité 4</t>
  </si>
  <si>
    <t>Prix proposé achat 4 HT</t>
  </si>
  <si>
    <t>Prix achat 4 HT (compléter si différent de prix proposé)</t>
  </si>
  <si>
    <t>Total 4 HT</t>
  </si>
  <si>
    <t>Date Achat 5</t>
  </si>
  <si>
    <t>Achat 5</t>
  </si>
  <si>
    <t>Quantité 5</t>
  </si>
  <si>
    <t>Prix proposé achat 5 HT</t>
  </si>
  <si>
    <t>Prix achat 5 HT (compléter si différent de prix proposé)</t>
  </si>
  <si>
    <t>Total 5 HT</t>
  </si>
  <si>
    <t>Date Achat 6</t>
  </si>
  <si>
    <t>Achat 6</t>
  </si>
  <si>
    <t>Quantité 6</t>
  </si>
  <si>
    <t>Prix proposé achat 6 HT</t>
  </si>
  <si>
    <t>Prix achat 6 HT (compléter si différent de prix proposé)</t>
  </si>
  <si>
    <t>Total 6 HT</t>
  </si>
  <si>
    <t>SA-1802</t>
  </si>
  <si>
    <t>TVA 1</t>
  </si>
  <si>
    <t>TVA 2</t>
  </si>
  <si>
    <t>Total 1 TTC</t>
  </si>
  <si>
    <t>Total 2 TTC</t>
  </si>
  <si>
    <t>TVA 3</t>
  </si>
  <si>
    <t>Total 3 TTC</t>
  </si>
  <si>
    <t>TVA 4</t>
  </si>
  <si>
    <t>Total 4 TTC</t>
  </si>
  <si>
    <t>TVA 5</t>
  </si>
  <si>
    <t>Total 5 TTC</t>
  </si>
  <si>
    <t>TVA 6</t>
  </si>
  <si>
    <t>Total 6 TTC</t>
  </si>
  <si>
    <t>Total TVA</t>
  </si>
  <si>
    <t>Prix achat 1 HT a saisir(compléter si différent de prix proposé)</t>
  </si>
  <si>
    <t>Total général</t>
  </si>
  <si>
    <t>Coopérative Etxe Gazna</t>
  </si>
  <si>
    <t>Tableau1110</t>
  </si>
  <si>
    <t>Feuil20</t>
  </si>
  <si>
    <t>1677721501FTT000002550005247900803200FDMYT                                                  01401100TTTTFTFFFF02MALAUFFFT00000000F</t>
  </si>
  <si>
    <t>SA 17001</t>
  </si>
  <si>
    <t>TOME SAVOIE 74</t>
  </si>
  <si>
    <t>Mr</t>
  </si>
  <si>
    <t>PAUL</t>
  </si>
  <si>
    <t>CHAMBERRY</t>
  </si>
  <si>
    <t>N° de document/ N°BL</t>
  </si>
  <si>
    <t>Durée d'affinage</t>
  </si>
  <si>
    <t>Quantité en kg</t>
  </si>
  <si>
    <t>Nombre de fromages</t>
  </si>
  <si>
    <t>Vente 2</t>
  </si>
  <si>
    <t>Vente 1</t>
  </si>
  <si>
    <t>Vente 3</t>
  </si>
  <si>
    <t>Vente 4</t>
  </si>
  <si>
    <t>Vente 5</t>
  </si>
  <si>
    <t>Vente 6</t>
  </si>
  <si>
    <t>Vente 7</t>
  </si>
  <si>
    <t>Vente 8</t>
  </si>
  <si>
    <t>Vente 9</t>
  </si>
  <si>
    <t>Vente 10</t>
  </si>
  <si>
    <t>Prix au kg (modifier si nécessaire)</t>
  </si>
  <si>
    <t>N° Lot</t>
  </si>
  <si>
    <t>Date expédition</t>
  </si>
  <si>
    <t>Pièces</t>
  </si>
  <si>
    <t>Balise de balayage</t>
  </si>
  <si>
    <t>Prix confirmé HT</t>
  </si>
  <si>
    <t>Étiquettes de lignes</t>
  </si>
  <si>
    <t>Somme de TOTAL HT</t>
  </si>
  <si>
    <t>PRODUCTEUR POUR QUI FAIRE UNE FACTURE:</t>
  </si>
  <si>
    <t>Designation</t>
  </si>
  <si>
    <t>FACTURE N°</t>
  </si>
  <si>
    <r>
      <t xml:space="preserve">Quantité </t>
    </r>
    <r>
      <rPr>
        <sz val="14"/>
        <rFont val="Arial"/>
        <family val="2"/>
      </rPr>
      <t>(en kg)</t>
    </r>
  </si>
  <si>
    <r>
      <t>prix unitaire</t>
    </r>
    <r>
      <rPr>
        <sz val="14"/>
        <rFont val="Arial"/>
        <family val="2"/>
      </rPr>
      <t xml:space="preserve"> (€ HT/kg)</t>
    </r>
  </si>
  <si>
    <t>64470 SAUGUIS St ETIENNE</t>
  </si>
  <si>
    <t>Siret:</t>
  </si>
  <si>
    <t>N° TVA Intracommunautaire:</t>
  </si>
  <si>
    <t>SIRET</t>
  </si>
  <si>
    <t>N° TVA INTRA</t>
  </si>
  <si>
    <t>Règlement à 30 jours nets, à la date de la facture</t>
  </si>
  <si>
    <t>Coordonnées bancaires:</t>
  </si>
  <si>
    <t>Domiciliation:</t>
  </si>
  <si>
    <t>Code banque</t>
  </si>
  <si>
    <t>Code guichet</t>
  </si>
  <si>
    <t>Clé RIB</t>
  </si>
  <si>
    <t>Code banque:</t>
  </si>
  <si>
    <t>Code guichet:</t>
  </si>
  <si>
    <t>N° de compte:</t>
  </si>
  <si>
    <t>Clé RIB:</t>
  </si>
  <si>
    <t>IBAN</t>
  </si>
  <si>
    <t>IBAN:</t>
  </si>
  <si>
    <t>BIC:</t>
  </si>
  <si>
    <t>Numéro de compte</t>
  </si>
  <si>
    <t>BIC</t>
  </si>
  <si>
    <t>Domiciliation</t>
  </si>
  <si>
    <t xml:space="preserve"> </t>
  </si>
  <si>
    <t>Prix HT proposé</t>
  </si>
  <si>
    <t>concatener prod_type_affinage</t>
  </si>
  <si>
    <t>Date entrée de stock</t>
  </si>
  <si>
    <t>concatener producteur_type_affinage</t>
  </si>
  <si>
    <t>Taille des fromages</t>
  </si>
  <si>
    <t>Tome 1kg</t>
  </si>
  <si>
    <t>Tome 2kg</t>
  </si>
  <si>
    <t>Taille des tomes</t>
  </si>
  <si>
    <t>Nbre de tomes</t>
  </si>
  <si>
    <t>Nouveau N° BL:</t>
  </si>
  <si>
    <t>Date de la commande:</t>
  </si>
  <si>
    <t>Date expédition:</t>
  </si>
  <si>
    <t>Client:</t>
  </si>
  <si>
    <t>Nouveau N° réservation:</t>
  </si>
  <si>
    <t>Date de la réservation:</t>
  </si>
  <si>
    <t>VENTE</t>
  </si>
  <si>
    <t>N° facture</t>
  </si>
  <si>
    <t>Lien facture papier3</t>
  </si>
  <si>
    <t>Extension nom fichier</t>
  </si>
  <si>
    <t>TotalHT FACTURE</t>
  </si>
  <si>
    <t>Date de la réservation</t>
  </si>
  <si>
    <t>Date expédition prévue:</t>
  </si>
  <si>
    <t>Reservation 1</t>
  </si>
  <si>
    <t>Reservation 2</t>
  </si>
  <si>
    <t>Reservation 3</t>
  </si>
  <si>
    <t>Reservation 4</t>
  </si>
  <si>
    <t>Reservation 5</t>
  </si>
  <si>
    <t>Reservation 6</t>
  </si>
  <si>
    <t>Reservation 7</t>
  </si>
  <si>
    <t>Reservation 8</t>
  </si>
  <si>
    <t>Reservation 9</t>
  </si>
  <si>
    <t>Reservation 10</t>
  </si>
  <si>
    <t>Nouveau N° réservation</t>
  </si>
  <si>
    <t>Date expédition prévue</t>
  </si>
  <si>
    <t>Client</t>
  </si>
  <si>
    <t/>
  </si>
  <si>
    <t>N° BL</t>
  </si>
  <si>
    <t>Date du BL</t>
  </si>
  <si>
    <t>Lien BL</t>
  </si>
  <si>
    <t>C:\Users\Bastres\Desktop\PIERRE\PRO\ANTOLA COOP\CLIENTS\SALGIZEKO GASNATEGIA\DEMO 08_03_2018\BL CLIENTS\_BL N°  16Le Fromage d'or_2018_12_08.pdf</t>
  </si>
  <si>
    <t xml:space="preserve">concate prod </t>
  </si>
  <si>
    <t>reservé</t>
  </si>
  <si>
    <t>stock physique</t>
  </si>
  <si>
    <t>Stock total</t>
  </si>
  <si>
    <t xml:space="preserve">Date inventaire: </t>
  </si>
  <si>
    <t>ZE</t>
  </si>
  <si>
    <t>FACTURE</t>
  </si>
  <si>
    <t>N° Facture:</t>
  </si>
  <si>
    <t>Quantité</t>
  </si>
  <si>
    <t>Prix UNITAIRE HT</t>
  </si>
  <si>
    <t>Transporteur</t>
  </si>
  <si>
    <t>Conditions du transport: (100%, franco etc..)</t>
  </si>
  <si>
    <t>Prix Transport HT</t>
  </si>
  <si>
    <t>Montant total à payer</t>
  </si>
  <si>
    <t>TVA</t>
  </si>
  <si>
    <t>Règlement à 30 jours nets, à la date de la facture.</t>
  </si>
  <si>
    <t>Coordonnées bancaires :                     Domiciliation : Crédit Agricole Pyrénées Gascogne</t>
  </si>
  <si>
    <t>Code banque : 16906</t>
  </si>
  <si>
    <t>Code Guichet : 00010</t>
  </si>
  <si>
    <t>Numéro de compte : 87019054150</t>
  </si>
  <si>
    <t>Clé RIB : 65</t>
  </si>
  <si>
    <t>IBAN : FR76 1690 6000 1087 0190 5415 065</t>
  </si>
  <si>
    <t>BIC : AGRIFRPP869</t>
  </si>
  <si>
    <t>N° FACTURE</t>
  </si>
  <si>
    <t>DATE FACTURE</t>
  </si>
  <si>
    <t>CLIENT</t>
  </si>
  <si>
    <t>MONTANT HT</t>
  </si>
  <si>
    <t>MONTANT TTC</t>
  </si>
  <si>
    <t>A FACTURER/ FACTURE par producteurs</t>
  </si>
  <si>
    <t>(vide)</t>
  </si>
  <si>
    <t>AZ4</t>
  </si>
  <si>
    <t>RT5</t>
  </si>
  <si>
    <t>Fromage FERMIER Affinage</t>
  </si>
  <si>
    <t>C:\Users\Bastres\Desktop\PIERRE\PRO\ANTOLA COOP\CLIENTS\SALGIZEKO GASNATEGIA\DEMO 08_03_2018\FACTURES PRODUCTEURS_SALOIR\_facN° 1LAUGA Grégoire_2018_02_18.pdf</t>
  </si>
  <si>
    <t>année</t>
  </si>
  <si>
    <t>mois</t>
  </si>
  <si>
    <t>Date de paiement</t>
  </si>
  <si>
    <t>Moyen de paiement</t>
  </si>
  <si>
    <t>Poids de la livraison</t>
  </si>
  <si>
    <t>Cout transport</t>
  </si>
  <si>
    <t>% à la charge du client</t>
  </si>
  <si>
    <t>ZE3</t>
  </si>
  <si>
    <t>45F</t>
  </si>
  <si>
    <t>67H</t>
  </si>
  <si>
    <t>FERMIER 3-6 mois LOT N° 67H</t>
  </si>
  <si>
    <t>C:\Users\Bastres\Desktop\PIERRE\PRO\ANTOLA COOP\CLIENTS\SALGIZEKO GASNATEGIA\DEMO 08_03_2018\BL CLIENTS\_BL N°  4La crème de la crème_2018_05_05.pdf</t>
  </si>
  <si>
    <t>année bl</t>
  </si>
  <si>
    <t>mois bl</t>
  </si>
  <si>
    <t>Coût à la charge du client</t>
  </si>
  <si>
    <t>Montant transport HT</t>
  </si>
  <si>
    <t>Montant transport TTC</t>
  </si>
  <si>
    <t>N° da facture client correspondante</t>
  </si>
  <si>
    <t>concat année-mois-client</t>
  </si>
  <si>
    <t>concatener année-mois-client</t>
  </si>
  <si>
    <t>N° Facture producteur</t>
  </si>
  <si>
    <t>N° facture client</t>
  </si>
  <si>
    <t>Ancre de référence:</t>
  </si>
  <si>
    <t>Références années et mois pr factures client</t>
  </si>
  <si>
    <t>Concat année_mois</t>
  </si>
  <si>
    <t>concatener</t>
  </si>
  <si>
    <t>mai</t>
  </si>
  <si>
    <t>Eligibilite à la facturation en cours</t>
  </si>
  <si>
    <t>Concat année_mois2</t>
  </si>
  <si>
    <t>2018maiLe Fromage d'or</t>
  </si>
  <si>
    <t>Concatener Eligibilite à la facturation en cours-client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</si>
</sst>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3">
    <numFmt numFmtId="7" formatCode="#,##0.00\ &quot;€&quot;;\-#,##0.00\ &quot;€&quot;"/>
    <numFmt numFmtId="164" formatCode="dd/mm/yy;@"/>
    <numFmt numFmtId="165" formatCode="#,##0.00&quot; € HT&quot;"/>
    <numFmt numFmtId="166" formatCode="#,##0.00&quot; € TTC&quot;"/>
    <numFmt numFmtId="167" formatCode="0.0%"/>
    <numFmt numFmtId="168" formatCode="#,##0&quot; kg&quot;"/>
    <numFmt numFmtId="169" formatCode="#,##0&quot; € l'unité&quot;"/>
    <numFmt numFmtId="170" formatCode="#,##0&quot; € / L&quot;"/>
    <numFmt numFmtId="171" formatCode="#,##0.00\ &quot;€&quot;"/>
    <numFmt numFmtId="172" formatCode="mmmm"/>
    <numFmt numFmtId="173" formatCode="&quot;BL &quot;0000"/>
    <numFmt numFmtId="174" formatCode="&quot;F &quot;0"/>
    <numFmt numFmtId="175" formatCode="&quot;banque &quot;0"/>
    <numFmt numFmtId="176" formatCode="&quot;Code guichet &quot;0"/>
    <numFmt numFmtId="177" formatCode="&quot;N° compte &quot;0"/>
    <numFmt numFmtId="178" formatCode="&quot;Cle RIB &quot;0"/>
    <numFmt numFmtId="179" formatCode="&quot;IBAN &quot;0"/>
    <numFmt numFmtId="180" formatCode="&quot;BIC &quot;0"/>
    <numFmt numFmtId="181" formatCode="&quot;Dom &quot;0"/>
    <numFmt numFmtId="182" formatCode="#,##0&quot; pièces&quot;"/>
    <numFmt numFmtId="183" formatCode="&quot;Res. &quot;0000"/>
    <numFmt numFmtId="184" formatCode="#,##0.00\ _€"/>
    <numFmt numFmtId="185" formatCode="&quot;FC&quot;000"/>
  </numFmts>
  <fonts count="3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Arial"/>
      <family val="2"/>
    </font>
    <font>
      <u/>
      <sz val="20"/>
      <color theme="1"/>
      <name val="Calibri"/>
      <family val="2"/>
      <scheme val="minor"/>
    </font>
    <font>
      <b/>
      <sz val="14"/>
      <name val="Arial"/>
      <family val="2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b/>
      <sz val="14"/>
      <name val="Calibri"/>
      <family val="2"/>
      <scheme val="minor"/>
    </font>
    <font>
      <b/>
      <sz val="11"/>
      <name val="Century Gothic"/>
      <family val="2"/>
    </font>
    <font>
      <sz val="14"/>
      <name val="Calibri"/>
      <family val="2"/>
      <scheme val="minor"/>
    </font>
    <font>
      <sz val="11"/>
      <name val="Century Gothic"/>
      <family val="2"/>
    </font>
    <font>
      <b/>
      <i/>
      <sz val="14"/>
      <color theme="1"/>
      <name val="Calibri"/>
      <family val="2"/>
      <scheme val="minor"/>
    </font>
    <font>
      <sz val="14"/>
      <color rgb="FF000000"/>
      <name val="Arial"/>
      <family val="2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8"/>
      <color rgb="FFFFFFFF"/>
      <name val="Calibri"/>
      <family val="2"/>
      <scheme val="minor"/>
    </font>
    <font>
      <sz val="11"/>
      <color rgb="FFFF0000"/>
      <name val="Century Gothic"/>
      <family val="2"/>
    </font>
    <font>
      <sz val="11"/>
      <color theme="0"/>
      <name val="Century Gothic"/>
      <family val="2"/>
    </font>
    <font>
      <sz val="14"/>
      <color theme="0"/>
      <name val="Calibri"/>
      <family val="2"/>
      <scheme val="minor"/>
    </font>
    <font>
      <b/>
      <sz val="20"/>
      <color theme="0"/>
      <name val="Century Gothic"/>
      <family val="2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6B53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8" tint="0.79998168889431442"/>
      </patternFill>
    </fill>
    <fill>
      <patternFill patternType="solid">
        <fgColor rgb="FFE5E5E5"/>
      </patternFill>
    </fill>
  </fills>
  <borders count="84">
    <border>
      <left/>
      <right/>
      <top/>
      <bottom/>
      <diagonal/>
    </border>
    <border>
      <left/>
      <right/>
      <top style="thin">
        <color theme="8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theme="8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thick">
        <color rgb="FF006600"/>
      </left>
      <right/>
      <top style="thick">
        <color rgb="FF006600"/>
      </top>
      <bottom style="thick">
        <color rgb="FF006600"/>
      </bottom>
      <diagonal/>
    </border>
    <border>
      <left/>
      <right style="thick">
        <color rgb="FF006600"/>
      </right>
      <top style="thick">
        <color rgb="FF006600"/>
      </top>
      <bottom style="thick">
        <color rgb="FF006600"/>
      </bottom>
      <diagonal/>
    </border>
    <border>
      <left style="thick">
        <color rgb="FF006600"/>
      </left>
      <right/>
      <top style="thick">
        <color rgb="FF006600"/>
      </top>
      <bottom/>
      <diagonal/>
    </border>
    <border>
      <left/>
      <right style="thick">
        <color rgb="FF006600"/>
      </right>
      <top style="thick">
        <color rgb="FF006600"/>
      </top>
      <bottom/>
      <diagonal/>
    </border>
    <border>
      <left/>
      <right/>
      <top style="medium">
        <color theme="1"/>
      </top>
      <bottom/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theme="9" tint="0.3999755851924192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theme="8" tint="0.39997558519241921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18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0" fillId="2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1" fontId="0" fillId="3" borderId="1" xfId="0" applyNumberFormat="1" applyFont="1" applyFill="1" applyBorder="1"/>
    <xf numFmtId="0" fontId="3" fillId="0" borderId="0" xfId="0" applyFont="1" applyFill="1" applyBorder="1" applyAlignment="1">
      <alignment vertical="center" wrapText="1"/>
    </xf>
    <xf numFmtId="14" fontId="3" fillId="0" borderId="0" xfId="0" applyNumberFormat="1" applyFont="1" applyFill="1" applyBorder="1" applyAlignment="1">
      <alignment vertical="center" wrapText="1"/>
    </xf>
    <xf numFmtId="1" fontId="3" fillId="0" borderId="0" xfId="0" applyNumberFormat="1" applyFont="1" applyFill="1" applyBorder="1" applyAlignment="1">
      <alignment vertical="center" wrapText="1"/>
    </xf>
    <xf numFmtId="0" fontId="0" fillId="0" borderId="1" xfId="0" applyFont="1" applyFill="1" applyBorder="1"/>
    <xf numFmtId="14" fontId="0" fillId="0" borderId="1" xfId="0" applyNumberFormat="1" applyFont="1" applyFill="1" applyBorder="1"/>
    <xf numFmtId="164" fontId="0" fillId="0" borderId="1" xfId="0" applyNumberFormat="1" applyFont="1" applyFill="1" applyBorder="1"/>
    <xf numFmtId="14" fontId="0" fillId="0" borderId="0" xfId="0" applyNumberFormat="1" applyFill="1"/>
    <xf numFmtId="1" fontId="0" fillId="0" borderId="0" xfId="0" applyNumberFormat="1" applyFill="1"/>
    <xf numFmtId="0" fontId="0" fillId="0" borderId="0" xfId="0" applyFill="1" applyAlignment="1">
      <alignment vertical="center" wrapText="1"/>
    </xf>
    <xf numFmtId="165" fontId="0" fillId="0" borderId="0" xfId="0" applyNumberFormat="1"/>
    <xf numFmtId="166" fontId="0" fillId="0" borderId="0" xfId="0" applyNumberFormat="1"/>
    <xf numFmtId="0" fontId="0" fillId="3" borderId="1" xfId="0" applyFont="1" applyFill="1" applyBorder="1"/>
    <xf numFmtId="0" fontId="0" fillId="0" borderId="1" xfId="0" applyNumberFormat="1" applyFont="1" applyFill="1" applyBorder="1"/>
    <xf numFmtId="164" fontId="0" fillId="3" borderId="1" xfId="0" applyNumberFormat="1" applyFont="1" applyFill="1" applyBorder="1"/>
    <xf numFmtId="167" fontId="0" fillId="0" borderId="0" xfId="0" applyNumberFormat="1"/>
    <xf numFmtId="0" fontId="0" fillId="0" borderId="0" xfId="0" applyBorder="1"/>
    <xf numFmtId="0" fontId="3" fillId="0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0" fillId="2" borderId="0" xfId="0" applyFill="1" applyAlignment="1"/>
    <xf numFmtId="0" fontId="0" fillId="2" borderId="0" xfId="0" applyFill="1" applyAlignment="1">
      <alignment horizontal="center"/>
    </xf>
    <xf numFmtId="0" fontId="5" fillId="0" borderId="6" xfId="0" applyFont="1" applyBorder="1" applyAlignment="1">
      <alignment horizontal="left" vertical="center" wrapText="1"/>
    </xf>
    <xf numFmtId="0" fontId="5" fillId="0" borderId="6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6" borderId="7" xfId="0" applyFont="1" applyFill="1" applyBorder="1" applyAlignment="1">
      <alignment wrapText="1"/>
    </xf>
    <xf numFmtId="0" fontId="3" fillId="7" borderId="7" xfId="0" applyFont="1" applyFill="1" applyBorder="1" applyAlignment="1">
      <alignment wrapText="1"/>
    </xf>
    <xf numFmtId="0" fontId="0" fillId="0" borderId="7" xfId="0" applyFont="1" applyBorder="1" applyAlignment="1">
      <alignment wrapText="1"/>
    </xf>
    <xf numFmtId="169" fontId="0" fillId="0" borderId="0" xfId="0" applyNumberFormat="1"/>
    <xf numFmtId="170" fontId="0" fillId="0" borderId="0" xfId="0" applyNumberFormat="1"/>
    <xf numFmtId="9" fontId="0" fillId="0" borderId="0" xfId="0" applyNumberFormat="1"/>
    <xf numFmtId="171" fontId="0" fillId="0" borderId="0" xfId="0" applyNumberFormat="1"/>
    <xf numFmtId="0" fontId="8" fillId="2" borderId="0" xfId="0" applyFont="1" applyFill="1" applyBorder="1"/>
    <xf numFmtId="0" fontId="8" fillId="2" borderId="0" xfId="0" applyFont="1" applyFill="1" applyAlignment="1">
      <alignment horizontal="right"/>
    </xf>
    <xf numFmtId="0" fontId="8" fillId="2" borderId="0" xfId="0" applyFont="1" applyFill="1" applyAlignment="1">
      <alignment horizontal="left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9" fillId="0" borderId="0" xfId="0" applyFont="1" applyAlignment="1">
      <alignment vertical="center"/>
    </xf>
    <xf numFmtId="0" fontId="9" fillId="0" borderId="0" xfId="0" applyFont="1" applyBorder="1" applyAlignment="1">
      <alignment vertical="center"/>
    </xf>
    <xf numFmtId="0" fontId="10" fillId="0" borderId="9" xfId="0" applyFont="1" applyBorder="1"/>
    <xf numFmtId="0" fontId="10" fillId="0" borderId="0" xfId="0" applyFont="1"/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13" fillId="0" borderId="9" xfId="0" applyFont="1" applyBorder="1"/>
    <xf numFmtId="0" fontId="13" fillId="0" borderId="0" xfId="0" applyFont="1" applyBorder="1"/>
    <xf numFmtId="0" fontId="13" fillId="0" borderId="0" xfId="0" applyFont="1"/>
    <xf numFmtId="0" fontId="12" fillId="0" borderId="0" xfId="0" applyFont="1" applyAlignment="1">
      <alignment horizontal="right"/>
    </xf>
    <xf numFmtId="0" fontId="0" fillId="0" borderId="0" xfId="0" applyAlignment="1">
      <alignment horizontal="left" vertical="center" wrapText="1"/>
    </xf>
    <xf numFmtId="0" fontId="0" fillId="6" borderId="7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" fontId="4" fillId="2" borderId="0" xfId="0" applyNumberFormat="1" applyFont="1" applyFill="1" applyAlignment="1">
      <alignment horizontal="right"/>
    </xf>
    <xf numFmtId="172" fontId="4" fillId="2" borderId="0" xfId="0" applyNumberFormat="1" applyFont="1" applyFill="1" applyAlignment="1">
      <alignment horizontal="right"/>
    </xf>
    <xf numFmtId="0" fontId="0" fillId="0" borderId="0" xfId="0" quotePrefix="1"/>
    <xf numFmtId="14" fontId="0" fillId="5" borderId="0" xfId="0" applyNumberFormat="1" applyFont="1" applyFill="1" applyBorder="1" applyAlignment="1">
      <alignment vertical="center" wrapText="1"/>
    </xf>
    <xf numFmtId="0" fontId="0" fillId="0" borderId="0" xfId="0" applyFill="1" applyBorder="1"/>
    <xf numFmtId="1" fontId="0" fillId="0" borderId="0" xfId="0" applyNumberFormat="1" applyFill="1" applyBorder="1"/>
    <xf numFmtId="171" fontId="0" fillId="3" borderId="0" xfId="0" applyNumberFormat="1" applyFont="1" applyFill="1" applyBorder="1" applyAlignment="1">
      <alignment vertical="center" wrapText="1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71" fontId="0" fillId="3" borderId="0" xfId="0" applyNumberFormat="1" applyFont="1" applyFill="1" applyBorder="1" applyAlignment="1">
      <alignment horizontal="center" vertical="center" wrapText="1"/>
    </xf>
    <xf numFmtId="168" fontId="0" fillId="5" borderId="1" xfId="0" applyNumberFormat="1" applyFont="1" applyFill="1" applyBorder="1"/>
    <xf numFmtId="168" fontId="0" fillId="5" borderId="1" xfId="0" applyNumberFormat="1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  <xf numFmtId="14" fontId="0" fillId="5" borderId="27" xfId="0" applyNumberFormat="1" applyFont="1" applyFill="1" applyBorder="1" applyAlignment="1">
      <alignment vertical="center" wrapText="1"/>
    </xf>
    <xf numFmtId="14" fontId="0" fillId="5" borderId="1" xfId="0" applyNumberFormat="1" applyFont="1" applyFill="1" applyBorder="1" applyAlignment="1">
      <alignment vertical="center" wrapText="1"/>
    </xf>
    <xf numFmtId="1" fontId="0" fillId="5" borderId="1" xfId="0" applyNumberFormat="1" applyFont="1" applyFill="1" applyBorder="1" applyAlignment="1">
      <alignment horizontal="center" vertical="center" wrapText="1"/>
    </xf>
    <xf numFmtId="171" fontId="0" fillId="3" borderId="1" xfId="0" applyNumberFormat="1" applyFont="1" applyFill="1" applyBorder="1" applyAlignment="1">
      <alignment vertical="center" wrapText="1"/>
    </xf>
    <xf numFmtId="171" fontId="0" fillId="5" borderId="1" xfId="0" applyNumberFormat="1" applyFont="1" applyFill="1" applyBorder="1" applyAlignment="1">
      <alignment vertical="center" wrapText="1"/>
    </xf>
    <xf numFmtId="171" fontId="0" fillId="3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" fontId="3" fillId="4" borderId="0" xfId="0" applyNumberFormat="1" applyFont="1" applyFill="1" applyBorder="1" applyAlignment="1">
      <alignment horizontal="center" vertical="center" wrapText="1"/>
    </xf>
    <xf numFmtId="168" fontId="0" fillId="5" borderId="1" xfId="0" applyNumberFormat="1" applyFont="1" applyFill="1" applyBorder="1" applyAlignment="1">
      <alignment horizontal="left" vertical="center"/>
    </xf>
    <xf numFmtId="168" fontId="0" fillId="5" borderId="0" xfId="0" applyNumberFormat="1" applyFont="1" applyFill="1" applyBorder="1" applyAlignment="1">
      <alignment horizontal="left" vertical="center" wrapText="1"/>
    </xf>
    <xf numFmtId="168" fontId="0" fillId="5" borderId="0" xfId="0" applyNumberFormat="1" applyFont="1" applyFill="1" applyBorder="1" applyAlignment="1">
      <alignment horizontal="left" vertical="center"/>
    </xf>
    <xf numFmtId="168" fontId="0" fillId="5" borderId="0" xfId="0" applyNumberFormat="1" applyFont="1" applyFill="1" applyBorder="1" applyAlignment="1">
      <alignment horizontal="center"/>
    </xf>
    <xf numFmtId="14" fontId="0" fillId="5" borderId="0" xfId="0" applyNumberFormat="1" applyFont="1" applyFill="1" applyBorder="1" applyAlignment="1">
      <alignment horizontal="center"/>
    </xf>
    <xf numFmtId="14" fontId="0" fillId="5" borderId="26" xfId="0" applyNumberFormat="1" applyFont="1" applyFill="1" applyBorder="1" applyAlignment="1">
      <alignment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171" fontId="0" fillId="5" borderId="0" xfId="0" applyNumberFormat="1" applyFont="1" applyFill="1" applyBorder="1" applyAlignment="1">
      <alignment vertical="center" wrapText="1"/>
    </xf>
    <xf numFmtId="14" fontId="0" fillId="5" borderId="0" xfId="0" applyNumberFormat="1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center"/>
    </xf>
    <xf numFmtId="1" fontId="0" fillId="3" borderId="1" xfId="0" applyNumberFormat="1" applyFont="1" applyFill="1" applyBorder="1" applyAlignment="1">
      <alignment vertical="center" wrapText="1"/>
    </xf>
    <xf numFmtId="0" fontId="0" fillId="5" borderId="1" xfId="0" applyNumberFormat="1" applyFont="1" applyFill="1" applyBorder="1" applyAlignment="1">
      <alignment horizontal="center"/>
    </xf>
    <xf numFmtId="168" fontId="0" fillId="5" borderId="1" xfId="0" applyNumberFormat="1" applyFont="1" applyFill="1" applyBorder="1" applyAlignment="1">
      <alignment horizontal="left" vertical="center" wrapText="1"/>
    </xf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horizontal="right" indent="1"/>
    </xf>
    <xf numFmtId="0" fontId="8" fillId="2" borderId="0" xfId="0" applyFont="1" applyFill="1" applyBorder="1" applyAlignment="1">
      <alignment horizontal="right" indent="1"/>
    </xf>
    <xf numFmtId="0" fontId="8" fillId="2" borderId="0" xfId="0" applyFont="1" applyFill="1" applyBorder="1" applyAlignment="1">
      <alignment horizontal="right"/>
    </xf>
    <xf numFmtId="0" fontId="8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left" vertical="center" wrapText="1"/>
    </xf>
    <xf numFmtId="0" fontId="8" fillId="2" borderId="0" xfId="0" applyFont="1" applyFill="1" applyBorder="1" applyAlignment="1"/>
    <xf numFmtId="0" fontId="0" fillId="9" borderId="22" xfId="0" applyFill="1" applyBorder="1" applyAlignment="1">
      <alignment horizontal="right"/>
    </xf>
    <xf numFmtId="14" fontId="0" fillId="2" borderId="22" xfId="0" applyNumberFormat="1" applyFill="1" applyBorder="1" applyAlignment="1">
      <alignment horizontal="right"/>
    </xf>
    <xf numFmtId="2" fontId="0" fillId="2" borderId="22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0" fontId="0" fillId="9" borderId="22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171" fontId="0" fillId="2" borderId="22" xfId="0" applyNumberFormat="1" applyFill="1" applyBorder="1" applyAlignment="1">
      <alignment horizontal="right"/>
    </xf>
    <xf numFmtId="0" fontId="19" fillId="2" borderId="0" xfId="0" applyFont="1" applyFill="1"/>
    <xf numFmtId="0" fontId="19" fillId="0" borderId="0" xfId="0" applyFont="1"/>
    <xf numFmtId="0" fontId="19" fillId="2" borderId="0" xfId="0" applyFont="1" applyFill="1" applyBorder="1"/>
    <xf numFmtId="0" fontId="19" fillId="2" borderId="0" xfId="0" applyFont="1" applyFill="1" applyProtection="1">
      <protection locked="0"/>
    </xf>
    <xf numFmtId="14" fontId="19" fillId="2" borderId="22" xfId="0" applyNumberFormat="1" applyFont="1" applyFill="1" applyBorder="1" applyAlignment="1" applyProtection="1">
      <alignment horizontal="right"/>
      <protection locked="0"/>
    </xf>
    <xf numFmtId="2" fontId="19" fillId="2" borderId="22" xfId="0" applyNumberFormat="1" applyFont="1" applyFill="1" applyBorder="1" applyAlignment="1" applyProtection="1">
      <alignment horizontal="right"/>
      <protection locked="0"/>
    </xf>
    <xf numFmtId="1" fontId="19" fillId="2" borderId="22" xfId="0" applyNumberFormat="1" applyFont="1" applyFill="1" applyBorder="1" applyAlignment="1" applyProtection="1">
      <alignment horizontal="right"/>
      <protection locked="0"/>
    </xf>
    <xf numFmtId="171" fontId="19" fillId="2" borderId="22" xfId="0" applyNumberFormat="1" applyFont="1" applyFill="1" applyBorder="1" applyAlignment="1" applyProtection="1">
      <alignment horizontal="right"/>
      <protection locked="0"/>
    </xf>
    <xf numFmtId="0" fontId="19" fillId="2" borderId="0" xfId="0" applyFont="1" applyFill="1" applyAlignment="1" applyProtection="1">
      <alignment horizontal="center" vertical="center"/>
      <protection locked="0"/>
    </xf>
    <xf numFmtId="0" fontId="19" fillId="2" borderId="0" xfId="0" applyFont="1" applyFill="1" applyBorder="1" applyAlignment="1">
      <alignment horizontal="center" vertical="center"/>
    </xf>
    <xf numFmtId="171" fontId="19" fillId="2" borderId="0" xfId="0" applyNumberFormat="1" applyFont="1" applyFill="1" applyBorder="1" applyAlignment="1">
      <alignment horizontal="right"/>
    </xf>
    <xf numFmtId="0" fontId="0" fillId="0" borderId="0" xfId="0" applyFill="1" applyAlignment="1" applyProtection="1">
      <alignment horizontal="right" vertical="center" wrapText="1"/>
      <protection locked="0"/>
    </xf>
    <xf numFmtId="0" fontId="0" fillId="0" borderId="0" xfId="0" applyNumberFormat="1" applyFill="1" applyAlignment="1" applyProtection="1">
      <alignment horizontal="right" vertical="center" wrapText="1"/>
      <protection locked="0"/>
    </xf>
    <xf numFmtId="168" fontId="0" fillId="0" borderId="0" xfId="0" applyNumberFormat="1" applyFill="1" applyAlignment="1" applyProtection="1">
      <alignment horizontal="right" vertical="center" wrapText="1"/>
      <protection locked="0"/>
    </xf>
    <xf numFmtId="171" fontId="0" fillId="0" borderId="0" xfId="0" applyNumberFormat="1" applyFill="1" applyAlignment="1" applyProtection="1">
      <alignment horizontal="right" vertical="center" wrapText="1"/>
      <protection locked="0"/>
    </xf>
    <xf numFmtId="0" fontId="0" fillId="0" borderId="0" xfId="0" applyFill="1" applyAlignment="1">
      <alignment horizontal="right" vertical="center" wrapText="1"/>
    </xf>
    <xf numFmtId="0" fontId="0" fillId="0" borderId="0" xfId="0" applyFill="1" applyAlignment="1">
      <alignment horizontal="right"/>
    </xf>
    <xf numFmtId="0" fontId="0" fillId="0" borderId="0" xfId="0" applyFont="1" applyFill="1" applyAlignment="1" applyProtection="1">
      <alignment horizontal="right" vertical="center" wrapText="1"/>
      <protection locked="0"/>
    </xf>
    <xf numFmtId="14" fontId="0" fillId="0" borderId="0" xfId="0" applyNumberFormat="1" applyFont="1" applyFill="1" applyAlignment="1" applyProtection="1">
      <alignment horizontal="right" vertical="center" wrapText="1"/>
      <protection locked="0"/>
    </xf>
    <xf numFmtId="0" fontId="0" fillId="0" borderId="0" xfId="0" applyNumberFormat="1" applyFont="1" applyFill="1" applyAlignment="1" applyProtection="1">
      <alignment horizontal="right" vertical="center" wrapText="1"/>
      <protection locked="0"/>
    </xf>
    <xf numFmtId="168" fontId="0" fillId="0" borderId="0" xfId="0" applyNumberFormat="1" applyFont="1" applyFill="1" applyAlignment="1" applyProtection="1">
      <alignment horizontal="right" vertical="center" wrapText="1"/>
      <protection locked="0"/>
    </xf>
    <xf numFmtId="171" fontId="0" fillId="0" borderId="0" xfId="0" applyNumberFormat="1" applyFont="1" applyFill="1" applyAlignment="1" applyProtection="1">
      <alignment horizontal="right" vertical="center" wrapText="1"/>
      <protection locked="0"/>
    </xf>
    <xf numFmtId="0" fontId="0" fillId="0" borderId="0" xfId="0" applyFill="1" applyAlignment="1" applyProtection="1">
      <alignment horizontal="right"/>
      <protection locked="0"/>
    </xf>
    <xf numFmtId="14" fontId="0" fillId="0" borderId="0" xfId="0" applyNumberFormat="1" applyFill="1" applyAlignment="1" applyProtection="1">
      <alignment horizontal="right" vertical="center" wrapText="1"/>
      <protection locked="0"/>
    </xf>
    <xf numFmtId="173" fontId="21" fillId="0" borderId="0" xfId="0" applyNumberFormat="1" applyFont="1" applyFill="1" applyAlignment="1" applyProtection="1">
      <alignment horizontal="right" vertical="center" wrapText="1"/>
      <protection locked="0"/>
    </xf>
    <xf numFmtId="14" fontId="21" fillId="0" borderId="0" xfId="0" applyNumberFormat="1" applyFont="1" applyFill="1" applyAlignment="1" applyProtection="1">
      <alignment horizontal="right" vertical="center" wrapText="1"/>
      <protection locked="0"/>
    </xf>
    <xf numFmtId="174" fontId="0" fillId="0" borderId="0" xfId="0" applyNumberFormat="1" applyFill="1" applyAlignment="1" applyProtection="1">
      <alignment horizontal="right" vertical="center" wrapText="1"/>
      <protection locked="0"/>
    </xf>
    <xf numFmtId="174" fontId="0" fillId="0" borderId="0" xfId="0" applyNumberFormat="1" applyFont="1" applyFill="1" applyAlignment="1" applyProtection="1">
      <alignment horizontal="right" vertical="center" wrapText="1"/>
      <protection locked="0"/>
    </xf>
    <xf numFmtId="171" fontId="0" fillId="0" borderId="0" xfId="0" applyNumberFormat="1" applyFont="1" applyFill="1" applyAlignment="1">
      <alignment horizontal="right" vertical="center" wrapText="1"/>
    </xf>
    <xf numFmtId="171" fontId="0" fillId="0" borderId="0" xfId="0" applyNumberFormat="1" applyFill="1" applyAlignment="1">
      <alignment horizontal="right"/>
    </xf>
    <xf numFmtId="0" fontId="0" fillId="0" borderId="0" xfId="0" applyAlignment="1">
      <alignment horizontal="center" vertical="center"/>
    </xf>
    <xf numFmtId="0" fontId="0" fillId="10" borderId="0" xfId="0" applyFill="1" applyBorder="1"/>
    <xf numFmtId="0" fontId="0" fillId="10" borderId="0" xfId="0" applyFill="1" applyBorder="1" applyAlignment="1">
      <alignment horizontal="center" vertical="center"/>
    </xf>
    <xf numFmtId="0" fontId="3" fillId="11" borderId="0" xfId="0" applyFont="1" applyFill="1" applyBorder="1" applyAlignment="1">
      <alignment horizontal="right" wrapText="1"/>
    </xf>
    <xf numFmtId="0" fontId="3" fillId="11" borderId="0" xfId="0" applyFont="1" applyFill="1" applyBorder="1" applyAlignment="1">
      <alignment horizontal="left" vertical="center" wrapText="1" indent="5"/>
    </xf>
    <xf numFmtId="0" fontId="22" fillId="2" borderId="15" xfId="0" applyFont="1" applyFill="1" applyBorder="1" applyAlignment="1">
      <alignment horizontal="right"/>
    </xf>
    <xf numFmtId="0" fontId="22" fillId="2" borderId="5" xfId="0" applyFont="1" applyFill="1" applyBorder="1" applyAlignment="1">
      <alignment horizontal="right"/>
    </xf>
    <xf numFmtId="172" fontId="4" fillId="2" borderId="0" xfId="0" applyNumberFormat="1" applyFont="1" applyFill="1" applyAlignment="1">
      <alignment horizontal="right" vertical="center"/>
    </xf>
    <xf numFmtId="14" fontId="25" fillId="2" borderId="22" xfId="0" applyNumberFormat="1" applyFont="1" applyFill="1" applyBorder="1" applyAlignment="1" applyProtection="1">
      <alignment horizontal="right"/>
      <protection locked="0"/>
    </xf>
    <xf numFmtId="0" fontId="25" fillId="2" borderId="22" xfId="0" applyNumberFormat="1" applyFont="1" applyFill="1" applyBorder="1" applyAlignment="1" applyProtection="1">
      <alignment horizontal="right"/>
      <protection locked="0"/>
    </xf>
    <xf numFmtId="2" fontId="25" fillId="2" borderId="22" xfId="0" applyNumberFormat="1" applyFont="1" applyFill="1" applyBorder="1" applyAlignment="1" applyProtection="1">
      <alignment horizontal="right"/>
      <protection locked="0"/>
    </xf>
    <xf numFmtId="1" fontId="25" fillId="2" borderId="22" xfId="0" applyNumberFormat="1" applyFont="1" applyFill="1" applyBorder="1" applyAlignment="1" applyProtection="1">
      <alignment horizontal="right"/>
      <protection locked="0"/>
    </xf>
    <xf numFmtId="171" fontId="25" fillId="2" borderId="22" xfId="0" applyNumberFormat="1" applyFont="1" applyFill="1" applyBorder="1" applyAlignment="1" applyProtection="1">
      <alignment horizontal="right"/>
      <protection locked="0"/>
    </xf>
    <xf numFmtId="14" fontId="19" fillId="2" borderId="22" xfId="0" quotePrefix="1" applyNumberFormat="1" applyFont="1" applyFill="1" applyBorder="1" applyAlignment="1" applyProtection="1">
      <alignment horizontal="right"/>
      <protection locked="0"/>
    </xf>
    <xf numFmtId="0" fontId="5" fillId="0" borderId="0" xfId="0" applyFont="1" applyBorder="1" applyAlignment="1">
      <alignment horizontal="left" vertical="center" wrapText="1"/>
    </xf>
    <xf numFmtId="3" fontId="2" fillId="0" borderId="0" xfId="0" applyNumberFormat="1" applyFont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center" wrapText="1"/>
    </xf>
    <xf numFmtId="0" fontId="15" fillId="2" borderId="36" xfId="0" applyFont="1" applyFill="1" applyBorder="1" applyAlignment="1">
      <alignment horizontal="left"/>
    </xf>
    <xf numFmtId="0" fontId="8" fillId="2" borderId="0" xfId="0" applyFont="1" applyFill="1" applyAlignment="1">
      <alignment horizontal="center"/>
    </xf>
    <xf numFmtId="0" fontId="15" fillId="2" borderId="0" xfId="0" applyFont="1" applyFill="1" applyAlignment="1">
      <alignment horizontal="left"/>
    </xf>
    <xf numFmtId="0" fontId="0" fillId="2" borderId="0" xfId="0" applyFill="1" applyBorder="1" applyAlignment="1">
      <alignment horizontal="left" vertical="top"/>
    </xf>
    <xf numFmtId="0" fontId="0" fillId="2" borderId="0" xfId="0" applyFill="1" applyAlignment="1">
      <alignment vertical="center"/>
    </xf>
    <xf numFmtId="0" fontId="8" fillId="2" borderId="0" xfId="0" applyFont="1" applyFill="1" applyAlignment="1"/>
    <xf numFmtId="171" fontId="8" fillId="2" borderId="19" xfId="0" applyNumberFormat="1" applyFont="1" applyFill="1" applyBorder="1" applyAlignment="1">
      <alignment horizontal="right" vertical="center"/>
    </xf>
    <xf numFmtId="171" fontId="8" fillId="2" borderId="21" xfId="0" applyNumberFormat="1" applyFont="1" applyFill="1" applyBorder="1" applyAlignment="1">
      <alignment horizontal="right" vertical="center"/>
    </xf>
    <xf numFmtId="0" fontId="18" fillId="12" borderId="32" xfId="0" applyFont="1" applyFill="1" applyBorder="1" applyAlignment="1">
      <alignment horizontal="center" vertical="center" wrapText="1"/>
    </xf>
    <xf numFmtId="0" fontId="18" fillId="12" borderId="33" xfId="0" applyFont="1" applyFill="1" applyBorder="1" applyAlignment="1">
      <alignment vertical="center" wrapText="1"/>
    </xf>
    <xf numFmtId="0" fontId="18" fillId="12" borderId="34" xfId="0" applyFont="1" applyFill="1" applyBorder="1" applyAlignment="1">
      <alignment horizontal="center" vertical="center" wrapText="1"/>
    </xf>
    <xf numFmtId="0" fontId="18" fillId="12" borderId="35" xfId="0" applyFont="1" applyFill="1" applyBorder="1" applyAlignment="1">
      <alignment horizontal="center" vertical="center" wrapText="1"/>
    </xf>
    <xf numFmtId="0" fontId="18" fillId="12" borderId="4" xfId="0" applyFont="1" applyFill="1" applyBorder="1" applyAlignment="1">
      <alignment horizontal="center" vertical="center" wrapText="1"/>
    </xf>
    <xf numFmtId="174" fontId="15" fillId="2" borderId="36" xfId="0" applyNumberFormat="1" applyFont="1" applyFill="1" applyBorder="1" applyAlignment="1">
      <alignment horizontal="left" vertical="center" wrapText="1"/>
    </xf>
    <xf numFmtId="0" fontId="10" fillId="2" borderId="36" xfId="0" applyFont="1" applyFill="1" applyBorder="1" applyAlignment="1">
      <alignment horizontal="left"/>
    </xf>
    <xf numFmtId="0" fontId="8" fillId="2" borderId="24" xfId="0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left" vertical="center" wrapText="1"/>
    </xf>
    <xf numFmtId="0" fontId="0" fillId="2" borderId="37" xfId="0" applyFill="1" applyBorder="1" applyAlignment="1">
      <alignment horizontal="center"/>
    </xf>
    <xf numFmtId="0" fontId="0" fillId="2" borderId="37" xfId="0" applyFill="1" applyBorder="1" applyAlignment="1"/>
    <xf numFmtId="0" fontId="8" fillId="2" borderId="37" xfId="0" applyFont="1" applyFill="1" applyBorder="1" applyAlignment="1">
      <alignment horizontal="left" vertical="center" wrapText="1"/>
    </xf>
    <xf numFmtId="171" fontId="8" fillId="2" borderId="37" xfId="0" applyNumberFormat="1" applyFont="1" applyFill="1" applyBorder="1" applyAlignment="1">
      <alignment horizontal="right"/>
    </xf>
    <xf numFmtId="0" fontId="8" fillId="2" borderId="37" xfId="0" applyFont="1" applyFill="1" applyBorder="1" applyAlignment="1">
      <alignment horizontal="right" vertical="center" wrapText="1"/>
    </xf>
    <xf numFmtId="175" fontId="2" fillId="0" borderId="0" xfId="0" applyNumberFormat="1" applyFont="1" applyBorder="1" applyAlignment="1">
      <alignment horizontal="left" vertical="center" wrapText="1"/>
    </xf>
    <xf numFmtId="176" fontId="2" fillId="0" borderId="0" xfId="0" applyNumberFormat="1" applyFont="1" applyBorder="1" applyAlignment="1">
      <alignment horizontal="left" vertical="center" wrapText="1"/>
    </xf>
    <xf numFmtId="177" fontId="2" fillId="0" borderId="0" xfId="0" applyNumberFormat="1" applyFont="1" applyBorder="1" applyAlignment="1">
      <alignment horizontal="left" vertical="center" wrapText="1"/>
    </xf>
    <xf numFmtId="178" fontId="2" fillId="0" borderId="0" xfId="0" applyNumberFormat="1" applyFont="1" applyBorder="1" applyAlignment="1">
      <alignment horizontal="left" vertical="center" wrapText="1"/>
    </xf>
    <xf numFmtId="179" fontId="2" fillId="0" borderId="0" xfId="0" applyNumberFormat="1" applyFont="1" applyBorder="1" applyAlignment="1">
      <alignment horizontal="left" vertical="center" wrapText="1"/>
    </xf>
    <xf numFmtId="180" fontId="2" fillId="0" borderId="0" xfId="0" applyNumberFormat="1" applyFont="1" applyBorder="1" applyAlignment="1">
      <alignment horizontal="left" vertical="center" wrapText="1"/>
    </xf>
    <xf numFmtId="181" fontId="2" fillId="0" borderId="0" xfId="0" applyNumberFormat="1" applyFont="1" applyBorder="1" applyAlignment="1">
      <alignment horizontal="left" vertical="center" wrapText="1"/>
    </xf>
    <xf numFmtId="0" fontId="8" fillId="2" borderId="0" xfId="0" applyFont="1" applyFill="1"/>
    <xf numFmtId="0" fontId="26" fillId="2" borderId="0" xfId="0" applyFont="1" applyFill="1" applyAlignment="1">
      <alignment horizontal="center"/>
    </xf>
    <xf numFmtId="0" fontId="8" fillId="2" borderId="36" xfId="0" applyFont="1" applyFill="1" applyBorder="1" applyAlignment="1">
      <alignment horizontal="center"/>
    </xf>
    <xf numFmtId="0" fontId="8" fillId="2" borderId="36" xfId="0" applyFont="1" applyFill="1" applyBorder="1" applyAlignment="1">
      <alignment horizontal="left" vertical="center" wrapText="1"/>
    </xf>
    <xf numFmtId="0" fontId="8" fillId="2" borderId="6" xfId="0" applyFont="1" applyFill="1" applyBorder="1" applyAlignment="1">
      <alignment horizontal="left"/>
    </xf>
    <xf numFmtId="0" fontId="8" fillId="2" borderId="23" xfId="0" applyFont="1" applyFill="1" applyBorder="1" applyAlignment="1">
      <alignment horizontal="left"/>
    </xf>
    <xf numFmtId="0" fontId="8" fillId="2" borderId="25" xfId="0" applyFont="1" applyFill="1" applyBorder="1" applyAlignment="1">
      <alignment horizontal="left" vertical="center" wrapText="1"/>
    </xf>
    <xf numFmtId="175" fontId="27" fillId="2" borderId="28" xfId="0" applyNumberFormat="1" applyFont="1" applyFill="1" applyBorder="1" applyAlignment="1">
      <alignment horizontal="left" vertical="center" wrapText="1"/>
    </xf>
    <xf numFmtId="176" fontId="27" fillId="2" borderId="28" xfId="0" applyNumberFormat="1" applyFont="1" applyFill="1" applyBorder="1" applyAlignment="1">
      <alignment horizontal="left" vertical="center" wrapText="1"/>
    </xf>
    <xf numFmtId="177" fontId="27" fillId="2" borderId="13" xfId="0" applyNumberFormat="1" applyFont="1" applyFill="1" applyBorder="1" applyAlignment="1">
      <alignment horizontal="left" vertical="center" wrapText="1"/>
    </xf>
    <xf numFmtId="0" fontId="8" fillId="2" borderId="14" xfId="0" applyFont="1" applyFill="1" applyBorder="1" applyAlignment="1">
      <alignment horizontal="left" vertical="center" wrapText="1"/>
    </xf>
    <xf numFmtId="178" fontId="27" fillId="2" borderId="28" xfId="0" applyNumberFormat="1" applyFont="1" applyFill="1" applyBorder="1" applyAlignment="1">
      <alignment horizontal="left" vertical="center" wrapText="1"/>
    </xf>
    <xf numFmtId="0" fontId="8" fillId="2" borderId="25" xfId="0" applyFont="1" applyFill="1" applyBorder="1" applyAlignment="1"/>
    <xf numFmtId="0" fontId="8" fillId="2" borderId="25" xfId="0" applyFont="1" applyFill="1" applyBorder="1" applyAlignment="1">
      <alignment horizontal="center"/>
    </xf>
    <xf numFmtId="179" fontId="27" fillId="2" borderId="13" xfId="0" applyNumberFormat="1" applyFont="1" applyFill="1" applyBorder="1" applyAlignment="1">
      <alignment horizontal="left" vertical="center" wrapText="1"/>
    </xf>
    <xf numFmtId="0" fontId="8" fillId="2" borderId="14" xfId="0" applyFont="1" applyFill="1" applyBorder="1" applyAlignment="1"/>
    <xf numFmtId="180" fontId="27" fillId="2" borderId="13" xfId="0" applyNumberFormat="1" applyFont="1" applyFill="1" applyBorder="1" applyAlignment="1">
      <alignment horizontal="left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8" fillId="2" borderId="14" xfId="0" applyFont="1" applyFill="1" applyBorder="1" applyAlignment="1">
      <alignment horizontal="center"/>
    </xf>
    <xf numFmtId="14" fontId="8" fillId="2" borderId="15" xfId="0" applyNumberFormat="1" applyFont="1" applyFill="1" applyBorder="1"/>
    <xf numFmtId="0" fontId="8" fillId="2" borderId="16" xfId="0" applyFont="1" applyFill="1" applyBorder="1"/>
    <xf numFmtId="7" fontId="8" fillId="2" borderId="17" xfId="0" applyNumberFormat="1" applyFont="1" applyFill="1" applyBorder="1"/>
    <xf numFmtId="14" fontId="8" fillId="2" borderId="18" xfId="0" applyNumberFormat="1" applyFont="1" applyFill="1" applyBorder="1"/>
    <xf numFmtId="7" fontId="8" fillId="2" borderId="19" xfId="0" applyNumberFormat="1" applyFont="1" applyFill="1" applyBorder="1"/>
    <xf numFmtId="0" fontId="8" fillId="2" borderId="20" xfId="0" applyFont="1" applyFill="1" applyBorder="1"/>
    <xf numFmtId="0" fontId="28" fillId="2" borderId="0" xfId="0" applyFont="1" applyFill="1" applyBorder="1" applyAlignment="1">
      <alignment horizontal="right" vertical="center"/>
    </xf>
    <xf numFmtId="0" fontId="15" fillId="2" borderId="0" xfId="0" applyFont="1" applyFill="1" applyBorder="1" applyAlignment="1">
      <alignment horizontal="center" vertical="center"/>
    </xf>
    <xf numFmtId="14" fontId="29" fillId="2" borderId="36" xfId="0" applyNumberFormat="1" applyFont="1" applyFill="1" applyBorder="1" applyAlignment="1">
      <alignment horizontal="left" vertical="center" wrapText="1"/>
    </xf>
    <xf numFmtId="0" fontId="15" fillId="2" borderId="0" xfId="0" applyFont="1" applyFill="1" applyBorder="1" applyAlignment="1">
      <alignment horizontal="center"/>
    </xf>
    <xf numFmtId="0" fontId="15" fillId="2" borderId="0" xfId="0" applyFont="1" applyFill="1" applyBorder="1" applyAlignment="1"/>
    <xf numFmtId="0" fontId="15" fillId="2" borderId="0" xfId="0" applyFont="1" applyFill="1" applyBorder="1" applyAlignment="1">
      <alignment horizontal="left" vertical="center" wrapText="1"/>
    </xf>
    <xf numFmtId="0" fontId="15" fillId="2" borderId="0" xfId="0" applyFont="1" applyFill="1" applyBorder="1" applyAlignment="1">
      <alignment horizontal="right"/>
    </xf>
    <xf numFmtId="181" fontId="27" fillId="8" borderId="36" xfId="0" applyNumberFormat="1" applyFont="1" applyFill="1" applyBorder="1" applyAlignment="1">
      <alignment horizontal="left" vertical="center" wrapText="1"/>
    </xf>
    <xf numFmtId="0" fontId="30" fillId="0" borderId="0" xfId="0" applyFont="1"/>
    <xf numFmtId="0" fontId="25" fillId="2" borderId="0" xfId="0" applyFont="1" applyFill="1"/>
    <xf numFmtId="0" fontId="8" fillId="2" borderId="0" xfId="0" applyFont="1" applyFill="1" applyBorder="1" applyAlignment="1">
      <alignment horizontal="right"/>
    </xf>
    <xf numFmtId="0" fontId="18" fillId="2" borderId="0" xfId="0" applyFont="1" applyFill="1" applyBorder="1" applyAlignment="1">
      <alignment horizontal="center" vertical="top"/>
    </xf>
    <xf numFmtId="0" fontId="20" fillId="10" borderId="22" xfId="0" applyFont="1" applyFill="1" applyBorder="1" applyAlignment="1">
      <alignment horizontal="center" vertical="center" wrapText="1"/>
    </xf>
    <xf numFmtId="0" fontId="20" fillId="10" borderId="22" xfId="0" applyFont="1" applyFill="1" applyBorder="1" applyAlignment="1" applyProtection="1">
      <alignment horizontal="center" vertical="center" wrapText="1"/>
      <protection locked="0"/>
    </xf>
    <xf numFmtId="0" fontId="19" fillId="2" borderId="22" xfId="0" applyFont="1" applyFill="1" applyBorder="1" applyAlignment="1" applyProtection="1">
      <alignment horizontal="right" vertical="center"/>
      <protection locked="0"/>
    </xf>
    <xf numFmtId="0" fontId="19" fillId="2" borderId="22" xfId="0" applyFont="1" applyFill="1" applyBorder="1" applyAlignment="1" applyProtection="1">
      <alignment horizontal="right"/>
      <protection locked="0"/>
    </xf>
    <xf numFmtId="0" fontId="17" fillId="2" borderId="0" xfId="0" applyFont="1" applyFill="1" applyBorder="1" applyAlignment="1">
      <alignment horizontal="center" vertical="top"/>
    </xf>
    <xf numFmtId="14" fontId="8" fillId="2" borderId="18" xfId="0" applyNumberFormat="1" applyFont="1" applyFill="1" applyBorder="1" applyAlignment="1">
      <alignment horizontal="center" vertical="center"/>
    </xf>
    <xf numFmtId="168" fontId="8" fillId="2" borderId="0" xfId="0" applyNumberFormat="1" applyFont="1" applyFill="1" applyBorder="1" applyAlignment="1">
      <alignment horizontal="right" vertical="center"/>
    </xf>
    <xf numFmtId="171" fontId="0" fillId="2" borderId="19" xfId="0" applyNumberFormat="1" applyFill="1" applyBorder="1"/>
    <xf numFmtId="14" fontId="8" fillId="2" borderId="5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right" vertical="center"/>
    </xf>
    <xf numFmtId="168" fontId="8" fillId="2" borderId="20" xfId="0" applyNumberFormat="1" applyFont="1" applyFill="1" applyBorder="1" applyAlignment="1">
      <alignment horizontal="right" vertical="center"/>
    </xf>
    <xf numFmtId="171" fontId="0" fillId="2" borderId="21" xfId="0" applyNumberFormat="1" applyFill="1" applyBorder="1"/>
    <xf numFmtId="0" fontId="0" fillId="2" borderId="24" xfId="0" applyFill="1" applyBorder="1" applyAlignment="1">
      <alignment horizontal="center"/>
    </xf>
    <xf numFmtId="0" fontId="0" fillId="2" borderId="24" xfId="0" applyFill="1" applyBorder="1" applyAlignment="1">
      <alignment horizontal="left" vertical="center" wrapText="1"/>
    </xf>
    <xf numFmtId="0" fontId="0" fillId="2" borderId="24" xfId="0" applyFill="1" applyBorder="1"/>
    <xf numFmtId="0" fontId="18" fillId="13" borderId="32" xfId="0" applyFont="1" applyFill="1" applyBorder="1" applyAlignment="1">
      <alignment horizontal="center" vertical="center" wrapText="1"/>
    </xf>
    <xf numFmtId="0" fontId="18" fillId="13" borderId="34" xfId="0" applyFont="1" applyFill="1" applyBorder="1" applyAlignment="1">
      <alignment horizontal="center" vertical="center" wrapText="1"/>
    </xf>
    <xf numFmtId="0" fontId="18" fillId="13" borderId="35" xfId="0" applyFont="1" applyFill="1" applyBorder="1" applyAlignment="1">
      <alignment horizontal="center" vertical="center" wrapText="1"/>
    </xf>
    <xf numFmtId="0" fontId="18" fillId="1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4" fontId="8" fillId="2" borderId="5" xfId="0" applyNumberFormat="1" applyFont="1" applyFill="1" applyBorder="1"/>
    <xf numFmtId="7" fontId="8" fillId="2" borderId="21" xfId="0" applyNumberFormat="1" applyFont="1" applyFill="1" applyBorder="1"/>
    <xf numFmtId="0" fontId="0" fillId="0" borderId="0" xfId="0" applyFont="1" applyFill="1" applyAlignment="1">
      <alignment horizontal="right" vertical="center" wrapText="1"/>
    </xf>
    <xf numFmtId="0" fontId="0" fillId="0" borderId="0" xfId="0" applyFont="1" applyFill="1" applyBorder="1"/>
    <xf numFmtId="0" fontId="3" fillId="0" borderId="0" xfId="0" applyFont="1" applyFill="1" applyAlignment="1">
      <alignment vertical="center" wrapText="1"/>
    </xf>
    <xf numFmtId="0" fontId="31" fillId="2" borderId="0" xfId="0" applyFont="1" applyFill="1"/>
    <xf numFmtId="0" fontId="18" fillId="12" borderId="38" xfId="0" applyFont="1" applyFill="1" applyBorder="1" applyAlignment="1">
      <alignment vertical="center" wrapText="1"/>
    </xf>
    <xf numFmtId="0" fontId="18" fillId="13" borderId="38" xfId="0" applyFont="1" applyFill="1" applyBorder="1" applyAlignment="1">
      <alignment vertical="center" wrapText="1"/>
    </xf>
    <xf numFmtId="0" fontId="20" fillId="10" borderId="39" xfId="0" applyFont="1" applyFill="1" applyBorder="1" applyAlignment="1">
      <alignment horizontal="right" vertical="center"/>
    </xf>
    <xf numFmtId="0" fontId="20" fillId="10" borderId="41" xfId="0" applyFont="1" applyFill="1" applyBorder="1" applyAlignment="1">
      <alignment horizontal="right" vertical="center"/>
    </xf>
    <xf numFmtId="0" fontId="20" fillId="10" borderId="43" xfId="0" applyFont="1" applyFill="1" applyBorder="1" applyAlignment="1">
      <alignment horizontal="right" vertical="center"/>
    </xf>
    <xf numFmtId="173" fontId="20" fillId="10" borderId="44" xfId="0" applyNumberFormat="1" applyFont="1" applyFill="1" applyBorder="1" applyAlignment="1" applyProtection="1">
      <alignment horizontal="left"/>
      <protection locked="0"/>
    </xf>
    <xf numFmtId="14" fontId="20" fillId="10" borderId="42" xfId="0" applyNumberFormat="1" applyFont="1" applyFill="1" applyBorder="1" applyAlignment="1" applyProtection="1">
      <alignment horizontal="left"/>
      <protection locked="0"/>
    </xf>
    <xf numFmtId="14" fontId="20" fillId="10" borderId="40" xfId="0" applyNumberFormat="1" applyFont="1" applyFill="1" applyBorder="1" applyAlignment="1" applyProtection="1">
      <alignment horizontal="left"/>
      <protection locked="0"/>
    </xf>
    <xf numFmtId="0" fontId="17" fillId="2" borderId="0" xfId="0" applyFont="1" applyFill="1" applyBorder="1" applyAlignment="1">
      <alignment horizontal="center" vertical="top"/>
    </xf>
    <xf numFmtId="0" fontId="0" fillId="15" borderId="0" xfId="0" applyFill="1"/>
    <xf numFmtId="183" fontId="20" fillId="10" borderId="44" xfId="0" applyNumberFormat="1" applyFont="1" applyFill="1" applyBorder="1" applyAlignment="1" applyProtection="1">
      <alignment horizontal="left"/>
      <protection locked="0"/>
    </xf>
    <xf numFmtId="174" fontId="3" fillId="7" borderId="45" xfId="0" applyNumberFormat="1" applyFont="1" applyFill="1" applyBorder="1" applyAlignment="1">
      <alignment horizontal="right" vertical="center" wrapText="1"/>
    </xf>
    <xf numFmtId="0" fontId="3" fillId="7" borderId="45" xfId="0" applyFont="1" applyFill="1" applyBorder="1" applyAlignment="1">
      <alignment horizontal="right" vertical="center" wrapText="1"/>
    </xf>
    <xf numFmtId="14" fontId="3" fillId="7" borderId="45" xfId="0" applyNumberFormat="1" applyFont="1" applyFill="1" applyBorder="1" applyAlignment="1">
      <alignment horizontal="right" vertical="center" wrapText="1"/>
    </xf>
    <xf numFmtId="0" fontId="3" fillId="7" borderId="45" xfId="0" applyNumberFormat="1" applyFont="1" applyFill="1" applyBorder="1" applyAlignment="1">
      <alignment horizontal="right" vertical="center" wrapText="1"/>
    </xf>
    <xf numFmtId="168" fontId="3" fillId="7" borderId="45" xfId="0" applyNumberFormat="1" applyFont="1" applyFill="1" applyBorder="1" applyAlignment="1">
      <alignment horizontal="right" vertical="center" wrapText="1"/>
    </xf>
    <xf numFmtId="171" fontId="3" fillId="7" borderId="45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Fill="1" applyAlignment="1">
      <alignment horizontal="right" vertical="center" wrapText="1"/>
    </xf>
    <xf numFmtId="0" fontId="32" fillId="2" borderId="0" xfId="0" applyFont="1" applyFill="1"/>
    <xf numFmtId="17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84" fontId="0" fillId="0" borderId="0" xfId="0" applyNumberFormat="1" applyAlignment="1">
      <alignment horizontal="left" vertical="center"/>
    </xf>
    <xf numFmtId="14" fontId="3" fillId="7" borderId="0" xfId="0" applyNumberFormat="1" applyFont="1" applyFill="1" applyBorder="1" applyAlignment="1">
      <alignment horizontal="left" vertical="center"/>
    </xf>
    <xf numFmtId="0" fontId="3" fillId="7" borderId="0" xfId="0" applyFont="1" applyFill="1" applyBorder="1" applyAlignment="1">
      <alignment horizontal="left" vertical="center"/>
    </xf>
    <xf numFmtId="184" fontId="3" fillId="7" borderId="0" xfId="0" applyNumberFormat="1" applyFont="1" applyFill="1" applyBorder="1" applyAlignment="1">
      <alignment horizontal="left" vertical="center"/>
    </xf>
    <xf numFmtId="0" fontId="3" fillId="7" borderId="0" xfId="0" applyFont="1" applyFill="1" applyBorder="1" applyAlignment="1">
      <alignment horizontal="left" vertical="center" wrapText="1"/>
    </xf>
    <xf numFmtId="173" fontId="3" fillId="7" borderId="47" xfId="0" applyNumberFormat="1" applyFont="1" applyFill="1" applyBorder="1" applyAlignment="1">
      <alignment horizontal="left" vertical="center"/>
    </xf>
    <xf numFmtId="173" fontId="0" fillId="0" borderId="0" xfId="0" applyNumberFormat="1"/>
    <xf numFmtId="0" fontId="8" fillId="2" borderId="0" xfId="0" applyFont="1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173" fontId="23" fillId="2" borderId="17" xfId="0" applyNumberFormat="1" applyFont="1" applyFill="1" applyBorder="1" applyAlignment="1" applyProtection="1">
      <alignment horizontal="center"/>
      <protection locked="0"/>
    </xf>
    <xf numFmtId="14" fontId="24" fillId="2" borderId="21" xfId="0" applyNumberFormat="1" applyFont="1" applyFill="1" applyBorder="1" applyAlignment="1">
      <alignment horizontal="center" vertical="center" wrapText="1"/>
    </xf>
    <xf numFmtId="0" fontId="18" fillId="13" borderId="33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173" fontId="0" fillId="0" borderId="0" xfId="0" applyNumberFormat="1" applyBorder="1"/>
    <xf numFmtId="14" fontId="0" fillId="0" borderId="0" xfId="0" applyNumberFormat="1" applyBorder="1"/>
    <xf numFmtId="0" fontId="0" fillId="6" borderId="46" xfId="1" applyFont="1" applyFill="1" applyBorder="1" applyAlignment="1">
      <alignment horizontal="left" vertical="center" wrapText="1"/>
    </xf>
    <xf numFmtId="0" fontId="8" fillId="2" borderId="29" xfId="0" applyFont="1" applyFill="1" applyBorder="1" applyAlignment="1">
      <alignment horizontal="right" indent="4"/>
    </xf>
    <xf numFmtId="0" fontId="8" fillId="2" borderId="30" xfId="0" applyFont="1" applyFill="1" applyBorder="1" applyAlignment="1">
      <alignment horizontal="right" indent="4"/>
    </xf>
    <xf numFmtId="0" fontId="8" fillId="2" borderId="31" xfId="0" applyFont="1" applyFill="1" applyBorder="1" applyAlignment="1">
      <alignment horizontal="right" indent="4"/>
    </xf>
    <xf numFmtId="0" fontId="3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2" borderId="0" xfId="0" applyNumberFormat="1" applyFill="1" applyBorder="1"/>
    <xf numFmtId="0" fontId="3" fillId="10" borderId="0" xfId="0" applyNumberFormat="1" applyFont="1" applyFill="1" applyBorder="1" applyAlignment="1">
      <alignment horizontal="center" vertical="center" wrapText="1"/>
    </xf>
    <xf numFmtId="0" fontId="34" fillId="2" borderId="0" xfId="0" applyFont="1" applyFill="1" applyBorder="1" applyAlignment="1">
      <alignment horizontal="center" vertical="center"/>
    </xf>
    <xf numFmtId="168" fontId="36" fillId="16" borderId="22" xfId="0" applyNumberFormat="1" applyFont="1" applyFill="1" applyBorder="1" applyAlignment="1">
      <alignment horizontal="center" vertical="center" wrapText="1"/>
    </xf>
    <xf numFmtId="168" fontId="36" fillId="16" borderId="22" xfId="0" applyNumberFormat="1" applyFont="1" applyFill="1" applyBorder="1" applyAlignment="1">
      <alignment horizontal="center" vertical="center"/>
    </xf>
    <xf numFmtId="168" fontId="0" fillId="2" borderId="22" xfId="0" quotePrefix="1" applyNumberFormat="1" applyFont="1" applyFill="1" applyBorder="1"/>
    <xf numFmtId="0" fontId="3" fillId="17" borderId="0" xfId="0" applyNumberFormat="1" applyFont="1" applyFill="1" applyBorder="1" applyAlignment="1">
      <alignment horizontal="center" vertical="center" wrapText="1"/>
    </xf>
    <xf numFmtId="0" fontId="3" fillId="17" borderId="0" xfId="0" applyFont="1" applyFill="1" applyBorder="1" applyAlignment="1">
      <alignment horizontal="center" vertical="center" wrapText="1"/>
    </xf>
    <xf numFmtId="168" fontId="7" fillId="17" borderId="22" xfId="0" applyNumberFormat="1" applyFont="1" applyFill="1" applyBorder="1" applyAlignment="1">
      <alignment horizontal="center" vertical="center"/>
    </xf>
    <xf numFmtId="182" fontId="7" fillId="17" borderId="22" xfId="0" applyNumberFormat="1" applyFont="1" applyFill="1" applyBorder="1" applyAlignment="1">
      <alignment horizontal="center" vertical="center"/>
    </xf>
    <xf numFmtId="0" fontId="0" fillId="17" borderId="0" xfId="0" applyFill="1" applyAlignment="1"/>
    <xf numFmtId="14" fontId="0" fillId="17" borderId="0" xfId="0" applyNumberFormat="1" applyFill="1"/>
    <xf numFmtId="0" fontId="34" fillId="17" borderId="0" xfId="0" applyFont="1" applyFill="1" applyBorder="1" applyAlignment="1">
      <alignment horizontal="center" vertical="center"/>
    </xf>
    <xf numFmtId="0" fontId="35" fillId="17" borderId="0" xfId="0" applyFont="1" applyFill="1" applyAlignment="1"/>
    <xf numFmtId="168" fontId="35" fillId="17" borderId="5" xfId="0" quotePrefix="1" applyNumberFormat="1" applyFont="1" applyFill="1" applyBorder="1"/>
    <xf numFmtId="168" fontId="35" fillId="17" borderId="0" xfId="0" quotePrefix="1" applyNumberFormat="1" applyFont="1" applyFill="1" applyBorder="1"/>
    <xf numFmtId="0" fontId="35" fillId="17" borderId="0" xfId="0" applyFont="1" applyFill="1" applyBorder="1" applyAlignment="1">
      <alignment horizontal="center" vertical="center"/>
    </xf>
    <xf numFmtId="0" fontId="35" fillId="17" borderId="0" xfId="0" applyFont="1" applyFill="1" applyBorder="1" applyAlignment="1">
      <alignment horizontal="center"/>
    </xf>
    <xf numFmtId="182" fontId="0" fillId="2" borderId="22" xfId="0" quotePrefix="1" applyNumberFormat="1" applyFont="1" applyFill="1" applyBorder="1"/>
    <xf numFmtId="0" fontId="8" fillId="18" borderId="2" xfId="0" applyFont="1" applyFill="1" applyBorder="1" applyAlignment="1">
      <alignment vertical="center"/>
    </xf>
    <xf numFmtId="14" fontId="8" fillId="18" borderId="4" xfId="0" applyNumberFormat="1" applyFont="1" applyFill="1" applyBorder="1" applyAlignment="1">
      <alignment vertical="center"/>
    </xf>
    <xf numFmtId="0" fontId="8" fillId="0" borderId="0" xfId="0" applyFont="1" applyFill="1"/>
    <xf numFmtId="0" fontId="35" fillId="0" borderId="0" xfId="0" applyFont="1" applyFill="1"/>
    <xf numFmtId="0" fontId="0" fillId="2" borderId="22" xfId="0" applyNumberFormat="1" applyFill="1" applyBorder="1" applyAlignment="1">
      <alignment horizontal="center" vertical="center"/>
    </xf>
    <xf numFmtId="14" fontId="0" fillId="6" borderId="50" xfId="0" applyNumberFormat="1" applyFont="1" applyFill="1" applyBorder="1" applyAlignment="1">
      <alignment vertical="center"/>
    </xf>
    <xf numFmtId="0" fontId="0" fillId="6" borderId="50" xfId="0" applyFont="1" applyFill="1" applyBorder="1" applyAlignment="1">
      <alignment vertical="center"/>
    </xf>
    <xf numFmtId="0" fontId="0" fillId="6" borderId="50" xfId="0" applyFont="1" applyFill="1" applyBorder="1" applyAlignment="1">
      <alignment vertical="center" wrapText="1"/>
    </xf>
    <xf numFmtId="0" fontId="0" fillId="6" borderId="51" xfId="0" applyFont="1" applyFill="1" applyBorder="1" applyAlignment="1">
      <alignment vertical="center"/>
    </xf>
    <xf numFmtId="0" fontId="0" fillId="6" borderId="7" xfId="0" applyFont="1" applyFill="1" applyBorder="1" applyAlignment="1">
      <alignment vertical="center"/>
    </xf>
    <xf numFmtId="0" fontId="0" fillId="0" borderId="0" xfId="0" applyNumberFormat="1" applyFill="1" applyBorder="1"/>
    <xf numFmtId="0" fontId="0" fillId="0" borderId="0" xfId="0" applyFill="1" applyAlignment="1"/>
    <xf numFmtId="0" fontId="35" fillId="0" borderId="0" xfId="0" applyFont="1" applyFill="1" applyAlignment="1"/>
    <xf numFmtId="168" fontId="0" fillId="2" borderId="48" xfId="0" quotePrefix="1" applyNumberFormat="1" applyFont="1" applyFill="1" applyBorder="1"/>
    <xf numFmtId="168" fontId="0" fillId="2" borderId="28" xfId="0" quotePrefix="1" applyNumberFormat="1" applyFont="1" applyFill="1" applyBorder="1"/>
    <xf numFmtId="182" fontId="0" fillId="2" borderId="28" xfId="0" quotePrefix="1" applyNumberFormat="1" applyFont="1" applyFill="1" applyBorder="1"/>
    <xf numFmtId="182" fontId="0" fillId="2" borderId="28" xfId="0" quotePrefix="1" applyNumberFormat="1" applyFill="1" applyBorder="1"/>
    <xf numFmtId="168" fontId="7" fillId="17" borderId="57" xfId="0" applyNumberFormat="1" applyFont="1" applyFill="1" applyBorder="1" applyAlignment="1">
      <alignment horizontal="center" vertical="center"/>
    </xf>
    <xf numFmtId="182" fontId="7" fillId="17" borderId="58" xfId="0" applyNumberFormat="1" applyFont="1" applyFill="1" applyBorder="1" applyAlignment="1">
      <alignment horizontal="center" vertical="center"/>
    </xf>
    <xf numFmtId="168" fontId="36" fillId="16" borderId="57" xfId="0" applyNumberFormat="1" applyFont="1" applyFill="1" applyBorder="1" applyAlignment="1">
      <alignment horizontal="center" vertical="center" wrapText="1"/>
    </xf>
    <xf numFmtId="168" fontId="36" fillId="16" borderId="58" xfId="0" applyNumberFormat="1" applyFont="1" applyFill="1" applyBorder="1" applyAlignment="1">
      <alignment horizontal="center" vertical="center"/>
    </xf>
    <xf numFmtId="168" fontId="0" fillId="2" borderId="57" xfId="0" quotePrefix="1" applyNumberFormat="1" applyFont="1" applyFill="1" applyBorder="1"/>
    <xf numFmtId="168" fontId="0" fillId="2" borderId="59" xfId="0" quotePrefix="1" applyNumberFormat="1" applyFont="1" applyFill="1" applyBorder="1"/>
    <xf numFmtId="168" fontId="0" fillId="2" borderId="60" xfId="0" quotePrefix="1" applyNumberFormat="1" applyFont="1" applyFill="1" applyBorder="1"/>
    <xf numFmtId="182" fontId="0" fillId="2" borderId="60" xfId="0" quotePrefix="1" applyNumberFormat="1" applyFont="1" applyFill="1" applyBorder="1"/>
    <xf numFmtId="168" fontId="0" fillId="2" borderId="62" xfId="0" quotePrefix="1" applyNumberFormat="1" applyFont="1" applyFill="1" applyBorder="1"/>
    <xf numFmtId="182" fontId="0" fillId="2" borderId="63" xfId="0" quotePrefix="1" applyNumberFormat="1" applyFont="1" applyFill="1" applyBorder="1"/>
    <xf numFmtId="168" fontId="7" fillId="14" borderId="59" xfId="0" applyNumberFormat="1" applyFont="1" applyFill="1" applyBorder="1" applyAlignment="1">
      <alignment horizontal="center" vertical="center"/>
    </xf>
    <xf numFmtId="168" fontId="7" fillId="14" borderId="60" xfId="0" applyNumberFormat="1" applyFont="1" applyFill="1" applyBorder="1" applyAlignment="1">
      <alignment horizontal="center" vertical="center"/>
    </xf>
    <xf numFmtId="182" fontId="7" fillId="14" borderId="60" xfId="0" applyNumberFormat="1" applyFont="1" applyFill="1" applyBorder="1" applyAlignment="1">
      <alignment horizontal="center" vertical="center"/>
    </xf>
    <xf numFmtId="182" fontId="7" fillId="14" borderId="61" xfId="0" applyNumberFormat="1" applyFont="1" applyFill="1" applyBorder="1" applyAlignment="1">
      <alignment horizontal="center" vertical="center"/>
    </xf>
    <xf numFmtId="168" fontId="7" fillId="17" borderId="62" xfId="0" applyNumberFormat="1" applyFont="1" applyFill="1" applyBorder="1" applyAlignment="1">
      <alignment horizontal="center" vertical="center"/>
    </xf>
    <xf numFmtId="168" fontId="7" fillId="17" borderId="28" xfId="0" applyNumberFormat="1" applyFont="1" applyFill="1" applyBorder="1" applyAlignment="1">
      <alignment horizontal="center" vertical="center"/>
    </xf>
    <xf numFmtId="182" fontId="7" fillId="17" borderId="28" xfId="0" applyNumberFormat="1" applyFont="1" applyFill="1" applyBorder="1" applyAlignment="1">
      <alignment horizontal="center" vertical="center"/>
    </xf>
    <xf numFmtId="182" fontId="7" fillId="17" borderId="63" xfId="0" applyNumberFormat="1" applyFont="1" applyFill="1" applyBorder="1" applyAlignment="1">
      <alignment horizontal="center" vertical="center"/>
    </xf>
    <xf numFmtId="168" fontId="0" fillId="2" borderId="14" xfId="0" quotePrefix="1" applyNumberFormat="1" applyFont="1" applyFill="1" applyBorder="1"/>
    <xf numFmtId="0" fontId="33" fillId="2" borderId="0" xfId="0" applyFont="1" applyFill="1" applyBorder="1" applyAlignment="1">
      <alignment horizontal="center" vertical="center"/>
    </xf>
    <xf numFmtId="0" fontId="3" fillId="7" borderId="47" xfId="0" applyFont="1" applyFill="1" applyBorder="1"/>
    <xf numFmtId="0" fontId="3" fillId="7" borderId="0" xfId="0" applyFont="1" applyFill="1" applyBorder="1"/>
    <xf numFmtId="0" fontId="3" fillId="7" borderId="67" xfId="0" applyFont="1" applyFill="1" applyBorder="1"/>
    <xf numFmtId="14" fontId="3" fillId="7" borderId="0" xfId="0" applyNumberFormat="1" applyFont="1" applyFill="1" applyBorder="1"/>
    <xf numFmtId="0" fontId="35" fillId="2" borderId="0" xfId="0" applyFont="1" applyFill="1"/>
    <xf numFmtId="0" fontId="0" fillId="0" borderId="0" xfId="0" applyFill="1" applyBorder="1" applyAlignment="1">
      <alignment horizontal="left" vertical="top"/>
    </xf>
    <xf numFmtId="0" fontId="8" fillId="0" borderId="0" xfId="0" applyFont="1" applyFill="1" applyBorder="1" applyAlignment="1">
      <alignment vertical="top"/>
    </xf>
    <xf numFmtId="0" fontId="8" fillId="0" borderId="0" xfId="0" applyFont="1" applyAlignment="1">
      <alignment horizontal="center"/>
    </xf>
    <xf numFmtId="0" fontId="0" fillId="0" borderId="0" xfId="0" applyFill="1" applyBorder="1" applyAlignment="1">
      <alignment vertical="top"/>
    </xf>
    <xf numFmtId="0" fontId="0" fillId="0" borderId="0" xfId="0" applyBorder="1" applyAlignment="1">
      <alignment horizontal="right" indent="1"/>
    </xf>
    <xf numFmtId="0" fontId="38" fillId="0" borderId="15" xfId="0" applyFont="1" applyBorder="1" applyAlignment="1">
      <alignment horizontal="right"/>
    </xf>
    <xf numFmtId="0" fontId="8" fillId="0" borderId="0" xfId="0" applyFont="1" applyAlignment="1">
      <alignment horizontal="left" vertical="center" wrapText="1"/>
    </xf>
    <xf numFmtId="0" fontId="38" fillId="0" borderId="5" xfId="0" applyFont="1" applyBorder="1" applyAlignment="1">
      <alignment horizontal="right"/>
    </xf>
    <xf numFmtId="164" fontId="8" fillId="0" borderId="21" xfId="0" applyNumberFormat="1" applyFont="1" applyBorder="1" applyAlignment="1">
      <alignment horizontal="left" vertical="center" wrapText="1"/>
    </xf>
    <xf numFmtId="0" fontId="8" fillId="0" borderId="0" xfId="0" applyFont="1" applyAlignment="1"/>
    <xf numFmtId="0" fontId="38" fillId="0" borderId="0" xfId="0" applyFont="1" applyAlignment="1">
      <alignment horizontal="right"/>
    </xf>
    <xf numFmtId="14" fontId="8" fillId="0" borderId="0" xfId="0" applyNumberFormat="1" applyFont="1" applyAlignment="1">
      <alignment horizontal="left" vertical="center" wrapText="1"/>
    </xf>
    <xf numFmtId="0" fontId="18" fillId="22" borderId="69" xfId="0" applyFont="1" applyFill="1" applyBorder="1" applyAlignment="1">
      <alignment horizontal="center" vertical="center" wrapText="1"/>
    </xf>
    <xf numFmtId="0" fontId="18" fillId="22" borderId="70" xfId="0" applyFont="1" applyFill="1" applyBorder="1" applyAlignment="1">
      <alignment vertical="center" wrapText="1"/>
    </xf>
    <xf numFmtId="0" fontId="18" fillId="22" borderId="70" xfId="0" applyFont="1" applyFill="1" applyBorder="1" applyAlignment="1">
      <alignment horizontal="center" vertical="center" wrapText="1"/>
    </xf>
    <xf numFmtId="0" fontId="18" fillId="22" borderId="71" xfId="0" applyFont="1" applyFill="1" applyBorder="1" applyAlignment="1">
      <alignment horizontal="center" vertical="center" wrapText="1"/>
    </xf>
    <xf numFmtId="0" fontId="18" fillId="22" borderId="72" xfId="0" applyFont="1" applyFill="1" applyBorder="1" applyAlignment="1">
      <alignment horizontal="center" vertical="center" wrapText="1"/>
    </xf>
    <xf numFmtId="14" fontId="8" fillId="0" borderId="73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168" fontId="8" fillId="0" borderId="0" xfId="0" applyNumberFormat="1" applyFont="1" applyBorder="1" applyAlignment="1">
      <alignment horizontal="right" vertical="center"/>
    </xf>
    <xf numFmtId="171" fontId="8" fillId="0" borderId="73" xfId="0" applyNumberFormat="1" applyFont="1" applyBorder="1" applyAlignment="1">
      <alignment horizontal="right" vertical="center"/>
    </xf>
    <xf numFmtId="171" fontId="8" fillId="0" borderId="74" xfId="0" applyNumberFormat="1" applyFont="1" applyBorder="1" applyAlignment="1">
      <alignment vertical="center"/>
    </xf>
    <xf numFmtId="14" fontId="8" fillId="0" borderId="73" xfId="0" applyNumberFormat="1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0" fontId="8" fillId="0" borderId="0" xfId="0" applyFont="1" applyBorder="1" applyAlignment="1">
      <alignment horizontal="center"/>
    </xf>
    <xf numFmtId="168" fontId="8" fillId="0" borderId="0" xfId="0" applyNumberFormat="1" applyFont="1" applyBorder="1" applyAlignment="1">
      <alignment horizontal="right"/>
    </xf>
    <xf numFmtId="171" fontId="8" fillId="0" borderId="73" xfId="0" applyNumberFormat="1" applyFont="1" applyBorder="1" applyAlignment="1">
      <alignment horizontal="right"/>
    </xf>
    <xf numFmtId="171" fontId="8" fillId="0" borderId="74" xfId="0" applyNumberFormat="1" applyFont="1" applyBorder="1" applyAlignment="1"/>
    <xf numFmtId="14" fontId="8" fillId="0" borderId="13" xfId="0" applyNumberFormat="1" applyFont="1" applyBorder="1" applyAlignment="1">
      <alignment horizontal="center"/>
    </xf>
    <xf numFmtId="0" fontId="8" fillId="0" borderId="8" xfId="0" applyFont="1" applyBorder="1" applyAlignment="1">
      <alignment horizontal="right"/>
    </xf>
    <xf numFmtId="0" fontId="8" fillId="0" borderId="8" xfId="0" applyFont="1" applyBorder="1" applyAlignment="1">
      <alignment horizontal="center"/>
    </xf>
    <xf numFmtId="0" fontId="8" fillId="0" borderId="8" xfId="0" applyFont="1" applyBorder="1" applyAlignment="1">
      <alignment horizontal="right" vertical="center"/>
    </xf>
    <xf numFmtId="168" fontId="8" fillId="0" borderId="8" xfId="0" applyNumberFormat="1" applyFont="1" applyBorder="1" applyAlignment="1">
      <alignment horizontal="right"/>
    </xf>
    <xf numFmtId="171" fontId="8" fillId="0" borderId="13" xfId="0" applyNumberFormat="1" applyFont="1" applyBorder="1" applyAlignment="1">
      <alignment horizontal="right"/>
    </xf>
    <xf numFmtId="171" fontId="8" fillId="0" borderId="14" xfId="0" applyNumberFormat="1" applyFont="1" applyBorder="1" applyAlignment="1"/>
    <xf numFmtId="0" fontId="0" fillId="0" borderId="0" xfId="0" applyAlignment="1"/>
    <xf numFmtId="0" fontId="0" fillId="0" borderId="75" xfId="0" applyBorder="1" applyAlignment="1">
      <alignment horizontal="center"/>
    </xf>
    <xf numFmtId="0" fontId="0" fillId="0" borderId="75" xfId="0" applyBorder="1"/>
    <xf numFmtId="0" fontId="38" fillId="0" borderId="8" xfId="0" applyFont="1" applyBorder="1" applyAlignment="1">
      <alignment horizontal="center"/>
    </xf>
    <xf numFmtId="171" fontId="8" fillId="0" borderId="8" xfId="0" applyNumberFormat="1" applyFont="1" applyBorder="1"/>
    <xf numFmtId="0" fontId="38" fillId="0" borderId="75" xfId="0" applyFont="1" applyBorder="1" applyAlignment="1">
      <alignment horizontal="center"/>
    </xf>
    <xf numFmtId="171" fontId="38" fillId="0" borderId="75" xfId="0" applyNumberFormat="1" applyFont="1" applyBorder="1"/>
    <xf numFmtId="0" fontId="8" fillId="0" borderId="76" xfId="0" applyFont="1" applyBorder="1" applyAlignment="1">
      <alignment horizontal="center"/>
    </xf>
    <xf numFmtId="171" fontId="8" fillId="0" borderId="76" xfId="0" applyNumberFormat="1" applyFont="1" applyBorder="1"/>
    <xf numFmtId="0" fontId="15" fillId="0" borderId="76" xfId="0" applyFont="1" applyBorder="1" applyAlignment="1">
      <alignment horizontal="center"/>
    </xf>
    <xf numFmtId="171" fontId="15" fillId="0" borderId="76" xfId="0" applyNumberFormat="1" applyFont="1" applyBorder="1"/>
    <xf numFmtId="0" fontId="8" fillId="0" borderId="0" xfId="0" applyFont="1" applyAlignment="1">
      <alignment horizontal="left" indent="10"/>
    </xf>
    <xf numFmtId="0" fontId="16" fillId="0" borderId="22" xfId="0" applyFont="1" applyFill="1" applyBorder="1" applyAlignment="1">
      <alignment horizontal="left" vertical="top" wrapText="1" indent="3"/>
    </xf>
    <xf numFmtId="174" fontId="3" fillId="7" borderId="45" xfId="0" applyNumberFormat="1" applyFont="1" applyFill="1" applyBorder="1" applyAlignment="1">
      <alignment horizontal="center" vertical="center" wrapText="1"/>
    </xf>
    <xf numFmtId="174" fontId="0" fillId="0" borderId="0" xfId="0" applyNumberFormat="1" applyFont="1" applyFill="1" applyAlignment="1" applyProtection="1">
      <alignment horizontal="center" vertical="center" wrapText="1"/>
      <protection locked="0"/>
    </xf>
    <xf numFmtId="174" fontId="0" fillId="0" borderId="0" xfId="0" applyNumberFormat="1" applyFill="1" applyAlignment="1" applyProtection="1">
      <alignment horizontal="center" vertical="center" wrapText="1"/>
      <protection locked="0"/>
    </xf>
    <xf numFmtId="185" fontId="0" fillId="0" borderId="0" xfId="0" applyNumberFormat="1"/>
    <xf numFmtId="0" fontId="0" fillId="3" borderId="0" xfId="0" applyFill="1"/>
    <xf numFmtId="168" fontId="0" fillId="0" borderId="0" xfId="0" applyNumberFormat="1"/>
    <xf numFmtId="0" fontId="18" fillId="22" borderId="79" xfId="0" applyFont="1" applyFill="1" applyBorder="1" applyAlignment="1">
      <alignment horizontal="center" vertical="center" wrapText="1"/>
    </xf>
    <xf numFmtId="0" fontId="18" fillId="22" borderId="77" xfId="0" applyFont="1" applyFill="1" applyBorder="1" applyAlignment="1">
      <alignment horizontal="center" vertical="center" wrapText="1"/>
    </xf>
    <xf numFmtId="0" fontId="18" fillId="22" borderId="7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right" indent="1"/>
    </xf>
    <xf numFmtId="168" fontId="0" fillId="0" borderId="0" xfId="0" applyNumberFormat="1" applyBorder="1"/>
    <xf numFmtId="9" fontId="0" fillId="0" borderId="0" xfId="0" applyNumberFormat="1" applyBorder="1"/>
    <xf numFmtId="0" fontId="1" fillId="6" borderId="46" xfId="1" applyFill="1" applyBorder="1" applyAlignment="1">
      <alignment horizontal="left" vertical="center" wrapText="1"/>
    </xf>
    <xf numFmtId="2" fontId="19" fillId="2" borderId="0" xfId="0" applyNumberFormat="1" applyFont="1" applyFill="1"/>
    <xf numFmtId="0" fontId="0" fillId="3" borderId="0" xfId="0" applyFill="1" applyBorder="1" applyAlignment="1">
      <alignment wrapText="1"/>
    </xf>
    <xf numFmtId="173" fontId="0" fillId="0" borderId="0" xfId="0" applyNumberFormat="1" applyFont="1"/>
    <xf numFmtId="171" fontId="0" fillId="0" borderId="0" xfId="0" applyNumberFormat="1" applyBorder="1"/>
    <xf numFmtId="171" fontId="0" fillId="3" borderId="0" xfId="0" applyNumberFormat="1" applyFill="1"/>
    <xf numFmtId="171" fontId="0" fillId="3" borderId="0" xfId="0" applyNumberFormat="1" applyFill="1" applyBorder="1"/>
    <xf numFmtId="185" fontId="8" fillId="21" borderId="68" xfId="0" quotePrefix="1" applyNumberFormat="1" applyFont="1" applyFill="1" applyBorder="1" applyAlignment="1" applyProtection="1">
      <alignment horizontal="left" vertical="center" wrapText="1"/>
      <protection locked="0"/>
    </xf>
    <xf numFmtId="0" fontId="0" fillId="3" borderId="0" xfId="0" applyFont="1" applyFill="1" applyAlignment="1">
      <alignment horizontal="right" vertical="center" wrapText="1"/>
    </xf>
    <xf numFmtId="0" fontId="0" fillId="3" borderId="0" xfId="0" applyFont="1" applyFill="1" applyAlignment="1" applyProtection="1">
      <alignment horizontal="right" vertical="center" wrapText="1"/>
      <protection locked="0"/>
    </xf>
    <xf numFmtId="185" fontId="0" fillId="0" borderId="0" xfId="0" applyNumberFormat="1" applyFill="1" applyAlignment="1">
      <alignment horizontal="right"/>
    </xf>
    <xf numFmtId="185" fontId="0" fillId="0" borderId="0" xfId="0" applyNumberFormat="1" applyFont="1" applyFill="1" applyAlignment="1" applyProtection="1">
      <alignment horizontal="right" vertical="center" wrapText="1"/>
      <protection locked="0"/>
    </xf>
    <xf numFmtId="185" fontId="0" fillId="0" borderId="0" xfId="0" applyNumberFormat="1" applyFill="1" applyAlignment="1" applyProtection="1">
      <alignment horizontal="right"/>
      <protection locked="0"/>
    </xf>
    <xf numFmtId="0" fontId="0" fillId="20" borderId="0" xfId="0" applyFill="1"/>
    <xf numFmtId="14" fontId="35" fillId="2" borderId="0" xfId="0" applyNumberFormat="1" applyFont="1" applyFill="1"/>
    <xf numFmtId="0" fontId="18" fillId="22" borderId="83" xfId="0" applyFont="1" applyFill="1" applyBorder="1" applyAlignment="1">
      <alignment vertical="center" wrapText="1"/>
    </xf>
    <xf numFmtId="14" fontId="8" fillId="0" borderId="0" xfId="0" applyNumberFormat="1" applyFon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35" fillId="20" borderId="0" xfId="0" applyFont="1" applyFill="1"/>
    <xf numFmtId="14" fontId="35" fillId="20" borderId="0" xfId="0" applyNumberFormat="1" applyFont="1" applyFill="1" applyAlignment="1">
      <alignment horizontal="center"/>
    </xf>
    <xf numFmtId="0" fontId="35" fillId="20" borderId="0" xfId="0" applyFont="1" applyFill="1" applyAlignment="1">
      <alignment horizontal="center"/>
    </xf>
    <xf numFmtId="0" fontId="17" fillId="2" borderId="0" xfId="0" applyFont="1" applyFill="1" applyBorder="1" applyAlignment="1">
      <alignment horizontal="center" vertical="top"/>
    </xf>
    <xf numFmtId="0" fontId="18" fillId="2" borderId="0" xfId="0" applyFont="1" applyFill="1" applyBorder="1" applyAlignment="1">
      <alignment horizontal="center" vertical="top"/>
    </xf>
    <xf numFmtId="0" fontId="18" fillId="2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right"/>
    </xf>
    <xf numFmtId="0" fontId="18" fillId="0" borderId="0" xfId="0" applyFont="1" applyFill="1" applyBorder="1" applyAlignment="1">
      <alignment horizontal="center" vertical="top"/>
    </xf>
    <xf numFmtId="0" fontId="16" fillId="0" borderId="0" xfId="0" applyFont="1" applyFill="1" applyBorder="1" applyAlignment="1">
      <alignment horizontal="center" vertical="top"/>
    </xf>
    <xf numFmtId="0" fontId="16" fillId="0" borderId="22" xfId="0" applyFont="1" applyFill="1" applyBorder="1" applyAlignment="1">
      <alignment horizontal="center" vertical="top" wrapText="1"/>
    </xf>
    <xf numFmtId="0" fontId="8" fillId="0" borderId="0" xfId="0" applyFont="1" applyBorder="1" applyAlignment="1">
      <alignment horizontal="center"/>
    </xf>
    <xf numFmtId="0" fontId="8" fillId="0" borderId="74" xfId="0" applyFont="1" applyBorder="1" applyAlignment="1">
      <alignment horizontal="center"/>
    </xf>
    <xf numFmtId="171" fontId="8" fillId="0" borderId="73" xfId="0" applyNumberFormat="1" applyFont="1" applyBorder="1" applyAlignment="1">
      <alignment horizontal="right"/>
    </xf>
    <xf numFmtId="171" fontId="8" fillId="0" borderId="74" xfId="0" applyNumberFormat="1" applyFont="1" applyBorder="1" applyAlignment="1">
      <alignment horizontal="right"/>
    </xf>
    <xf numFmtId="0" fontId="8" fillId="0" borderId="8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171" fontId="8" fillId="0" borderId="13" xfId="0" applyNumberFormat="1" applyFont="1" applyBorder="1" applyAlignment="1">
      <alignment horizontal="right"/>
    </xf>
    <xf numFmtId="171" fontId="8" fillId="0" borderId="14" xfId="0" applyNumberFormat="1" applyFont="1" applyBorder="1" applyAlignment="1">
      <alignment horizontal="right"/>
    </xf>
    <xf numFmtId="0" fontId="18" fillId="22" borderId="71" xfId="0" applyFont="1" applyFill="1" applyBorder="1" applyAlignment="1">
      <alignment horizontal="center" vertical="center" wrapText="1"/>
    </xf>
    <xf numFmtId="0" fontId="18" fillId="22" borderId="77" xfId="0" applyFont="1" applyFill="1" applyBorder="1" applyAlignment="1">
      <alignment horizontal="center" vertical="center" wrapText="1"/>
    </xf>
    <xf numFmtId="0" fontId="18" fillId="22" borderId="78" xfId="0" applyFont="1" applyFill="1" applyBorder="1" applyAlignment="1">
      <alignment horizontal="center" vertical="center" wrapText="1"/>
    </xf>
    <xf numFmtId="0" fontId="18" fillId="22" borderId="79" xfId="0" applyFont="1" applyFill="1" applyBorder="1" applyAlignment="1">
      <alignment horizontal="center" vertical="center" wrapText="1"/>
    </xf>
    <xf numFmtId="0" fontId="8" fillId="0" borderId="80" xfId="0" applyFont="1" applyBorder="1" applyAlignment="1">
      <alignment horizontal="center" vertical="center"/>
    </xf>
    <xf numFmtId="0" fontId="8" fillId="0" borderId="81" xfId="0" applyFont="1" applyBorder="1" applyAlignment="1">
      <alignment horizontal="center" vertical="center"/>
    </xf>
    <xf numFmtId="171" fontId="8" fillId="0" borderId="82" xfId="0" applyNumberFormat="1" applyFont="1" applyBorder="1" applyAlignment="1">
      <alignment horizontal="right" vertical="center"/>
    </xf>
    <xf numFmtId="171" fontId="8" fillId="0" borderId="81" xfId="0" applyNumberFormat="1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8" fillId="0" borderId="74" xfId="0" applyFont="1" applyBorder="1" applyAlignment="1">
      <alignment horizontal="center" vertical="center"/>
    </xf>
    <xf numFmtId="171" fontId="8" fillId="0" borderId="73" xfId="0" applyNumberFormat="1" applyFont="1" applyBorder="1" applyAlignment="1">
      <alignment horizontal="right" vertical="center"/>
    </xf>
    <xf numFmtId="171" fontId="8" fillId="0" borderId="74" xfId="0" applyNumberFormat="1" applyFont="1" applyBorder="1" applyAlignment="1">
      <alignment horizontal="right" vertical="center"/>
    </xf>
    <xf numFmtId="0" fontId="8" fillId="0" borderId="5" xfId="0" applyFont="1" applyBorder="1" applyAlignment="1">
      <alignment horizontal="right" indent="1"/>
    </xf>
    <xf numFmtId="0" fontId="8" fillId="0" borderId="20" xfId="0" applyFont="1" applyBorder="1" applyAlignment="1">
      <alignment horizontal="right" indent="1"/>
    </xf>
    <xf numFmtId="0" fontId="8" fillId="0" borderId="21" xfId="0" applyFont="1" applyBorder="1" applyAlignment="1">
      <alignment horizontal="right" indent="1"/>
    </xf>
    <xf numFmtId="0" fontId="17" fillId="0" borderId="0" xfId="0" applyFont="1" applyFill="1" applyBorder="1" applyAlignment="1">
      <alignment horizontal="center" vertical="top"/>
    </xf>
    <xf numFmtId="0" fontId="8" fillId="0" borderId="15" xfId="0" applyFont="1" applyBorder="1" applyAlignment="1">
      <alignment horizontal="right" indent="1"/>
    </xf>
    <xf numFmtId="0" fontId="8" fillId="0" borderId="16" xfId="0" applyFont="1" applyBorder="1" applyAlignment="1">
      <alignment horizontal="right" indent="1"/>
    </xf>
    <xf numFmtId="0" fontId="8" fillId="0" borderId="17" xfId="0" applyFont="1" applyBorder="1" applyAlignment="1">
      <alignment horizontal="right" indent="1"/>
    </xf>
    <xf numFmtId="0" fontId="8" fillId="0" borderId="18" xfId="0" applyFont="1" applyBorder="1" applyAlignment="1">
      <alignment horizontal="right" indent="1"/>
    </xf>
    <xf numFmtId="0" fontId="8" fillId="0" borderId="0" xfId="0" applyFont="1" applyBorder="1" applyAlignment="1">
      <alignment horizontal="right" indent="1"/>
    </xf>
    <xf numFmtId="0" fontId="8" fillId="0" borderId="19" xfId="0" applyFont="1" applyBorder="1" applyAlignment="1">
      <alignment horizontal="right" indent="1"/>
    </xf>
    <xf numFmtId="0" fontId="35" fillId="20" borderId="0" xfId="0" applyFont="1" applyFill="1" applyAlignment="1">
      <alignment horizontal="center"/>
    </xf>
    <xf numFmtId="0" fontId="6" fillId="14" borderId="55" xfId="0" applyFont="1" applyFill="1" applyBorder="1" applyAlignment="1">
      <alignment horizontal="center"/>
    </xf>
    <xf numFmtId="0" fontId="6" fillId="14" borderId="37" xfId="0" applyFont="1" applyFill="1" applyBorder="1" applyAlignment="1">
      <alignment horizontal="center"/>
    </xf>
    <xf numFmtId="0" fontId="6" fillId="14" borderId="56" xfId="0" applyFont="1" applyFill="1" applyBorder="1" applyAlignment="1">
      <alignment horizontal="center"/>
    </xf>
    <xf numFmtId="168" fontId="7" fillId="10" borderId="57" xfId="0" applyNumberFormat="1" applyFont="1" applyFill="1" applyBorder="1" applyAlignment="1">
      <alignment horizontal="center" vertical="center"/>
    </xf>
    <xf numFmtId="168" fontId="7" fillId="10" borderId="22" xfId="0" applyNumberFormat="1" applyFont="1" applyFill="1" applyBorder="1" applyAlignment="1">
      <alignment horizontal="center" vertical="center"/>
    </xf>
    <xf numFmtId="168" fontId="7" fillId="10" borderId="49" xfId="0" applyNumberFormat="1" applyFont="1" applyFill="1" applyBorder="1" applyAlignment="1">
      <alignment horizontal="center" vertical="center"/>
    </xf>
    <xf numFmtId="168" fontId="7" fillId="10" borderId="48" xfId="0" applyNumberFormat="1" applyFont="1" applyFill="1" applyBorder="1" applyAlignment="1">
      <alignment horizontal="center" vertical="center"/>
    </xf>
    <xf numFmtId="168" fontId="7" fillId="10" borderId="56" xfId="0" applyNumberFormat="1" applyFont="1" applyFill="1" applyBorder="1" applyAlignment="1">
      <alignment horizontal="center" vertical="center"/>
    </xf>
    <xf numFmtId="0" fontId="6" fillId="19" borderId="52" xfId="0" applyFont="1" applyFill="1" applyBorder="1" applyAlignment="1">
      <alignment horizontal="center"/>
    </xf>
    <xf numFmtId="0" fontId="6" fillId="19" borderId="53" xfId="0" applyFont="1" applyFill="1" applyBorder="1" applyAlignment="1">
      <alignment horizontal="center"/>
    </xf>
    <xf numFmtId="0" fontId="6" fillId="19" borderId="54" xfId="0" applyFont="1" applyFill="1" applyBorder="1" applyAlignment="1">
      <alignment horizontal="center"/>
    </xf>
    <xf numFmtId="0" fontId="6" fillId="10" borderId="52" xfId="0" applyFont="1" applyFill="1" applyBorder="1" applyAlignment="1">
      <alignment horizontal="center"/>
    </xf>
    <xf numFmtId="0" fontId="6" fillId="10" borderId="53" xfId="0" applyFont="1" applyFill="1" applyBorder="1" applyAlignment="1">
      <alignment horizontal="center"/>
    </xf>
    <xf numFmtId="0" fontId="6" fillId="10" borderId="54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37" fillId="15" borderId="0" xfId="0" applyFont="1" applyFill="1" applyBorder="1" applyAlignment="1">
      <alignment horizontal="center" vertical="center"/>
    </xf>
    <xf numFmtId="0" fontId="6" fillId="14" borderId="55" xfId="0" applyFont="1" applyFill="1" applyBorder="1" applyAlignment="1">
      <alignment horizontal="center" wrapText="1"/>
    </xf>
    <xf numFmtId="168" fontId="7" fillId="10" borderId="59" xfId="0" applyNumberFormat="1" applyFont="1" applyFill="1" applyBorder="1" applyAlignment="1">
      <alignment horizontal="center" vertical="center"/>
    </xf>
    <xf numFmtId="168" fontId="7" fillId="10" borderId="60" xfId="0" applyNumberFormat="1" applyFont="1" applyFill="1" applyBorder="1" applyAlignment="1">
      <alignment horizontal="center" vertical="center"/>
    </xf>
    <xf numFmtId="168" fontId="7" fillId="10" borderId="64" xfId="0" applyNumberFormat="1" applyFont="1" applyFill="1" applyBorder="1" applyAlignment="1">
      <alignment horizontal="center" vertical="center"/>
    </xf>
    <xf numFmtId="168" fontId="7" fillId="10" borderId="65" xfId="0" applyNumberFormat="1" applyFont="1" applyFill="1" applyBorder="1" applyAlignment="1">
      <alignment horizontal="center" vertical="center"/>
    </xf>
    <xf numFmtId="168" fontId="7" fillId="10" borderId="66" xfId="0" applyNumberFormat="1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right" vertical="center" textRotation="0" wrapText="1" indent="0" justifyLastLine="0" shrinkToFit="0" readingOrder="0"/>
    </dxf>
    <dxf>
      <numFmt numFmtId="19" formatCode="dd/mm/yyyy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#,##0&quot; kg&quot;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#,##0&quot; kg&quot;"/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left style="thin">
          <color theme="8" tint="0.39997558519241921"/>
        </left>
        <top style="thin">
          <color theme="8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71" formatCode="#,##0.00\ &quot;€&quot;"/>
    </dxf>
    <dxf>
      <numFmt numFmtId="171" formatCode="#,##0.00\ &quot;€&quot;"/>
    </dxf>
    <dxf>
      <numFmt numFmtId="171" formatCode="#,##0.00\ &quot;€&quot;"/>
    </dxf>
    <dxf>
      <numFmt numFmtId="19" formatCode="dd/mm/yyyy"/>
    </dxf>
    <dxf>
      <numFmt numFmtId="19" formatCode="dd/mm/yyyy"/>
    </dxf>
    <dxf>
      <border outline="0">
        <top style="thin">
          <color theme="9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rgb="FFFFFF00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/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184" formatCode="#,##0.00\ _€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numFmt numFmtId="174" formatCode="&quot;F &quot;0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numFmt numFmtId="166" formatCode="#,##0.00&quot; € TTC&quot;"/>
    </dxf>
    <dxf>
      <numFmt numFmtId="165" formatCode="#,##0.00&quot; € HT&quot;"/>
    </dxf>
    <dxf>
      <numFmt numFmtId="165" formatCode="#,##0.00&quot; € HT&quot;"/>
    </dxf>
    <dxf>
      <numFmt numFmtId="171" formatCode="#,##0.00\ &quot;€&quot;"/>
      <fill>
        <patternFill patternType="solid">
          <fgColor indexed="64"/>
          <bgColor rgb="FFFFFF00"/>
        </patternFill>
      </fill>
    </dxf>
    <dxf>
      <numFmt numFmtId="13" formatCode="0%"/>
    </dxf>
    <dxf>
      <numFmt numFmtId="171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68" formatCode="#,##0&quot; kg&quot;"/>
    </dxf>
    <dxf>
      <numFmt numFmtId="173" formatCode="&quot;BL &quot;0000"/>
    </dxf>
    <dxf>
      <border outline="0">
        <right style="thin">
          <color theme="9" tint="0.39997558519241921"/>
        </right>
        <top style="thin">
          <color theme="9" tint="0.39997558519241921"/>
        </top>
      </border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185" formatCode="&quot;FC&quot;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85" formatCode="&quot;FC&quot;00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#,##0.00\ &quot;€&quot;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#,##0&quot; kg&quot;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9" formatCode="dd/mm/yyyy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73" formatCode="&quot;BL &quot;000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4" formatCode="&quot;F &quot;0"/>
      <fill>
        <patternFill patternType="none">
          <fgColor theme="0" tint="-0.14999847407452621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4" formatCode="&quot;F &quot;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72C94"/>
      <color rgb="FF006600"/>
      <color rgb="FF76B531"/>
      <color rgb="FF547DC8"/>
      <color rgb="FF1560B3"/>
      <color rgb="FFC9A4E4"/>
      <color rgb="FFBA8BDD"/>
      <color rgb="FF9A57CD"/>
      <color rgb="FF3399FF"/>
      <color rgb="FF688C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449960</xdr:colOff>
      <xdr:row>6</xdr:row>
      <xdr:rowOff>92134</xdr:rowOff>
    </xdr:from>
    <xdr:to>
      <xdr:col>12</xdr:col>
      <xdr:colOff>436156</xdr:colOff>
      <xdr:row>34</xdr:row>
      <xdr:rowOff>21405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8C67CE2C-A7EE-40A9-9808-A42C09EE8DE8}"/>
            </a:ext>
          </a:extLst>
        </xdr:cNvPr>
        <xdr:cNvGrpSpPr/>
      </xdr:nvGrpSpPr>
      <xdr:grpSpPr>
        <a:xfrm>
          <a:off x="6545960" y="1235134"/>
          <a:ext cx="3034196" cy="5263271"/>
          <a:chOff x="400326" y="1270001"/>
          <a:chExt cx="3023152" cy="4592900"/>
        </a:xfrm>
      </xdr:grpSpPr>
      <xdr:sp macro="" textlink="">
        <xdr:nvSpPr>
          <xdr:cNvPr id="60" name="Rectangle 59">
            <a:extLst>
              <a:ext uri="{FF2B5EF4-FFF2-40B4-BE49-F238E27FC236}">
                <a16:creationId xmlns:a16="http://schemas.microsoft.com/office/drawing/2014/main" id="{6B00A69F-7472-47CE-B8B6-757C26558C24}"/>
              </a:ext>
            </a:extLst>
          </xdr:cNvPr>
          <xdr:cNvSpPr/>
        </xdr:nvSpPr>
        <xdr:spPr>
          <a:xfrm>
            <a:off x="400326" y="1744546"/>
            <a:ext cx="3020665" cy="4118355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Vente de fromage</a:t>
            </a:r>
          </a:p>
        </xdr:txBody>
      </xdr:sp>
      <xdr:sp macro="" textlink="">
        <xdr:nvSpPr>
          <xdr:cNvPr id="61" name="Rectangle 60">
            <a:extLst>
              <a:ext uri="{FF2B5EF4-FFF2-40B4-BE49-F238E27FC236}">
                <a16:creationId xmlns:a16="http://schemas.microsoft.com/office/drawing/2014/main" id="{4915297B-8A74-4599-A232-B44D619DC6F4}"/>
              </a:ext>
            </a:extLst>
          </xdr:cNvPr>
          <xdr:cNvSpPr/>
        </xdr:nvSpPr>
        <xdr:spPr>
          <a:xfrm>
            <a:off x="402813" y="1270001"/>
            <a:ext cx="3020665" cy="483779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Gestion des stocks</a:t>
            </a:r>
          </a:p>
        </xdr:txBody>
      </xdr:sp>
    </xdr:grpSp>
    <xdr:clientData/>
  </xdr:twoCellAnchor>
  <xdr:twoCellAnchor>
    <xdr:from>
      <xdr:col>0</xdr:col>
      <xdr:colOff>0</xdr:colOff>
      <xdr:row>0</xdr:row>
      <xdr:rowOff>162985</xdr:rowOff>
    </xdr:from>
    <xdr:to>
      <xdr:col>24</xdr:col>
      <xdr:colOff>590550</xdr:colOff>
      <xdr:row>6</xdr:row>
      <xdr:rowOff>1</xdr:rowOff>
    </xdr:to>
    <xdr:sp macro="" textlink="">
      <xdr:nvSpPr>
        <xdr:cNvPr id="5" name="Rectangle : avec coin arrondi 4">
          <a:extLst>
            <a:ext uri="{FF2B5EF4-FFF2-40B4-BE49-F238E27FC236}">
              <a16:creationId xmlns:a16="http://schemas.microsoft.com/office/drawing/2014/main" id="{38F4F49F-F645-4FC9-B608-D4AC0BB0BE07}"/>
            </a:ext>
          </a:extLst>
        </xdr:cNvPr>
        <xdr:cNvSpPr/>
      </xdr:nvSpPr>
      <xdr:spPr>
        <a:xfrm>
          <a:off x="0" y="162985"/>
          <a:ext cx="18878550" cy="980016"/>
        </a:xfrm>
        <a:prstGeom prst="round1Rect">
          <a:avLst/>
        </a:prstGeom>
        <a:solidFill>
          <a:schemeClr val="accent6">
            <a:lumMod val="60000"/>
            <a:lumOff val="4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400" b="1" i="0" cap="small" baseline="0">
              <a:solidFill>
                <a:schemeClr val="bg1"/>
              </a:solidFill>
            </a:rPr>
            <a:t>Ühaitza-etxe gazna</a:t>
          </a:r>
        </a:p>
      </xdr:txBody>
    </xdr:sp>
    <xdr:clientData/>
  </xdr:twoCellAnchor>
  <xdr:twoCellAnchor>
    <xdr:from>
      <xdr:col>8</xdr:col>
      <xdr:colOff>617006</xdr:colOff>
      <xdr:row>9</xdr:row>
      <xdr:rowOff>158052</xdr:rowOff>
    </xdr:from>
    <xdr:to>
      <xdr:col>12</xdr:col>
      <xdr:colOff>228599</xdr:colOff>
      <xdr:row>12</xdr:row>
      <xdr:rowOff>185041</xdr:rowOff>
    </xdr:to>
    <xdr:sp macro="[0]!BtnDisplayUF_Click" textlink="">
      <xdr:nvSpPr>
        <xdr:cNvPr id="62" name="BTNTMUF004">
          <a:extLst>
            <a:ext uri="{FF2B5EF4-FFF2-40B4-BE49-F238E27FC236}">
              <a16:creationId xmlns:a16="http://schemas.microsoft.com/office/drawing/2014/main" id="{ED5EFA64-74F9-4BFE-9C6D-199984D49D2B}"/>
            </a:ext>
          </a:extLst>
        </xdr:cNvPr>
        <xdr:cNvSpPr/>
      </xdr:nvSpPr>
      <xdr:spPr>
        <a:xfrm>
          <a:off x="3665006" y="1872552"/>
          <a:ext cx="2659593" cy="598489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entrée-sortie-modification de stock</a:t>
          </a:r>
        </a:p>
      </xdr:txBody>
    </xdr:sp>
    <xdr:clientData/>
  </xdr:twoCellAnchor>
  <xdr:twoCellAnchor>
    <xdr:from>
      <xdr:col>8</xdr:col>
      <xdr:colOff>642135</xdr:colOff>
      <xdr:row>13</xdr:row>
      <xdr:rowOff>96321</xdr:rowOff>
    </xdr:from>
    <xdr:to>
      <xdr:col>12</xdr:col>
      <xdr:colOff>224748</xdr:colOff>
      <xdr:row>16</xdr:row>
      <xdr:rowOff>143395</xdr:rowOff>
    </xdr:to>
    <xdr:sp macro="[0]!SUIVI_STOCKS_PAR_PAYSAN" textlink="">
      <xdr:nvSpPr>
        <xdr:cNvPr id="66" name="Rectangle : en biseau 65">
          <a:extLst>
            <a:ext uri="{FF2B5EF4-FFF2-40B4-BE49-F238E27FC236}">
              <a16:creationId xmlns:a16="http://schemas.microsoft.com/office/drawing/2014/main" id="{3C9A6A04-9A7B-4214-A704-DA8731D3815F}"/>
            </a:ext>
          </a:extLst>
        </xdr:cNvPr>
        <xdr:cNvSpPr/>
      </xdr:nvSpPr>
      <xdr:spPr>
        <a:xfrm>
          <a:off x="3681573" y="2600647"/>
          <a:ext cx="2622051" cy="624995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Consultation des stocks</a:t>
          </a:r>
        </a:p>
      </xdr:txBody>
    </xdr:sp>
    <xdr:clientData/>
  </xdr:twoCellAnchor>
  <xdr:twoCellAnchor>
    <xdr:from>
      <xdr:col>12</xdr:col>
      <xdr:colOff>513717</xdr:colOff>
      <xdr:row>6</xdr:row>
      <xdr:rowOff>96322</xdr:rowOff>
    </xdr:from>
    <xdr:to>
      <xdr:col>16</xdr:col>
      <xdr:colOff>499912</xdr:colOff>
      <xdr:row>34</xdr:row>
      <xdr:rowOff>42810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48620FA3-F47A-44E1-A004-69F8D58CA067}"/>
            </a:ext>
          </a:extLst>
        </xdr:cNvPr>
        <xdr:cNvGrpSpPr/>
      </xdr:nvGrpSpPr>
      <xdr:grpSpPr>
        <a:xfrm>
          <a:off x="9657717" y="1239322"/>
          <a:ext cx="3034195" cy="5280488"/>
          <a:chOff x="400326" y="1270001"/>
          <a:chExt cx="3023152" cy="3150266"/>
        </a:xfrm>
      </xdr:grpSpPr>
      <xdr:sp macro="" textlink="">
        <xdr:nvSpPr>
          <xdr:cNvPr id="68" name="Rectangle 67">
            <a:extLst>
              <a:ext uri="{FF2B5EF4-FFF2-40B4-BE49-F238E27FC236}">
                <a16:creationId xmlns:a16="http://schemas.microsoft.com/office/drawing/2014/main" id="{24E9BB86-46F8-4B33-8E81-5B0B0B677B77}"/>
              </a:ext>
            </a:extLst>
          </xdr:cNvPr>
          <xdr:cNvSpPr/>
        </xdr:nvSpPr>
        <xdr:spPr>
          <a:xfrm>
            <a:off x="400326" y="1528840"/>
            <a:ext cx="3020665" cy="2891427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Vente de fromage</a:t>
            </a:r>
          </a:p>
        </xdr:txBody>
      </xdr:sp>
      <xdr:sp macro="" textlink="">
        <xdr:nvSpPr>
          <xdr:cNvPr id="69" name="Rectangle 68">
            <a:extLst>
              <a:ext uri="{FF2B5EF4-FFF2-40B4-BE49-F238E27FC236}">
                <a16:creationId xmlns:a16="http://schemas.microsoft.com/office/drawing/2014/main" id="{6A321C07-4E40-4DA9-BB9D-8645CC399E3E}"/>
              </a:ext>
            </a:extLst>
          </xdr:cNvPr>
          <xdr:cNvSpPr/>
        </xdr:nvSpPr>
        <xdr:spPr>
          <a:xfrm>
            <a:off x="402813" y="1270001"/>
            <a:ext cx="3020665" cy="321970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Gestion des clients</a:t>
            </a:r>
          </a:p>
        </xdr:txBody>
      </xdr:sp>
    </xdr:grpSp>
    <xdr:clientData/>
  </xdr:twoCellAnchor>
  <xdr:twoCellAnchor>
    <xdr:from>
      <xdr:col>12</xdr:col>
      <xdr:colOff>588633</xdr:colOff>
      <xdr:row>9</xdr:row>
      <xdr:rowOff>160536</xdr:rowOff>
    </xdr:from>
    <xdr:to>
      <xdr:col>16</xdr:col>
      <xdr:colOff>428625</xdr:colOff>
      <xdr:row>13</xdr:row>
      <xdr:rowOff>0</xdr:rowOff>
    </xdr:to>
    <xdr:sp macro="[0]!BtnDisplayUF_Click" textlink="">
      <xdr:nvSpPr>
        <xdr:cNvPr id="73" name="BTNTMUF001">
          <a:extLst>
            <a:ext uri="{FF2B5EF4-FFF2-40B4-BE49-F238E27FC236}">
              <a16:creationId xmlns:a16="http://schemas.microsoft.com/office/drawing/2014/main" id="{8A7AFD07-466A-4B1A-84FE-2E93C1494713}"/>
            </a:ext>
          </a:extLst>
        </xdr:cNvPr>
        <xdr:cNvSpPr/>
      </xdr:nvSpPr>
      <xdr:spPr>
        <a:xfrm>
          <a:off x="6684633" y="1875036"/>
          <a:ext cx="2887992" cy="601464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ajouter-modifier un client</a:t>
          </a:r>
        </a:p>
      </xdr:txBody>
    </xdr:sp>
    <xdr:clientData/>
  </xdr:twoCellAnchor>
  <xdr:twoCellAnchor>
    <xdr:from>
      <xdr:col>16</xdr:col>
      <xdr:colOff>556517</xdr:colOff>
      <xdr:row>6</xdr:row>
      <xdr:rowOff>96320</xdr:rowOff>
    </xdr:from>
    <xdr:to>
      <xdr:col>20</xdr:col>
      <xdr:colOff>542712</xdr:colOff>
      <xdr:row>34</xdr:row>
      <xdr:rowOff>42809</xdr:rowOff>
    </xdr:to>
    <xdr:grpSp>
      <xdr:nvGrpSpPr>
        <xdr:cNvPr id="75" name="Groupe 74">
          <a:extLst>
            <a:ext uri="{FF2B5EF4-FFF2-40B4-BE49-F238E27FC236}">
              <a16:creationId xmlns:a16="http://schemas.microsoft.com/office/drawing/2014/main" id="{4F5EC7A2-1EC3-4DBD-9F87-904A7861912E}"/>
            </a:ext>
          </a:extLst>
        </xdr:cNvPr>
        <xdr:cNvGrpSpPr/>
      </xdr:nvGrpSpPr>
      <xdr:grpSpPr>
        <a:xfrm>
          <a:off x="12748517" y="1239320"/>
          <a:ext cx="3034195" cy="5280489"/>
          <a:chOff x="400326" y="1270001"/>
          <a:chExt cx="3023152" cy="3150265"/>
        </a:xfrm>
      </xdr:grpSpPr>
      <xdr:sp macro="" textlink="">
        <xdr:nvSpPr>
          <xdr:cNvPr id="76" name="Rectangle 75">
            <a:extLst>
              <a:ext uri="{FF2B5EF4-FFF2-40B4-BE49-F238E27FC236}">
                <a16:creationId xmlns:a16="http://schemas.microsoft.com/office/drawing/2014/main" id="{61B32231-EF53-4E62-8178-7D9EAB3AF2C2}"/>
              </a:ext>
            </a:extLst>
          </xdr:cNvPr>
          <xdr:cNvSpPr/>
        </xdr:nvSpPr>
        <xdr:spPr>
          <a:xfrm>
            <a:off x="400326" y="1465710"/>
            <a:ext cx="3020665" cy="2954556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Vente de fromage</a:t>
            </a:r>
          </a:p>
        </xdr:txBody>
      </xdr:sp>
      <xdr:sp macro="" textlink="">
        <xdr:nvSpPr>
          <xdr:cNvPr id="77" name="Rectangle 76">
            <a:extLst>
              <a:ext uri="{FF2B5EF4-FFF2-40B4-BE49-F238E27FC236}">
                <a16:creationId xmlns:a16="http://schemas.microsoft.com/office/drawing/2014/main" id="{628158A8-A694-4A3B-B233-C28958E4DDA5}"/>
              </a:ext>
            </a:extLst>
          </xdr:cNvPr>
          <xdr:cNvSpPr/>
        </xdr:nvSpPr>
        <xdr:spPr>
          <a:xfrm>
            <a:off x="402813" y="1270001"/>
            <a:ext cx="3020665" cy="321971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Gestion des producteurs </a:t>
            </a:r>
          </a:p>
        </xdr:txBody>
      </xdr:sp>
    </xdr:grpSp>
    <xdr:clientData/>
  </xdr:twoCellAnchor>
  <xdr:twoCellAnchor>
    <xdr:from>
      <xdr:col>16</xdr:col>
      <xdr:colOff>642135</xdr:colOff>
      <xdr:row>9</xdr:row>
      <xdr:rowOff>149832</xdr:rowOff>
    </xdr:from>
    <xdr:to>
      <xdr:col>18</xdr:col>
      <xdr:colOff>674241</xdr:colOff>
      <xdr:row>13</xdr:row>
      <xdr:rowOff>21405</xdr:rowOff>
    </xdr:to>
    <xdr:sp macro="[0]!BtnDisplayUF_Click" textlink="">
      <xdr:nvSpPr>
        <xdr:cNvPr id="78" name="BTNTMUF005">
          <a:extLst>
            <a:ext uri="{FF2B5EF4-FFF2-40B4-BE49-F238E27FC236}">
              <a16:creationId xmlns:a16="http://schemas.microsoft.com/office/drawing/2014/main" id="{0DE8AFE2-3DC8-49AD-92C2-6FF447F7FF95}"/>
            </a:ext>
          </a:extLst>
        </xdr:cNvPr>
        <xdr:cNvSpPr/>
      </xdr:nvSpPr>
      <xdr:spPr>
        <a:xfrm>
          <a:off x="9760450" y="1723062"/>
          <a:ext cx="1551825" cy="642135"/>
        </a:xfrm>
        <a:prstGeom prst="bevel">
          <a:avLst/>
        </a:prstGeom>
        <a:solidFill>
          <a:srgbClr val="C4D7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modifier</a:t>
          </a:r>
          <a:r>
            <a:rPr lang="fr-FR" sz="1100" b="1" i="0" cap="small" baseline="0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-ajouter un producteur</a:t>
          </a:r>
          <a:endParaRPr lang="fr-FR" sz="1000" b="1" i="0">
            <a:solidFill>
              <a:srgbClr val="000000"/>
            </a:solidFill>
            <a:latin typeface="Calibri" panose="020F0502020204030204" pitchFamily="34" charset="0"/>
          </a:endParaRPr>
        </a:p>
      </xdr:txBody>
    </xdr:sp>
    <xdr:clientData/>
  </xdr:twoCellAnchor>
  <xdr:twoCellAnchor>
    <xdr:from>
      <xdr:col>18</xdr:col>
      <xdr:colOff>749157</xdr:colOff>
      <xdr:row>9</xdr:row>
      <xdr:rowOff>149830</xdr:rowOff>
    </xdr:from>
    <xdr:to>
      <xdr:col>20</xdr:col>
      <xdr:colOff>342472</xdr:colOff>
      <xdr:row>13</xdr:row>
      <xdr:rowOff>10701</xdr:rowOff>
    </xdr:to>
    <xdr:sp macro="[0]!onglet_BDD_PAYSANS" textlink="">
      <xdr:nvSpPr>
        <xdr:cNvPr id="79" name="Rectangle : en biseau 78">
          <a:extLst>
            <a:ext uri="{FF2B5EF4-FFF2-40B4-BE49-F238E27FC236}">
              <a16:creationId xmlns:a16="http://schemas.microsoft.com/office/drawing/2014/main" id="{96981E93-9942-4045-89A1-B49E6272472F}"/>
            </a:ext>
          </a:extLst>
        </xdr:cNvPr>
        <xdr:cNvSpPr/>
      </xdr:nvSpPr>
      <xdr:spPr>
        <a:xfrm>
          <a:off x="11387191" y="1723060"/>
          <a:ext cx="1113034" cy="631433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 b="1" cap="small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consulter le tableau</a:t>
          </a:r>
        </a:p>
      </xdr:txBody>
    </xdr:sp>
    <xdr:clientData/>
  </xdr:twoCellAnchor>
  <xdr:twoCellAnchor>
    <xdr:from>
      <xdr:col>8</xdr:col>
      <xdr:colOff>663540</xdr:colOff>
      <xdr:row>17</xdr:row>
      <xdr:rowOff>32106</xdr:rowOff>
    </xdr:from>
    <xdr:to>
      <xdr:col>12</xdr:col>
      <xdr:colOff>256854</xdr:colOff>
      <xdr:row>20</xdr:row>
      <xdr:rowOff>59095</xdr:rowOff>
    </xdr:to>
    <xdr:sp macro="[0]!TRAME_RECEPTION_FROMAGE_DE_FROMAGE" textlink="">
      <xdr:nvSpPr>
        <xdr:cNvPr id="80" name="BTNTMUF004">
          <a:extLst>
            <a:ext uri="{FF2B5EF4-FFF2-40B4-BE49-F238E27FC236}">
              <a16:creationId xmlns:a16="http://schemas.microsoft.com/office/drawing/2014/main" id="{6AE15912-3BD2-400F-8EDF-13B965740412}"/>
            </a:ext>
          </a:extLst>
        </xdr:cNvPr>
        <xdr:cNvSpPr/>
      </xdr:nvSpPr>
      <xdr:spPr>
        <a:xfrm>
          <a:off x="3702978" y="3178567"/>
          <a:ext cx="2632752" cy="604910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Trame papier réception fromage</a:t>
          </a:r>
        </a:p>
      </xdr:txBody>
    </xdr:sp>
    <xdr:clientData/>
  </xdr:twoCellAnchor>
  <xdr:twoCellAnchor>
    <xdr:from>
      <xdr:col>12</xdr:col>
      <xdr:colOff>599334</xdr:colOff>
      <xdr:row>13</xdr:row>
      <xdr:rowOff>74917</xdr:rowOff>
    </xdr:from>
    <xdr:to>
      <xdr:col>16</xdr:col>
      <xdr:colOff>406684</xdr:colOff>
      <xdr:row>16</xdr:row>
      <xdr:rowOff>107022</xdr:rowOff>
    </xdr:to>
    <xdr:sp macro="[0]!BtnDisplayUF_Click" textlink="">
      <xdr:nvSpPr>
        <xdr:cNvPr id="85" name="BTNTMUF001">
          <a:extLst>
            <a:ext uri="{FF2B5EF4-FFF2-40B4-BE49-F238E27FC236}">
              <a16:creationId xmlns:a16="http://schemas.microsoft.com/office/drawing/2014/main" id="{9D8B7245-89E7-48DB-AE73-08383ECC8B42}"/>
            </a:ext>
          </a:extLst>
        </xdr:cNvPr>
        <xdr:cNvSpPr/>
      </xdr:nvSpPr>
      <xdr:spPr>
        <a:xfrm>
          <a:off x="6678210" y="2450816"/>
          <a:ext cx="2846789" cy="610026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Consultation retours qualité par client</a:t>
          </a:r>
        </a:p>
      </xdr:txBody>
    </xdr:sp>
    <xdr:clientData/>
  </xdr:twoCellAnchor>
  <xdr:twoCellAnchor>
    <xdr:from>
      <xdr:col>16</xdr:col>
      <xdr:colOff>642135</xdr:colOff>
      <xdr:row>13</xdr:row>
      <xdr:rowOff>107021</xdr:rowOff>
    </xdr:from>
    <xdr:to>
      <xdr:col>18</xdr:col>
      <xdr:colOff>674241</xdr:colOff>
      <xdr:row>18</xdr:row>
      <xdr:rowOff>107022</xdr:rowOff>
    </xdr:to>
    <xdr:sp macro="[0]!BtnDisplayUF_Click" textlink="">
      <xdr:nvSpPr>
        <xdr:cNvPr id="29" name="BTNTMUF005">
          <a:extLst>
            <a:ext uri="{FF2B5EF4-FFF2-40B4-BE49-F238E27FC236}">
              <a16:creationId xmlns:a16="http://schemas.microsoft.com/office/drawing/2014/main" id="{F3C49014-E37C-488F-A123-43A58F3663C0}"/>
            </a:ext>
          </a:extLst>
        </xdr:cNvPr>
        <xdr:cNvSpPr/>
      </xdr:nvSpPr>
      <xdr:spPr>
        <a:xfrm>
          <a:off x="9760450" y="2482920"/>
          <a:ext cx="1551825" cy="963203"/>
        </a:xfrm>
        <a:prstGeom prst="bevel">
          <a:avLst/>
        </a:prstGeom>
        <a:solidFill>
          <a:srgbClr val="C4D7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Nouvelle vente consommables-petit matériel</a:t>
          </a:r>
          <a:endParaRPr lang="fr-FR" sz="1000" b="1" i="0">
            <a:solidFill>
              <a:srgbClr val="000000"/>
            </a:solidFill>
            <a:latin typeface="Calibri" panose="020F0502020204030204" pitchFamily="34" charset="0"/>
          </a:endParaRPr>
        </a:p>
      </xdr:txBody>
    </xdr:sp>
    <xdr:clientData/>
  </xdr:twoCellAnchor>
  <xdr:twoCellAnchor>
    <xdr:from>
      <xdr:col>18</xdr:col>
      <xdr:colOff>738455</xdr:colOff>
      <xdr:row>13</xdr:row>
      <xdr:rowOff>107023</xdr:rowOff>
    </xdr:from>
    <xdr:to>
      <xdr:col>20</xdr:col>
      <xdr:colOff>331770</xdr:colOff>
      <xdr:row>18</xdr:row>
      <xdr:rowOff>117725</xdr:rowOff>
    </xdr:to>
    <xdr:sp macro="[0]!onglet_SAISIE_ACHATS_FCONSOMMABLES" textlink="">
      <xdr:nvSpPr>
        <xdr:cNvPr id="30" name="Rectangle : en biseau 29">
          <a:extLst>
            <a:ext uri="{FF2B5EF4-FFF2-40B4-BE49-F238E27FC236}">
              <a16:creationId xmlns:a16="http://schemas.microsoft.com/office/drawing/2014/main" id="{33E449BE-456E-4D81-AE94-595E7BD3ECAD}"/>
            </a:ext>
          </a:extLst>
        </xdr:cNvPr>
        <xdr:cNvSpPr/>
      </xdr:nvSpPr>
      <xdr:spPr>
        <a:xfrm>
          <a:off x="11376489" y="2482922"/>
          <a:ext cx="1113034" cy="973904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 b="1" cap="small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consulter le tableau</a:t>
          </a:r>
        </a:p>
      </xdr:txBody>
    </xdr:sp>
    <xdr:clientData/>
  </xdr:twoCellAnchor>
  <xdr:twoCellAnchor>
    <xdr:from>
      <xdr:col>16</xdr:col>
      <xdr:colOff>642133</xdr:colOff>
      <xdr:row>18</xdr:row>
      <xdr:rowOff>160534</xdr:rowOff>
    </xdr:from>
    <xdr:to>
      <xdr:col>20</xdr:col>
      <xdr:colOff>321066</xdr:colOff>
      <xdr:row>22</xdr:row>
      <xdr:rowOff>21405</xdr:rowOff>
    </xdr:to>
    <xdr:sp macro="[0]!consultation_FACTURE_DES_PRODUCTEURS_PAR_SAL" textlink="">
      <xdr:nvSpPr>
        <xdr:cNvPr id="31" name="Rectangle : en biseau 30">
          <a:extLst>
            <a:ext uri="{FF2B5EF4-FFF2-40B4-BE49-F238E27FC236}">
              <a16:creationId xmlns:a16="http://schemas.microsoft.com/office/drawing/2014/main" id="{036BFB8E-6CBA-4074-867A-DD1E4378EB29}"/>
            </a:ext>
          </a:extLst>
        </xdr:cNvPr>
        <xdr:cNvSpPr/>
      </xdr:nvSpPr>
      <xdr:spPr>
        <a:xfrm>
          <a:off x="9760448" y="3499635"/>
          <a:ext cx="2718371" cy="631433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 b="1" cap="small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Emission d'une</a:t>
          </a:r>
          <a:r>
            <a:rPr lang="fr-FR" sz="1100" b="1" cap="small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facture annuelle pour achat de de consommables</a:t>
          </a:r>
          <a:endParaRPr lang="fr-FR" sz="1100" b="1" cap="small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57426</xdr:colOff>
      <xdr:row>6</xdr:row>
      <xdr:rowOff>52109</xdr:rowOff>
    </xdr:from>
    <xdr:to>
      <xdr:col>4</xdr:col>
      <xdr:colOff>43621</xdr:colOff>
      <xdr:row>33</xdr:row>
      <xdr:rowOff>153577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9CA9F4F1-A155-4B22-854E-8696486B94F6}"/>
            </a:ext>
          </a:extLst>
        </xdr:cNvPr>
        <xdr:cNvGrpSpPr/>
      </xdr:nvGrpSpPr>
      <xdr:grpSpPr>
        <a:xfrm>
          <a:off x="57426" y="1195109"/>
          <a:ext cx="3034195" cy="5244968"/>
          <a:chOff x="400326" y="1242734"/>
          <a:chExt cx="3034195" cy="5244968"/>
        </a:xfrm>
      </xdr:grpSpPr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E0022C05-FA92-45E5-AD0F-C0D39CA49CBA}"/>
              </a:ext>
            </a:extLst>
          </xdr:cNvPr>
          <xdr:cNvGrpSpPr/>
        </xdr:nvGrpSpPr>
        <xdr:grpSpPr>
          <a:xfrm>
            <a:off x="400326" y="1242734"/>
            <a:ext cx="3034195" cy="5244968"/>
            <a:chOff x="400326" y="1270001"/>
            <a:chExt cx="3023152" cy="5321767"/>
          </a:xfrm>
        </xdr:grpSpPr>
        <xdr:sp macro="" textlink="">
          <xdr:nvSpPr>
            <xdr:cNvPr id="58" name="Rectangle 57">
              <a:extLst>
                <a:ext uri="{FF2B5EF4-FFF2-40B4-BE49-F238E27FC236}">
                  <a16:creationId xmlns:a16="http://schemas.microsoft.com/office/drawing/2014/main" id="{B503DCC4-1A88-4064-94F3-C1D01856F567}"/>
                </a:ext>
              </a:extLst>
            </xdr:cNvPr>
            <xdr:cNvSpPr/>
          </xdr:nvSpPr>
          <xdr:spPr>
            <a:xfrm>
              <a:off x="400326" y="1822172"/>
              <a:ext cx="3020665" cy="4769596"/>
            </a:xfrm>
            <a:prstGeom prst="rect">
              <a:avLst/>
            </a:prstGeom>
            <a:solidFill>
              <a:schemeClr val="bg1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marL="0" indent="0" algn="ctr"/>
              <a:r>
                <a:rPr lang="fr-FR" sz="2000" b="1" cap="sm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rPr>
                <a:t>Vente de fromage</a:t>
              </a:r>
            </a:p>
          </xdr:txBody>
        </xdr:sp>
        <xdr:sp macro="" textlink="">
          <xdr:nvSpPr>
            <xdr:cNvPr id="4" name="Rectangle 3">
              <a:extLst>
                <a:ext uri="{FF2B5EF4-FFF2-40B4-BE49-F238E27FC236}">
                  <a16:creationId xmlns:a16="http://schemas.microsoft.com/office/drawing/2014/main" id="{1BCC8C7D-F6D6-4391-9DDA-962C92137F90}"/>
                </a:ext>
              </a:extLst>
            </xdr:cNvPr>
            <xdr:cNvSpPr/>
          </xdr:nvSpPr>
          <xdr:spPr>
            <a:xfrm>
              <a:off x="402813" y="1270001"/>
              <a:ext cx="3020665" cy="552174"/>
            </a:xfrm>
            <a:prstGeom prst="rect">
              <a:avLst/>
            </a:prstGeom>
            <a:solidFill>
              <a:srgbClr val="92D050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marL="0" indent="0" algn="ctr"/>
              <a:r>
                <a:rPr lang="fr-FR" sz="2000" b="1" cap="sm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rPr>
                <a:t>Vente de fromage</a:t>
              </a:r>
            </a:p>
          </xdr:txBody>
        </xdr:sp>
      </xdr:grpSp>
      <xdr:sp macro="[0]!onglet_NOUVELLE_VENTE" textlink="">
        <xdr:nvSpPr>
          <xdr:cNvPr id="15" name="BTNTMUF000">
            <a:extLst>
              <a:ext uri="{FF2B5EF4-FFF2-40B4-BE49-F238E27FC236}">
                <a16:creationId xmlns:a16="http://schemas.microsoft.com/office/drawing/2014/main" id="{AB409E6D-BFA9-44D6-B33E-A8B78A7BB0B0}"/>
              </a:ext>
            </a:extLst>
          </xdr:cNvPr>
          <xdr:cNvSpPr/>
        </xdr:nvSpPr>
        <xdr:spPr>
          <a:xfrm>
            <a:off x="509083" y="1892348"/>
            <a:ext cx="2796092" cy="660352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FR" sz="1000" b="1" i="0" cap="small">
                <a:solidFill>
                  <a:srgbClr val="000000"/>
                </a:solidFill>
                <a:latin typeface="Calibri" panose="020F0502020204030204" pitchFamily="34" charset="0"/>
              </a:rPr>
              <a:t> Saisir une vente et emettre</a:t>
            </a:r>
            <a:r>
              <a:rPr lang="fr-FR" sz="1000" b="1" i="0" cap="small" baseline="0">
                <a:solidFill>
                  <a:srgbClr val="000000"/>
                </a:solidFill>
                <a:latin typeface="Calibri" panose="020F0502020204030204" pitchFamily="34" charset="0"/>
              </a:rPr>
              <a:t> un BL</a:t>
            </a:r>
            <a:endParaRPr lang="fr-FR" sz="1000" b="1" i="0" cap="small">
              <a:solidFill>
                <a:srgbClr val="000000"/>
              </a:solidFill>
              <a:latin typeface="Calibri" panose="020F0502020204030204" pitchFamily="34" charset="0"/>
            </a:endParaRPr>
          </a:p>
        </xdr:txBody>
      </xdr:sp>
      <xdr:sp macro="[0]!onglet_NOUVELLE_FACTURE_AVOIR" textlink="">
        <xdr:nvSpPr>
          <xdr:cNvPr id="32" name="BTNTMUF000">
            <a:extLst>
              <a:ext uri="{FF2B5EF4-FFF2-40B4-BE49-F238E27FC236}">
                <a16:creationId xmlns:a16="http://schemas.microsoft.com/office/drawing/2014/main" id="{4CC12A24-1698-49EB-9017-C81EE3940D30}"/>
              </a:ext>
            </a:extLst>
          </xdr:cNvPr>
          <xdr:cNvSpPr/>
        </xdr:nvSpPr>
        <xdr:spPr>
          <a:xfrm>
            <a:off x="495576" y="2690534"/>
            <a:ext cx="2796092" cy="660352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fr-FR" sz="1000" b="1" i="0" cap="small">
                <a:solidFill>
                  <a:srgbClr val="000000"/>
                </a:solidFill>
                <a:latin typeface="Calibri" panose="020F0502020204030204" pitchFamily="34" charset="0"/>
                <a:ea typeface="+mn-ea"/>
                <a:cs typeface="+mn-cs"/>
              </a:rPr>
              <a:t> Facturer le saloir par un producteur</a:t>
            </a:r>
          </a:p>
        </xdr:txBody>
      </xdr:sp>
      <xdr:sp macro="[0]!creation_factures_clients" textlink="">
        <xdr:nvSpPr>
          <xdr:cNvPr id="35" name="BTNTMUF000">
            <a:extLst>
              <a:ext uri="{FF2B5EF4-FFF2-40B4-BE49-F238E27FC236}">
                <a16:creationId xmlns:a16="http://schemas.microsoft.com/office/drawing/2014/main" id="{DEAB46D5-2D05-45EA-ACFD-4FB8717E0362}"/>
              </a:ext>
            </a:extLst>
          </xdr:cNvPr>
          <xdr:cNvSpPr/>
        </xdr:nvSpPr>
        <xdr:spPr>
          <a:xfrm>
            <a:off x="495576" y="3490634"/>
            <a:ext cx="2796092" cy="660352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fr-FR" sz="1000" b="1" i="0" cap="small">
                <a:solidFill>
                  <a:srgbClr val="000000"/>
                </a:solidFill>
                <a:latin typeface="Calibri" panose="020F0502020204030204" pitchFamily="34" charset="0"/>
                <a:ea typeface="+mn-ea"/>
                <a:cs typeface="+mn-cs"/>
              </a:rPr>
              <a:t> Facturer un client</a:t>
            </a:r>
          </a:p>
        </xdr:txBody>
      </xdr:sp>
      <xdr:sp macro="[0]!consultation_RESERVATION" textlink="">
        <xdr:nvSpPr>
          <xdr:cNvPr id="37" name="BTNTMUF000">
            <a:extLst>
              <a:ext uri="{FF2B5EF4-FFF2-40B4-BE49-F238E27FC236}">
                <a16:creationId xmlns:a16="http://schemas.microsoft.com/office/drawing/2014/main" id="{BF3557A8-FC85-402C-997E-581E7E67F56C}"/>
              </a:ext>
            </a:extLst>
          </xdr:cNvPr>
          <xdr:cNvSpPr/>
        </xdr:nvSpPr>
        <xdr:spPr>
          <a:xfrm>
            <a:off x="476250" y="4233584"/>
            <a:ext cx="1348568" cy="660352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FR" sz="1000" b="1" i="0" cap="small">
                <a:solidFill>
                  <a:srgbClr val="000000"/>
                </a:solidFill>
                <a:latin typeface="Calibri" panose="020F0502020204030204" pitchFamily="34" charset="0"/>
              </a:rPr>
              <a:t> Saisir</a:t>
            </a:r>
            <a:r>
              <a:rPr lang="fr-FR" sz="1000" b="1" i="0" cap="small" baseline="0">
                <a:solidFill>
                  <a:srgbClr val="000000"/>
                </a:solidFill>
                <a:latin typeface="Calibri" panose="020F0502020204030204" pitchFamily="34" charset="0"/>
              </a:rPr>
              <a:t> une réservation</a:t>
            </a:r>
            <a:endParaRPr lang="fr-FR" sz="1000" b="1" i="0" cap="small">
              <a:solidFill>
                <a:srgbClr val="000000"/>
              </a:solidFill>
              <a:latin typeface="Calibri" panose="020F0502020204030204" pitchFamily="34" charset="0"/>
            </a:endParaRPr>
          </a:p>
        </xdr:txBody>
      </xdr:sp>
      <xdr:sp macro="[0]!consultation_RESERVATION" textlink="">
        <xdr:nvSpPr>
          <xdr:cNvPr id="34" name="BTNTMUF000">
            <a:extLst>
              <a:ext uri="{FF2B5EF4-FFF2-40B4-BE49-F238E27FC236}">
                <a16:creationId xmlns:a16="http://schemas.microsoft.com/office/drawing/2014/main" id="{9FE4FD80-2604-42DA-AB39-C328F5B6F50E}"/>
              </a:ext>
            </a:extLst>
          </xdr:cNvPr>
          <xdr:cNvSpPr/>
        </xdr:nvSpPr>
        <xdr:spPr>
          <a:xfrm>
            <a:off x="1886226" y="4233584"/>
            <a:ext cx="1348568" cy="660352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FR" sz="1000" b="1" i="0" cap="small">
                <a:solidFill>
                  <a:srgbClr val="000000"/>
                </a:solidFill>
                <a:latin typeface="Calibri" panose="020F0502020204030204" pitchFamily="34" charset="0"/>
              </a:rPr>
              <a:t> Supprimer</a:t>
            </a:r>
            <a:r>
              <a:rPr lang="fr-FR" sz="1000" b="1" i="0" cap="small" baseline="0">
                <a:solidFill>
                  <a:srgbClr val="000000"/>
                </a:solidFill>
                <a:latin typeface="Calibri" panose="020F0502020204030204" pitchFamily="34" charset="0"/>
              </a:rPr>
              <a:t> une réservation</a:t>
            </a:r>
            <a:endParaRPr lang="fr-FR" sz="1000" b="1" i="0" cap="small">
              <a:solidFill>
                <a:srgbClr val="000000"/>
              </a:solidFill>
              <a:latin typeface="Calibri" panose="020F0502020204030204" pitchFamily="34" charset="0"/>
            </a:endParaRPr>
          </a:p>
        </xdr:txBody>
      </xdr:sp>
    </xdr:grpSp>
    <xdr:clientData/>
  </xdr:twoCellAnchor>
  <xdr:twoCellAnchor>
    <xdr:from>
      <xdr:col>20</xdr:col>
      <xdr:colOff>628650</xdr:colOff>
      <xdr:row>6</xdr:row>
      <xdr:rowOff>104775</xdr:rowOff>
    </xdr:from>
    <xdr:to>
      <xdr:col>25</xdr:col>
      <xdr:colOff>9525</xdr:colOff>
      <xdr:row>34</xdr:row>
      <xdr:rowOff>51264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785CDB18-F451-4172-88BF-AD944BCB6B44}"/>
            </a:ext>
          </a:extLst>
        </xdr:cNvPr>
        <xdr:cNvGrpSpPr/>
      </xdr:nvGrpSpPr>
      <xdr:grpSpPr>
        <a:xfrm>
          <a:off x="15868650" y="1247775"/>
          <a:ext cx="3190875" cy="5280489"/>
          <a:chOff x="400326" y="1270001"/>
          <a:chExt cx="3179261" cy="3150265"/>
        </a:xfrm>
      </xdr:grpSpPr>
      <xdr:sp macro="" textlink="">
        <xdr:nvSpPr>
          <xdr:cNvPr id="39" name="Rectangle 38">
            <a:extLst>
              <a:ext uri="{FF2B5EF4-FFF2-40B4-BE49-F238E27FC236}">
                <a16:creationId xmlns:a16="http://schemas.microsoft.com/office/drawing/2014/main" id="{B05AC95D-2E60-4977-A304-04C20FAFCB1D}"/>
              </a:ext>
            </a:extLst>
          </xdr:cNvPr>
          <xdr:cNvSpPr/>
        </xdr:nvSpPr>
        <xdr:spPr>
          <a:xfrm>
            <a:off x="400326" y="1465710"/>
            <a:ext cx="3179261" cy="2954556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Vente de fromage</a:t>
            </a:r>
          </a:p>
        </xdr:txBody>
      </xdr:sp>
      <xdr:sp macro="" textlink="">
        <xdr:nvSpPr>
          <xdr:cNvPr id="40" name="Rectangle 39">
            <a:extLst>
              <a:ext uri="{FF2B5EF4-FFF2-40B4-BE49-F238E27FC236}">
                <a16:creationId xmlns:a16="http://schemas.microsoft.com/office/drawing/2014/main" id="{48A0CEBC-872C-4720-BBF0-190AB87F39FD}"/>
              </a:ext>
            </a:extLst>
          </xdr:cNvPr>
          <xdr:cNvSpPr/>
        </xdr:nvSpPr>
        <xdr:spPr>
          <a:xfrm>
            <a:off x="402813" y="1270001"/>
            <a:ext cx="3167285" cy="321971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Retrouver une facture-un bl</a:t>
            </a:r>
          </a:p>
        </xdr:txBody>
      </xdr:sp>
    </xdr:grpSp>
    <xdr:clientData/>
  </xdr:twoCellAnchor>
  <xdr:twoCellAnchor>
    <xdr:from>
      <xdr:col>21</xdr:col>
      <xdr:colOff>0</xdr:colOff>
      <xdr:row>10</xdr:row>
      <xdr:rowOff>57150</xdr:rowOff>
    </xdr:from>
    <xdr:to>
      <xdr:col>24</xdr:col>
      <xdr:colOff>601992</xdr:colOff>
      <xdr:row>13</xdr:row>
      <xdr:rowOff>87114</xdr:rowOff>
    </xdr:to>
    <xdr:sp macro="[0]!BtnDisplayUF_Click" textlink="">
      <xdr:nvSpPr>
        <xdr:cNvPr id="42" name="BTNTMUF001">
          <a:extLst>
            <a:ext uri="{FF2B5EF4-FFF2-40B4-BE49-F238E27FC236}">
              <a16:creationId xmlns:a16="http://schemas.microsoft.com/office/drawing/2014/main" id="{834DECCB-3312-454B-977C-044036274A47}"/>
            </a:ext>
          </a:extLst>
        </xdr:cNvPr>
        <xdr:cNvSpPr/>
      </xdr:nvSpPr>
      <xdr:spPr>
        <a:xfrm>
          <a:off x="12954000" y="1962150"/>
          <a:ext cx="2887992" cy="601464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Retrouver</a:t>
          </a:r>
          <a:r>
            <a:rPr lang="fr-FR" sz="1000" b="1" i="0" cap="small" baseline="0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 une facture producteur_saloir</a:t>
          </a:r>
          <a:endParaRPr lang="fr-FR" sz="1000" b="1" i="0" cap="small">
            <a:solidFill>
              <a:srgbClr val="000000"/>
            </a:solidFill>
            <a:latin typeface="Calibri" panose="020F0502020204030204" pitchFamily="34" charset="0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19050</xdr:colOff>
      <xdr:row>13</xdr:row>
      <xdr:rowOff>142875</xdr:rowOff>
    </xdr:from>
    <xdr:to>
      <xdr:col>24</xdr:col>
      <xdr:colOff>621042</xdr:colOff>
      <xdr:row>16</xdr:row>
      <xdr:rowOff>172839</xdr:rowOff>
    </xdr:to>
    <xdr:sp macro="[0]!BtnDisplayUF_Click" textlink="">
      <xdr:nvSpPr>
        <xdr:cNvPr id="44" name="BTNTMUF001">
          <a:extLst>
            <a:ext uri="{FF2B5EF4-FFF2-40B4-BE49-F238E27FC236}">
              <a16:creationId xmlns:a16="http://schemas.microsoft.com/office/drawing/2014/main" id="{195AE00D-9B65-439C-BCEC-240F30B01A5C}"/>
            </a:ext>
          </a:extLst>
        </xdr:cNvPr>
        <xdr:cNvSpPr/>
      </xdr:nvSpPr>
      <xdr:spPr>
        <a:xfrm>
          <a:off x="12973050" y="2619375"/>
          <a:ext cx="2887992" cy="601464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Retrouver</a:t>
          </a:r>
          <a:r>
            <a:rPr lang="fr-FR" sz="1000" b="1" i="0" cap="small" baseline="0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 une facture client</a:t>
          </a:r>
          <a:endParaRPr lang="fr-FR" sz="1000" b="1" i="0" cap="small">
            <a:solidFill>
              <a:srgbClr val="000000"/>
            </a:solidFill>
            <a:latin typeface="Calibri" panose="020F0502020204030204" pitchFamily="34" charset="0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47625</xdr:colOff>
      <xdr:row>17</xdr:row>
      <xdr:rowOff>47625</xdr:rowOff>
    </xdr:from>
    <xdr:to>
      <xdr:col>24</xdr:col>
      <xdr:colOff>649617</xdr:colOff>
      <xdr:row>20</xdr:row>
      <xdr:rowOff>77589</xdr:rowOff>
    </xdr:to>
    <xdr:sp macro="[0]!BtnDisplayUF_Click" textlink="">
      <xdr:nvSpPr>
        <xdr:cNvPr id="47" name="BTNTMUF001">
          <a:extLst>
            <a:ext uri="{FF2B5EF4-FFF2-40B4-BE49-F238E27FC236}">
              <a16:creationId xmlns:a16="http://schemas.microsoft.com/office/drawing/2014/main" id="{2733A62E-E73E-4451-B94E-C4A8B9656185}"/>
            </a:ext>
          </a:extLst>
        </xdr:cNvPr>
        <xdr:cNvSpPr/>
      </xdr:nvSpPr>
      <xdr:spPr>
        <a:xfrm>
          <a:off x="13001625" y="3286125"/>
          <a:ext cx="2887992" cy="601464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Retrouver</a:t>
          </a:r>
          <a:r>
            <a:rPr lang="fr-FR" sz="1000" b="1" i="0" cap="small" baseline="0">
              <a:solidFill>
                <a:srgbClr val="000000"/>
              </a:solidFill>
              <a:latin typeface="Calibri" panose="020F0502020204030204" pitchFamily="34" charset="0"/>
              <a:ea typeface="+mn-ea"/>
              <a:cs typeface="+mn-cs"/>
            </a:rPr>
            <a:t> une facture saloir-producteur</a:t>
          </a:r>
          <a:endParaRPr lang="fr-FR" sz="1000" b="1" i="0" cap="small">
            <a:solidFill>
              <a:srgbClr val="000000"/>
            </a:solidFill>
            <a:latin typeface="Calibri" panose="020F0502020204030204" pitchFamily="34" charset="0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200025</xdr:colOff>
      <xdr:row>6</xdr:row>
      <xdr:rowOff>57150</xdr:rowOff>
    </xdr:from>
    <xdr:to>
      <xdr:col>8</xdr:col>
      <xdr:colOff>186220</xdr:colOff>
      <xdr:row>33</xdr:row>
      <xdr:rowOff>158618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EED50CA8-D304-42B7-A8B5-61858077D01B}"/>
            </a:ext>
          </a:extLst>
        </xdr:cNvPr>
        <xdr:cNvGrpSpPr/>
      </xdr:nvGrpSpPr>
      <xdr:grpSpPr>
        <a:xfrm>
          <a:off x="3248025" y="1200150"/>
          <a:ext cx="3034195" cy="5244968"/>
          <a:chOff x="400326" y="1270001"/>
          <a:chExt cx="3023152" cy="5321767"/>
        </a:xfrm>
      </xdr:grpSpPr>
      <xdr:sp macro="" textlink="">
        <xdr:nvSpPr>
          <xdr:cNvPr id="55" name="Rectangle 54">
            <a:extLst>
              <a:ext uri="{FF2B5EF4-FFF2-40B4-BE49-F238E27FC236}">
                <a16:creationId xmlns:a16="http://schemas.microsoft.com/office/drawing/2014/main" id="{41AFB47A-64FE-449E-842A-066E385BFC07}"/>
              </a:ext>
            </a:extLst>
          </xdr:cNvPr>
          <xdr:cNvSpPr/>
        </xdr:nvSpPr>
        <xdr:spPr>
          <a:xfrm>
            <a:off x="400326" y="1822172"/>
            <a:ext cx="3020665" cy="4769596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Vente de fromage</a:t>
            </a:r>
          </a:p>
        </xdr:txBody>
      </xdr:sp>
      <xdr:sp macro="" textlink="">
        <xdr:nvSpPr>
          <xdr:cNvPr id="56" name="Rectangle 55">
            <a:extLst>
              <a:ext uri="{FF2B5EF4-FFF2-40B4-BE49-F238E27FC236}">
                <a16:creationId xmlns:a16="http://schemas.microsoft.com/office/drawing/2014/main" id="{AD408707-9317-495F-A8D4-6E792CB78BBC}"/>
              </a:ext>
            </a:extLst>
          </xdr:cNvPr>
          <xdr:cNvSpPr/>
        </xdr:nvSpPr>
        <xdr:spPr>
          <a:xfrm>
            <a:off x="402813" y="1270001"/>
            <a:ext cx="3020665" cy="552174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2000" b="1" cap="small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Transport</a:t>
            </a:r>
          </a:p>
        </xdr:txBody>
      </xdr:sp>
    </xdr:grpSp>
    <xdr:clientData/>
  </xdr:twoCellAnchor>
  <xdr:twoCellAnchor>
    <xdr:from>
      <xdr:col>4</xdr:col>
      <xdr:colOff>308782</xdr:colOff>
      <xdr:row>9</xdr:row>
      <xdr:rowOff>135264</xdr:rowOff>
    </xdr:from>
    <xdr:to>
      <xdr:col>8</xdr:col>
      <xdr:colOff>56874</xdr:colOff>
      <xdr:row>13</xdr:row>
      <xdr:rowOff>33616</xdr:rowOff>
    </xdr:to>
    <xdr:sp macro="[0]!onglet_NOUVELLE_VENTE" textlink="">
      <xdr:nvSpPr>
        <xdr:cNvPr id="50" name="BTNTMUF000">
          <a:extLst>
            <a:ext uri="{FF2B5EF4-FFF2-40B4-BE49-F238E27FC236}">
              <a16:creationId xmlns:a16="http://schemas.microsoft.com/office/drawing/2014/main" id="{3EEA2BE9-A60D-475A-BA58-672ED7F6A78B}"/>
            </a:ext>
          </a:extLst>
        </xdr:cNvPr>
        <xdr:cNvSpPr/>
      </xdr:nvSpPr>
      <xdr:spPr>
        <a:xfrm>
          <a:off x="3356782" y="1849764"/>
          <a:ext cx="2796092" cy="660352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</a:rPr>
            <a:t> Compléter</a:t>
          </a:r>
          <a:r>
            <a:rPr lang="fr-FR" sz="1000" b="1" i="0" cap="small" baseline="0">
              <a:solidFill>
                <a:srgbClr val="000000"/>
              </a:solidFill>
              <a:latin typeface="Calibri" panose="020F0502020204030204" pitchFamily="34" charset="0"/>
            </a:rPr>
            <a:t> un BL avec les conditions de transport</a:t>
          </a:r>
          <a:endParaRPr lang="fr-FR" sz="1000" b="1" i="0" cap="small">
            <a:solidFill>
              <a:srgbClr val="000000"/>
            </a:solidFill>
            <a:latin typeface="Calibri" panose="020F0502020204030204" pitchFamily="34" charset="0"/>
          </a:endParaRPr>
        </a:p>
      </xdr:txBody>
    </xdr:sp>
    <xdr:clientData/>
  </xdr:twoCellAnchor>
  <xdr:twoCellAnchor>
    <xdr:from>
      <xdr:col>4</xdr:col>
      <xdr:colOff>304800</xdr:colOff>
      <xdr:row>13</xdr:row>
      <xdr:rowOff>114300</xdr:rowOff>
    </xdr:from>
    <xdr:to>
      <xdr:col>8</xdr:col>
      <xdr:colOff>52892</xdr:colOff>
      <xdr:row>17</xdr:row>
      <xdr:rowOff>12652</xdr:rowOff>
    </xdr:to>
    <xdr:sp macro="[0]!onglet_NOUVELLE_VENTE" textlink="">
      <xdr:nvSpPr>
        <xdr:cNvPr id="57" name="BTNTMUF000">
          <a:extLst>
            <a:ext uri="{FF2B5EF4-FFF2-40B4-BE49-F238E27FC236}">
              <a16:creationId xmlns:a16="http://schemas.microsoft.com/office/drawing/2014/main" id="{324958FB-36FD-4CE0-BCE4-C45CC54B6DA5}"/>
            </a:ext>
          </a:extLst>
        </xdr:cNvPr>
        <xdr:cNvSpPr/>
      </xdr:nvSpPr>
      <xdr:spPr>
        <a:xfrm>
          <a:off x="3352800" y="2590800"/>
          <a:ext cx="2796092" cy="660352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b="1" i="0" cap="small">
              <a:solidFill>
                <a:srgbClr val="000000"/>
              </a:solidFill>
              <a:latin typeface="Calibri" panose="020F0502020204030204" pitchFamily="34" charset="0"/>
            </a:rPr>
            <a:t> Saisir une facture transporteur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38100</xdr:rowOff>
    </xdr:from>
    <xdr:to>
      <xdr:col>1</xdr:col>
      <xdr:colOff>128638</xdr:colOff>
      <xdr:row>3</xdr:row>
      <xdr:rowOff>161925</xdr:rowOff>
    </xdr:to>
    <xdr:pic>
      <xdr:nvPicPr>
        <xdr:cNvPr id="2" name="image1.jpeg">
          <a:extLst>
            <a:ext uri="{FF2B5EF4-FFF2-40B4-BE49-F238E27FC236}">
              <a16:creationId xmlns:a16="http://schemas.microsoft.com/office/drawing/2014/main" id="{667CEBD3-F750-4620-A903-A227F85DD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38100"/>
          <a:ext cx="1281163" cy="600075"/>
        </a:xfrm>
        <a:prstGeom prst="rect">
          <a:avLst/>
        </a:prstGeom>
      </xdr:spPr>
    </xdr:pic>
    <xdr:clientData/>
  </xdr:twoCellAnchor>
  <xdr:twoCellAnchor editAs="absolute">
    <xdr:from>
      <xdr:col>5</xdr:col>
      <xdr:colOff>67826</xdr:colOff>
      <xdr:row>3</xdr:row>
      <xdr:rowOff>39042</xdr:rowOff>
    </xdr:from>
    <xdr:to>
      <xdr:col>6</xdr:col>
      <xdr:colOff>706001</xdr:colOff>
      <xdr:row>4</xdr:row>
      <xdr:rowOff>172392</xdr:rowOff>
    </xdr:to>
    <xdr:sp macro="[0]!onglet_MENU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5C5EF070-E1FF-401C-84C4-04CBBB898FDA}"/>
            </a:ext>
          </a:extLst>
        </xdr:cNvPr>
        <xdr:cNvSpPr/>
      </xdr:nvSpPr>
      <xdr:spPr>
        <a:xfrm>
          <a:off x="9687029" y="520526"/>
          <a:ext cx="2700181" cy="374091"/>
        </a:xfrm>
        <a:prstGeom prst="bevel">
          <a:avLst/>
        </a:prstGeom>
        <a:solidFill>
          <a:srgbClr val="92D050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Retour</a:t>
          </a:r>
          <a:r>
            <a:rPr lang="fr-FR" sz="1200" baseline="0"/>
            <a:t> menu</a:t>
          </a:r>
          <a:endParaRPr lang="fr-FR" sz="1200"/>
        </a:p>
      </xdr:txBody>
    </xdr:sp>
    <xdr:clientData/>
  </xdr:twoCellAnchor>
  <xdr:twoCellAnchor editAs="absolute">
    <xdr:from>
      <xdr:col>5</xdr:col>
      <xdr:colOff>74526</xdr:colOff>
      <xdr:row>0</xdr:row>
      <xdr:rowOff>79026</xdr:rowOff>
    </xdr:from>
    <xdr:to>
      <xdr:col>6</xdr:col>
      <xdr:colOff>690407</xdr:colOff>
      <xdr:row>2</xdr:row>
      <xdr:rowOff>212900</xdr:rowOff>
    </xdr:to>
    <xdr:sp macro="[0]!Imprimer_facture_client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2F2C12BB-EAE9-4ADD-99B9-0058C8C978DD}"/>
            </a:ext>
          </a:extLst>
        </xdr:cNvPr>
        <xdr:cNvSpPr/>
      </xdr:nvSpPr>
      <xdr:spPr>
        <a:xfrm>
          <a:off x="9693729" y="79026"/>
          <a:ext cx="2677887" cy="374616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Imprimer</a:t>
          </a:r>
        </a:p>
      </xdr:txBody>
    </xdr:sp>
    <xdr:clientData/>
  </xdr:twoCellAnchor>
  <xdr:twoCellAnchor editAs="absolute">
    <xdr:from>
      <xdr:col>5</xdr:col>
      <xdr:colOff>62801</xdr:colOff>
      <xdr:row>5</xdr:row>
      <xdr:rowOff>31401</xdr:rowOff>
    </xdr:from>
    <xdr:to>
      <xdr:col>6</xdr:col>
      <xdr:colOff>678682</xdr:colOff>
      <xdr:row>6</xdr:row>
      <xdr:rowOff>71072</xdr:rowOff>
    </xdr:to>
    <xdr:sp macro="[0]!Imprimer_facture_client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781D000B-6AD9-4E10-B61C-17A7F7128BAB}"/>
            </a:ext>
          </a:extLst>
        </xdr:cNvPr>
        <xdr:cNvSpPr/>
      </xdr:nvSpPr>
      <xdr:spPr>
        <a:xfrm>
          <a:off x="9682004" y="942033"/>
          <a:ext cx="2677887" cy="374616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Consulter</a:t>
          </a:r>
          <a:r>
            <a:rPr lang="fr-FR" sz="1200" baseline="0"/>
            <a:t> les BL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0</xdr:row>
      <xdr:rowOff>117475</xdr:rowOff>
    </xdr:from>
    <xdr:to>
      <xdr:col>2</xdr:col>
      <xdr:colOff>1404988</xdr:colOff>
      <xdr:row>3</xdr:row>
      <xdr:rowOff>3175</xdr:rowOff>
    </xdr:to>
    <xdr:pic>
      <xdr:nvPicPr>
        <xdr:cNvPr id="2" name="image1.jpeg">
          <a:extLst>
            <a:ext uri="{FF2B5EF4-FFF2-40B4-BE49-F238E27FC236}">
              <a16:creationId xmlns:a16="http://schemas.microsoft.com/office/drawing/2014/main" id="{821B4F92-834B-4233-A0AA-37D7976894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1950" y="117475"/>
          <a:ext cx="1281163" cy="600075"/>
        </a:xfrm>
        <a:prstGeom prst="rect">
          <a:avLst/>
        </a:prstGeom>
      </xdr:spPr>
    </xdr:pic>
    <xdr:clientData/>
  </xdr:twoCellAnchor>
  <xdr:twoCellAnchor editAs="absolute">
    <xdr:from>
      <xdr:col>8</xdr:col>
      <xdr:colOff>228599</xdr:colOff>
      <xdr:row>5</xdr:row>
      <xdr:rowOff>161925</xdr:rowOff>
    </xdr:from>
    <xdr:to>
      <xdr:col>11</xdr:col>
      <xdr:colOff>1029223</xdr:colOff>
      <xdr:row>7</xdr:row>
      <xdr:rowOff>19051</xdr:rowOff>
    </xdr:to>
    <xdr:sp macro="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E545FD7D-F4EE-4039-A3B5-F5D5C3A70C06}"/>
            </a:ext>
          </a:extLst>
        </xdr:cNvPr>
        <xdr:cNvSpPr/>
      </xdr:nvSpPr>
      <xdr:spPr>
        <a:xfrm>
          <a:off x="10086974" y="1304925"/>
          <a:ext cx="2657476" cy="390526"/>
        </a:xfrm>
        <a:prstGeom prst="bevel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>
              <a:solidFill>
                <a:schemeClr val="tx1"/>
              </a:solidFill>
            </a:rPr>
            <a:t>Retour</a:t>
          </a:r>
          <a:r>
            <a:rPr lang="fr-FR" sz="1200" baseline="0">
              <a:solidFill>
                <a:schemeClr val="tx1"/>
              </a:solidFill>
            </a:rPr>
            <a:t> gestion des factures clients</a:t>
          </a:r>
          <a:endParaRPr lang="fr-FR" sz="120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647700</xdr:colOff>
      <xdr:row>0</xdr:row>
      <xdr:rowOff>371475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81ADB5CB-0893-4163-AC95-BF820A56EBDE}"/>
            </a:ext>
          </a:extLst>
        </xdr:cNvPr>
        <xdr:cNvSpPr/>
      </xdr:nvSpPr>
      <xdr:spPr>
        <a:xfrm>
          <a:off x="0" y="0"/>
          <a:ext cx="141922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114300</xdr:rowOff>
    </xdr:from>
    <xdr:to>
      <xdr:col>1</xdr:col>
      <xdr:colOff>342900</xdr:colOff>
      <xdr:row>6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C552078F-D9C0-413B-89E5-B759A4CCAE0F}"/>
            </a:ext>
          </a:extLst>
        </xdr:cNvPr>
        <xdr:cNvGrpSpPr/>
      </xdr:nvGrpSpPr>
      <xdr:grpSpPr>
        <a:xfrm>
          <a:off x="0" y="114300"/>
          <a:ext cx="2828925" cy="1028700"/>
          <a:chOff x="85725" y="19050"/>
          <a:chExt cx="2828925" cy="1028700"/>
        </a:xfrm>
      </xdr:grpSpPr>
      <xdr:sp macro="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D894DD97-D250-4DA4-9CE0-4153A20CA46F}"/>
              </a:ext>
            </a:extLst>
          </xdr:cNvPr>
          <xdr:cNvSpPr/>
        </xdr:nvSpPr>
        <xdr:spPr>
          <a:xfrm>
            <a:off x="85725" y="19050"/>
            <a:ext cx="2828925" cy="1028700"/>
          </a:xfrm>
          <a:prstGeom prst="roundRect">
            <a:avLst/>
          </a:prstGeom>
          <a:solidFill>
            <a:schemeClr val="accent6">
              <a:lumMod val="75000"/>
            </a:schemeClr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800"/>
          </a:p>
        </xdr:txBody>
      </xdr:sp>
      <xdr:sp macro="[0]!creation_factures_clients" textlink="">
        <xdr:nvSpPr>
          <xdr:cNvPr id="2" name="Rectangle : en biseau 1">
            <a:extLst>
              <a:ext uri="{FF2B5EF4-FFF2-40B4-BE49-F238E27FC236}">
                <a16:creationId xmlns:a16="http://schemas.microsoft.com/office/drawing/2014/main" id="{DEE48589-4304-419A-A16E-B4FB19382335}"/>
              </a:ext>
            </a:extLst>
          </xdr:cNvPr>
          <xdr:cNvSpPr/>
        </xdr:nvSpPr>
        <xdr:spPr>
          <a:xfrm>
            <a:off x="228600" y="123824"/>
            <a:ext cx="2571749" cy="342901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/>
              <a:t>Lancer</a:t>
            </a:r>
            <a:r>
              <a:rPr lang="fr-FR" sz="1200" baseline="0"/>
              <a:t> les f</a:t>
            </a:r>
            <a:r>
              <a:rPr lang="fr-FR" sz="1200"/>
              <a:t>actures mensuelles</a:t>
            </a:r>
          </a:p>
        </xdr:txBody>
      </xdr:sp>
      <xdr:sp macro="" textlink="">
        <xdr:nvSpPr>
          <xdr:cNvPr id="3" name="Rectangle : en biseau 2">
            <a:extLst>
              <a:ext uri="{FF2B5EF4-FFF2-40B4-BE49-F238E27FC236}">
                <a16:creationId xmlns:a16="http://schemas.microsoft.com/office/drawing/2014/main" id="{8DC9ED7E-5BC8-42FA-86F7-8C18255177C0}"/>
              </a:ext>
            </a:extLst>
          </xdr:cNvPr>
          <xdr:cNvSpPr/>
        </xdr:nvSpPr>
        <xdr:spPr>
          <a:xfrm>
            <a:off x="228601" y="533400"/>
            <a:ext cx="2562224" cy="371475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/>
              <a:t>Imprimer les factures mensuelles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2</xdr:row>
      <xdr:rowOff>19051</xdr:rowOff>
    </xdr:from>
    <xdr:to>
      <xdr:col>3</xdr:col>
      <xdr:colOff>1676400</xdr:colOff>
      <xdr:row>2</xdr:row>
      <xdr:rowOff>247650</xdr:rowOff>
    </xdr:to>
    <xdr:sp macro="[0]!GENERER_N°_BL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55E765E5-4B4C-4F62-89DE-0B2DDF83C872}"/>
            </a:ext>
          </a:extLst>
        </xdr:cNvPr>
        <xdr:cNvSpPr/>
      </xdr:nvSpPr>
      <xdr:spPr>
        <a:xfrm>
          <a:off x="2714625" y="238126"/>
          <a:ext cx="819150" cy="228599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N° de BL</a:t>
          </a:r>
        </a:p>
      </xdr:txBody>
    </xdr:sp>
    <xdr:clientData/>
  </xdr:twoCellAnchor>
  <xdr:twoCellAnchor>
    <xdr:from>
      <xdr:col>2</xdr:col>
      <xdr:colOff>0</xdr:colOff>
      <xdr:row>7</xdr:row>
      <xdr:rowOff>28574</xdr:rowOff>
    </xdr:from>
    <xdr:to>
      <xdr:col>7</xdr:col>
      <xdr:colOff>200025</xdr:colOff>
      <xdr:row>10</xdr:row>
      <xdr:rowOff>95249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4EC1715E-53D0-4DD4-AF80-A3149F1A1697}"/>
            </a:ext>
          </a:extLst>
        </xdr:cNvPr>
        <xdr:cNvGrpSpPr/>
      </xdr:nvGrpSpPr>
      <xdr:grpSpPr>
        <a:xfrm>
          <a:off x="1581150" y="1685924"/>
          <a:ext cx="6743700" cy="695325"/>
          <a:chOff x="276225" y="1524000"/>
          <a:chExt cx="5793333" cy="781050"/>
        </a:xfrm>
      </xdr:grpSpPr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CB19D3F2-D621-48D3-9780-4BE7FEDE0170}"/>
              </a:ext>
            </a:extLst>
          </xdr:cNvPr>
          <xdr:cNvGrpSpPr/>
        </xdr:nvGrpSpPr>
        <xdr:grpSpPr>
          <a:xfrm>
            <a:off x="276225" y="1524000"/>
            <a:ext cx="5793333" cy="781050"/>
            <a:chOff x="257175" y="1533525"/>
            <a:chExt cx="5793333" cy="781050"/>
          </a:xfrm>
        </xdr:grpSpPr>
        <xdr:sp macro="" textlink="">
          <xdr:nvSpPr>
            <xdr:cNvPr id="3" name="Rectangle : coins arrondis 2">
              <a:extLst>
                <a:ext uri="{FF2B5EF4-FFF2-40B4-BE49-F238E27FC236}">
                  <a16:creationId xmlns:a16="http://schemas.microsoft.com/office/drawing/2014/main" id="{549DAC87-46B4-4235-86AA-5677B73B3A82}"/>
                </a:ext>
              </a:extLst>
            </xdr:cNvPr>
            <xdr:cNvSpPr/>
          </xdr:nvSpPr>
          <xdr:spPr>
            <a:xfrm>
              <a:off x="257175" y="1533525"/>
              <a:ext cx="5793333" cy="781050"/>
            </a:xfrm>
            <a:prstGeom prst="roundRect">
              <a:avLst/>
            </a:prstGeom>
            <a:solidFill>
              <a:srgbClr val="92D050"/>
            </a:solidFill>
          </xdr:spPr>
          <xdr:style>
            <a:lnRef idx="2">
              <a:schemeClr val="accent3">
                <a:shade val="50000"/>
              </a:schemeClr>
            </a:lnRef>
            <a:fillRef idx="1">
              <a:schemeClr val="accent3"/>
            </a:fillRef>
            <a:effectRef idx="0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800"/>
            </a:p>
          </xdr:txBody>
        </xdr:sp>
        <xdr:sp macro="[0]!ajouter_ligne_BL" textlink="">
          <xdr:nvSpPr>
            <xdr:cNvPr id="8" name="Rectangle : carré corné 7">
              <a:extLst>
                <a:ext uri="{FF2B5EF4-FFF2-40B4-BE49-F238E27FC236}">
                  <a16:creationId xmlns:a16="http://schemas.microsoft.com/office/drawing/2014/main" id="{44E4057C-CBF3-4572-90A1-A6EA7AE00DF8}"/>
                </a:ext>
              </a:extLst>
            </xdr:cNvPr>
            <xdr:cNvSpPr/>
          </xdr:nvSpPr>
          <xdr:spPr>
            <a:xfrm>
              <a:off x="447675" y="1790701"/>
              <a:ext cx="1104900" cy="390524"/>
            </a:xfrm>
            <a:prstGeom prst="foldedCorner">
              <a:avLst/>
            </a:prstGeom>
            <a:solidFill>
              <a:schemeClr val="accent6">
                <a:lumMod val="20000"/>
                <a:lumOff val="80000"/>
              </a:schemeClr>
            </a:solidFill>
          </xdr:spPr>
          <xdr:style>
            <a:lnRef idx="2">
              <a:schemeClr val="accent3">
                <a:shade val="50000"/>
              </a:schemeClr>
            </a:lnRef>
            <a:fillRef idx="1">
              <a:schemeClr val="accent3"/>
            </a:fillRef>
            <a:effectRef idx="0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marL="0" indent="0" algn="ctr"/>
              <a:r>
                <a:rPr lang="fr-FR" sz="1200" b="1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Nouvelle ligne</a:t>
              </a:r>
            </a:p>
          </xdr:txBody>
        </xdr:sp>
        <xdr:sp macro="[0]!SUPPRIMER_LIGNE_BL" textlink="">
          <xdr:nvSpPr>
            <xdr:cNvPr id="6" name="Rectangle : carré corné 5">
              <a:extLst>
                <a:ext uri="{FF2B5EF4-FFF2-40B4-BE49-F238E27FC236}">
                  <a16:creationId xmlns:a16="http://schemas.microsoft.com/office/drawing/2014/main" id="{53FEE7C9-24D2-4CD0-8A08-AA9A00AC0B41}"/>
                </a:ext>
              </a:extLst>
            </xdr:cNvPr>
            <xdr:cNvSpPr/>
          </xdr:nvSpPr>
          <xdr:spPr>
            <a:xfrm>
              <a:off x="1571625" y="1790700"/>
              <a:ext cx="1343025" cy="390524"/>
            </a:xfrm>
            <a:prstGeom prst="foldedCorner">
              <a:avLst/>
            </a:prstGeom>
            <a:solidFill>
              <a:schemeClr val="accent6">
                <a:lumMod val="20000"/>
                <a:lumOff val="80000"/>
              </a:schemeClr>
            </a:solidFill>
          </xdr:spPr>
          <xdr:style>
            <a:lnRef idx="2">
              <a:schemeClr val="accent3">
                <a:shade val="50000"/>
              </a:schemeClr>
            </a:lnRef>
            <a:fillRef idx="1">
              <a:schemeClr val="accent3"/>
            </a:fillRef>
            <a:effectRef idx="0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marL="0" indent="0" algn="ctr"/>
              <a:r>
                <a:rPr lang="fr-FR" sz="1200" b="1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Annuler une ligne</a:t>
              </a:r>
            </a:p>
          </xdr:txBody>
        </xdr:sp>
      </xdr:grpSp>
      <xdr:sp macro="[0]!REINITIALISER_BL" textlink="">
        <xdr:nvSpPr>
          <xdr:cNvPr id="9" name="Rectangle : carré corné 8">
            <a:extLst>
              <a:ext uri="{FF2B5EF4-FFF2-40B4-BE49-F238E27FC236}">
                <a16:creationId xmlns:a16="http://schemas.microsoft.com/office/drawing/2014/main" id="{98BE30B0-DC25-49F8-A25F-AF60B78E37E6}"/>
              </a:ext>
            </a:extLst>
          </xdr:cNvPr>
          <xdr:cNvSpPr/>
        </xdr:nvSpPr>
        <xdr:spPr>
          <a:xfrm>
            <a:off x="2952750" y="1781175"/>
            <a:ext cx="1447800" cy="390524"/>
          </a:xfrm>
          <a:prstGeom prst="foldedCorner">
            <a:avLst/>
          </a:pr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Réinitialiser</a:t>
            </a:r>
          </a:p>
        </xdr:txBody>
      </xdr:sp>
    </xdr:grpSp>
    <xdr:clientData/>
  </xdr:twoCellAnchor>
  <xdr:twoCellAnchor editAs="absolute">
    <xdr:from>
      <xdr:col>8</xdr:col>
      <xdr:colOff>161925</xdr:colOff>
      <xdr:row>2</xdr:row>
      <xdr:rowOff>257175</xdr:rowOff>
    </xdr:from>
    <xdr:to>
      <xdr:col>11</xdr:col>
      <xdr:colOff>0</xdr:colOff>
      <xdr:row>4</xdr:row>
      <xdr:rowOff>0</xdr:rowOff>
    </xdr:to>
    <xdr:sp macro="[0]!onglet_MENU" textlink="">
      <xdr:nvSpPr>
        <xdr:cNvPr id="12" name="Rectangle : en biseau 11">
          <a:extLst>
            <a:ext uri="{FF2B5EF4-FFF2-40B4-BE49-F238E27FC236}">
              <a16:creationId xmlns:a16="http://schemas.microsoft.com/office/drawing/2014/main" id="{94A7AFAE-F906-4532-B643-002845D999FB}"/>
            </a:ext>
          </a:extLst>
        </xdr:cNvPr>
        <xdr:cNvSpPr/>
      </xdr:nvSpPr>
      <xdr:spPr>
        <a:xfrm>
          <a:off x="9144000" y="476250"/>
          <a:ext cx="269557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257175</xdr:colOff>
      <xdr:row>7</xdr:row>
      <xdr:rowOff>171451</xdr:rowOff>
    </xdr:from>
    <xdr:to>
      <xdr:col>6</xdr:col>
      <xdr:colOff>1047750</xdr:colOff>
      <xdr:row>9</xdr:row>
      <xdr:rowOff>200025</xdr:rowOff>
    </xdr:to>
    <xdr:sp macro="[0]!CREATION_BL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66CAD285-55CF-4CE9-9863-BD9976FA72F0}"/>
            </a:ext>
          </a:extLst>
        </xdr:cNvPr>
        <xdr:cNvSpPr/>
      </xdr:nvSpPr>
      <xdr:spPr>
        <a:xfrm>
          <a:off x="5076825" y="1828801"/>
          <a:ext cx="1581150" cy="447674"/>
        </a:xfrm>
        <a:prstGeom prst="bevel">
          <a:avLst/>
        </a:prstGeom>
        <a:solidFill>
          <a:srgbClr val="006600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bg1"/>
              </a:solidFill>
            </a:rPr>
            <a:t>Valider le BL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2733675</xdr:colOff>
      <xdr:row>0</xdr:row>
      <xdr:rowOff>0</xdr:rowOff>
    </xdr:from>
    <xdr:to>
      <xdr:col>6</xdr:col>
      <xdr:colOff>5429250</xdr:colOff>
      <xdr:row>0</xdr:row>
      <xdr:rowOff>371475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492EA3C0-F365-4F4B-B3E3-D8887F10AA1E}"/>
            </a:ext>
          </a:extLst>
        </xdr:cNvPr>
        <xdr:cNvSpPr/>
      </xdr:nvSpPr>
      <xdr:spPr>
        <a:xfrm>
          <a:off x="10782300" y="0"/>
          <a:ext cx="269557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695325</xdr:colOff>
      <xdr:row>0</xdr:row>
      <xdr:rowOff>0</xdr:rowOff>
    </xdr:from>
    <xdr:to>
      <xdr:col>4</xdr:col>
      <xdr:colOff>590550</xdr:colOff>
      <xdr:row>1</xdr:row>
      <xdr:rowOff>180975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12DAAEB2-6946-4AF6-8A7D-08FC724EE4B6}"/>
            </a:ext>
          </a:extLst>
        </xdr:cNvPr>
        <xdr:cNvSpPr/>
      </xdr:nvSpPr>
      <xdr:spPr>
        <a:xfrm>
          <a:off x="2286000" y="0"/>
          <a:ext cx="141922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2</xdr:row>
      <xdr:rowOff>19051</xdr:rowOff>
    </xdr:from>
    <xdr:to>
      <xdr:col>3</xdr:col>
      <xdr:colOff>1885950</xdr:colOff>
      <xdr:row>2</xdr:row>
      <xdr:rowOff>257175</xdr:rowOff>
    </xdr:to>
    <xdr:sp macro="[0]!GENERER_N°_RESERVATION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2E7C852A-D67E-4EEA-9E84-B7D43876FD41}"/>
            </a:ext>
          </a:extLst>
        </xdr:cNvPr>
        <xdr:cNvSpPr/>
      </xdr:nvSpPr>
      <xdr:spPr>
        <a:xfrm>
          <a:off x="2857500" y="238126"/>
          <a:ext cx="1028700" cy="238124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N° de réservation</a:t>
          </a:r>
        </a:p>
      </xdr:txBody>
    </xdr:sp>
    <xdr:clientData/>
  </xdr:twoCellAnchor>
  <xdr:twoCellAnchor editAs="absolute">
    <xdr:from>
      <xdr:col>7</xdr:col>
      <xdr:colOff>838200</xdr:colOff>
      <xdr:row>2</xdr:row>
      <xdr:rowOff>257175</xdr:rowOff>
    </xdr:from>
    <xdr:to>
      <xdr:col>10</xdr:col>
      <xdr:colOff>1285875</xdr:colOff>
      <xdr:row>4</xdr:row>
      <xdr:rowOff>0</xdr:rowOff>
    </xdr:to>
    <xdr:sp macro="[0]!onglet_MENU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B11A8093-F11F-4AC1-9FC1-DBF41C5DDD5D}"/>
            </a:ext>
          </a:extLst>
        </xdr:cNvPr>
        <xdr:cNvSpPr/>
      </xdr:nvSpPr>
      <xdr:spPr>
        <a:xfrm>
          <a:off x="9144000" y="476250"/>
          <a:ext cx="269557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0</xdr:colOff>
      <xdr:row>7</xdr:row>
      <xdr:rowOff>38097</xdr:rowOff>
    </xdr:from>
    <xdr:to>
      <xdr:col>5</xdr:col>
      <xdr:colOff>276227</xdr:colOff>
      <xdr:row>11</xdr:row>
      <xdr:rowOff>523875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63794EE5-AC90-4147-A917-DB57287F8A3E}"/>
            </a:ext>
          </a:extLst>
        </xdr:cNvPr>
        <xdr:cNvGrpSpPr/>
      </xdr:nvGrpSpPr>
      <xdr:grpSpPr>
        <a:xfrm>
          <a:off x="1619250" y="1695447"/>
          <a:ext cx="5095877" cy="1323978"/>
          <a:chOff x="1619250" y="1695449"/>
          <a:chExt cx="5218581" cy="1342627"/>
        </a:xfrm>
      </xdr:grpSpPr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08AE8A0A-6E5F-4EE0-99AD-3EF6CB1EF4D9}"/>
              </a:ext>
            </a:extLst>
          </xdr:cNvPr>
          <xdr:cNvGrpSpPr/>
        </xdr:nvGrpSpPr>
        <xdr:grpSpPr>
          <a:xfrm>
            <a:off x="1619250" y="1695449"/>
            <a:ext cx="5218581" cy="1342627"/>
            <a:chOff x="276225" y="1619249"/>
            <a:chExt cx="4356977" cy="1342627"/>
          </a:xfrm>
        </xdr:grpSpPr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C0558ED5-654D-4D5F-BD28-B238A5396C9E}"/>
                </a:ext>
              </a:extLst>
            </xdr:cNvPr>
            <xdr:cNvGrpSpPr/>
          </xdr:nvGrpSpPr>
          <xdr:grpSpPr>
            <a:xfrm>
              <a:off x="276225" y="1619249"/>
              <a:ext cx="4356977" cy="1342627"/>
              <a:chOff x="257175" y="1628774"/>
              <a:chExt cx="4356977" cy="1342627"/>
            </a:xfrm>
          </xdr:grpSpPr>
          <xdr:sp macro="" textlink="">
            <xdr:nvSpPr>
              <xdr:cNvPr id="7" name="Rectangle : coins arrondis 6">
                <a:extLst>
                  <a:ext uri="{FF2B5EF4-FFF2-40B4-BE49-F238E27FC236}">
                    <a16:creationId xmlns:a16="http://schemas.microsoft.com/office/drawing/2014/main" id="{9299276A-5A73-417B-B303-22B4EE64674E}"/>
                  </a:ext>
                </a:extLst>
              </xdr:cNvPr>
              <xdr:cNvSpPr/>
            </xdr:nvSpPr>
            <xdr:spPr>
              <a:xfrm>
                <a:off x="257175" y="1628774"/>
                <a:ext cx="4356977" cy="1342627"/>
              </a:xfrm>
              <a:prstGeom prst="roundRect">
                <a:avLst/>
              </a:prstGeom>
              <a:solidFill>
                <a:srgbClr val="92D050"/>
              </a:solidFill>
            </xdr:spPr>
            <xdr:style>
              <a:lnRef idx="2">
                <a:schemeClr val="accent3">
                  <a:shade val="50000"/>
                </a:schemeClr>
              </a:lnRef>
              <a:fillRef idx="1">
                <a:schemeClr val="accent3"/>
              </a:fillRef>
              <a:effectRef idx="0">
                <a:schemeClr val="accent3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800"/>
              </a:p>
            </xdr:txBody>
          </xdr:sp>
          <xdr:sp macro="[0]!ajouter_ligne_RESERVATION" textlink="">
            <xdr:nvSpPr>
              <xdr:cNvPr id="8" name="Rectangle : carré corné 7">
                <a:extLst>
                  <a:ext uri="{FF2B5EF4-FFF2-40B4-BE49-F238E27FC236}">
                    <a16:creationId xmlns:a16="http://schemas.microsoft.com/office/drawing/2014/main" id="{8A0B4E70-FA54-464F-A97B-06246B436134}"/>
                  </a:ext>
                </a:extLst>
              </xdr:cNvPr>
              <xdr:cNvSpPr/>
            </xdr:nvSpPr>
            <xdr:spPr>
              <a:xfrm>
                <a:off x="479484" y="1665132"/>
                <a:ext cx="1178439" cy="390524"/>
              </a:xfrm>
              <a:prstGeom prst="foldedCorner">
                <a:avLst/>
              </a:prstGeom>
              <a:solidFill>
                <a:schemeClr val="accent6">
                  <a:lumMod val="20000"/>
                  <a:lumOff val="80000"/>
                </a:schemeClr>
              </a:solidFill>
            </xdr:spPr>
            <xdr:style>
              <a:lnRef idx="2">
                <a:schemeClr val="accent3">
                  <a:shade val="50000"/>
                </a:schemeClr>
              </a:lnRef>
              <a:fillRef idx="1">
                <a:schemeClr val="accent3"/>
              </a:fillRef>
              <a:effectRef idx="0">
                <a:schemeClr val="accent3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marL="0" indent="0" algn="ctr"/>
                <a:r>
                  <a:rPr lang="fr-FR"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rPr>
                  <a:t>Nouvelle ligne</a:t>
                </a:r>
              </a:p>
            </xdr:txBody>
          </xdr:sp>
          <xdr:sp macro="[0]!SUPPRIMER_LIGNE_RESERVATION" textlink="">
            <xdr:nvSpPr>
              <xdr:cNvPr id="9" name="Rectangle : carré corné 8">
                <a:extLst>
                  <a:ext uri="{FF2B5EF4-FFF2-40B4-BE49-F238E27FC236}">
                    <a16:creationId xmlns:a16="http://schemas.microsoft.com/office/drawing/2014/main" id="{587B9E18-7CFF-4C46-A274-A2EF790DD1C3}"/>
                  </a:ext>
                </a:extLst>
              </xdr:cNvPr>
              <xdr:cNvSpPr/>
            </xdr:nvSpPr>
            <xdr:spPr>
              <a:xfrm>
                <a:off x="482147" y="2090134"/>
                <a:ext cx="1183919" cy="390524"/>
              </a:xfrm>
              <a:prstGeom prst="foldedCorner">
                <a:avLst/>
              </a:prstGeom>
              <a:solidFill>
                <a:schemeClr val="accent6">
                  <a:lumMod val="20000"/>
                  <a:lumOff val="80000"/>
                </a:schemeClr>
              </a:solidFill>
            </xdr:spPr>
            <xdr:style>
              <a:lnRef idx="2">
                <a:schemeClr val="accent3">
                  <a:shade val="50000"/>
                </a:schemeClr>
              </a:lnRef>
              <a:fillRef idx="1">
                <a:schemeClr val="accent3"/>
              </a:fillRef>
              <a:effectRef idx="0">
                <a:schemeClr val="accent3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marL="0" indent="0" algn="ctr"/>
                <a:r>
                  <a:rPr lang="fr-FR"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rPr>
                  <a:t>Annuler une ligne</a:t>
                </a:r>
              </a:p>
            </xdr:txBody>
          </xdr:sp>
        </xdr:grpSp>
        <xdr:sp macro="[0]!REINITIALISER_RESERVATION" textlink="">
          <xdr:nvSpPr>
            <xdr:cNvPr id="6" name="Rectangle : carré corné 5">
              <a:extLst>
                <a:ext uri="{FF2B5EF4-FFF2-40B4-BE49-F238E27FC236}">
                  <a16:creationId xmlns:a16="http://schemas.microsoft.com/office/drawing/2014/main" id="{9F08552B-0D2B-4AA3-993E-E0F91B0FF9A8}"/>
                </a:ext>
              </a:extLst>
            </xdr:cNvPr>
            <xdr:cNvSpPr/>
          </xdr:nvSpPr>
          <xdr:spPr>
            <a:xfrm>
              <a:off x="487507" y="2495952"/>
              <a:ext cx="1197609" cy="369329"/>
            </a:xfrm>
            <a:prstGeom prst="foldedCorner">
              <a:avLst/>
            </a:prstGeom>
            <a:solidFill>
              <a:schemeClr val="accent6">
                <a:lumMod val="20000"/>
                <a:lumOff val="80000"/>
              </a:schemeClr>
            </a:solidFill>
          </xdr:spPr>
          <xdr:style>
            <a:lnRef idx="2">
              <a:schemeClr val="accent3">
                <a:shade val="50000"/>
              </a:schemeClr>
            </a:lnRef>
            <a:fillRef idx="1">
              <a:schemeClr val="accent3"/>
            </a:fillRef>
            <a:effectRef idx="0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ysClr val="windowText" lastClr="000000"/>
                  </a:solidFill>
                </a:rPr>
                <a:t>Réinitialiser</a:t>
              </a:r>
            </a:p>
          </xdr:txBody>
        </xdr:sp>
      </xdr:grpSp>
      <xdr:sp macro="[0]!CREATION_RESERVATION" textlink="">
        <xdr:nvSpPr>
          <xdr:cNvPr id="11" name="Rectangle : en biseau 10">
            <a:extLst>
              <a:ext uri="{FF2B5EF4-FFF2-40B4-BE49-F238E27FC236}">
                <a16:creationId xmlns:a16="http://schemas.microsoft.com/office/drawing/2014/main" id="{37FC79AA-86CA-43DE-A270-3940C6D9D1BF}"/>
              </a:ext>
            </a:extLst>
          </xdr:cNvPr>
          <xdr:cNvSpPr/>
        </xdr:nvSpPr>
        <xdr:spPr>
          <a:xfrm>
            <a:off x="4850059" y="2118575"/>
            <a:ext cx="1781175" cy="447675"/>
          </a:xfrm>
          <a:prstGeom prst="bevel">
            <a:avLst/>
          </a:prstGeom>
          <a:solidFill>
            <a:srgbClr val="006600"/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chemeClr val="bg1"/>
                </a:solidFill>
              </a:rPr>
              <a:t>Valider la</a:t>
            </a:r>
            <a:r>
              <a:rPr lang="fr-FR" sz="1200" b="1" baseline="0">
                <a:solidFill>
                  <a:schemeClr val="bg1"/>
                </a:solidFill>
              </a:rPr>
              <a:t> réservation</a:t>
            </a:r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2</xdr:col>
      <xdr:colOff>1714499</xdr:colOff>
      <xdr:row>9</xdr:row>
      <xdr:rowOff>66672</xdr:rowOff>
    </xdr:from>
    <xdr:to>
      <xdr:col>3</xdr:col>
      <xdr:colOff>1180521</xdr:colOff>
      <xdr:row>11</xdr:row>
      <xdr:rowOff>32672</xdr:rowOff>
    </xdr:to>
    <xdr:sp macro="[0]!ajouter_ligne_RESERVATION" textlink="">
      <xdr:nvSpPr>
        <xdr:cNvPr id="13" name="Rectangle : carré corné 12">
          <a:extLst>
            <a:ext uri="{FF2B5EF4-FFF2-40B4-BE49-F238E27FC236}">
              <a16:creationId xmlns:a16="http://schemas.microsoft.com/office/drawing/2014/main" id="{62891193-D99F-4109-9101-FD551B996481}"/>
            </a:ext>
          </a:extLst>
        </xdr:cNvPr>
        <xdr:cNvSpPr/>
      </xdr:nvSpPr>
      <xdr:spPr>
        <a:xfrm>
          <a:off x="3333749" y="2143122"/>
          <a:ext cx="1323397" cy="385100"/>
        </a:xfrm>
        <a:prstGeom prst="foldedCorner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2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Transport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7</xdr:row>
      <xdr:rowOff>28575</xdr:rowOff>
    </xdr:from>
    <xdr:to>
      <xdr:col>1</xdr:col>
      <xdr:colOff>314325</xdr:colOff>
      <xdr:row>9</xdr:row>
      <xdr:rowOff>19050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B8F95820-1723-47B1-A1F5-957B90ADCF99}"/>
            </a:ext>
          </a:extLst>
        </xdr:cNvPr>
        <xdr:cNvSpPr/>
      </xdr:nvSpPr>
      <xdr:spPr>
        <a:xfrm>
          <a:off x="0" y="1362075"/>
          <a:ext cx="141922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absolute">
    <xdr:from>
      <xdr:col>11</xdr:col>
      <xdr:colOff>0</xdr:colOff>
      <xdr:row>6</xdr:row>
      <xdr:rowOff>0</xdr:rowOff>
    </xdr:from>
    <xdr:to>
      <xdr:col>12</xdr:col>
      <xdr:colOff>657225</xdr:colOff>
      <xdr:row>7</xdr:row>
      <xdr:rowOff>180975</xdr:rowOff>
    </xdr:to>
    <xdr:sp macro="[0]!onglet_MENU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34AB55B2-4A61-49EB-AC08-AB7BC3D7EF2A}"/>
            </a:ext>
          </a:extLst>
        </xdr:cNvPr>
        <xdr:cNvSpPr/>
      </xdr:nvSpPr>
      <xdr:spPr>
        <a:xfrm>
          <a:off x="13020675" y="1143000"/>
          <a:ext cx="141922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2119312</xdr:colOff>
      <xdr:row>1</xdr:row>
      <xdr:rowOff>178593</xdr:rowOff>
    </xdr:from>
    <xdr:to>
      <xdr:col>6</xdr:col>
      <xdr:colOff>481012</xdr:colOff>
      <xdr:row>2</xdr:row>
      <xdr:rowOff>216693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A5DD0E98-7111-4D37-8DA7-C5E52FFC47E2}"/>
            </a:ext>
          </a:extLst>
        </xdr:cNvPr>
        <xdr:cNvSpPr/>
      </xdr:nvSpPr>
      <xdr:spPr>
        <a:xfrm>
          <a:off x="9429750" y="416718"/>
          <a:ext cx="269557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Retour</a:t>
          </a:r>
          <a:r>
            <a:rPr lang="fr-FR" sz="1200" b="1" baseline="0">
              <a:solidFill>
                <a:sysClr val="windowText" lastClr="000000"/>
              </a:solidFill>
            </a:rPr>
            <a:t> menu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absolute">
    <xdr:from>
      <xdr:col>3</xdr:col>
      <xdr:colOff>2107406</xdr:colOff>
      <xdr:row>3</xdr:row>
      <xdr:rowOff>95250</xdr:rowOff>
    </xdr:from>
    <xdr:to>
      <xdr:col>6</xdr:col>
      <xdr:colOff>469106</xdr:colOff>
      <xdr:row>4</xdr:row>
      <xdr:rowOff>204788</xdr:rowOff>
    </xdr:to>
    <xdr:sp macro="[0]!onglet_MENU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FB829A68-54EA-45CD-9211-473DE710CC54}"/>
            </a:ext>
          </a:extLst>
        </xdr:cNvPr>
        <xdr:cNvSpPr/>
      </xdr:nvSpPr>
      <xdr:spPr>
        <a:xfrm>
          <a:off x="9417844" y="928688"/>
          <a:ext cx="2695575" cy="371475"/>
        </a:xfrm>
        <a:prstGeom prst="beve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Vérifier facture papier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760329</xdr:colOff>
      <xdr:row>1</xdr:row>
      <xdr:rowOff>233946</xdr:rowOff>
    </xdr:from>
    <xdr:to>
      <xdr:col>9</xdr:col>
      <xdr:colOff>146887</xdr:colOff>
      <xdr:row>1</xdr:row>
      <xdr:rowOff>696828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C50A7F05-222B-4836-9D81-831A6025B8F0}"/>
            </a:ext>
          </a:extLst>
        </xdr:cNvPr>
        <xdr:cNvSpPr/>
      </xdr:nvSpPr>
      <xdr:spPr>
        <a:xfrm>
          <a:off x="15131382" y="417762"/>
          <a:ext cx="923926" cy="462882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Retour</a:t>
          </a:r>
          <a:r>
            <a:rPr lang="fr-FR" sz="800" baseline="0"/>
            <a:t> menu</a:t>
          </a:r>
          <a:endParaRPr lang="fr-FR" sz="8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</xdr:row>
      <xdr:rowOff>0</xdr:rowOff>
    </xdr:from>
    <xdr:to>
      <xdr:col>13</xdr:col>
      <xdr:colOff>304800</xdr:colOff>
      <xdr:row>5</xdr:row>
      <xdr:rowOff>114300</xdr:rowOff>
    </xdr:to>
    <xdr:sp macro="" textlink="">
      <xdr:nvSpPr>
        <xdr:cNvPr id="2052" name="Forme automatique 4" descr="Résultat de recherche d'images pour &quot;tête rousse brebis&quot;">
          <a:extLst>
            <a:ext uri="{FF2B5EF4-FFF2-40B4-BE49-F238E27FC236}">
              <a16:creationId xmlns:a16="http://schemas.microsoft.com/office/drawing/2014/main" id="{C76E7463-CEC1-42B3-AEC6-CF4683E4EC71}"/>
            </a:ext>
          </a:extLst>
        </xdr:cNvPr>
        <xdr:cNvSpPr>
          <a:spLocks noChangeAspect="1" noChangeArrowheads="1"/>
        </xdr:cNvSpPr>
      </xdr:nvSpPr>
      <xdr:spPr bwMode="auto">
        <a:xfrm>
          <a:off x="4867275" y="2476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1</xdr:row>
      <xdr:rowOff>0</xdr:rowOff>
    </xdr:from>
    <xdr:to>
      <xdr:col>13</xdr:col>
      <xdr:colOff>304800</xdr:colOff>
      <xdr:row>1</xdr:row>
      <xdr:rowOff>304800</xdr:rowOff>
    </xdr:to>
    <xdr:sp macro="" textlink="">
      <xdr:nvSpPr>
        <xdr:cNvPr id="2053" name="Forme automatique 5" descr="Résultat de recherche d'images pour &quot;tête rousse brebis&quot;">
          <a:extLst>
            <a:ext uri="{FF2B5EF4-FFF2-40B4-BE49-F238E27FC236}">
              <a16:creationId xmlns:a16="http://schemas.microsoft.com/office/drawing/2014/main" id="{27D4EEA6-5706-42EA-BC0D-98AF385A313E}"/>
            </a:ext>
          </a:extLst>
        </xdr:cNvPr>
        <xdr:cNvSpPr>
          <a:spLocks noChangeAspect="1" noChangeArrowheads="1"/>
        </xdr:cNvSpPr>
      </xdr:nvSpPr>
      <xdr:spPr bwMode="auto">
        <a:xfrm>
          <a:off x="6391275" y="1276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533400</xdr:colOff>
      <xdr:row>0</xdr:row>
      <xdr:rowOff>47625</xdr:rowOff>
    </xdr:from>
    <xdr:to>
      <xdr:col>16</xdr:col>
      <xdr:colOff>152400</xdr:colOff>
      <xdr:row>1</xdr:row>
      <xdr:rowOff>247650</xdr:rowOff>
    </xdr:to>
    <xdr:sp macro="[0]!BtnDisplayUF_Click" textlink="">
      <xdr:nvSpPr>
        <xdr:cNvPr id="2" name="BTNTMUF005">
          <a:extLst>
            <a:ext uri="{FF2B5EF4-FFF2-40B4-BE49-F238E27FC236}">
              <a16:creationId xmlns:a16="http://schemas.microsoft.com/office/drawing/2014/main" id="{4B856E3F-C422-4902-9319-AC8363623834}"/>
            </a:ext>
          </a:extLst>
        </xdr:cNvPr>
        <xdr:cNvSpPr/>
      </xdr:nvSpPr>
      <xdr:spPr>
        <a:xfrm>
          <a:off x="9944100" y="47625"/>
          <a:ext cx="1905000" cy="619125"/>
        </a:xfrm>
        <a:prstGeom prst="bevel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 i="0">
              <a:solidFill>
                <a:srgbClr val="000000"/>
              </a:solidFill>
              <a:latin typeface="Calibri" panose="020F0502020204030204" pitchFamily="34" charset="0"/>
            </a:rPr>
            <a:t>Modifier-ajouter un producteur</a:t>
          </a:r>
        </a:p>
      </xdr:txBody>
    </xdr:sp>
    <xdr:clientData/>
  </xdr:twoCellAnchor>
  <xdr:twoCellAnchor editAs="oneCell">
    <xdr:from>
      <xdr:col>13</xdr:col>
      <xdr:colOff>533399</xdr:colOff>
      <xdr:row>1</xdr:row>
      <xdr:rowOff>457200</xdr:rowOff>
    </xdr:from>
    <xdr:to>
      <xdr:col>16</xdr:col>
      <xdr:colOff>180974</xdr:colOff>
      <xdr:row>2</xdr:row>
      <xdr:rowOff>5576</xdr:rowOff>
    </xdr:to>
    <xdr:sp macro="[0]!onglet_MENU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E0C981CC-AE80-46C9-B665-FCC5D348C3F0}"/>
            </a:ext>
          </a:extLst>
        </xdr:cNvPr>
        <xdr:cNvSpPr/>
      </xdr:nvSpPr>
      <xdr:spPr>
        <a:xfrm>
          <a:off x="9944099" y="876300"/>
          <a:ext cx="1933575" cy="367526"/>
        </a:xfrm>
        <a:prstGeom prst="bevel">
          <a:avLst/>
        </a:prstGeom>
        <a:solidFill>
          <a:srgbClr val="9A57CD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Retour</a:t>
          </a:r>
          <a:r>
            <a:rPr lang="fr-FR" sz="800" baseline="0"/>
            <a:t> menu</a:t>
          </a:r>
          <a:endParaRPr lang="fr-FR" sz="8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0</xdr:rowOff>
    </xdr:from>
    <xdr:to>
      <xdr:col>0</xdr:col>
      <xdr:colOff>304800</xdr:colOff>
      <xdr:row>4</xdr:row>
      <xdr:rowOff>114300</xdr:rowOff>
    </xdr:to>
    <xdr:sp macro="" textlink="">
      <xdr:nvSpPr>
        <xdr:cNvPr id="2053" name="Forme automatique 5" descr="Résultat de recherche d'images pour &quot;panneau attention&quot;">
          <a:extLst>
            <a:ext uri="{FF2B5EF4-FFF2-40B4-BE49-F238E27FC236}">
              <a16:creationId xmlns:a16="http://schemas.microsoft.com/office/drawing/2014/main" id="{D4588B78-42F1-4809-A1F9-6A8E7960B88F}"/>
            </a:ext>
          </a:extLst>
        </xdr:cNvPr>
        <xdr:cNvSpPr>
          <a:spLocks noChangeAspect="1" noChangeArrowheads="1"/>
        </xdr:cNvSpPr>
      </xdr:nvSpPr>
      <xdr:spPr bwMode="auto">
        <a:xfrm>
          <a:off x="0" y="16859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304800</xdr:colOff>
      <xdr:row>10</xdr:row>
      <xdr:rowOff>114300</xdr:rowOff>
    </xdr:to>
    <xdr:sp macro="" textlink="">
      <xdr:nvSpPr>
        <xdr:cNvPr id="2055" name="Forme automatique 7" descr="Résultat de recherche d'images pour &quot;panneau attention&quot;">
          <a:extLst>
            <a:ext uri="{FF2B5EF4-FFF2-40B4-BE49-F238E27FC236}">
              <a16:creationId xmlns:a16="http://schemas.microsoft.com/office/drawing/2014/main" id="{9C204E71-0C2B-4DD6-A3AC-9B8CB6503FC1}"/>
            </a:ext>
          </a:extLst>
        </xdr:cNvPr>
        <xdr:cNvSpPr>
          <a:spLocks noChangeAspect="1" noChangeArrowheads="1"/>
        </xdr:cNvSpPr>
      </xdr:nvSpPr>
      <xdr:spPr bwMode="auto">
        <a:xfrm>
          <a:off x="2924175" y="34004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0</xdr:colOff>
      <xdr:row>0</xdr:row>
      <xdr:rowOff>285750</xdr:rowOff>
    </xdr:from>
    <xdr:to>
      <xdr:col>1</xdr:col>
      <xdr:colOff>98674</xdr:colOff>
      <xdr:row>0</xdr:row>
      <xdr:rowOff>821646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E027D8EB-383F-4ED9-9690-AA767AB58108}"/>
            </a:ext>
          </a:extLst>
        </xdr:cNvPr>
        <xdr:cNvGrpSpPr/>
      </xdr:nvGrpSpPr>
      <xdr:grpSpPr>
        <a:xfrm>
          <a:off x="0" y="285750"/>
          <a:ext cx="1460749" cy="535896"/>
          <a:chOff x="6420987" y="419100"/>
          <a:chExt cx="1488243" cy="466725"/>
        </a:xfrm>
      </xdr:grpSpPr>
      <xdr:sp macro="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644F4FF9-4BD8-4FF3-BDF4-AC753401B62D}"/>
              </a:ext>
            </a:extLst>
          </xdr:cNvPr>
          <xdr:cNvSpPr/>
        </xdr:nvSpPr>
        <xdr:spPr>
          <a:xfrm>
            <a:off x="6420987" y="419100"/>
            <a:ext cx="1488243" cy="466725"/>
          </a:xfrm>
          <a:prstGeom prst="roundRect">
            <a:avLst/>
          </a:prstGeom>
          <a:solidFill>
            <a:srgbClr val="92D050"/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800"/>
          </a:p>
        </xdr:txBody>
      </xdr:sp>
      <xdr:sp macro="[0]!onglet_MENU" textlink="">
        <xdr:nvSpPr>
          <xdr:cNvPr id="8" name="Rectangle : en biseau 7">
            <a:extLst>
              <a:ext uri="{FF2B5EF4-FFF2-40B4-BE49-F238E27FC236}">
                <a16:creationId xmlns:a16="http://schemas.microsoft.com/office/drawing/2014/main" id="{FC22B336-F856-4CB6-A353-834AB1463AF1}"/>
              </a:ext>
            </a:extLst>
          </xdr:cNvPr>
          <xdr:cNvSpPr/>
        </xdr:nvSpPr>
        <xdr:spPr>
          <a:xfrm>
            <a:off x="6543675" y="466725"/>
            <a:ext cx="1219664" cy="366829"/>
          </a:xfrm>
          <a:prstGeom prst="bevel">
            <a:avLst/>
          </a:prstGeom>
          <a:solidFill>
            <a:schemeClr val="accent6">
              <a:lumMod val="40000"/>
              <a:lumOff val="60000"/>
            </a:schemeClr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1000" b="1">
                <a:solidFill>
                  <a:schemeClr val="tx1"/>
                </a:solidFill>
                <a:latin typeface="+mn-lt"/>
                <a:ea typeface="+mn-ea"/>
                <a:cs typeface="+mn-cs"/>
              </a:rPr>
              <a:t>Retour menu</a:t>
            </a:r>
          </a:p>
        </xdr:txBody>
      </xdr:sp>
    </xdr:grp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357662</xdr:colOff>
      <xdr:row>1</xdr:row>
      <xdr:rowOff>152956</xdr:rowOff>
    </xdr:from>
    <xdr:to>
      <xdr:col>20</xdr:col>
      <xdr:colOff>793752</xdr:colOff>
      <xdr:row>3</xdr:row>
      <xdr:rowOff>140443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A1C058EA-A47B-40A2-9BEC-C1D17E698C32}"/>
            </a:ext>
          </a:extLst>
        </xdr:cNvPr>
        <xdr:cNvGrpSpPr/>
      </xdr:nvGrpSpPr>
      <xdr:grpSpPr>
        <a:xfrm>
          <a:off x="9478571" y="470456"/>
          <a:ext cx="1460749" cy="535896"/>
          <a:chOff x="6420987" y="419100"/>
          <a:chExt cx="1488243" cy="466725"/>
        </a:xfrm>
      </xdr:grpSpPr>
      <xdr:sp macro="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1F5D7490-2BE4-44EB-B3EF-E6FAE17C3928}"/>
              </a:ext>
            </a:extLst>
          </xdr:cNvPr>
          <xdr:cNvSpPr/>
        </xdr:nvSpPr>
        <xdr:spPr>
          <a:xfrm>
            <a:off x="6420987" y="419100"/>
            <a:ext cx="1488243" cy="466725"/>
          </a:xfrm>
          <a:prstGeom prst="roundRect">
            <a:avLst/>
          </a:prstGeom>
          <a:solidFill>
            <a:srgbClr val="92D050"/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800"/>
          </a:p>
        </xdr:txBody>
      </xdr:sp>
      <xdr:sp macro="[0]!onglet_MENU" textlink="">
        <xdr:nvSpPr>
          <xdr:cNvPr id="4" name="Rectangle : en biseau 3">
            <a:extLst>
              <a:ext uri="{FF2B5EF4-FFF2-40B4-BE49-F238E27FC236}">
                <a16:creationId xmlns:a16="http://schemas.microsoft.com/office/drawing/2014/main" id="{55571546-3320-4861-BCBC-4CD6348D4A9F}"/>
              </a:ext>
            </a:extLst>
          </xdr:cNvPr>
          <xdr:cNvSpPr/>
        </xdr:nvSpPr>
        <xdr:spPr>
          <a:xfrm>
            <a:off x="6543675" y="466725"/>
            <a:ext cx="1219664" cy="366829"/>
          </a:xfrm>
          <a:prstGeom prst="bevel">
            <a:avLst/>
          </a:prstGeom>
          <a:solidFill>
            <a:schemeClr val="accent6">
              <a:lumMod val="40000"/>
              <a:lumOff val="60000"/>
            </a:schemeClr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1000" b="1">
                <a:solidFill>
                  <a:schemeClr val="tx1"/>
                </a:solidFill>
                <a:latin typeface="+mn-lt"/>
                <a:ea typeface="+mn-ea"/>
                <a:cs typeface="+mn-cs"/>
              </a:rPr>
              <a:t>Retour menu</a:t>
            </a:r>
          </a:p>
        </xdr:txBody>
      </xdr:sp>
    </xdr:grp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209550</xdr:colOff>
      <xdr:row>0</xdr:row>
      <xdr:rowOff>0</xdr:rowOff>
    </xdr:from>
    <xdr:to>
      <xdr:col>2</xdr:col>
      <xdr:colOff>28575</xdr:colOff>
      <xdr:row>0</xdr:row>
      <xdr:rowOff>409575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6ABAB437-1763-46F0-9DD5-1BC3C0BFC75B}"/>
            </a:ext>
          </a:extLst>
        </xdr:cNvPr>
        <xdr:cNvGrpSpPr/>
      </xdr:nvGrpSpPr>
      <xdr:grpSpPr>
        <a:xfrm>
          <a:off x="1628775" y="0"/>
          <a:ext cx="1323975" cy="409575"/>
          <a:chOff x="6420987" y="419100"/>
          <a:chExt cx="1488243" cy="466725"/>
        </a:xfrm>
      </xdr:grpSpPr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7BF77094-8909-48A1-9A5C-D63D0F3AF2DA}"/>
              </a:ext>
            </a:extLst>
          </xdr:cNvPr>
          <xdr:cNvSpPr/>
        </xdr:nvSpPr>
        <xdr:spPr>
          <a:xfrm>
            <a:off x="6420987" y="419100"/>
            <a:ext cx="1488243" cy="466725"/>
          </a:xfrm>
          <a:prstGeom prst="roundRect">
            <a:avLst/>
          </a:prstGeom>
          <a:solidFill>
            <a:srgbClr val="92D050"/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800"/>
          </a:p>
        </xdr:txBody>
      </xdr:sp>
      <xdr:sp macro="[0]!onglet_MENU" textlink="">
        <xdr:nvSpPr>
          <xdr:cNvPr id="4" name="Rectangle : en biseau 3">
            <a:extLst>
              <a:ext uri="{FF2B5EF4-FFF2-40B4-BE49-F238E27FC236}">
                <a16:creationId xmlns:a16="http://schemas.microsoft.com/office/drawing/2014/main" id="{AA67AC30-F5DB-403A-B8A9-FA41237AB063}"/>
              </a:ext>
            </a:extLst>
          </xdr:cNvPr>
          <xdr:cNvSpPr/>
        </xdr:nvSpPr>
        <xdr:spPr>
          <a:xfrm>
            <a:off x="6543675" y="466725"/>
            <a:ext cx="1219664" cy="366829"/>
          </a:xfrm>
          <a:prstGeom prst="bevel">
            <a:avLst/>
          </a:prstGeom>
          <a:solidFill>
            <a:schemeClr val="accent6">
              <a:lumMod val="40000"/>
              <a:lumOff val="60000"/>
            </a:schemeClr>
          </a:solidFill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ctr"/>
            <a:r>
              <a:rPr lang="fr-FR" sz="1000" b="1">
                <a:solidFill>
                  <a:schemeClr val="tx1"/>
                </a:solidFill>
                <a:latin typeface="+mn-lt"/>
                <a:ea typeface="+mn-ea"/>
                <a:cs typeface="+mn-cs"/>
              </a:rPr>
              <a:t>Retour menu</a:t>
            </a:r>
          </a:p>
        </xdr:txBody>
      </xdr:sp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2</xdr:row>
      <xdr:rowOff>76199</xdr:rowOff>
    </xdr:from>
    <xdr:to>
      <xdr:col>5</xdr:col>
      <xdr:colOff>1752600</xdr:colOff>
      <xdr:row>5</xdr:row>
      <xdr:rowOff>152400</xdr:rowOff>
    </xdr:to>
    <xdr:sp macro="[0]!CREATION_FACTURES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151869EF-9856-45CE-948E-10F1E8BFAD1A}"/>
            </a:ext>
          </a:extLst>
        </xdr:cNvPr>
        <xdr:cNvSpPr/>
      </xdr:nvSpPr>
      <xdr:spPr>
        <a:xfrm>
          <a:off x="4429125" y="647699"/>
          <a:ext cx="3381375" cy="647701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bg1"/>
              </a:solidFill>
            </a:rPr>
            <a:t>Nouvelle facture :</a:t>
          </a:r>
          <a:r>
            <a:rPr lang="fr-FR" sz="1200" b="1" baseline="0">
              <a:solidFill>
                <a:schemeClr val="bg1"/>
              </a:solidFill>
            </a:rPr>
            <a:t> cliquer ici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 editAs="absolute">
    <xdr:from>
      <xdr:col>8</xdr:col>
      <xdr:colOff>171450</xdr:colOff>
      <xdr:row>2</xdr:row>
      <xdr:rowOff>0</xdr:rowOff>
    </xdr:from>
    <xdr:to>
      <xdr:col>9</xdr:col>
      <xdr:colOff>333376</xdr:colOff>
      <xdr:row>4</xdr:row>
      <xdr:rowOff>95250</xdr:rowOff>
    </xdr:to>
    <xdr:sp macro="[0]!onglet_MENU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BA11F856-43AA-4EE2-BB36-D26348C99CB3}"/>
            </a:ext>
          </a:extLst>
        </xdr:cNvPr>
        <xdr:cNvSpPr/>
      </xdr:nvSpPr>
      <xdr:spPr>
        <a:xfrm>
          <a:off x="9372600" y="571500"/>
          <a:ext cx="923926" cy="476250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Retour</a:t>
          </a:r>
          <a:r>
            <a:rPr lang="fr-FR" sz="800" baseline="0"/>
            <a:t> menu</a:t>
          </a:r>
          <a:endParaRPr lang="fr-FR" sz="8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752475</xdr:colOff>
      <xdr:row>0</xdr:row>
      <xdr:rowOff>209550</xdr:rowOff>
    </xdr:from>
    <xdr:to>
      <xdr:col>13</xdr:col>
      <xdr:colOff>129887</xdr:colOff>
      <xdr:row>1</xdr:row>
      <xdr:rowOff>303068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939074BD-66F3-4BBF-9013-9125F17B1029}"/>
            </a:ext>
          </a:extLst>
        </xdr:cNvPr>
        <xdr:cNvSpPr/>
      </xdr:nvSpPr>
      <xdr:spPr>
        <a:xfrm>
          <a:off x="13192702" y="209550"/>
          <a:ext cx="1672071" cy="555336"/>
        </a:xfrm>
        <a:prstGeom prst="bevel">
          <a:avLst/>
        </a:prstGeom>
        <a:solidFill>
          <a:srgbClr val="9A57CD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Retour</a:t>
          </a:r>
          <a:r>
            <a:rPr lang="fr-FR" sz="1400" b="1" baseline="0"/>
            <a:t> menu</a:t>
          </a:r>
          <a:endParaRPr lang="fr-FR" sz="1400" b="1"/>
        </a:p>
      </xdr:txBody>
    </xdr:sp>
    <xdr:clientData/>
  </xdr:twoCellAnchor>
  <xdr:twoCellAnchor editAs="oneCell">
    <xdr:from>
      <xdr:col>10</xdr:col>
      <xdr:colOff>738043</xdr:colOff>
      <xdr:row>1</xdr:row>
      <xdr:rowOff>364548</xdr:rowOff>
    </xdr:from>
    <xdr:to>
      <xdr:col>13</xdr:col>
      <xdr:colOff>115455</xdr:colOff>
      <xdr:row>3</xdr:row>
      <xdr:rowOff>288636</xdr:rowOff>
    </xdr:to>
    <xdr:sp macro="[0]!impression_trame_reception_fromage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FDC0BE6E-CF35-46FD-B757-AF18E130CFB0}"/>
            </a:ext>
          </a:extLst>
        </xdr:cNvPr>
        <xdr:cNvSpPr/>
      </xdr:nvSpPr>
      <xdr:spPr>
        <a:xfrm>
          <a:off x="13178270" y="826366"/>
          <a:ext cx="1672071" cy="515793"/>
        </a:xfrm>
        <a:prstGeom prst="bevel">
          <a:avLst/>
        </a:prstGeom>
        <a:solidFill>
          <a:srgbClr val="1560B3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Imprimer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1095375</xdr:colOff>
      <xdr:row>0</xdr:row>
      <xdr:rowOff>381000</xdr:rowOff>
    </xdr:to>
    <xdr:sp macro="[0]!BtnDisplayUF_Click" textlink="">
      <xdr:nvSpPr>
        <xdr:cNvPr id="2" name="BTNTMUF001">
          <a:extLst>
            <a:ext uri="{FF2B5EF4-FFF2-40B4-BE49-F238E27FC236}">
              <a16:creationId xmlns:a16="http://schemas.microsoft.com/office/drawing/2014/main" id="{42C9E2BD-2DC6-44D2-88A9-D9DFBA72F159}"/>
            </a:ext>
          </a:extLst>
        </xdr:cNvPr>
        <xdr:cNvSpPr/>
      </xdr:nvSpPr>
      <xdr:spPr>
        <a:xfrm>
          <a:off x="0" y="0"/>
          <a:ext cx="1095375" cy="381000"/>
        </a:xfrm>
        <a:prstGeom prst="bevel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 i="0">
              <a:solidFill>
                <a:srgbClr val="000000"/>
              </a:solidFill>
              <a:latin typeface="Calibri" panose="020F0502020204030204" pitchFamily="34" charset="0"/>
            </a:rPr>
            <a:t>Ajouter client</a:t>
          </a:r>
        </a:p>
      </xdr:txBody>
    </xdr:sp>
    <xdr:clientData/>
  </xdr:twoCellAnchor>
  <xdr:twoCellAnchor editAs="absolute">
    <xdr:from>
      <xdr:col>0</xdr:col>
      <xdr:colOff>0</xdr:colOff>
      <xdr:row>0</xdr:row>
      <xdr:rowOff>638175</xdr:rowOff>
    </xdr:from>
    <xdr:to>
      <xdr:col>0</xdr:col>
      <xdr:colOff>923926</xdr:colOff>
      <xdr:row>0</xdr:row>
      <xdr:rowOff>1009650</xdr:rowOff>
    </xdr:to>
    <xdr:sp macro="[0]!onglet_MENU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48F0CE9D-BEE9-48E5-8930-65943382D3F5}"/>
            </a:ext>
          </a:extLst>
        </xdr:cNvPr>
        <xdr:cNvSpPr/>
      </xdr:nvSpPr>
      <xdr:spPr>
        <a:xfrm>
          <a:off x="0" y="638175"/>
          <a:ext cx="923926" cy="371475"/>
        </a:xfrm>
        <a:prstGeom prst="bevel">
          <a:avLst/>
        </a:prstGeom>
        <a:solidFill>
          <a:srgbClr val="9A57CD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Retour</a:t>
          </a:r>
          <a:r>
            <a:rPr lang="fr-FR" sz="800" baseline="0"/>
            <a:t> menu</a:t>
          </a:r>
          <a:endParaRPr lang="fr-FR" sz="8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438150</xdr:rowOff>
    </xdr:from>
    <xdr:to>
      <xdr:col>1</xdr:col>
      <xdr:colOff>914399</xdr:colOff>
      <xdr:row>0</xdr:row>
      <xdr:rowOff>809625</xdr:rowOff>
    </xdr:to>
    <xdr:sp macro="[0]!onglet_MENU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F96FA4C8-2C93-4219-8B59-B77E3E264239}"/>
            </a:ext>
          </a:extLst>
        </xdr:cNvPr>
        <xdr:cNvSpPr/>
      </xdr:nvSpPr>
      <xdr:spPr>
        <a:xfrm>
          <a:off x="0" y="438150"/>
          <a:ext cx="1304924" cy="371475"/>
        </a:xfrm>
        <a:prstGeom prst="bevel">
          <a:avLst/>
        </a:prstGeom>
        <a:solidFill>
          <a:srgbClr val="9A57CD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Retour</a:t>
          </a:r>
          <a:r>
            <a:rPr lang="fr-FR" sz="800" baseline="0"/>
            <a:t> menu</a:t>
          </a:r>
          <a:endParaRPr lang="fr-FR" sz="800"/>
        </a:p>
      </xdr:txBody>
    </xdr:sp>
    <xdr:clientData/>
  </xdr:twoCellAnchor>
  <xdr:twoCellAnchor>
    <xdr:from>
      <xdr:col>0</xdr:col>
      <xdr:colOff>1</xdr:colOff>
      <xdr:row>0</xdr:row>
      <xdr:rowOff>9525</xdr:rowOff>
    </xdr:from>
    <xdr:to>
      <xdr:col>1</xdr:col>
      <xdr:colOff>942976</xdr:colOff>
      <xdr:row>0</xdr:row>
      <xdr:rowOff>438150</xdr:rowOff>
    </xdr:to>
    <xdr:sp macro="[0]!BtnDisplayUF_Click" textlink="">
      <xdr:nvSpPr>
        <xdr:cNvPr id="3" name="BTNTMUF007-1">
          <a:extLst>
            <a:ext uri="{FF2B5EF4-FFF2-40B4-BE49-F238E27FC236}">
              <a16:creationId xmlns:a16="http://schemas.microsoft.com/office/drawing/2014/main" id="{4B1BD54B-4F6A-4971-8074-B60C9CD64F44}"/>
            </a:ext>
          </a:extLst>
        </xdr:cNvPr>
        <xdr:cNvSpPr/>
      </xdr:nvSpPr>
      <xdr:spPr>
        <a:xfrm>
          <a:off x="1" y="9525"/>
          <a:ext cx="1333500" cy="428625"/>
        </a:xfrm>
        <a:prstGeom prst="bevel">
          <a:avLst/>
        </a:prstGeom>
        <a:solidFill>
          <a:srgbClr val="FFFFFF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 b="1" i="0">
              <a:solidFill>
                <a:srgbClr val="000000"/>
              </a:solidFill>
              <a:latin typeface="Calibri" panose="020F0502020204030204" pitchFamily="34" charset="0"/>
            </a:rPr>
            <a:t>Compléter-rajouter une</a:t>
          </a:r>
          <a:r>
            <a:rPr lang="fr-FR" sz="800" b="1" i="0" baseline="0">
              <a:solidFill>
                <a:srgbClr val="000000"/>
              </a:solidFill>
              <a:latin typeface="Calibri" panose="020F0502020204030204" pitchFamily="34" charset="0"/>
            </a:rPr>
            <a:t> facture annuelle</a:t>
          </a:r>
          <a:endParaRPr lang="fr-FR" sz="800" b="1" i="0">
            <a:solidFill>
              <a:srgbClr val="000000"/>
            </a:solidFill>
            <a:latin typeface="Calibri" panose="020F0502020204030204" pitchFamily="34" charset="0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828674</xdr:rowOff>
    </xdr:from>
    <xdr:to>
      <xdr:col>1</xdr:col>
      <xdr:colOff>904875</xdr:colOff>
      <xdr:row>2</xdr:row>
      <xdr:rowOff>85724</xdr:rowOff>
    </xdr:to>
    <xdr:sp macro="[0]!Selection_FACTURES_PAR_SAL_A_IMPRIMER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D119D857-C0A2-405F-879A-B0FB682C8F17}"/>
            </a:ext>
          </a:extLst>
        </xdr:cNvPr>
        <xdr:cNvSpPr/>
      </xdr:nvSpPr>
      <xdr:spPr>
        <a:xfrm>
          <a:off x="0" y="828674"/>
          <a:ext cx="1295400" cy="581025"/>
        </a:xfrm>
        <a:prstGeom prst="bevel">
          <a:avLst/>
        </a:prstGeom>
        <a:solidFill>
          <a:schemeClr val="accent2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Editer une facture papier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0</xdr:row>
      <xdr:rowOff>95250</xdr:rowOff>
    </xdr:from>
    <xdr:to>
      <xdr:col>0</xdr:col>
      <xdr:colOff>1057276</xdr:colOff>
      <xdr:row>1</xdr:row>
      <xdr:rowOff>276225</xdr:rowOff>
    </xdr:to>
    <xdr:sp macro="[0]!onglet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F01344DA-3969-4FF7-B072-6ED1ED91758C}"/>
            </a:ext>
          </a:extLst>
        </xdr:cNvPr>
        <xdr:cNvSpPr/>
      </xdr:nvSpPr>
      <xdr:spPr>
        <a:xfrm>
          <a:off x="133350" y="95250"/>
          <a:ext cx="923926" cy="371475"/>
        </a:xfrm>
        <a:prstGeom prst="bevel">
          <a:avLst/>
        </a:prstGeom>
        <a:solidFill>
          <a:srgbClr val="9A57CD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Retour</a:t>
          </a:r>
          <a:r>
            <a:rPr lang="fr-FR" sz="800" baseline="0"/>
            <a:t> menu</a:t>
          </a:r>
          <a:endParaRPr lang="fr-FR" sz="8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1</xdr:col>
      <xdr:colOff>114300</xdr:colOff>
      <xdr:row>10</xdr:row>
      <xdr:rowOff>114300</xdr:rowOff>
    </xdr:to>
    <xdr:sp macro="" textlink="">
      <xdr:nvSpPr>
        <xdr:cNvPr id="6145" name="Forme automatique 1" descr="Résultat de recherche d'images pour &quot;icône clavier&quot;">
          <a:extLst>
            <a:ext uri="{FF2B5EF4-FFF2-40B4-BE49-F238E27FC236}">
              <a16:creationId xmlns:a16="http://schemas.microsoft.com/office/drawing/2014/main" id="{F0CAAAFB-2DDD-4BBF-995B-1875362FFCF8}"/>
            </a:ext>
          </a:extLst>
        </xdr:cNvPr>
        <xdr:cNvSpPr>
          <a:spLocks noChangeAspect="1" noChangeArrowheads="1"/>
        </xdr:cNvSpPr>
      </xdr:nvSpPr>
      <xdr:spPr bwMode="auto">
        <a:xfrm>
          <a:off x="1752600" y="3048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114299</xdr:colOff>
      <xdr:row>6</xdr:row>
      <xdr:rowOff>114300</xdr:rowOff>
    </xdr:to>
    <xdr:sp macro="" textlink="">
      <xdr:nvSpPr>
        <xdr:cNvPr id="6146" name="Forme automatique 2" descr="Résultat de recherche d'images pour &quot;icône clavier&quot;">
          <a:extLst>
            <a:ext uri="{FF2B5EF4-FFF2-40B4-BE49-F238E27FC236}">
              <a16:creationId xmlns:a16="http://schemas.microsoft.com/office/drawing/2014/main" id="{2F8610C2-76AC-4B67-9E73-3FACD0295A71}"/>
            </a:ext>
          </a:extLst>
        </xdr:cNvPr>
        <xdr:cNvSpPr>
          <a:spLocks noChangeAspect="1" noChangeArrowheads="1"/>
        </xdr:cNvSpPr>
      </xdr:nvSpPr>
      <xdr:spPr bwMode="auto">
        <a:xfrm>
          <a:off x="5257800" y="2667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28574</xdr:colOff>
      <xdr:row>5</xdr:row>
      <xdr:rowOff>19050</xdr:rowOff>
    </xdr:from>
    <xdr:to>
      <xdr:col>12</xdr:col>
      <xdr:colOff>0</xdr:colOff>
      <xdr:row>9</xdr:row>
      <xdr:rowOff>76200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20CBCA04-74CD-4541-970C-26B117807B6C}"/>
            </a:ext>
          </a:extLst>
        </xdr:cNvPr>
        <xdr:cNvSpPr txBox="1"/>
      </xdr:nvSpPr>
      <xdr:spPr>
        <a:xfrm>
          <a:off x="600074" y="971550"/>
          <a:ext cx="1876426" cy="819150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Saisie1: </a:t>
          </a:r>
          <a:r>
            <a:rPr lang="fr-FR" sz="1100"/>
            <a:t>Saisie</a:t>
          </a:r>
          <a:r>
            <a:rPr lang="fr-FR" sz="1100" baseline="0"/>
            <a:t> de l'entrée de l'entrée des fromages en stock</a:t>
          </a:r>
        </a:p>
        <a:p>
          <a:endParaRPr lang="fr-FR" sz="1100"/>
        </a:p>
      </xdr:txBody>
    </xdr:sp>
    <xdr:clientData/>
  </xdr:twoCellAnchor>
  <xdr:twoCellAnchor>
    <xdr:from>
      <xdr:col>13</xdr:col>
      <xdr:colOff>180975</xdr:colOff>
      <xdr:row>5</xdr:row>
      <xdr:rowOff>9525</xdr:rowOff>
    </xdr:from>
    <xdr:to>
      <xdr:col>24</xdr:col>
      <xdr:colOff>9525</xdr:colOff>
      <xdr:row>9</xdr:row>
      <xdr:rowOff>85725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B8A921B6-0259-4AE7-8597-7B0412D821A2}"/>
            </a:ext>
          </a:extLst>
        </xdr:cNvPr>
        <xdr:cNvSpPr txBox="1"/>
      </xdr:nvSpPr>
      <xdr:spPr>
        <a:xfrm>
          <a:off x="3038475" y="2676525"/>
          <a:ext cx="1924050" cy="4572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Mise à jour automatique du stock de fromage</a:t>
          </a: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28575</xdr:colOff>
      <xdr:row>16</xdr:row>
      <xdr:rowOff>123825</xdr:rowOff>
    </xdr:from>
    <xdr:to>
      <xdr:col>12</xdr:col>
      <xdr:colOff>0</xdr:colOff>
      <xdr:row>18</xdr:row>
      <xdr:rowOff>180975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47DFA348-BEDB-427B-B7E2-37AC8D70D3BD}"/>
            </a:ext>
          </a:extLst>
        </xdr:cNvPr>
        <xdr:cNvSpPr txBox="1"/>
      </xdr:nvSpPr>
      <xdr:spPr>
        <a:xfrm>
          <a:off x="600075" y="3171825"/>
          <a:ext cx="1876425" cy="438150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Saisie 3: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Vente de fromage à un client</a:t>
          </a: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0</xdr:colOff>
      <xdr:row>2</xdr:row>
      <xdr:rowOff>0</xdr:rowOff>
    </xdr:from>
    <xdr:to>
      <xdr:col>24</xdr:col>
      <xdr:colOff>19050</xdr:colOff>
      <xdr:row>4</xdr:row>
      <xdr:rowOff>76200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625AE07E-8421-4B6E-89A0-8051187DA407}"/>
            </a:ext>
          </a:extLst>
        </xdr:cNvPr>
        <xdr:cNvSpPr txBox="1"/>
      </xdr:nvSpPr>
      <xdr:spPr>
        <a:xfrm>
          <a:off x="2857500" y="2095500"/>
          <a:ext cx="1924050" cy="4572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cap="small" baseline="0">
              <a:solidFill>
                <a:schemeClr val="dk1"/>
              </a:solidFill>
              <a:latin typeface="+mn-lt"/>
              <a:ea typeface="+mn-ea"/>
              <a:cs typeface="+mn-cs"/>
            </a:rPr>
            <a:t>geston de stock</a:t>
          </a: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25</xdr:col>
      <xdr:colOff>0</xdr:colOff>
      <xdr:row>2</xdr:row>
      <xdr:rowOff>0</xdr:rowOff>
    </xdr:from>
    <xdr:to>
      <xdr:col>35</xdr:col>
      <xdr:colOff>19050</xdr:colOff>
      <xdr:row>4</xdr:row>
      <xdr:rowOff>76200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945E3594-4519-46EC-B147-86675D0DA0C4}"/>
            </a:ext>
          </a:extLst>
        </xdr:cNvPr>
        <xdr:cNvSpPr txBox="1"/>
      </xdr:nvSpPr>
      <xdr:spPr>
        <a:xfrm>
          <a:off x="5524500" y="2095500"/>
          <a:ext cx="1924050" cy="4572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cap="small" baseline="0">
              <a:solidFill>
                <a:schemeClr val="dk1"/>
              </a:solidFill>
              <a:latin typeface="+mn-lt"/>
              <a:ea typeface="+mn-ea"/>
              <a:cs typeface="+mn-cs"/>
            </a:rPr>
            <a:t>Facturation des clients par le saloir</a:t>
          </a:r>
        </a:p>
        <a:p>
          <a:pPr marL="0" indent="0"/>
          <a:endParaRPr lang="fr-FR" sz="1100" cap="small" baseline="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47</xdr:col>
      <xdr:colOff>9525</xdr:colOff>
      <xdr:row>2</xdr:row>
      <xdr:rowOff>0</xdr:rowOff>
    </xdr:from>
    <xdr:to>
      <xdr:col>57</xdr:col>
      <xdr:colOff>0</xdr:colOff>
      <xdr:row>4</xdr:row>
      <xdr:rowOff>76200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41FEDADB-93E5-415C-8EA2-190359F809C2}"/>
            </a:ext>
          </a:extLst>
        </xdr:cNvPr>
        <xdr:cNvSpPr txBox="1"/>
      </xdr:nvSpPr>
      <xdr:spPr>
        <a:xfrm>
          <a:off x="9153525" y="2095500"/>
          <a:ext cx="1924050" cy="4572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cap="small" baseline="0">
              <a:solidFill>
                <a:schemeClr val="dk1"/>
              </a:solidFill>
              <a:latin typeface="+mn-lt"/>
              <a:ea typeface="+mn-ea"/>
              <a:cs typeface="+mn-cs"/>
            </a:rPr>
            <a:t>Facturation des paysans par le saloir</a:t>
          </a:r>
        </a:p>
        <a:p>
          <a:pPr marL="0" indent="0"/>
          <a:endParaRPr lang="fr-FR" sz="1100" cap="small" baseline="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25</xdr:col>
      <xdr:colOff>0</xdr:colOff>
      <xdr:row>15</xdr:row>
      <xdr:rowOff>123825</xdr:rowOff>
    </xdr:from>
    <xdr:to>
      <xdr:col>35</xdr:col>
      <xdr:colOff>19050</xdr:colOff>
      <xdr:row>19</xdr:row>
      <xdr:rowOff>180975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18599049-5638-49E5-89D6-49C5A2114ACF}"/>
            </a:ext>
          </a:extLst>
        </xdr:cNvPr>
        <xdr:cNvSpPr txBox="1"/>
      </xdr:nvSpPr>
      <xdr:spPr>
        <a:xfrm>
          <a:off x="4953000" y="2981325"/>
          <a:ext cx="1924050" cy="81915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Création automatique d'une fiche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d'expédition 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36</xdr:col>
      <xdr:colOff>9525</xdr:colOff>
      <xdr:row>2</xdr:row>
      <xdr:rowOff>0</xdr:rowOff>
    </xdr:from>
    <xdr:to>
      <xdr:col>46</xdr:col>
      <xdr:colOff>28575</xdr:colOff>
      <xdr:row>4</xdr:row>
      <xdr:rowOff>76200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9D3BA7D-0D63-4129-A7F3-F70F74C5E074}"/>
            </a:ext>
          </a:extLst>
        </xdr:cNvPr>
        <xdr:cNvSpPr txBox="1"/>
      </xdr:nvSpPr>
      <xdr:spPr>
        <a:xfrm>
          <a:off x="7629525" y="2095500"/>
          <a:ext cx="1924050" cy="4572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cap="small" baseline="0">
              <a:solidFill>
                <a:schemeClr val="dk1"/>
              </a:solidFill>
              <a:latin typeface="+mn-lt"/>
              <a:ea typeface="+mn-ea"/>
              <a:cs typeface="+mn-cs"/>
            </a:rPr>
            <a:t>Facturation du saloir par les paysans</a:t>
          </a:r>
        </a:p>
        <a:p>
          <a:pPr marL="0" indent="0"/>
          <a:endParaRPr lang="fr-FR" sz="1100" cap="small" baseline="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35</xdr:col>
      <xdr:colOff>161925</xdr:colOff>
      <xdr:row>15</xdr:row>
      <xdr:rowOff>123825</xdr:rowOff>
    </xdr:from>
    <xdr:to>
      <xdr:col>45</xdr:col>
      <xdr:colOff>180975</xdr:colOff>
      <xdr:row>20</xdr:row>
      <xdr:rowOff>0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71B7E52C-2BF6-48AC-BF66-C3563D3D0281}"/>
            </a:ext>
          </a:extLst>
        </xdr:cNvPr>
        <xdr:cNvSpPr txBox="1"/>
      </xdr:nvSpPr>
      <xdr:spPr>
        <a:xfrm>
          <a:off x="7019925" y="2981325"/>
          <a:ext cx="1924050" cy="82867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Création automatique d'une facture mensuelle correspondant aux ventes de chaque paysan</a:t>
          </a:r>
        </a:p>
      </xdr:txBody>
    </xdr:sp>
    <xdr:clientData/>
  </xdr:twoCellAnchor>
  <xdr:twoCellAnchor>
    <xdr:from>
      <xdr:col>47</xdr:col>
      <xdr:colOff>9525</xdr:colOff>
      <xdr:row>5</xdr:row>
      <xdr:rowOff>9525</xdr:rowOff>
    </xdr:from>
    <xdr:to>
      <xdr:col>57</xdr:col>
      <xdr:colOff>0</xdr:colOff>
      <xdr:row>9</xdr:row>
      <xdr:rowOff>85725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1253FF6E-D68D-4B3E-A7F2-478CAB0C51D8}"/>
            </a:ext>
          </a:extLst>
        </xdr:cNvPr>
        <xdr:cNvSpPr txBox="1"/>
      </xdr:nvSpPr>
      <xdr:spPr>
        <a:xfrm>
          <a:off x="9153525" y="962025"/>
          <a:ext cx="1924050" cy="8382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Emission d'une facture annuelle correspondante aux critères retenus (heures de brossage etc..)</a:t>
          </a: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19050</xdr:colOff>
      <xdr:row>9</xdr:row>
      <xdr:rowOff>152399</xdr:rowOff>
    </xdr:from>
    <xdr:to>
      <xdr:col>11</xdr:col>
      <xdr:colOff>180975</xdr:colOff>
      <xdr:row>14</xdr:row>
      <xdr:rowOff>114300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BA6FA2C4-A893-48C7-9D8D-15C3EA583C54}"/>
            </a:ext>
          </a:extLst>
        </xdr:cNvPr>
        <xdr:cNvSpPr txBox="1"/>
      </xdr:nvSpPr>
      <xdr:spPr>
        <a:xfrm>
          <a:off x="590550" y="1866899"/>
          <a:ext cx="1876425" cy="914401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Saisie 2: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Achat de consommables au saloir par les paysans: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ferments, présure, cartons</a:t>
          </a: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0</xdr:colOff>
      <xdr:row>7</xdr:row>
      <xdr:rowOff>47625</xdr:rowOff>
    </xdr:from>
    <xdr:to>
      <xdr:col>13</xdr:col>
      <xdr:colOff>180975</xdr:colOff>
      <xdr:row>7</xdr:row>
      <xdr:rowOff>47625</xdr:rowOff>
    </xdr:to>
    <xdr:cxnSp macro="">
      <xdr:nvCxnSpPr>
        <xdr:cNvPr id="6154" name="Connecteur droit avec flèche 6153">
          <a:extLst>
            <a:ext uri="{FF2B5EF4-FFF2-40B4-BE49-F238E27FC236}">
              <a16:creationId xmlns:a16="http://schemas.microsoft.com/office/drawing/2014/main" id="{EF2176C7-AD9A-4A3E-A1F3-6C021AF83C25}"/>
            </a:ext>
          </a:extLst>
        </xdr:cNvPr>
        <xdr:cNvCxnSpPr>
          <a:stCxn id="6" idx="3"/>
          <a:endCxn id="11" idx="1"/>
        </xdr:cNvCxnSpPr>
      </xdr:nvCxnSpPr>
      <xdr:spPr>
        <a:xfrm>
          <a:off x="2476500" y="1381125"/>
          <a:ext cx="371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180975</xdr:colOff>
      <xdr:row>9</xdr:row>
      <xdr:rowOff>85725</xdr:rowOff>
    </xdr:from>
    <xdr:to>
      <xdr:col>52</xdr:col>
      <xdr:colOff>19050</xdr:colOff>
      <xdr:row>12</xdr:row>
      <xdr:rowOff>38100</xdr:rowOff>
    </xdr:to>
    <xdr:cxnSp macro="">
      <xdr:nvCxnSpPr>
        <xdr:cNvPr id="46" name="Connecteur : en angle 45">
          <a:extLst>
            <a:ext uri="{FF2B5EF4-FFF2-40B4-BE49-F238E27FC236}">
              <a16:creationId xmlns:a16="http://schemas.microsoft.com/office/drawing/2014/main" id="{F032EB10-FD56-468D-9896-146049F48340}"/>
            </a:ext>
          </a:extLst>
        </xdr:cNvPr>
        <xdr:cNvCxnSpPr>
          <a:stCxn id="26" idx="3"/>
          <a:endCxn id="23" idx="2"/>
        </xdr:cNvCxnSpPr>
      </xdr:nvCxnSpPr>
      <xdr:spPr>
        <a:xfrm flipV="1">
          <a:off x="2466975" y="1800225"/>
          <a:ext cx="7648575" cy="523875"/>
        </a:xfrm>
        <a:prstGeom prst="bentConnector2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17</xdr:row>
      <xdr:rowOff>152400</xdr:rowOff>
    </xdr:from>
    <xdr:to>
      <xdr:col>25</xdr:col>
      <xdr:colOff>0</xdr:colOff>
      <xdr:row>17</xdr:row>
      <xdr:rowOff>152400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1B4C2B77-0B79-4819-B51B-E4638F8CD5A4}"/>
            </a:ext>
          </a:extLst>
        </xdr:cNvPr>
        <xdr:cNvCxnSpPr>
          <a:stCxn id="13" idx="3"/>
          <a:endCxn id="20" idx="1"/>
        </xdr:cNvCxnSpPr>
      </xdr:nvCxnSpPr>
      <xdr:spPr>
        <a:xfrm>
          <a:off x="2476500" y="3390900"/>
          <a:ext cx="2476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</xdr:colOff>
      <xdr:row>7</xdr:row>
      <xdr:rowOff>47625</xdr:rowOff>
    </xdr:from>
    <xdr:to>
      <xdr:col>47</xdr:col>
      <xdr:colOff>9525</xdr:colOff>
      <xdr:row>7</xdr:row>
      <xdr:rowOff>47625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66510294-83D3-4A84-B7BA-C3EA26CE315B}"/>
            </a:ext>
          </a:extLst>
        </xdr:cNvPr>
        <xdr:cNvCxnSpPr>
          <a:stCxn id="11" idx="3"/>
          <a:endCxn id="23" idx="1"/>
        </xdr:cNvCxnSpPr>
      </xdr:nvCxnSpPr>
      <xdr:spPr>
        <a:xfrm>
          <a:off x="4772025" y="1381125"/>
          <a:ext cx="4381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19050</xdr:colOff>
      <xdr:row>17</xdr:row>
      <xdr:rowOff>152400</xdr:rowOff>
    </xdr:from>
    <xdr:to>
      <xdr:col>35</xdr:col>
      <xdr:colOff>161925</xdr:colOff>
      <xdr:row>17</xdr:row>
      <xdr:rowOff>157163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id="{AB7A109B-11CE-4E89-A1E3-1829D6385F16}"/>
            </a:ext>
          </a:extLst>
        </xdr:cNvPr>
        <xdr:cNvCxnSpPr>
          <a:stCxn id="20" idx="3"/>
          <a:endCxn id="22" idx="1"/>
        </xdr:cNvCxnSpPr>
      </xdr:nvCxnSpPr>
      <xdr:spPr>
        <a:xfrm>
          <a:off x="6877050" y="3390900"/>
          <a:ext cx="142875" cy="476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9</xdr:row>
      <xdr:rowOff>85725</xdr:rowOff>
    </xdr:from>
    <xdr:to>
      <xdr:col>19</xdr:col>
      <xdr:colOff>0</xdr:colOff>
      <xdr:row>17</xdr:row>
      <xdr:rowOff>152400</xdr:rowOff>
    </xdr:to>
    <xdr:cxnSp macro="">
      <xdr:nvCxnSpPr>
        <xdr:cNvPr id="67" name="Connecteur : en angle 66">
          <a:extLst>
            <a:ext uri="{FF2B5EF4-FFF2-40B4-BE49-F238E27FC236}">
              <a16:creationId xmlns:a16="http://schemas.microsoft.com/office/drawing/2014/main" id="{34E4C722-C8A4-4021-87DA-48C4C4E98689}"/>
            </a:ext>
          </a:extLst>
        </xdr:cNvPr>
        <xdr:cNvCxnSpPr>
          <a:stCxn id="13" idx="3"/>
          <a:endCxn id="11" idx="2"/>
        </xdr:cNvCxnSpPr>
      </xdr:nvCxnSpPr>
      <xdr:spPr>
        <a:xfrm flipV="1">
          <a:off x="2476500" y="1800225"/>
          <a:ext cx="1333500" cy="1590675"/>
        </a:xfrm>
        <a:prstGeom prst="bentConnector2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34</xdr:row>
      <xdr:rowOff>38100</xdr:rowOff>
    </xdr:from>
    <xdr:to>
      <xdr:col>12</xdr:col>
      <xdr:colOff>0</xdr:colOff>
      <xdr:row>36</xdr:row>
      <xdr:rowOff>95250</xdr:rowOff>
    </xdr:to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A416A703-34FC-4B39-808F-9545B097E79C}"/>
            </a:ext>
          </a:extLst>
        </xdr:cNvPr>
        <xdr:cNvSpPr txBox="1"/>
      </xdr:nvSpPr>
      <xdr:spPr>
        <a:xfrm>
          <a:off x="600075" y="4038600"/>
          <a:ext cx="1876425" cy="438150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Saisie 4: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Autre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sortie de stock: inventaire, casse etc..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0</xdr:colOff>
      <xdr:row>18</xdr:row>
      <xdr:rowOff>9525</xdr:rowOff>
    </xdr:from>
    <xdr:to>
      <xdr:col>19</xdr:col>
      <xdr:colOff>19050</xdr:colOff>
      <xdr:row>35</xdr:row>
      <xdr:rowOff>66675</xdr:rowOff>
    </xdr:to>
    <xdr:cxnSp macro="">
      <xdr:nvCxnSpPr>
        <xdr:cNvPr id="71" name="Connecteur : en angle 70">
          <a:extLst>
            <a:ext uri="{FF2B5EF4-FFF2-40B4-BE49-F238E27FC236}">
              <a16:creationId xmlns:a16="http://schemas.microsoft.com/office/drawing/2014/main" id="{F3BD22D1-272A-4313-A24D-705562018D54}"/>
            </a:ext>
          </a:extLst>
        </xdr:cNvPr>
        <xdr:cNvCxnSpPr>
          <a:stCxn id="70" idx="3"/>
        </xdr:cNvCxnSpPr>
      </xdr:nvCxnSpPr>
      <xdr:spPr>
        <a:xfrm flipV="1">
          <a:off x="2476500" y="3438525"/>
          <a:ext cx="1352550" cy="819150"/>
        </a:xfrm>
        <a:prstGeom prst="bentConnector3">
          <a:avLst>
            <a:gd name="adj1" fmla="val 100000"/>
          </a:avLst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25</xdr:row>
      <xdr:rowOff>0</xdr:rowOff>
    </xdr:from>
    <xdr:to>
      <xdr:col>40</xdr:col>
      <xdr:colOff>171450</xdr:colOff>
      <xdr:row>35</xdr:row>
      <xdr:rowOff>66675</xdr:rowOff>
    </xdr:to>
    <xdr:cxnSp macro="">
      <xdr:nvCxnSpPr>
        <xdr:cNvPr id="76" name="Connecteur : en angle 75">
          <a:extLst>
            <a:ext uri="{FF2B5EF4-FFF2-40B4-BE49-F238E27FC236}">
              <a16:creationId xmlns:a16="http://schemas.microsoft.com/office/drawing/2014/main" id="{49F4CCC9-B0B0-491B-906F-8BDED1B2FFE8}"/>
            </a:ext>
          </a:extLst>
        </xdr:cNvPr>
        <xdr:cNvCxnSpPr>
          <a:stCxn id="70" idx="3"/>
          <a:endCxn id="22" idx="2"/>
        </xdr:cNvCxnSpPr>
      </xdr:nvCxnSpPr>
      <xdr:spPr>
        <a:xfrm flipV="1">
          <a:off x="2476500" y="3810000"/>
          <a:ext cx="5505450" cy="447675"/>
        </a:xfrm>
        <a:prstGeom prst="bentConnector2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0</xdr:colOff>
      <xdr:row>2</xdr:row>
      <xdr:rowOff>0</xdr:rowOff>
    </xdr:from>
    <xdr:to>
      <xdr:col>68</xdr:col>
      <xdr:colOff>19050</xdr:colOff>
      <xdr:row>4</xdr:row>
      <xdr:rowOff>76200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703EF185-3F42-43EE-81C9-60E1D5AE6360}"/>
            </a:ext>
          </a:extLst>
        </xdr:cNvPr>
        <xdr:cNvSpPr txBox="1"/>
      </xdr:nvSpPr>
      <xdr:spPr>
        <a:xfrm>
          <a:off x="11620500" y="381000"/>
          <a:ext cx="1924050" cy="4572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cap="small" baseline="0">
              <a:solidFill>
                <a:schemeClr val="dk1"/>
              </a:solidFill>
              <a:latin typeface="+mn-lt"/>
              <a:ea typeface="+mn-ea"/>
              <a:cs typeface="+mn-cs"/>
            </a:rPr>
            <a:t>Suivi qualité</a:t>
          </a:r>
        </a:p>
        <a:p>
          <a:pPr marL="0" indent="0"/>
          <a:endParaRPr lang="fr-FR" sz="1100" cap="small" baseline="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22678</xdr:colOff>
      <xdr:row>37</xdr:row>
      <xdr:rowOff>124732</xdr:rowOff>
    </xdr:from>
    <xdr:to>
      <xdr:col>11</xdr:col>
      <xdr:colOff>186871</xdr:colOff>
      <xdr:row>39</xdr:row>
      <xdr:rowOff>181883</xdr:rowOff>
    </xdr:to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648BF00D-969C-4CA8-8AE4-6EA4FFE21AEC}"/>
            </a:ext>
          </a:extLst>
        </xdr:cNvPr>
        <xdr:cNvSpPr txBox="1"/>
      </xdr:nvSpPr>
      <xdr:spPr>
        <a:xfrm>
          <a:off x="600982" y="4751161"/>
          <a:ext cx="1899103" cy="442686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Saisie 5: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Retours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clients: qualité etc..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58</xdr:col>
      <xdr:colOff>22681</xdr:colOff>
      <xdr:row>36</xdr:row>
      <xdr:rowOff>113391</xdr:rowOff>
    </xdr:from>
    <xdr:to>
      <xdr:col>68</xdr:col>
      <xdr:colOff>13157</xdr:colOff>
      <xdr:row>40</xdr:row>
      <xdr:rowOff>189592</xdr:rowOff>
    </xdr:to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E58EE657-BAD2-4CC8-B0F2-43B10E0CF6C7}"/>
            </a:ext>
          </a:extLst>
        </xdr:cNvPr>
        <xdr:cNvSpPr txBox="1"/>
      </xdr:nvSpPr>
      <xdr:spPr>
        <a:xfrm>
          <a:off x="11395985" y="4547052"/>
          <a:ext cx="1918154" cy="847272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Mise à jour automatique d'une base de données par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client, fournisseur etc..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186871</xdr:colOff>
      <xdr:row>38</xdr:row>
      <xdr:rowOff>151492</xdr:rowOff>
    </xdr:from>
    <xdr:to>
      <xdr:col>58</xdr:col>
      <xdr:colOff>22681</xdr:colOff>
      <xdr:row>38</xdr:row>
      <xdr:rowOff>153308</xdr:rowOff>
    </xdr:to>
    <xdr:cxnSp macro="">
      <xdr:nvCxnSpPr>
        <xdr:cNvPr id="82" name="Connecteur droit avec flèche 81">
          <a:extLst>
            <a:ext uri="{FF2B5EF4-FFF2-40B4-BE49-F238E27FC236}">
              <a16:creationId xmlns:a16="http://schemas.microsoft.com/office/drawing/2014/main" id="{B57F1697-2BD3-4079-A97B-602A8F854748}"/>
            </a:ext>
          </a:extLst>
        </xdr:cNvPr>
        <xdr:cNvCxnSpPr>
          <a:stCxn id="80" idx="3"/>
          <a:endCxn id="81" idx="1"/>
        </xdr:cNvCxnSpPr>
      </xdr:nvCxnSpPr>
      <xdr:spPr>
        <a:xfrm flipV="1">
          <a:off x="2500085" y="4970688"/>
          <a:ext cx="8895900" cy="181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0</xdr:colOff>
      <xdr:row>20</xdr:row>
      <xdr:rowOff>90714</xdr:rowOff>
    </xdr:from>
    <xdr:to>
      <xdr:col>35</xdr:col>
      <xdr:colOff>34018</xdr:colOff>
      <xdr:row>26</xdr:row>
      <xdr:rowOff>79375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5061F4FB-B0AF-46AE-977A-674EFC2BFB9F}"/>
            </a:ext>
          </a:extLst>
        </xdr:cNvPr>
        <xdr:cNvSpPr txBox="1"/>
      </xdr:nvSpPr>
      <xdr:spPr>
        <a:xfrm>
          <a:off x="4819196" y="3946071"/>
          <a:ext cx="1961697" cy="1145268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Création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d'une facture mensuelle correspondant aux ventes pour chaque client: généré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par l'appel d'un N° de facture dans l'onglet" FACTURE"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0</xdr:colOff>
      <xdr:row>17</xdr:row>
      <xdr:rowOff>152400</xdr:rowOff>
    </xdr:from>
    <xdr:to>
      <xdr:col>25</xdr:col>
      <xdr:colOff>0</xdr:colOff>
      <xdr:row>23</xdr:row>
      <xdr:rowOff>85044</xdr:rowOff>
    </xdr:to>
    <xdr:cxnSp macro="">
      <xdr:nvCxnSpPr>
        <xdr:cNvPr id="29" name="Connecteur : en angle 28">
          <a:extLst>
            <a:ext uri="{FF2B5EF4-FFF2-40B4-BE49-F238E27FC236}">
              <a16:creationId xmlns:a16="http://schemas.microsoft.com/office/drawing/2014/main" id="{3EBD1748-3474-49C6-B8ED-57553BBF3AA6}"/>
            </a:ext>
          </a:extLst>
        </xdr:cNvPr>
        <xdr:cNvCxnSpPr>
          <a:stCxn id="13" idx="3"/>
          <a:endCxn id="28" idx="1"/>
        </xdr:cNvCxnSpPr>
      </xdr:nvCxnSpPr>
      <xdr:spPr>
        <a:xfrm>
          <a:off x="2313214" y="3429454"/>
          <a:ext cx="2505982" cy="1089251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0</xdr:colOff>
      <xdr:row>26</xdr:row>
      <xdr:rowOff>158753</xdr:rowOff>
    </xdr:from>
    <xdr:to>
      <xdr:col>35</xdr:col>
      <xdr:colOff>158750</xdr:colOff>
      <xdr:row>32</xdr:row>
      <xdr:rowOff>102053</xdr:rowOff>
    </xdr:to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2A01F726-871E-4D01-BA86-FE1462800BB4}"/>
            </a:ext>
          </a:extLst>
        </xdr:cNvPr>
        <xdr:cNvSpPr txBox="1"/>
      </xdr:nvSpPr>
      <xdr:spPr>
        <a:xfrm>
          <a:off x="4819196" y="5170717"/>
          <a:ext cx="2086429" cy="1099907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Mise à jour automatique du FACTURIER: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permet de suivre la numérotation des factures et leur statut: DATE DE LA FACTURE A SAISIR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0</xdr:colOff>
      <xdr:row>17</xdr:row>
      <xdr:rowOff>152400</xdr:rowOff>
    </xdr:from>
    <xdr:to>
      <xdr:col>25</xdr:col>
      <xdr:colOff>0</xdr:colOff>
      <xdr:row>29</xdr:row>
      <xdr:rowOff>130403</xdr:rowOff>
    </xdr:to>
    <xdr:cxnSp macro="">
      <xdr:nvCxnSpPr>
        <xdr:cNvPr id="40" name="Connecteur : en angle 39">
          <a:extLst>
            <a:ext uri="{FF2B5EF4-FFF2-40B4-BE49-F238E27FC236}">
              <a16:creationId xmlns:a16="http://schemas.microsoft.com/office/drawing/2014/main" id="{64699ED5-DFE4-4C38-A61F-75BF4C9D4EFE}"/>
            </a:ext>
          </a:extLst>
        </xdr:cNvPr>
        <xdr:cNvCxnSpPr>
          <a:stCxn id="13" idx="3"/>
          <a:endCxn id="39" idx="1"/>
        </xdr:cNvCxnSpPr>
      </xdr:nvCxnSpPr>
      <xdr:spPr>
        <a:xfrm>
          <a:off x="2313214" y="3429454"/>
          <a:ext cx="2505982" cy="2291217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52.552456944446" createdVersion="6" refreshedVersion="6" minRefreshableVersion="3" recordCount="8" xr:uid="{F3C48881-69D9-4FB9-90B1-D73438CAE6C9}">
  <cacheSource type="worksheet">
    <worksheetSource ref="B1:Q1048576" sheet="BDD VENTES"/>
  </cacheSource>
  <cacheFields count="16">
    <cacheField name="N° Facture producteur" numFmtId="174">
      <sharedItems containsString="0" containsBlank="1" containsNumber="1" containsInteger="1" minValue="1" maxValue="1"/>
    </cacheField>
    <cacheField name="A FACTURER/ FACTURE par producteurs" numFmtId="174">
      <sharedItems containsBlank="1"/>
    </cacheField>
    <cacheField name="Balise de balayage" numFmtId="0">
      <sharedItems containsNonDate="0" containsString="0" containsBlank="1"/>
    </cacheField>
    <cacheField name="N° de document/ N°BL" numFmtId="0">
      <sharedItems containsString="0" containsBlank="1" containsNumber="1" containsInteger="1" minValue="2" maxValue="4"/>
    </cacheField>
    <cacheField name="Date du BL" numFmtId="14">
      <sharedItems containsNonDate="0" containsDate="1" containsString="0" containsBlank="1" minDate="2018-02-18T00:00:00" maxDate="2018-05-13T00:00:00"/>
    </cacheField>
    <cacheField name="Date expédition" numFmtId="14">
      <sharedItems containsNonDate="0" containsDate="1" containsString="0" containsBlank="1" minDate="2018-02-19T00:00:00" maxDate="2018-05-06T00:00:00"/>
    </cacheField>
    <cacheField name="Nom du client" numFmtId="0">
      <sharedItems containsBlank="1"/>
    </cacheField>
    <cacheField name="Producteur" numFmtId="0">
      <sharedItems containsBlank="1" count="17">
        <s v="SAÜT Monique"/>
        <s v="LAUGA Grégoire"/>
        <s v="GAEC LANDRAN"/>
        <s v="BOUILLON Nicolas"/>
        <s v="BIDABE Marcel"/>
        <m/>
        <s v="GAEC BIAK INBIDO" u="1"/>
        <s v="GAEC JAUREGUIZAHAR" u="1"/>
        <s v="ORDOQUIHANDY Patrice" u="1"/>
        <s v="GAEC PARADIS" u="1"/>
        <s v="POINEAU Francis" u="1"/>
        <s v="GAEC GASTELU GAT" u="1"/>
        <s v="Etchaide Amaia" u="1"/>
        <s v="LASSERRE Alain" u="1"/>
        <s v="GAEC OLALAINTY" u="1"/>
        <s v="Idiartea" u="1"/>
        <s v="AZKARRAGA Xabi" u="1"/>
      </sharedItems>
    </cacheField>
    <cacheField name="Type de fromage" numFmtId="0">
      <sharedItems containsBlank="1"/>
    </cacheField>
    <cacheField name="Affinage" numFmtId="0">
      <sharedItems containsBlank="1"/>
    </cacheField>
    <cacheField name="N° Lot" numFmtId="0">
      <sharedItems containsBlank="1"/>
    </cacheField>
    <cacheField name="Taille des tomes" numFmtId="0">
      <sharedItems containsBlank="1"/>
    </cacheField>
    <cacheField name="Poids" numFmtId="168">
      <sharedItems containsString="0" containsBlank="1" containsNumber="1" containsInteger="1" minValue="12" maxValue="76"/>
    </cacheField>
    <cacheField name="Pièces" numFmtId="0">
      <sharedItems containsString="0" containsBlank="1" containsNumber="1" containsInteger="1" minValue="6" maxValue="57"/>
    </cacheField>
    <cacheField name="Prix confirmé HT" numFmtId="171">
      <sharedItems containsString="0" containsBlank="1" containsNumber="1" containsInteger="1" minValue="13" maxValue="16"/>
    </cacheField>
    <cacheField name="TOTAL HT" numFmtId="171">
      <sharedItems containsString="0" containsBlank="1" containsNumber="1" containsInteger="1" minValue="180" maxValue="11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m/>
    <s v="A FACTURER"/>
    <m/>
    <n v="2"/>
    <d v="2018-05-05T00:00:00"/>
    <d v="2018-02-19T00:00:00"/>
    <s v="Le Fromage d'or"/>
    <x v="0"/>
    <s v="ESTIVE"/>
    <s v="6-9 mois"/>
    <s v="RT5"/>
    <s v="Tome 1kg"/>
    <n v="50"/>
    <n v="56"/>
    <n v="13"/>
    <n v="650"/>
  </r>
  <r>
    <n v="1"/>
    <s v="FACTURE"/>
    <m/>
    <n v="2"/>
    <d v="2018-05-05T00:00:00"/>
    <d v="2018-02-19T00:00:00"/>
    <s v="Le Fromage d'or"/>
    <x v="1"/>
    <s v="FERMIER"/>
    <s v="&gt;9 mois"/>
    <s v="AZ4"/>
    <s v="Tome 2kg"/>
    <n v="12"/>
    <n v="6"/>
    <n v="16"/>
    <n v="192"/>
  </r>
  <r>
    <m/>
    <s v="A FACTURER"/>
    <m/>
    <n v="3"/>
    <d v="2018-05-12T00:00:00"/>
    <d v="2018-04-15T00:00:00"/>
    <s v="Le Fromage d'or"/>
    <x v="2"/>
    <s v="ESTIVE"/>
    <s v="6-9 mois"/>
    <s v="45F"/>
    <s v="Tome 1kg"/>
    <n v="56"/>
    <n v="57"/>
    <n v="13"/>
    <n v="728"/>
  </r>
  <r>
    <m/>
    <s v="A FACTURER"/>
    <m/>
    <n v="3"/>
    <d v="2018-04-12T00:00:00"/>
    <d v="2018-04-15T00:00:00"/>
    <s v="La crème de la crème"/>
    <x v="3"/>
    <s v="FERMIER"/>
    <s v="6-9 mois"/>
    <s v="ZE3"/>
    <s v="Tome 2kg"/>
    <n v="12"/>
    <n v="8"/>
    <n v="15"/>
    <n v="180"/>
  </r>
  <r>
    <n v="1"/>
    <s v="FACTURE"/>
    <m/>
    <n v="2"/>
    <d v="2018-02-18T00:00:00"/>
    <d v="2018-02-19T00:00:00"/>
    <s v="Le Fromage d'or"/>
    <x v="1"/>
    <s v="FERMIER"/>
    <s v="&gt;9 mois"/>
    <s v="AZ4"/>
    <s v="Tome 2kg"/>
    <n v="12"/>
    <n v="6"/>
    <n v="16"/>
    <n v="192"/>
  </r>
  <r>
    <m/>
    <s v="A FACTURER"/>
    <m/>
    <n v="4"/>
    <d v="2018-05-05T00:00:00"/>
    <d v="2018-05-05T00:00:00"/>
    <s v="Le Fromage d'or"/>
    <x v="4"/>
    <s v="FERMIER"/>
    <s v="3-6 mois"/>
    <s v="67H"/>
    <s v="Tome 2kg"/>
    <n v="67"/>
    <n v="36"/>
    <n v="14"/>
    <n v="938"/>
  </r>
  <r>
    <m/>
    <s v="A FACTURER"/>
    <m/>
    <n v="4"/>
    <d v="2018-05-05T00:00:00"/>
    <d v="2018-05-05T00:00:00"/>
    <s v="Le Fromage d'or"/>
    <x v="3"/>
    <s v="FERMIER"/>
    <s v="&gt;9 mois"/>
    <s v="67H"/>
    <s v="Tome 2kg"/>
    <n v="76"/>
    <n v="45"/>
    <n v="15"/>
    <n v="1140"/>
  </r>
  <r>
    <m/>
    <m/>
    <m/>
    <m/>
    <m/>
    <m/>
    <m/>
    <x v="5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3D0FD6-FA16-4E4A-AE55-6EB3DB226627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11" firstHeaderRow="1" firstDataRow="1" firstDataCol="1"/>
  <pivotFields count="16">
    <pivotField showAll="0"/>
    <pivotField showAll="0"/>
    <pivotField showAll="0"/>
    <pivotField showAll="0"/>
    <pivotField showAll="0"/>
    <pivotField showAll="0"/>
    <pivotField showAll="0"/>
    <pivotField axis="axisRow" showAll="0">
      <items count="18">
        <item m="1" x="16"/>
        <item m="1" x="7"/>
        <item m="1" x="10"/>
        <item x="5"/>
        <item m="1" x="11"/>
        <item m="1" x="15"/>
        <item x="3"/>
        <item m="1" x="6"/>
        <item m="1" x="13"/>
        <item m="1" x="14"/>
        <item x="4"/>
        <item m="1" x="9"/>
        <item x="1"/>
        <item x="2"/>
        <item m="1" x="12"/>
        <item m="1"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7"/>
  </rowFields>
  <rowItems count="7">
    <i>
      <x v="3"/>
    </i>
    <i>
      <x v="6"/>
    </i>
    <i>
      <x v="10"/>
    </i>
    <i>
      <x v="12"/>
    </i>
    <i>
      <x v="13"/>
    </i>
    <i>
      <x v="16"/>
    </i>
    <i t="grand">
      <x/>
    </i>
  </rowItems>
  <colItems count="1">
    <i/>
  </colItems>
  <dataFields count="1">
    <dataField name="Somme de TOTAL HT" fld="15" baseField="0" baseItem="0" numFmtId="171"/>
  </dataFields>
  <formats count="3">
    <format dxfId="119">
      <pivotArea outline="0" collapsedLevelsAreSubtotals="1" fieldPosition="0"/>
    </format>
    <format dxfId="118">
      <pivotArea dataOnly="0" labelOnly="1" outline="0" axis="axisValues" fieldPosition="0"/>
    </format>
    <format dxfId="117">
      <pivotArea dataOnly="0" labelOnly="1" outline="0" axis="axisValues" fieldPosition="0"/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F0AF7F-9933-488F-AD0B-4443C1D59EC3}" name="Tableau2" displayName="Tableau2" ref="A1:Z8" totalsRowShown="0" dataDxfId="218">
  <autoFilter ref="A1:Z8" xr:uid="{41541FA7-98D7-42CF-BAD3-098109EEE05D}"/>
  <tableColumns count="26">
    <tableColumn id="1" xr3:uid="{BE9CAFC9-2A0C-4595-A5FF-9AA77E2D2F81}" name="Type de document" dataDxfId="217"/>
    <tableColumn id="2" xr3:uid="{DDE4F9BD-0F1D-40CC-866D-F28F0D759668}" name="N° Facture producteur" dataDxfId="216"/>
    <tableColumn id="3" xr3:uid="{A05C2F24-BC36-4D0E-B98C-2C2EE899206C}" name="A FACTURER/ FACTURE par producteurs" dataDxfId="215">
      <calculatedColumnFormula>IF('BDD VENTES'!$B2="","A FACTURER","FACTURE")</calculatedColumnFormula>
    </tableColumn>
    <tableColumn id="4" xr3:uid="{6413AEDE-9BCE-4F93-89D0-683D0C224897}" name="Balise de balayage" dataDxfId="214"/>
    <tableColumn id="5" xr3:uid="{FD41A051-E4C9-4E0D-8A6C-001E91256E0F}" name="N° de document/ N°BL" dataDxfId="213"/>
    <tableColumn id="6" xr3:uid="{DB13695F-C1D1-4CE5-A8F5-A9D7E7127443}" name="Date du BL" dataDxfId="212"/>
    <tableColumn id="7" xr3:uid="{4D2B8F81-590A-4402-830B-7BCE92F02A86}" name="Date expédition" dataDxfId="211"/>
    <tableColumn id="8" xr3:uid="{7E42AF8C-5206-4627-B4A9-24DAF3A01E9F}" name="Nom du client" dataDxfId="210"/>
    <tableColumn id="9" xr3:uid="{C7DC98AE-31EE-47FC-8CF5-1B4AADF7A8DC}" name="Producteur" dataDxfId="209"/>
    <tableColumn id="10" xr3:uid="{B6B97ADC-41BE-4BE0-9154-FC2101394EDE}" name="Type de fromage" dataDxfId="208"/>
    <tableColumn id="11" xr3:uid="{EC866CEA-3C6E-4D40-A84A-66A3E502A30A}" name="Affinage" dataDxfId="207"/>
    <tableColumn id="12" xr3:uid="{7FAE6633-5E8C-48C9-A5DA-BE882A7B02D4}" name="N° Lot" dataDxfId="206"/>
    <tableColumn id="13" xr3:uid="{D8A43B0E-4B80-49FE-960C-98C7FAF4B317}" name="Taille des tomes" dataDxfId="205"/>
    <tableColumn id="14" xr3:uid="{E821D706-4923-47E8-A48E-AE0AA154D930}" name="Poids" dataDxfId="204"/>
    <tableColumn id="15" xr3:uid="{727F76AF-2B74-472C-9422-8BE3B0BC2668}" name="Pièces" dataDxfId="203"/>
    <tableColumn id="16" xr3:uid="{C7B2DD7E-7E6C-41E0-A257-AD9FF5E6341D}" name="Prix confirmé HT" dataDxfId="202"/>
    <tableColumn id="17" xr3:uid="{475F9966-E33E-4583-8BD6-A902FAA1D040}" name="TOTAL HT" dataDxfId="201">
      <calculatedColumnFormula>'BDD VENTES'!$P2*'BDD VENTES'!$N2</calculatedColumnFormula>
    </tableColumn>
    <tableColumn id="18" xr3:uid="{C98A1FDB-5A40-4C4F-A496-97F618AF36B3}" name="concatener prod_type_affinage" dataDxfId="200">
      <calculatedColumnFormula>CONCATENATE('BDD VENTES'!$I2,'BDD VENTES'!$J2,'BDD VENTES'!$K2)</calculatedColumnFormula>
    </tableColumn>
    <tableColumn id="19" xr3:uid="{E35EC637-5C02-49BA-BF1E-4A608B858FFF}" name="année bl" dataDxfId="199">
      <calculatedColumnFormula>TEXT(Tableau2[[#This Row],[Date du BL]],"aaaa")</calculatedColumnFormula>
    </tableColumn>
    <tableColumn id="20" xr3:uid="{216B4282-1909-4844-BE7A-330F0F5DBF56}" name="mois bl" dataDxfId="198">
      <calculatedColumnFormula>TEXT(Tableau2[[#This Row],[Date du BL]],"mmmm")</calculatedColumnFormula>
    </tableColumn>
    <tableColumn id="23" xr3:uid="{903B1773-49F6-4888-881E-08BD55BC06BF}" name="Concat année_mois" dataDxfId="197">
      <calculatedColumnFormula>CONCATENATE(Tableau2[[#This Row],[année bl]],Tableau2[[#This Row],[mois bl]])</calculatedColumnFormula>
    </tableColumn>
    <tableColumn id="25" xr3:uid="{C5AB06FA-C617-4E76-A3F1-A4E67FF60F7C}" name="Concat année_mois2" dataDxfId="49">
      <calculatedColumnFormula>CONCATENATE(Tableau2[[#This Row],[année bl]],Tableau2[[#This Row],[mois bl]],Tableau2[[#This Row],[N° facture client]])</calculatedColumnFormula>
    </tableColumn>
    <tableColumn id="21" xr3:uid="{30A1A568-FA76-40D7-8589-1ACF2E97D89E}" name="concatener année-mois-client" dataDxfId="196">
      <calculatedColumnFormula>IF(Tableau2[[#This Row],[N° de document/ N°BL]]="","",CONCATENATE(Tableau2[[#This Row],[année bl]],Tableau2[[#This Row],[mois bl]],Tableau2[[#This Row],[Nom du client]]))</calculatedColumnFormula>
    </tableColumn>
    <tableColumn id="22" xr3:uid="{97E0DDE2-4304-4FAD-850B-5AB338B0F91D}" name="N° facture client" dataDxfId="195"/>
    <tableColumn id="24" xr3:uid="{50FD4C5A-A832-4DA0-9BC5-C8D67C4838D0}" name="Eligibilite à la facturation en cours" dataDxfId="194">
      <calculatedColumnFormula>IF(Tableau2[[#This Row],[N° facture client]]&lt;&gt;"","FACTURE",IF(Tableau2[[#This Row],[Concat année_mois2]]=bddfacturesclients_concat_annee_mois,"A facturer",""))</calculatedColumnFormula>
    </tableColumn>
    <tableColumn id="26" xr3:uid="{88AEBBC1-A62E-4E95-8E2D-0B1B44FF13C8}" name="Concatener Eligibilite à la facturation en cours-client" dataDxfId="0">
      <calculatedColumnFormula>IF(Tableau2[[#This Row],[Eligibilite à la facturation en cours]]="","",Tableau2[[#This Row],[Eligibilite à la facturation en cours]]&amp;Tableau2[[#This Row],[Nom du client]])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91A075B-2920-4CE3-B23A-96980D03EEB6}" name="Tableau11" displayName="Tableau11" ref="C1:N2" totalsRowShown="0">
  <autoFilter ref="C1:N2" xr:uid="{59AE3711-5372-48ED-8DCC-8F2A73C7019D}"/>
  <tableColumns count="12">
    <tableColumn id="1" xr3:uid="{C9B53C50-B30F-4C19-81E8-D224BFDAB7F1}" name="N° FACTURE" dataDxfId="193"/>
    <tableColumn id="2" xr3:uid="{C7602834-DED9-4CE6-BC69-05B12532B440}" name="DATE FACTURE"/>
    <tableColumn id="3" xr3:uid="{0771EA5B-729C-4762-9CEA-1B39FF53A45F}" name="année" dataDxfId="192"/>
    <tableColumn id="4" xr3:uid="{F5886722-08B0-48BB-8E28-174D4B117BD7}" name="mois" dataDxfId="191"/>
    <tableColumn id="5" xr3:uid="{7ADFD9E5-0F6D-47EA-B091-DA9060DE9D50}" name="CLIENT"/>
    <tableColumn id="12" xr3:uid="{0E0BC521-4095-49A8-820D-8683988EBACF}" name="concat année-mois-client" dataDxfId="190">
      <calculatedColumnFormula>IF(Tableau11[année]="","",CONCATENATE(Tableau11[année],Tableau11[mois],Tableau11[CLIENT]))</calculatedColumnFormula>
    </tableColumn>
    <tableColumn id="6" xr3:uid="{0D6CAC16-2991-40DD-A13F-FC318B8488CE}" name="MONTANT HT"/>
    <tableColumn id="7" xr3:uid="{2DA54201-FE94-45B0-BC8A-A984A7DD9D5F}" name="MONTANT TTC"/>
    <tableColumn id="10" xr3:uid="{F3778A02-0510-4D0A-B635-4CD5F2D3385D}" name="Montant transport HT"/>
    <tableColumn id="11" xr3:uid="{7FC6EE13-61AA-4859-8386-808FAC8D6A44}" name="Montant transport TTC"/>
    <tableColumn id="8" xr3:uid="{9BF14AB8-430B-485D-9438-D8BC83CD1F35}" name="Date de paiement"/>
    <tableColumn id="9" xr3:uid="{B506A3B9-05ED-4BCB-B292-D13D35C6EE6E}" name="Moyen de paiement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A432E7F-E55C-45FD-82FE-0A19B0E310E4}" name="Tableau13" displayName="Tableau13" ref="A1:K3" totalsRowShown="0" tableBorderDxfId="189">
  <autoFilter ref="A1:K3" xr:uid="{3E6488AE-1453-45FA-97BD-39438C1E8300}"/>
  <tableColumns count="11">
    <tableColumn id="1" xr3:uid="{F8DED22E-0D64-43C7-AAA5-2C1BBE166C58}" name="N° BL" dataDxfId="188"/>
    <tableColumn id="2" xr3:uid="{D81B21C4-57B2-43D5-BA7F-851AFD62C5A3}" name="Date du BL"/>
    <tableColumn id="3" xr3:uid="{2CAC03EF-3DB3-4F33-898B-3C2DBBE4D196}" name="Client"/>
    <tableColumn id="7" xr3:uid="{2B674617-629D-4B8F-BEE7-9B91A0B0F0DA}" name="Poids de la livraison" dataDxfId="187"/>
    <tableColumn id="4" xr3:uid="{452AA5B4-6D0A-4AAA-B56A-2CC89A26D210}" name="TotalHT FACTURE"/>
    <tableColumn id="5" xr3:uid="{CD918DCD-324A-4BBA-A8CD-5ACA52FFC941}" name="Extension nom fichier"/>
    <tableColumn id="6" xr3:uid="{F49050D2-8FA0-44B5-867D-89D049429220}" name="Lien BL" dataDxfId="186">
      <calculatedColumnFormula>IF('BDD BL CLIENTS'!$F2="","",HYPERLINK('BDD BL CLIENTS'!$F2))</calculatedColumnFormula>
    </tableColumn>
    <tableColumn id="8" xr3:uid="{898CAC09-BC04-486C-AC0A-D412662F6295}" name="Cout transport" dataDxfId="185"/>
    <tableColumn id="9" xr3:uid="{B438F54E-EFCA-43E8-A67F-E59390FB3305}" name="% à la charge du client" dataDxfId="184"/>
    <tableColumn id="10" xr3:uid="{FE772EEF-EDAC-45D4-996F-D39A5B2EFE66}" name="Coût à la charge du client" dataDxfId="183">
      <calculatedColumnFormula>IF(Tableau13[[#This Row],[Cout transport]]="","",Tableau13[[#This Row],[Cout transport]]*Tableau13[[#This Row],[% à la charge du client]])</calculatedColumnFormula>
    </tableColumn>
    <tableColumn id="14" xr3:uid="{9E9B6181-A68C-43C2-8B94-5003F674DBB7}" name="N° da facture client correspondante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3F38724-DDCE-433B-ABC4-3287A9B7B933}" name="Tableau5" displayName="Tableau5" ref="A1:K13" totalsRowShown="0">
  <autoFilter ref="A1:K13" xr:uid="{3C6106A5-EE5E-493F-A303-9871C9CFF89F}"/>
  <tableColumns count="11">
    <tableColumn id="1" xr3:uid="{F9231DFC-5C2A-4936-9FCD-CE8783987E27}" name="TYPE FROMAGE"/>
    <tableColumn id="2" xr3:uid="{7B7E5CE6-8F65-46FB-9435-9A64E73F3369}" name="AFFINAGE"/>
    <tableColumn id="3" xr3:uid="{EB8001C7-2C53-40C2-AF2D-E4C33AF6173B}" name="Type fromage-affinage">
      <calculatedColumnFormula>CONCATENATE($A$2,Tableau5[[#This Row],[AFFINAGE]])</calculatedColumnFormula>
    </tableColumn>
    <tableColumn id="4" xr3:uid="{030BFD62-415C-4FB4-9C72-372E841073CB}" name="Prix HT au kg" dataDxfId="182"/>
    <tableColumn id="7" xr3:uid="{340FB6A1-F80D-48E1-B647-47894C4551CE}" name="TVA FROMAGE" dataDxfId="181"/>
    <tableColumn id="5" xr3:uid="{9D4E4281-9E66-47F7-BD39-359858441A85}" name="Prix TTC au kg" dataDxfId="180">
      <calculatedColumnFormula>Tableau5[[#This Row],[Prix HT au kg]]*(1+TVA_FROMAGE)</calculatedColumnFormula>
    </tableColumn>
    <tableColumn id="8" xr3:uid="{D0371D9B-FE9A-4843-99F9-948B1BBF5611}" name="TVA TRANSPORT"/>
    <tableColumn id="6" xr3:uid="{EEC589A5-6F78-4CC9-BDCD-A764B5A065DD}" name="CONSOMMABLES"/>
    <tableColumn id="9" xr3:uid="{63750609-2C77-44BC-9A5F-CDB09D93E261}" name="PRIX HT"/>
    <tableColumn id="10" xr3:uid="{4D784490-6760-4B6D-87E7-2AC49FB3AE94}" name="TVA Consommables"/>
    <tableColumn id="11" xr3:uid="{0848770B-230E-46C9-A914-D7193C4D0B86}" name="Taille des fromages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BE0140-0968-4A86-83C2-4DEBD513964E}" name="Tableau9" displayName="Tableau9" ref="A1:G2" totalsRowShown="0" headerRowDxfId="179" dataDxfId="178">
  <autoFilter ref="A1:G2" xr:uid="{D4DDEEA2-ABE7-40EB-A4B7-E77DBF27024C}"/>
  <tableColumns count="7">
    <tableColumn id="1" xr3:uid="{15177157-4CB4-4854-9D42-C79A15C64BD7}" name="N° facture" dataDxfId="177"/>
    <tableColumn id="5" xr3:uid="{8E92DD81-ED42-4E24-9A56-C1AC58B6BA8E}" name="Date de la facture" dataDxfId="176"/>
    <tableColumn id="2" xr3:uid="{1A49A34C-4A9A-4691-9987-A3E570F1E0DC}" name="Producteur" dataDxfId="175"/>
    <tableColumn id="3" xr3:uid="{23ED00D4-3D3D-4F07-95CB-F745F2FF45E0}" name="TotalHT FACTURE" dataDxfId="174"/>
    <tableColumn id="4" xr3:uid="{094C6349-07B4-414A-87F9-F142520B4754}" name="Extension nom fichier" dataDxfId="173"/>
    <tableColumn id="9" xr3:uid="{4D64DF12-B53A-4D7C-A722-A89D9FBF6801}" name="Lien facture papier3" dataDxfId="172">
      <calculatedColumnFormula>IF(Tableau9[[#This Row],[Extension nom fichier]]="","",HYPERLINK(Tableau9[[#This Row],[Extension nom fichier]]))</calculatedColumnFormula>
    </tableColumn>
    <tableColumn id="6" xr3:uid="{37F35786-9817-42C8-B2E0-5B8B35FD6BAD}" name="Date de paiement" dataDxfId="17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F6CBEE-B62E-4EC6-9B48-48E5E32574FD}" name="Tableau4" displayName="Tableau4" ref="A1:M20" totalsRowShown="0" headerRowDxfId="170" dataDxfId="169">
  <autoFilter ref="A1:M20" xr:uid="{3AAF9D38-B41E-4ACF-B845-3E540E8CFC58}"/>
  <tableColumns count="13">
    <tableColumn id="1" xr3:uid="{F966D6E8-2548-487B-9409-B9B3E2D8C9D4}" name="Clé" dataDxfId="168">
      <calculatedColumnFormula>ROW()-1</calculatedColumnFormula>
    </tableColumn>
    <tableColumn id="2" xr3:uid="{478E614B-37E7-4D53-A5FB-12D2547039F5}" name="Nom" dataDxfId="167"/>
    <tableColumn id="3" xr3:uid="{D75EFBD6-E84A-4780-A109-24D95BDC2B91}" name="Adresse" dataDxfId="166"/>
    <tableColumn id="4" xr3:uid="{45FA70F4-40D2-46B7-A236-99FD339B671A}" name="Commune" dataDxfId="165"/>
    <tableColumn id="5" xr3:uid="{AE0B59F2-4FA2-4B4C-89E6-B11E28AC6BAB}" name="SIRET" dataDxfId="164"/>
    <tableColumn id="6" xr3:uid="{8EFCDAE4-B09C-4C78-8086-865360FA2FDA}" name="N° TVA INTRA" dataDxfId="163"/>
    <tableColumn id="13" xr3:uid="{48E15E57-A243-4A9F-8953-E44963DE970A}" name="Domiciliation" dataDxfId="162"/>
    <tableColumn id="7" xr3:uid="{7C1B120E-5239-4331-9B99-FEC36B6BEB4A}" name="Code banque" dataDxfId="161"/>
    <tableColumn id="8" xr3:uid="{984DE8C4-8BC2-4A46-AA9F-4653F995FFAB}" name="Code guichet" dataDxfId="160"/>
    <tableColumn id="9" xr3:uid="{D20D3019-AE31-44F0-A50E-C90B68333EA7}" name="Numéro de compte" dataDxfId="159"/>
    <tableColumn id="10" xr3:uid="{1F469B9C-CCFE-4F84-A83E-818D8EB870F0}" name="Clé RIB" dataDxfId="158"/>
    <tableColumn id="11" xr3:uid="{D12ED039-F2D9-4EB9-984D-C1258E9F8120}" name="IBAN" dataDxfId="157"/>
    <tableColumn id="12" xr3:uid="{20D810FE-0932-4796-B72B-A2CE95820903}" name="BIC" dataDxfId="156"/>
  </tableColumns>
  <tableStyleInfo name="TableStyleMedium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37A85A-95BE-4AC2-A4EF-60FE8915DF0A}" name="Tableau3" displayName="Tableau3" ref="A1:O3" totalsRowShown="0" headerRowDxfId="155" dataDxfId="154" tableBorderDxfId="153">
  <autoFilter ref="A1:O3" xr:uid="{61CC3EED-EEDB-42CD-9D8D-F6A1116B75B3}"/>
  <tableColumns count="15">
    <tableColumn id="1" xr3:uid="{B565F165-1DA7-4327-9FE6-DDD4D36C1E98}" name="Clé" dataDxfId="152" totalsRowDxfId="151">
      <calculatedColumnFormula>ROW()-1</calculatedColumnFormula>
    </tableColumn>
    <tableColumn id="14" xr3:uid="{C26BAF5F-952D-4D64-AEAE-5FBA51375FF6}" name="TYPE DE MOUVEMENT (sortie: mettre &quot;-&quot;)" dataDxfId="150" totalsRowDxfId="149"/>
    <tableColumn id="2" xr3:uid="{DC9A4486-38E6-4823-899D-BF48A6BFB0A9}" name="Date entrée de stock" dataDxfId="148" totalsRowDxfId="147"/>
    <tableColumn id="3" xr3:uid="{40D1367B-5B7F-4591-AF65-B472A25A23D4}" name="Paysan" dataDxfId="146" totalsRowDxfId="145"/>
    <tableColumn id="4" xr3:uid="{33F07991-A489-4C4E-9E43-57ABFBB0D84C}" name="Type de fromage" dataDxfId="144" totalsRowDxfId="143"/>
    <tableColumn id="5" xr3:uid="{D0EC77D0-8750-4834-A63C-741F5C02C0BA}" name="Date de production" dataDxfId="142" totalsRowDxfId="141"/>
    <tableColumn id="6" xr3:uid="{9D574EF5-19C3-4F56-94AC-B5E2A54A1800}" name="Numéro de lot" dataDxfId="140" totalsRowDxfId="139"/>
    <tableColumn id="7" xr3:uid="{BB9D0560-453C-4CDA-9C39-9FBE80A722DE}" name="Pile de rangement" dataDxfId="138" totalsRowDxfId="137"/>
    <tableColumn id="8" xr3:uid="{E2BD87F0-424F-4963-8A54-E6261AD8CB54}" name="Affinage" dataDxfId="136">
      <calculatedColumnFormula>IF((Tableau3[[#This Row],[aujourdhui]]-Tableau3[[#This Row],[Date de production]])&lt;90,"&lt;3 mois",IF(AND((Tableau3[[#This Row],[aujourdhui]]-Tableau3[[#This Row],[Date de production]])&gt;=90,(Tableau3[[#This Row],[aujourdhui]]-Tableau3[[#This Row],[Date de production]])&lt;180),"3-6 mois",IF(AND((Tableau3[[#This Row],[aujourdhui]]-Tableau3[[#This Row],[Date de production]])&gt;=180,(Tableau3[[#This Row],[aujourdhui]]-Tableau3[[#This Row],[Date de production]])&lt;210),"6-9 mois","&gt;9 mois")))</calculatedColumnFormula>
    </tableColumn>
    <tableColumn id="9" xr3:uid="{E53904A2-CCD5-408F-86FC-4C463F8E93F3}" name="aujourdhui" dataDxfId="135" totalsRowDxfId="134">
      <calculatedColumnFormula>TODAY()</calculatedColumnFormula>
    </tableColumn>
    <tableColumn id="10" xr3:uid="{06337C5D-22C5-4EFE-87E4-D52FCD195BBE}" name="Age actuel en jours" dataDxfId="133" totalsRowDxfId="132">
      <calculatedColumnFormula>Tableau3[[#This Row],[aujourdhui]]-Tableau3[[#This Row],[Date de production]]</calculatedColumnFormula>
    </tableColumn>
    <tableColumn id="11" xr3:uid="{390DC7B0-36B1-4F63-B4BB-2DEB12B6E47E}" name="Quantité en kg (sortie: mettre -)" dataDxfId="131" totalsRowDxfId="130"/>
    <tableColumn id="16" xr3:uid="{A5CD1BEE-D33A-417F-A92A-CF59D4D10D93}" name="Taille des tomes" dataDxfId="129" totalsRowDxfId="128"/>
    <tableColumn id="12" xr3:uid="{07D7746B-0B7E-43F6-B46A-B4F202DC6DB8}" name="Nbre de tomes" dataDxfId="127" totalsRowDxfId="126"/>
    <tableColumn id="15" xr3:uid="{D35125B8-A66E-4CB6-87C7-38A2861160BE}" name="concatener producteur_type_affinage" dataDxfId="125" totalsRowDxfId="124">
      <calculatedColumnFormula>CONCATENATE(Tableau3[[#This Row],[Paysan]],Tableau3[[#This Row],[Type de fromage]],Tableau3[[#This Row],[Affinage]])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604E291-C6C7-4DDE-A4B7-BB6C0B894D18}" name="Tableau10" displayName="Tableau10" ref="A1:M3" totalsRowShown="0" headerRowDxfId="123" tableBorderDxfId="122">
  <autoFilter ref="A1:M3" xr:uid="{A7A3E12D-A41D-4FCF-9A41-6F2E2F7112AC}"/>
  <tableColumns count="13">
    <tableColumn id="1" xr3:uid="{945CF2FC-BDF3-42B5-BD39-5E870E055C7F}" name="Nouveau N° réservation"/>
    <tableColumn id="2" xr3:uid="{C25D9AA0-6C9D-4B18-9176-3CE8A465E347}" name="Date de la réservation" dataDxfId="121"/>
    <tableColumn id="3" xr3:uid="{835DAE00-4ACA-4F58-9185-C6FB5A71DA8B}" name="Date expédition prévue" dataDxfId="120"/>
    <tableColumn id="4" xr3:uid="{167F09EE-A06B-4735-A162-CE42D5719C63}" name="Client"/>
    <tableColumn id="5" xr3:uid="{2200901B-5AD5-47CB-8C47-4A73792D5628}" name="Producteur"/>
    <tableColumn id="6" xr3:uid="{CB745898-314F-456F-A0C2-5C54260D7E2A}" name="Type de fromage"/>
    <tableColumn id="7" xr3:uid="{8078D2D4-9BE7-4CE5-8761-14B508B67069}" name="Taille des fromages"/>
    <tableColumn id="8" xr3:uid="{C73E6174-3A81-40DE-9F8B-5C4F82CC8F08}" name="Durée d'affinage"/>
    <tableColumn id="9" xr3:uid="{7F63828B-B02D-4A18-A3A0-F9D64D56FBF1}" name="N° Lot"/>
    <tableColumn id="10" xr3:uid="{5360F067-4E51-479F-9171-48BE19035D57}" name="Quantité en kg"/>
    <tableColumn id="11" xr3:uid="{D45DB934-4E67-4631-BCB5-1EAFF2FD626D}" name="Nombre de fromages"/>
    <tableColumn id="12" xr3:uid="{540F22A5-D58F-4C7C-9149-9E925F42C922}" name="Prix HT proposé"/>
    <tableColumn id="13" xr3:uid="{C45366E6-FAC3-4905-9608-3421119B6A7B}" name="concate prod ">
      <calculatedColumnFormula>CONCATENATE(Tableau10[[#This Row],[Producteur]],Tableau10[[#This Row],[Type de fromage]],Tableau10[[#This Row],[Durée d''affinage]])</calculatedColumnFormula>
    </tableColumn>
  </tableColumns>
  <tableStyleInfo name="TableStyleLight1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0B5783-920D-490E-A41E-687057FC1DB8}" name="Tableau1" displayName="Tableau1" ref="A1:Q9" totalsRowShown="0" headerRowDxfId="116">
  <autoFilter ref="A1:Q9" xr:uid="{E9D0EB77-E491-4F68-8382-DCD26140447E}"/>
  <tableColumns count="17">
    <tableColumn id="1" xr3:uid="{CEB57752-7012-4292-840E-FD8C34FE8250}" name="N° CLIENT">
      <calculatedColumnFormula>ROW()-1</calculatedColumnFormula>
    </tableColumn>
    <tableColumn id="2" xr3:uid="{46F41E22-4437-4272-8FBE-8C97F8B8DE37}" name="Nom commercial"/>
    <tableColumn id="3" xr3:uid="{6D063ACD-8C33-4208-AD30-27FEE1AE6860}" name="CIVILITE"/>
    <tableColumn id="4" xr3:uid="{63B21625-4C3E-4F26-AFC5-CC1C6C620C2E}" name="NOM" dataDxfId="115"/>
    <tableColumn id="5" xr3:uid="{797C2B3F-E8EF-4CE0-AE20-40D64264E290}" name="PRENOM"/>
    <tableColumn id="6" xr3:uid="{E08919D6-FB45-4766-9891-F4BAB2E08E6D}" name="STATUT"/>
    <tableColumn id="7" xr3:uid="{9DE7AE55-0B59-482B-B8B6-A3DF8B3E5818}" name="N° RUE"/>
    <tableColumn id="8" xr3:uid="{82649272-C3C2-4446-B767-59B9313CD52A}" name="INTITULE RUE"/>
    <tableColumn id="9" xr3:uid="{671B6812-56AC-4EA6-A86D-19E8E35A48E8}" name="CODE POSTAL"/>
    <tableColumn id="10" xr3:uid="{07E1E54C-9B26-4926-B3D4-F5132BEBE814}" name="COMMUNE"/>
    <tableColumn id="11" xr3:uid="{DCAD25D0-B935-40E9-B307-1CCCAF55B2D9}" name="MAIL"/>
    <tableColumn id="12" xr3:uid="{997C81F6-7976-4B5B-A628-3B2E0C124306}" name="TELEPHONE"/>
    <tableColumn id="13" xr3:uid="{3A29E72A-1A09-4A4E-958A-9E408C924842}" name="FAX"/>
    <tableColumn id="14" xr3:uid="{B8E6F75E-188E-462D-B063-1EB4A8AFE39E}" name="COMMENTAIRES"/>
    <tableColumn id="15" xr3:uid="{D611E13D-3DA2-4EBC-A1F9-92B1042B372E}" name="N° SIRET"/>
    <tableColumn id="16" xr3:uid="{7050DCBB-3A4A-4D29-A760-8B5AB410D533}" name="N° TVA"/>
    <tableColumn id="17" xr3:uid="{5A63BB8B-8B42-42E2-8F51-2D1835D44695}" name="N° SIREN"/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98C6947-F892-4B2E-B3F9-B7E47D691B0B}" name="Tableau8" displayName="Tableau8" ref="A1:BD21" totalsRowShown="0" headerRowDxfId="114" dataDxfId="113" tableBorderDxfId="112">
  <autoFilter ref="A1:BD21" xr:uid="{4A7ED942-D81E-477D-9C3D-00B39E76B8BD}"/>
  <tableColumns count="56">
    <tableColumn id="1" xr3:uid="{088C8015-BA35-4D64-BF11-CFEAD4B6EF75}" name="clé" dataDxfId="111">
      <calculatedColumnFormula>ROW()-1</calculatedColumnFormula>
    </tableColumn>
    <tableColumn id="2" xr3:uid="{043A1CD7-5865-43C8-A334-FF745AEC9957}" name="Producteur" dataDxfId="110"/>
    <tableColumn id="3" xr3:uid="{79B24243-DEBE-43A4-8040-B7B33593C66E}" name="N° de facture annuelle" dataDxfId="109"/>
    <tableColumn id="56" xr3:uid="{5E12C7CC-FBE6-4140-AA79-7C843253FDC8}" name="Année" dataDxfId="108"/>
    <tableColumn id="4" xr3:uid="{907CD4B6-899F-482C-824D-53F8DC144368}" name="Date de la facture" dataDxfId="107"/>
    <tableColumn id="55" xr3:uid="{83E9DB12-BB56-4839-AA18-B9ACB9ED6407}" name="Total TTC" dataDxfId="106">
      <calculatedColumnFormula>IF(Tableau8[[#This Row],[clé]]="","",SUM(Tableau8[[#This Row],[Total 1 TTC]],Tableau8[[#This Row],[Total 2 TTC]],Tableau8[[#This Row],[Total 3 TTC]],Tableau8[[#This Row],[Total 4 TTC]],Tableau8[[#This Row],[Total 5 TTC]],Tableau8[[#This Row],[Total 6 TTC]]))</calculatedColumnFormula>
    </tableColumn>
    <tableColumn id="54" xr3:uid="{A230D64A-FC3E-4C7E-B375-87249C1E6B76}" name="Total TVA" dataDxfId="105">
      <calculatedColumnFormula>IF(Tableau8[[#This Row],[Total TTC]]="","",Tableau8[[#This Row],[Total TTC]]-Tableau8[[#This Row],[Total HT]])</calculatedColumnFormula>
    </tableColumn>
    <tableColumn id="53" xr3:uid="{3D1DC56D-0F08-45D0-91F5-31260C1F9294}" name="Total HT" dataDxfId="104">
      <calculatedColumnFormula>IF(Tableau8[[#This Row],[clé]]="","",SUM(Tableau8[[#This Row],[Total 1 HT]],Tableau8[[#This Row],[Total 2 HT]],Tableau8[[#This Row],[Total 3 HT]],Tableau8[[#This Row],[Total 4 HT]],Tableau8[[#This Row],[Total 5 HT]],Tableau8[[#This Row],[Total 6 HT]]))</calculatedColumnFormula>
    </tableColumn>
    <tableColumn id="5" xr3:uid="{6C110F2D-EE80-46F5-9987-5845182D4B62}" name="Date Achat 1" dataDxfId="103"/>
    <tableColumn id="6" xr3:uid="{24F800F4-90CA-4550-9529-336CBCBEFDA4}" name="Achat 1" dataDxfId="102"/>
    <tableColumn id="7" xr3:uid="{8B5B8FC1-26F8-49B9-94AA-701EDE84B558}" name="Quantité 1" dataDxfId="101"/>
    <tableColumn id="8" xr3:uid="{BB71A738-47F3-4C93-A72E-A3BE9EBC258E}" name="Prix proposé achat 1 HT" dataDxfId="100">
      <calculatedColumnFormula>IF('SAISIE ACHATS CONSOMMABLES'!$K2="","",VLOOKUP('SAISIE ACHATS CONSOMMABLES'!$J2,'BDD FROMAGES_CONSOMMABLES'!$H:$I,2,FALSE))</calculatedColumnFormula>
    </tableColumn>
    <tableColumn id="9" xr3:uid="{990A635D-33E4-4DB8-A29B-D35703EB266B}" name="Prix achat 1 HT a saisir(compléter si différent de prix proposé)" dataDxfId="99"/>
    <tableColumn id="10" xr3:uid="{604F8742-172F-4BA0-9457-DBF2DB62A520}" name="Total 1 HT" dataDxfId="98">
      <calculatedColumnFormula>IF('SAISIE ACHATS CONSOMMABLES'!$K2="","",IF('SAISIE ACHATS CONSOMMABLES'!$M2="",'SAISIE ACHATS CONSOMMABLES'!$L2*'SAISIE ACHATS CONSOMMABLES'!$K2,'SAISIE ACHATS CONSOMMABLES'!$M2*'SAISIE ACHATS CONSOMMABLES'!$K2))</calculatedColumnFormula>
    </tableColumn>
    <tableColumn id="11" xr3:uid="{4A652BA2-AD57-4682-B812-67D871563D06}" name="TVA 1" dataDxfId="97">
      <calculatedColumnFormula>IF('SAISIE ACHATS CONSOMMABLES'!$J2="","",(VLOOKUP('SAISIE ACHATS CONSOMMABLES'!$J2,'BDD FROMAGES_CONSOMMABLES'!$H:$J,3,FALSE))*'SAISIE ACHATS CONSOMMABLES'!$N2)</calculatedColumnFormula>
    </tableColumn>
    <tableColumn id="12" xr3:uid="{310CB3EA-9296-468E-AD28-68237FB31518}" name="Total 1 TTC" dataDxfId="96">
      <calculatedColumnFormula>IFERROR('SAISIE ACHATS CONSOMMABLES'!$N2+'SAISIE ACHATS CONSOMMABLES'!$O2,"")</calculatedColumnFormula>
    </tableColumn>
    <tableColumn id="13" xr3:uid="{B3F5259C-E29B-483C-8D98-43D2BEA7CB02}" name="Date Achat 2" dataDxfId="95"/>
    <tableColumn id="14" xr3:uid="{F58E5312-DF9C-4F76-A339-66ED5B36AB6B}" name="Achat 2" dataDxfId="94"/>
    <tableColumn id="15" xr3:uid="{14040E04-2535-42A9-B80F-917BD92A8F3A}" name="Quantité 2" dataDxfId="93"/>
    <tableColumn id="16" xr3:uid="{39486824-A397-4324-8293-B2B23C75790D}" name="Prix proposé achat 2 HT" dataDxfId="92">
      <calculatedColumnFormula>IF('SAISIE ACHATS CONSOMMABLES'!$Q2="","",VLOOKUP('SAISIE ACHATS CONSOMMABLES'!$R2,'BDD FROMAGES_CONSOMMABLES'!$H:$I,2,FALSE))</calculatedColumnFormula>
    </tableColumn>
    <tableColumn id="17" xr3:uid="{58851E78-1000-4683-9119-9E05D9A34674}" name="Prix achat 2 HT (compléter si différent de prix proposé)" dataDxfId="91"/>
    <tableColumn id="18" xr3:uid="{82F198AE-C773-4298-BC25-7C10B2A422DA}" name="Total 2 HT" dataDxfId="90">
      <calculatedColumnFormula>IF('SAISIE ACHATS CONSOMMABLES'!$S2="","",IF('SAISIE ACHATS CONSOMMABLES'!$U2="",'SAISIE ACHATS CONSOMMABLES'!$T2*'SAISIE ACHATS CONSOMMABLES'!$S2,'SAISIE ACHATS CONSOMMABLES'!$U2*'SAISIE ACHATS CONSOMMABLES'!$S2))</calculatedColumnFormula>
    </tableColumn>
    <tableColumn id="19" xr3:uid="{194109B3-39B5-4D65-AE87-32BD9E6429EA}" name="TVA 2" dataDxfId="89">
      <calculatedColumnFormula>IF('SAISIE ACHATS CONSOMMABLES'!$R2="","",(VLOOKUP('SAISIE ACHATS CONSOMMABLES'!$R2,'BDD FROMAGES_CONSOMMABLES'!$H:$J,3,FALSE))*'SAISIE ACHATS CONSOMMABLES'!$V2)</calculatedColumnFormula>
    </tableColumn>
    <tableColumn id="20" xr3:uid="{4AC9E3E1-5FF4-44C5-9083-D92C1572DF6C}" name="Total 2 TTC" dataDxfId="88">
      <calculatedColumnFormula>IFERROR('SAISIE ACHATS CONSOMMABLES'!$V2+'SAISIE ACHATS CONSOMMABLES'!$W2,"")</calculatedColumnFormula>
    </tableColumn>
    <tableColumn id="21" xr3:uid="{FCFB97B8-CFB5-4CE3-8A05-0B0C56FEACED}" name="Date Achat 3" dataDxfId="87"/>
    <tableColumn id="22" xr3:uid="{9E5D363D-EE9A-4720-935D-AE1DFA8CC628}" name="Achat 3" dataDxfId="86"/>
    <tableColumn id="23" xr3:uid="{19933D07-F620-4C6A-9DA2-985FA549D16A}" name="Quantité 3" dataDxfId="85"/>
    <tableColumn id="24" xr3:uid="{D635D12D-6649-411E-872B-404DB1B0F4F3}" name="Prix proposé achat 3 HT" dataDxfId="84">
      <calculatedColumnFormula>IF('SAISIE ACHATS CONSOMMABLES'!$Y2="","",VLOOKUP('SAISIE ACHATS CONSOMMABLES'!$Z2,'BDD FROMAGES_CONSOMMABLES'!$H:$I,2,FALSE))</calculatedColumnFormula>
    </tableColumn>
    <tableColumn id="25" xr3:uid="{0DC39667-6899-4503-BDC2-18A6F73A947A}" name="Prix achat 3 HT (compléter si différent de prix proposé)" dataDxfId="83"/>
    <tableColumn id="26" xr3:uid="{51341E42-468F-4823-918B-4AA233CC8329}" name="Total 3 HT" dataDxfId="82">
      <calculatedColumnFormula>IF('SAISIE ACHATS CONSOMMABLES'!$AA2="","",IF('SAISIE ACHATS CONSOMMABLES'!$AC2="",'SAISIE ACHATS CONSOMMABLES'!$AB2*'SAISIE ACHATS CONSOMMABLES'!$AA2,'SAISIE ACHATS CONSOMMABLES'!$AC2*'SAISIE ACHATS CONSOMMABLES'!$AA2))</calculatedColumnFormula>
    </tableColumn>
    <tableColumn id="27" xr3:uid="{F0355579-A34C-446D-8E87-C1160399D01A}" name="TVA 3" dataDxfId="81">
      <calculatedColumnFormula>IF('SAISIE ACHATS CONSOMMABLES'!$Z2="","",(VLOOKUP('SAISIE ACHATS CONSOMMABLES'!$Z2,'BDD FROMAGES_CONSOMMABLES'!$H:$J,3,FALSE))*'SAISIE ACHATS CONSOMMABLES'!$AD2)</calculatedColumnFormula>
    </tableColumn>
    <tableColumn id="28" xr3:uid="{46A4BFF7-B0C2-4FE1-8FCB-E7DEAEB499EA}" name="Total 3 TTC" dataDxfId="80">
      <calculatedColumnFormula>IFERROR('SAISIE ACHATS CONSOMMABLES'!$AD2+'SAISIE ACHATS CONSOMMABLES'!$AE2,"")</calculatedColumnFormula>
    </tableColumn>
    <tableColumn id="29" xr3:uid="{B7249AE0-9FA9-4B53-9C34-D7450B03D238}" name="Date Achat 4" dataDxfId="79"/>
    <tableColumn id="30" xr3:uid="{62F13F6A-6A90-4273-895A-5CFA9A04BFF4}" name="Achat 4" dataDxfId="78"/>
    <tableColumn id="31" xr3:uid="{EB2EB6FA-9A2F-4B10-B788-5758FF167686}" name="Quantité 4" dataDxfId="77"/>
    <tableColumn id="32" xr3:uid="{D1D6883C-80C7-4D87-8115-86FDD9ADBEC2}" name="Prix proposé achat 4 HT" dataDxfId="76">
      <calculatedColumnFormula>IF('SAISIE ACHATS CONSOMMABLES'!AG2="","",VLOOKUP('SAISIE ACHATS CONSOMMABLES'!AH2,'BDD FROMAGES_CONSOMMABLES'!$H:$I,2,FALSE))</calculatedColumnFormula>
    </tableColumn>
    <tableColumn id="33" xr3:uid="{F5105834-56F2-4501-83CF-B48FCBDF9D93}" name="Prix achat 4 HT (compléter si différent de prix proposé)" dataDxfId="75"/>
    <tableColumn id="34" xr3:uid="{1E38FCF4-B1EE-4511-909E-B4FDDF56D704}" name="Total 4 HT" dataDxfId="74">
      <calculatedColumnFormula>IF('SAISIE ACHATS CONSOMMABLES'!AI2="","",IF('SAISIE ACHATS CONSOMMABLES'!AK2="",'SAISIE ACHATS CONSOMMABLES'!AJ2*'SAISIE ACHATS CONSOMMABLES'!AI2,'SAISIE ACHATS CONSOMMABLES'!AK2*'SAISIE ACHATS CONSOMMABLES'!AI2))</calculatedColumnFormula>
    </tableColumn>
    <tableColumn id="35" xr3:uid="{E6CB087D-4017-48FD-A9C9-40297C73C305}" name="TVA 4" dataDxfId="73">
      <calculatedColumnFormula>IF('SAISIE ACHATS CONSOMMABLES'!AH2="","",(VLOOKUP('SAISIE ACHATS CONSOMMABLES'!AH2,'BDD FROMAGES_CONSOMMABLES'!$H:$J,3,FALSE))*'SAISIE ACHATS CONSOMMABLES'!AL2)</calculatedColumnFormula>
    </tableColumn>
    <tableColumn id="36" xr3:uid="{2D9EEFBC-5C36-4F96-87AA-2B9848164547}" name="Total 4 TTC" dataDxfId="72">
      <calculatedColumnFormula>IFERROR('SAISIE ACHATS CONSOMMABLES'!AL2+'SAISIE ACHATS CONSOMMABLES'!AM2,"")</calculatedColumnFormula>
    </tableColumn>
    <tableColumn id="37" xr3:uid="{AA08713C-A746-4806-8E54-CF0B9DEBE143}" name="Date Achat 5" dataDxfId="71"/>
    <tableColumn id="38" xr3:uid="{5DB12B92-A702-4432-BB32-6C9D76BC4999}" name="Achat 5" dataDxfId="70"/>
    <tableColumn id="39" xr3:uid="{4D74CEA0-7897-4839-98F3-5CFAB38716D0}" name="Quantité 5" dataDxfId="69"/>
    <tableColumn id="40" xr3:uid="{464B1FD0-8A56-4E71-BCA3-2F34B5D83A44}" name="Prix proposé achat 5 HT" dataDxfId="68">
      <calculatedColumnFormula>IF('SAISIE ACHATS CONSOMMABLES'!AO2="","",VLOOKUP('SAISIE ACHATS CONSOMMABLES'!AP2,'BDD FROMAGES_CONSOMMABLES'!$H:$I,2,FALSE))</calculatedColumnFormula>
    </tableColumn>
    <tableColumn id="41" xr3:uid="{976757FC-B48E-41F4-88EB-E1ADB5A45C93}" name="Prix achat 5 HT (compléter si différent de prix proposé)" dataDxfId="67"/>
    <tableColumn id="42" xr3:uid="{E14F5416-2E6A-4BDD-BFE8-940DB8E2F8E4}" name="Total 5 HT" dataDxfId="66">
      <calculatedColumnFormula>IF('SAISIE ACHATS CONSOMMABLES'!AQ2="","",IF('SAISIE ACHATS CONSOMMABLES'!AS2="",'SAISIE ACHATS CONSOMMABLES'!AR2*'SAISIE ACHATS CONSOMMABLES'!AQ2,'SAISIE ACHATS CONSOMMABLES'!AS2*'SAISIE ACHATS CONSOMMABLES'!AQ2))</calculatedColumnFormula>
    </tableColumn>
    <tableColumn id="43" xr3:uid="{1B122FDC-2D9D-4140-8F15-066FC5178772}" name="TVA 5" dataDxfId="65">
      <calculatedColumnFormula>IF('SAISIE ACHATS CONSOMMABLES'!AP2="","",(VLOOKUP('SAISIE ACHATS CONSOMMABLES'!AP2,'BDD FROMAGES_CONSOMMABLES'!$H:$J,3,FALSE))*'SAISIE ACHATS CONSOMMABLES'!AT2)</calculatedColumnFormula>
    </tableColumn>
    <tableColumn id="44" xr3:uid="{BCF8564F-8D67-4F1C-BB94-833084C140FD}" name="Total 5 TTC" dataDxfId="64">
      <calculatedColumnFormula>IFERROR('SAISIE ACHATS CONSOMMABLES'!AT2+'SAISIE ACHATS CONSOMMABLES'!AU2,"")</calculatedColumnFormula>
    </tableColumn>
    <tableColumn id="45" xr3:uid="{2267C0A6-EAE6-4CE1-AD04-FF0C107C1699}" name="Date Achat 6" dataDxfId="63"/>
    <tableColumn id="46" xr3:uid="{F948ACF4-0EB0-4F22-B44D-C0A6BDA579FB}" name="Achat 6" dataDxfId="62"/>
    <tableColumn id="47" xr3:uid="{197490C7-5E9D-46B0-AD6A-C2E2B77A7BFC}" name="Quantité 6" dataDxfId="61"/>
    <tableColumn id="48" xr3:uid="{F00C808F-0369-4EA8-A801-F4F450507901}" name="Prix proposé achat 6 HT" dataDxfId="60">
      <calculatedColumnFormula>IF('SAISIE ACHATS CONSOMMABLES'!AW2="","",VLOOKUP('SAISIE ACHATS CONSOMMABLES'!AX2,'BDD FROMAGES_CONSOMMABLES'!$H:$I,2,FALSE))</calculatedColumnFormula>
    </tableColumn>
    <tableColumn id="49" xr3:uid="{2DD34546-9EFE-4FA1-931F-EE5240D7C616}" name="Prix achat 6 HT (compléter si différent de prix proposé)" dataDxfId="59"/>
    <tableColumn id="50" xr3:uid="{8FC5C764-77F2-49D1-81C5-CAC58C6CD0E5}" name="Total 6 HT" dataDxfId="58">
      <calculatedColumnFormula>IF('SAISIE ACHATS CONSOMMABLES'!AY2="","",IF('SAISIE ACHATS CONSOMMABLES'!BA2="",'SAISIE ACHATS CONSOMMABLES'!AZ2*'SAISIE ACHATS CONSOMMABLES'!AY2,'SAISIE ACHATS CONSOMMABLES'!BA2*'SAISIE ACHATS CONSOMMABLES'!AY2))</calculatedColumnFormula>
    </tableColumn>
    <tableColumn id="51" xr3:uid="{8D5F73BA-B63F-4DB0-B1AB-E991E5F877EA}" name="TVA 6" dataDxfId="57">
      <calculatedColumnFormula>IF('SAISIE ACHATS CONSOMMABLES'!AX2="","",(VLOOKUP('SAISIE ACHATS CONSOMMABLES'!AX2,'BDD FROMAGES_CONSOMMABLES'!$H:$J,3,FALSE))*'SAISIE ACHATS CONSOMMABLES'!BB2)</calculatedColumnFormula>
    </tableColumn>
    <tableColumn id="52" xr3:uid="{DF8916F3-746A-4941-9AC6-3C7F2E6184BC}" name="Total 6 TTC" dataDxfId="56">
      <calculatedColumnFormula>IFERROR('SAISIE ACHATS CONSOMMABLES'!BB2+'SAISIE ACHATS CONSOMMABLES'!BC2,"")</calculatedColumnFormula>
    </tableColumn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4425EA0-2C4E-43C9-9C9A-825A10FF4F52}" name="Tableau6" displayName="Tableau6" ref="D1:E3" totalsRowShown="0" headerRowDxfId="55" dataDxfId="54">
  <autoFilter ref="D1:E3" xr:uid="{D64C59EB-E712-4443-B804-D2BACA1C264E}"/>
  <tableColumns count="2">
    <tableColumn id="1" xr3:uid="{9E71C747-60E9-48D1-9A53-EEC5B424792B}" name="Question" dataDxfId="53"/>
    <tableColumn id="2" xr3:uid="{69310352-65D0-4B86-A753-BAA6BD48EE61}" name="Réponse" dataDxfId="52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CD2BBC3-E129-47C6-BCA7-3927DF204833}" name="Tableau12" displayName="Tableau12" ref="I1:J4" totalsRowShown="0">
  <autoFilter ref="I1:J4" xr:uid="{39E88AD1-A968-4E47-9A1A-2114AF156464}"/>
  <tableColumns count="2">
    <tableColumn id="1" xr3:uid="{75C5524D-F278-4D80-A35A-3F67554C5E1F}" name="AXES AMELIO"/>
    <tableColumn id="2" xr3:uid="{266965DC-8825-4AB6-AB5D-D8CD363B74F5}" name="Réponse" dataDxfId="51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588C7DB-3772-462F-AA17-6E20B08BA853}" name="Tableau7" displayName="Tableau7" ref="A1:D8" totalsRowShown="0">
  <autoFilter ref="A1:D8" xr:uid="{7974F870-E445-4039-87B3-2730C69E6B5E}"/>
  <tableColumns count="4">
    <tableColumn id="1" xr3:uid="{6AAB452E-AFA2-4CAC-B568-5213C391700E}" name="Date" dataDxfId="50"/>
    <tableColumn id="2" xr3:uid="{AE0E9B06-3664-44FA-9167-EF82501C86AE}" name="Heure début"/>
    <tableColumn id="3" xr3:uid="{2FF6E3DD-1D9F-4F38-93B0-B069B3FBAD73}" name="Heure fin"/>
    <tableColumn id="4" xr3:uid="{31948873-6D8B-44EC-85A2-23F2EF9C8F19}" name="Heure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8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8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9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ivotTable" Target="../pivotTables/pivotTable1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0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1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2.bin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2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14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3B900-72FD-4A33-9FE4-46BA5218A735}">
  <sheetPr codeName="Feuil1"/>
  <dimension ref="A1:AF45"/>
  <sheetViews>
    <sheetView topLeftCell="A7" workbookViewId="0">
      <selection activeCell="I24" sqref="I24"/>
    </sheetView>
  </sheetViews>
  <sheetFormatPr baseColWidth="10" defaultRowHeight="15" x14ac:dyDescent="0.25"/>
  <cols>
    <col min="1" max="4" width="11.42578125" style="274"/>
    <col min="5" max="5" width="11.42578125" style="3" customWidth="1"/>
    <col min="6" max="32" width="11.42578125" style="3"/>
  </cols>
  <sheetData>
    <row r="1" spans="5:32" x14ac:dyDescent="0.25">
      <c r="E1" s="274"/>
      <c r="F1" s="274"/>
      <c r="G1" s="274"/>
      <c r="H1" s="274"/>
      <c r="I1" s="274"/>
      <c r="J1" s="274"/>
      <c r="K1" s="274"/>
      <c r="L1" s="274"/>
      <c r="M1" s="274"/>
      <c r="N1" s="274"/>
      <c r="O1" s="274"/>
      <c r="P1" s="274"/>
      <c r="Q1" s="274"/>
      <c r="R1" s="274"/>
      <c r="S1" s="274"/>
      <c r="T1" s="274"/>
      <c r="U1" s="274"/>
      <c r="V1" s="274"/>
      <c r="W1" s="274"/>
      <c r="X1" s="274"/>
      <c r="Y1" s="274"/>
      <c r="Z1" s="274"/>
      <c r="AA1" s="274"/>
      <c r="AB1" s="274"/>
      <c r="AC1" s="274"/>
      <c r="AD1" s="274"/>
      <c r="AE1" s="274"/>
      <c r="AF1" s="274"/>
    </row>
    <row r="2" spans="5:32" x14ac:dyDescent="0.25">
      <c r="E2" s="274"/>
      <c r="F2" s="274"/>
      <c r="G2" s="274"/>
      <c r="H2" s="274"/>
      <c r="I2" s="274"/>
      <c r="J2" s="274"/>
      <c r="K2" s="274"/>
      <c r="L2" s="274"/>
      <c r="M2" s="274"/>
      <c r="N2" s="274"/>
      <c r="O2" s="274"/>
      <c r="P2" s="274"/>
      <c r="Q2" s="274"/>
      <c r="R2" s="274"/>
      <c r="S2" s="274"/>
      <c r="T2" s="274"/>
      <c r="U2" s="274"/>
      <c r="V2" s="274"/>
      <c r="W2" s="274"/>
      <c r="X2" s="274"/>
      <c r="Y2" s="274"/>
      <c r="Z2" s="274"/>
      <c r="AA2" s="274"/>
      <c r="AB2" s="274"/>
      <c r="AC2" s="274"/>
      <c r="AD2" s="274"/>
      <c r="AE2" s="274"/>
      <c r="AF2" s="274"/>
    </row>
    <row r="3" spans="5:32" x14ac:dyDescent="0.25">
      <c r="E3" s="274"/>
      <c r="F3" s="274"/>
      <c r="G3" s="274"/>
      <c r="H3" s="274"/>
      <c r="I3" s="274"/>
      <c r="J3" s="274"/>
      <c r="K3" s="274"/>
      <c r="L3" s="274"/>
      <c r="M3" s="274"/>
      <c r="N3" s="274"/>
      <c r="O3" s="274"/>
      <c r="P3" s="274"/>
      <c r="Q3" s="274"/>
      <c r="R3" s="274"/>
      <c r="S3" s="274"/>
      <c r="T3" s="274"/>
      <c r="U3" s="274"/>
      <c r="V3" s="274"/>
      <c r="W3" s="274"/>
      <c r="X3" s="274"/>
      <c r="Y3" s="274"/>
      <c r="Z3" s="274"/>
      <c r="AA3" s="274"/>
      <c r="AB3" s="274"/>
      <c r="AC3" s="274"/>
      <c r="AD3" s="274"/>
      <c r="AE3" s="274"/>
      <c r="AF3" s="274"/>
    </row>
    <row r="4" spans="5:32" x14ac:dyDescent="0.25">
      <c r="E4" s="274"/>
      <c r="F4" s="274"/>
      <c r="G4" s="274"/>
      <c r="H4" s="274"/>
      <c r="I4" s="274"/>
      <c r="J4" s="274"/>
      <c r="K4" s="274"/>
      <c r="L4" s="274"/>
      <c r="M4" s="274"/>
      <c r="N4" s="274"/>
      <c r="O4" s="274"/>
      <c r="P4" s="274"/>
      <c r="Q4" s="274"/>
      <c r="R4" s="274"/>
      <c r="S4" s="274"/>
      <c r="T4" s="274"/>
      <c r="U4" s="274"/>
      <c r="V4" s="274"/>
      <c r="W4" s="274"/>
      <c r="X4" s="274"/>
      <c r="Y4" s="274"/>
      <c r="Z4" s="274"/>
      <c r="AA4" s="274"/>
      <c r="AB4" s="274"/>
      <c r="AC4" s="274"/>
      <c r="AD4" s="274"/>
      <c r="AE4" s="274"/>
      <c r="AF4" s="274"/>
    </row>
    <row r="5" spans="5:32" x14ac:dyDescent="0.25">
      <c r="E5" s="274"/>
      <c r="F5" s="274"/>
      <c r="G5" s="274"/>
      <c r="H5" s="274"/>
      <c r="I5" s="274"/>
      <c r="J5" s="274"/>
      <c r="K5" s="274"/>
      <c r="L5" s="274"/>
      <c r="M5" s="274"/>
      <c r="N5" s="274"/>
      <c r="O5" s="274"/>
      <c r="P5" s="274"/>
      <c r="Q5" s="274"/>
      <c r="R5" s="274"/>
      <c r="S5" s="274"/>
      <c r="T5" s="274"/>
      <c r="U5" s="274"/>
      <c r="V5" s="274"/>
      <c r="W5" s="274"/>
      <c r="X5" s="274"/>
      <c r="Y5" s="274"/>
      <c r="Z5" s="274"/>
      <c r="AA5" s="274"/>
      <c r="AB5" s="274"/>
      <c r="AC5" s="274"/>
      <c r="AD5" s="274"/>
      <c r="AE5" s="274"/>
      <c r="AF5" s="274"/>
    </row>
    <row r="6" spans="5:32" x14ac:dyDescent="0.25">
      <c r="E6" s="274"/>
      <c r="F6" s="274"/>
      <c r="G6" s="274"/>
      <c r="H6" s="274"/>
      <c r="I6" s="274"/>
      <c r="J6" s="274"/>
      <c r="K6" s="274"/>
      <c r="L6" s="274"/>
      <c r="M6" s="274"/>
      <c r="N6" s="274"/>
      <c r="O6" s="274"/>
      <c r="P6" s="274"/>
      <c r="Q6" s="274"/>
      <c r="R6" s="274"/>
      <c r="S6" s="274"/>
      <c r="T6" s="274"/>
      <c r="U6" s="274"/>
      <c r="V6" s="274"/>
      <c r="W6" s="274"/>
      <c r="X6" s="274"/>
      <c r="Y6" s="274"/>
      <c r="Z6" s="274"/>
      <c r="AA6" s="274"/>
      <c r="AB6" s="274"/>
      <c r="AC6" s="274"/>
      <c r="AD6" s="274"/>
      <c r="AE6" s="274"/>
      <c r="AF6" s="274"/>
    </row>
    <row r="7" spans="5:32" x14ac:dyDescent="0.25">
      <c r="E7" s="274"/>
      <c r="F7" s="274"/>
      <c r="G7" s="274"/>
      <c r="H7" s="274"/>
      <c r="I7" s="274"/>
      <c r="J7" s="274"/>
      <c r="K7" s="274"/>
      <c r="L7" s="274"/>
      <c r="M7" s="274"/>
      <c r="N7" s="274"/>
      <c r="O7" s="274"/>
      <c r="P7" s="274"/>
      <c r="Q7" s="274"/>
      <c r="R7" s="274"/>
      <c r="S7" s="274"/>
      <c r="T7" s="274"/>
      <c r="U7" s="274"/>
      <c r="V7" s="274"/>
      <c r="W7" s="274"/>
      <c r="X7" s="274"/>
      <c r="Y7" s="274"/>
      <c r="Z7" s="274"/>
      <c r="AA7" s="274"/>
      <c r="AB7" s="274"/>
      <c r="AC7" s="274"/>
      <c r="AD7" s="274"/>
      <c r="AE7" s="274"/>
      <c r="AF7" s="274"/>
    </row>
    <row r="8" spans="5:32" x14ac:dyDescent="0.25">
      <c r="E8" s="274"/>
      <c r="F8" s="274"/>
      <c r="G8" s="274"/>
      <c r="H8" s="274"/>
      <c r="I8" s="274"/>
      <c r="J8" s="274"/>
      <c r="K8" s="274"/>
      <c r="L8" s="274"/>
      <c r="M8" s="274"/>
      <c r="N8" s="274"/>
      <c r="O8" s="274"/>
      <c r="P8" s="274"/>
      <c r="Q8" s="274"/>
      <c r="R8" s="274"/>
      <c r="S8" s="274"/>
      <c r="T8" s="274"/>
      <c r="U8" s="274"/>
      <c r="V8" s="274"/>
      <c r="W8" s="274"/>
      <c r="X8" s="274"/>
      <c r="Y8" s="274"/>
      <c r="Z8" s="274"/>
      <c r="AA8" s="274"/>
      <c r="AB8" s="274"/>
      <c r="AC8" s="274"/>
      <c r="AD8" s="274"/>
      <c r="AE8" s="274"/>
      <c r="AF8" s="274"/>
    </row>
    <row r="9" spans="5:32" x14ac:dyDescent="0.25">
      <c r="E9" s="274"/>
      <c r="F9" s="274"/>
      <c r="G9" s="274"/>
      <c r="H9" s="274"/>
      <c r="I9" s="274"/>
      <c r="J9" s="274"/>
      <c r="K9" s="274"/>
      <c r="L9" s="274"/>
      <c r="M9" s="274"/>
      <c r="N9" s="274"/>
      <c r="O9" s="274"/>
      <c r="P9" s="274"/>
      <c r="Q9" s="274"/>
      <c r="R9" s="274"/>
      <c r="S9" s="274"/>
      <c r="T9" s="274"/>
      <c r="U9" s="274"/>
      <c r="V9" s="274"/>
      <c r="W9" s="274"/>
      <c r="X9" s="274"/>
      <c r="Y9" s="274"/>
      <c r="Z9" s="274"/>
      <c r="AA9" s="274"/>
      <c r="AB9" s="274"/>
      <c r="AC9" s="274"/>
      <c r="AD9" s="274"/>
      <c r="AE9" s="274"/>
      <c r="AF9" s="274"/>
    </row>
    <row r="10" spans="5:32" x14ac:dyDescent="0.25">
      <c r="E10" s="274"/>
      <c r="F10" s="274"/>
      <c r="G10" s="274"/>
      <c r="H10" s="274"/>
      <c r="I10" s="274"/>
      <c r="J10" s="274"/>
      <c r="K10" s="274"/>
      <c r="L10" s="274"/>
      <c r="M10" s="274"/>
      <c r="N10" s="274"/>
      <c r="O10" s="274"/>
      <c r="P10" s="274"/>
      <c r="Q10" s="274"/>
      <c r="R10" s="274"/>
      <c r="S10" s="274"/>
      <c r="T10" s="274"/>
      <c r="U10" s="274"/>
      <c r="V10" s="274"/>
      <c r="W10" s="274"/>
      <c r="X10" s="274"/>
      <c r="Y10" s="274"/>
      <c r="Z10" s="274"/>
      <c r="AA10" s="274"/>
      <c r="AB10" s="274"/>
      <c r="AC10" s="274"/>
      <c r="AD10" s="274"/>
      <c r="AE10" s="274"/>
      <c r="AF10" s="274"/>
    </row>
    <row r="11" spans="5:32" x14ac:dyDescent="0.25">
      <c r="E11" s="274"/>
      <c r="F11" s="274"/>
      <c r="G11" s="274"/>
      <c r="H11" s="274"/>
      <c r="I11" s="274"/>
      <c r="J11" s="274"/>
      <c r="K11" s="274"/>
      <c r="L11" s="274"/>
      <c r="M11" s="274"/>
      <c r="N11" s="274"/>
      <c r="O11" s="274"/>
      <c r="P11" s="274"/>
      <c r="Q11" s="274"/>
      <c r="R11" s="274"/>
      <c r="S11" s="274"/>
      <c r="T11" s="274"/>
      <c r="U11" s="274"/>
      <c r="V11" s="274"/>
      <c r="W11" s="274"/>
      <c r="X11" s="274"/>
      <c r="Y11" s="274"/>
      <c r="Z11" s="274"/>
      <c r="AA11" s="274"/>
      <c r="AB11" s="274"/>
      <c r="AC11" s="274"/>
      <c r="AD11" s="274"/>
      <c r="AE11" s="274"/>
      <c r="AF11" s="274"/>
    </row>
    <row r="12" spans="5:32" x14ac:dyDescent="0.25">
      <c r="E12" s="274"/>
      <c r="F12" s="274"/>
      <c r="G12" s="274"/>
      <c r="H12" s="274"/>
      <c r="I12" s="274"/>
      <c r="J12" s="274"/>
      <c r="K12" s="274"/>
      <c r="L12" s="274"/>
      <c r="M12" s="274"/>
      <c r="N12" s="274"/>
      <c r="O12" s="274"/>
      <c r="P12" s="274"/>
      <c r="Q12" s="274"/>
      <c r="R12" s="274"/>
      <c r="S12" s="274"/>
      <c r="T12" s="274"/>
      <c r="U12" s="274"/>
      <c r="V12" s="274"/>
      <c r="W12" s="274"/>
      <c r="X12" s="274"/>
      <c r="Y12" s="274"/>
      <c r="Z12" s="274"/>
      <c r="AA12" s="274"/>
      <c r="AB12" s="274"/>
      <c r="AC12" s="274"/>
      <c r="AD12" s="274"/>
      <c r="AE12" s="274"/>
      <c r="AF12" s="274"/>
    </row>
    <row r="13" spans="5:32" x14ac:dyDescent="0.25">
      <c r="E13" s="274"/>
      <c r="F13" s="274"/>
      <c r="G13" s="274"/>
      <c r="H13" s="274"/>
      <c r="I13" s="274"/>
      <c r="J13" s="274"/>
      <c r="K13" s="274"/>
      <c r="L13" s="274"/>
      <c r="M13" s="274"/>
      <c r="N13" s="274"/>
      <c r="O13" s="274"/>
      <c r="P13" s="274"/>
      <c r="Q13" s="274"/>
      <c r="R13" s="274"/>
      <c r="S13" s="274"/>
      <c r="T13" s="274"/>
      <c r="U13" s="274"/>
      <c r="V13" s="274"/>
      <c r="W13" s="274"/>
      <c r="X13" s="274"/>
      <c r="Y13" s="274"/>
      <c r="Z13" s="274"/>
      <c r="AA13" s="274"/>
      <c r="AB13" s="274"/>
      <c r="AC13" s="274"/>
      <c r="AD13" s="274"/>
      <c r="AE13" s="274"/>
      <c r="AF13" s="274"/>
    </row>
    <row r="14" spans="5:32" x14ac:dyDescent="0.25">
      <c r="E14" s="274"/>
      <c r="F14" s="274"/>
      <c r="G14" s="274"/>
      <c r="H14" s="274"/>
      <c r="I14" s="274"/>
      <c r="J14" s="274"/>
      <c r="K14" s="274"/>
      <c r="L14" s="274"/>
      <c r="M14" s="274"/>
      <c r="N14" s="274"/>
      <c r="O14" s="274"/>
      <c r="P14" s="274"/>
      <c r="Q14" s="274"/>
      <c r="R14" s="274"/>
      <c r="S14" s="274"/>
      <c r="T14" s="274"/>
      <c r="U14" s="274"/>
      <c r="V14" s="274"/>
      <c r="W14" s="274"/>
      <c r="X14" s="274"/>
      <c r="Y14" s="274"/>
      <c r="Z14" s="274"/>
      <c r="AA14" s="274"/>
      <c r="AB14" s="274"/>
      <c r="AC14" s="274"/>
      <c r="AD14" s="274"/>
      <c r="AE14" s="274"/>
      <c r="AF14" s="274"/>
    </row>
    <row r="15" spans="5:32" x14ac:dyDescent="0.25">
      <c r="E15" s="274"/>
      <c r="F15" s="274"/>
      <c r="G15" s="274"/>
      <c r="H15" s="274"/>
      <c r="I15" s="274"/>
      <c r="J15" s="274"/>
      <c r="K15" s="274"/>
      <c r="L15" s="274"/>
      <c r="M15" s="274"/>
      <c r="N15" s="274"/>
      <c r="O15" s="274"/>
      <c r="P15" s="274"/>
      <c r="Q15" s="274"/>
      <c r="R15" s="274"/>
      <c r="S15" s="274"/>
      <c r="T15" s="274"/>
      <c r="U15" s="274"/>
      <c r="V15" s="274"/>
      <c r="W15" s="274"/>
      <c r="X15" s="274"/>
      <c r="Y15" s="274"/>
      <c r="Z15" s="274"/>
      <c r="AA15" s="274"/>
      <c r="AB15" s="274"/>
      <c r="AC15" s="274"/>
      <c r="AD15" s="274"/>
      <c r="AE15" s="274"/>
      <c r="AF15" s="274"/>
    </row>
    <row r="16" spans="5:32" x14ac:dyDescent="0.25">
      <c r="E16" s="274"/>
      <c r="F16" s="274"/>
      <c r="G16" s="274"/>
      <c r="H16" s="274"/>
      <c r="I16" s="274"/>
      <c r="J16" s="274"/>
      <c r="K16" s="274"/>
      <c r="L16" s="274"/>
      <c r="M16" s="274"/>
      <c r="N16" s="274"/>
      <c r="O16" s="274"/>
      <c r="P16" s="274"/>
      <c r="Q16" s="274"/>
      <c r="R16" s="274"/>
      <c r="S16" s="274"/>
      <c r="T16" s="274"/>
      <c r="U16" s="274"/>
      <c r="V16" s="274"/>
      <c r="W16" s="274"/>
      <c r="X16" s="274"/>
      <c r="Y16" s="274"/>
      <c r="Z16" s="274"/>
      <c r="AA16" s="274"/>
      <c r="AB16" s="274"/>
      <c r="AC16" s="274"/>
      <c r="AD16" s="274"/>
      <c r="AE16" s="274"/>
      <c r="AF16" s="274"/>
    </row>
    <row r="17" spans="5:32" x14ac:dyDescent="0.25">
      <c r="E17" s="274"/>
      <c r="F17" s="274"/>
      <c r="G17" s="274"/>
      <c r="H17" s="274"/>
      <c r="I17" s="274"/>
      <c r="J17" s="274"/>
      <c r="K17" s="274"/>
      <c r="L17" s="274"/>
      <c r="M17" s="274"/>
      <c r="N17" s="274"/>
      <c r="O17" s="274"/>
      <c r="P17" s="274"/>
      <c r="Q17" s="274"/>
      <c r="R17" s="274"/>
      <c r="S17" s="274"/>
      <c r="T17" s="274"/>
      <c r="U17" s="274"/>
      <c r="V17" s="274"/>
      <c r="W17" s="274"/>
      <c r="X17" s="274"/>
      <c r="Y17" s="274"/>
      <c r="Z17" s="274"/>
      <c r="AA17" s="274"/>
      <c r="AB17" s="274"/>
      <c r="AC17" s="274"/>
      <c r="AD17" s="274"/>
      <c r="AE17" s="274"/>
      <c r="AF17" s="274"/>
    </row>
    <row r="18" spans="5:32" x14ac:dyDescent="0.25">
      <c r="E18" s="274"/>
      <c r="F18" s="274"/>
      <c r="G18" s="274"/>
      <c r="H18" s="274"/>
      <c r="I18" s="274"/>
      <c r="J18" s="274"/>
      <c r="K18" s="274"/>
      <c r="L18" s="274"/>
      <c r="M18" s="274"/>
      <c r="N18" s="274"/>
      <c r="O18" s="274"/>
      <c r="P18" s="274"/>
      <c r="Q18" s="274"/>
      <c r="R18" s="274"/>
      <c r="S18" s="274"/>
      <c r="T18" s="274"/>
      <c r="U18" s="274"/>
      <c r="V18" s="274"/>
      <c r="W18" s="274"/>
      <c r="X18" s="274"/>
      <c r="Y18" s="274"/>
      <c r="Z18" s="274"/>
      <c r="AA18" s="274"/>
      <c r="AB18" s="274"/>
      <c r="AC18" s="274"/>
      <c r="AD18" s="274"/>
      <c r="AE18" s="274"/>
      <c r="AF18" s="274"/>
    </row>
    <row r="19" spans="5:32" x14ac:dyDescent="0.25">
      <c r="E19" s="274"/>
      <c r="F19" s="274"/>
      <c r="G19" s="274"/>
      <c r="H19" s="274"/>
      <c r="I19" s="274"/>
      <c r="J19" s="274"/>
      <c r="K19" s="274"/>
      <c r="L19" s="274"/>
      <c r="M19" s="274"/>
      <c r="N19" s="274"/>
      <c r="O19" s="274"/>
      <c r="P19" s="274"/>
      <c r="Q19" s="274"/>
      <c r="R19" s="274"/>
      <c r="S19" s="274"/>
      <c r="T19" s="274"/>
      <c r="U19" s="274"/>
      <c r="V19" s="274"/>
      <c r="W19" s="274"/>
      <c r="X19" s="274"/>
      <c r="Y19" s="274"/>
      <c r="Z19" s="274"/>
      <c r="AA19" s="274"/>
      <c r="AB19" s="274"/>
      <c r="AC19" s="274"/>
      <c r="AD19" s="274"/>
      <c r="AE19" s="274"/>
      <c r="AF19" s="274"/>
    </row>
    <row r="20" spans="5:32" x14ac:dyDescent="0.25">
      <c r="E20" s="274"/>
      <c r="F20" s="274"/>
      <c r="G20" s="274"/>
      <c r="H20" s="274"/>
      <c r="I20" s="274"/>
      <c r="J20" s="274"/>
      <c r="K20" s="274"/>
      <c r="L20" s="274"/>
      <c r="M20" s="274"/>
      <c r="N20" s="274"/>
      <c r="O20" s="274"/>
      <c r="P20" s="274"/>
      <c r="Q20" s="274"/>
      <c r="R20" s="274"/>
      <c r="S20" s="274"/>
      <c r="T20" s="274"/>
      <c r="U20" s="274"/>
      <c r="V20" s="274"/>
      <c r="W20" s="274"/>
      <c r="X20" s="274"/>
      <c r="Y20" s="274"/>
      <c r="Z20" s="274"/>
      <c r="AA20" s="274"/>
      <c r="AB20" s="274"/>
      <c r="AC20" s="274"/>
      <c r="AD20" s="274"/>
      <c r="AE20" s="274"/>
      <c r="AF20" s="274"/>
    </row>
    <row r="21" spans="5:32" x14ac:dyDescent="0.25">
      <c r="E21" s="274"/>
      <c r="F21" s="274"/>
      <c r="G21" s="274"/>
      <c r="H21" s="274"/>
      <c r="I21" s="274"/>
      <c r="J21" s="274"/>
      <c r="K21" s="274"/>
      <c r="L21" s="274"/>
      <c r="M21" s="274"/>
      <c r="N21" s="274"/>
      <c r="O21" s="274"/>
      <c r="P21" s="274"/>
      <c r="Q21" s="274"/>
      <c r="R21" s="274"/>
      <c r="S21" s="274"/>
      <c r="T21" s="274"/>
      <c r="U21" s="274"/>
      <c r="V21" s="274"/>
      <c r="W21" s="274"/>
      <c r="X21" s="274"/>
      <c r="Y21" s="274"/>
      <c r="Z21" s="274"/>
      <c r="AA21" s="274"/>
      <c r="AB21" s="274"/>
      <c r="AC21" s="274"/>
      <c r="AD21" s="274"/>
      <c r="AE21" s="274"/>
      <c r="AF21" s="274"/>
    </row>
    <row r="22" spans="5:32" x14ac:dyDescent="0.25">
      <c r="E22" s="274"/>
      <c r="F22" s="274"/>
      <c r="G22" s="274"/>
      <c r="H22" s="274"/>
      <c r="I22" s="274"/>
      <c r="J22" s="274"/>
      <c r="K22" s="274"/>
      <c r="L22" s="274"/>
      <c r="M22" s="274"/>
      <c r="N22" s="274"/>
      <c r="O22" s="274"/>
      <c r="P22" s="274"/>
      <c r="Q22" s="274"/>
      <c r="R22" s="274"/>
      <c r="S22" s="274"/>
      <c r="T22" s="274"/>
      <c r="U22" s="274"/>
      <c r="V22" s="274"/>
      <c r="W22" s="274"/>
      <c r="X22" s="274"/>
      <c r="Y22" s="274"/>
      <c r="Z22" s="274"/>
      <c r="AA22" s="274"/>
      <c r="AB22" s="274"/>
      <c r="AC22" s="274"/>
      <c r="AD22" s="274"/>
      <c r="AE22" s="274"/>
      <c r="AF22" s="274"/>
    </row>
    <row r="23" spans="5:32" x14ac:dyDescent="0.25">
      <c r="E23" s="274"/>
      <c r="F23" s="274"/>
      <c r="G23" s="274"/>
      <c r="H23" s="274"/>
      <c r="I23" s="274"/>
      <c r="J23" s="274"/>
      <c r="K23" s="274"/>
      <c r="L23" s="274"/>
      <c r="M23" s="274"/>
      <c r="N23" s="274"/>
      <c r="O23" s="274"/>
      <c r="P23" s="274"/>
      <c r="Q23" s="274"/>
      <c r="R23" s="274"/>
      <c r="S23" s="274"/>
      <c r="T23" s="274"/>
      <c r="U23" s="274"/>
      <c r="V23" s="274"/>
      <c r="W23" s="274"/>
      <c r="X23" s="274"/>
      <c r="Y23" s="274"/>
      <c r="Z23" s="274"/>
      <c r="AA23" s="274"/>
      <c r="AB23" s="274"/>
      <c r="AC23" s="274"/>
      <c r="AD23" s="274"/>
      <c r="AE23" s="274"/>
      <c r="AF23" s="274"/>
    </row>
    <row r="24" spans="5:32" x14ac:dyDescent="0.25">
      <c r="E24" s="274"/>
      <c r="F24" s="274"/>
      <c r="G24" s="274"/>
      <c r="H24" s="274"/>
      <c r="I24" s="274"/>
      <c r="J24" s="274"/>
      <c r="K24" s="274"/>
      <c r="L24" s="274"/>
      <c r="M24" s="274"/>
      <c r="N24" s="274"/>
      <c r="O24" s="274"/>
      <c r="P24" s="274"/>
      <c r="Q24" s="274"/>
      <c r="R24" s="274"/>
      <c r="S24" s="274"/>
      <c r="T24" s="274"/>
      <c r="U24" s="274"/>
      <c r="V24" s="274"/>
      <c r="W24" s="274"/>
      <c r="X24" s="274"/>
      <c r="Y24" s="274"/>
      <c r="Z24" s="274"/>
      <c r="AA24" s="274"/>
      <c r="AB24" s="274"/>
      <c r="AC24" s="274"/>
      <c r="AD24" s="274"/>
      <c r="AE24" s="274"/>
      <c r="AF24" s="274"/>
    </row>
    <row r="25" spans="5:32" x14ac:dyDescent="0.25">
      <c r="E25" s="274"/>
      <c r="F25" s="274"/>
      <c r="G25" s="274"/>
      <c r="H25" s="274"/>
      <c r="I25" s="274"/>
      <c r="J25" s="274"/>
      <c r="K25" s="274"/>
      <c r="L25" s="274"/>
      <c r="M25" s="274"/>
      <c r="N25" s="274"/>
      <c r="O25" s="274"/>
      <c r="P25" s="274"/>
      <c r="Q25" s="274"/>
      <c r="R25" s="274"/>
      <c r="S25" s="274"/>
      <c r="T25" s="274"/>
      <c r="U25" s="274"/>
      <c r="V25" s="274"/>
      <c r="W25" s="274"/>
      <c r="X25" s="274"/>
      <c r="Y25" s="274"/>
      <c r="Z25" s="274"/>
      <c r="AA25" s="274"/>
      <c r="AB25" s="274"/>
      <c r="AC25" s="274"/>
      <c r="AD25" s="274"/>
      <c r="AE25" s="274"/>
      <c r="AF25" s="274"/>
    </row>
    <row r="26" spans="5:32" x14ac:dyDescent="0.25">
      <c r="E26" s="274"/>
      <c r="F26" s="274"/>
      <c r="G26" s="274"/>
      <c r="H26" s="274"/>
      <c r="I26" s="274"/>
      <c r="J26" s="274"/>
      <c r="K26" s="274"/>
      <c r="L26" s="274"/>
      <c r="M26" s="274"/>
      <c r="N26" s="274"/>
      <c r="O26" s="274"/>
      <c r="P26" s="274"/>
      <c r="Q26" s="274"/>
      <c r="R26" s="274"/>
      <c r="S26" s="274"/>
      <c r="T26" s="274"/>
      <c r="U26" s="274"/>
      <c r="V26" s="274"/>
      <c r="W26" s="274"/>
      <c r="X26" s="274"/>
      <c r="Y26" s="274"/>
      <c r="Z26" s="274"/>
      <c r="AA26" s="274"/>
      <c r="AB26" s="274"/>
      <c r="AC26" s="274"/>
      <c r="AD26" s="274"/>
      <c r="AE26" s="274"/>
      <c r="AF26" s="274"/>
    </row>
    <row r="27" spans="5:32" x14ac:dyDescent="0.25">
      <c r="E27" s="274"/>
      <c r="F27" s="274"/>
      <c r="G27" s="274"/>
      <c r="H27" s="274"/>
      <c r="I27" s="274"/>
      <c r="J27" s="274"/>
      <c r="K27" s="274"/>
      <c r="L27" s="274"/>
      <c r="M27" s="274"/>
      <c r="N27" s="274"/>
      <c r="O27" s="274"/>
      <c r="P27" s="274"/>
      <c r="Q27" s="274"/>
      <c r="R27" s="274"/>
      <c r="S27" s="274"/>
      <c r="T27" s="274"/>
      <c r="U27" s="274"/>
      <c r="V27" s="274"/>
      <c r="W27" s="274"/>
      <c r="X27" s="274"/>
      <c r="Y27" s="274"/>
      <c r="Z27" s="274"/>
      <c r="AA27" s="274"/>
      <c r="AB27" s="274"/>
      <c r="AC27" s="274"/>
      <c r="AD27" s="274"/>
      <c r="AE27" s="274"/>
      <c r="AF27" s="274"/>
    </row>
    <row r="28" spans="5:32" x14ac:dyDescent="0.25">
      <c r="E28" s="274"/>
      <c r="F28" s="274"/>
      <c r="G28" s="274"/>
      <c r="H28" s="274"/>
      <c r="I28" s="274"/>
      <c r="J28" s="274"/>
      <c r="K28" s="274"/>
      <c r="L28" s="274"/>
      <c r="M28" s="274"/>
      <c r="N28" s="274"/>
      <c r="O28" s="274"/>
      <c r="P28" s="274"/>
      <c r="Q28" s="274"/>
      <c r="R28" s="274"/>
      <c r="S28" s="274"/>
      <c r="T28" s="274"/>
      <c r="U28" s="274"/>
      <c r="V28" s="274"/>
      <c r="W28" s="274"/>
      <c r="X28" s="274"/>
      <c r="Y28" s="274"/>
      <c r="Z28" s="274"/>
      <c r="AA28" s="274"/>
      <c r="AB28" s="274"/>
      <c r="AC28" s="274"/>
      <c r="AD28" s="274"/>
      <c r="AE28" s="274"/>
      <c r="AF28" s="274"/>
    </row>
    <row r="29" spans="5:32" x14ac:dyDescent="0.25">
      <c r="E29" s="274"/>
      <c r="F29" s="274"/>
      <c r="G29" s="274"/>
      <c r="H29" s="274"/>
      <c r="I29" s="274"/>
      <c r="J29" s="274"/>
      <c r="K29" s="274"/>
      <c r="L29" s="274"/>
      <c r="M29" s="274"/>
      <c r="N29" s="274"/>
      <c r="O29" s="274"/>
      <c r="P29" s="274"/>
      <c r="Q29" s="274"/>
      <c r="R29" s="274"/>
      <c r="S29" s="274"/>
      <c r="T29" s="274"/>
      <c r="U29" s="274"/>
      <c r="V29" s="274"/>
      <c r="W29" s="274"/>
      <c r="X29" s="274"/>
      <c r="Y29" s="274"/>
      <c r="Z29" s="274"/>
      <c r="AA29" s="274"/>
      <c r="AB29" s="274"/>
      <c r="AC29" s="274"/>
      <c r="AD29" s="274"/>
      <c r="AE29" s="274"/>
      <c r="AF29" s="274"/>
    </row>
    <row r="30" spans="5:32" x14ac:dyDescent="0.25">
      <c r="E30" s="274"/>
      <c r="F30" s="274"/>
      <c r="G30" s="274"/>
      <c r="H30" s="274"/>
      <c r="I30" s="274"/>
      <c r="J30" s="274"/>
      <c r="K30" s="274"/>
      <c r="L30" s="274"/>
      <c r="M30" s="274"/>
      <c r="N30" s="274"/>
      <c r="O30" s="274"/>
      <c r="P30" s="274"/>
      <c r="Q30" s="274"/>
      <c r="R30" s="274"/>
      <c r="S30" s="274"/>
      <c r="T30" s="274"/>
      <c r="U30" s="274"/>
      <c r="V30" s="274"/>
      <c r="W30" s="274"/>
      <c r="X30" s="274"/>
      <c r="Y30" s="274"/>
      <c r="Z30" s="274"/>
      <c r="AA30" s="274"/>
      <c r="AB30" s="274"/>
      <c r="AC30" s="274"/>
      <c r="AD30" s="274"/>
      <c r="AE30" s="274"/>
      <c r="AF30" s="274"/>
    </row>
    <row r="31" spans="5:32" x14ac:dyDescent="0.25">
      <c r="E31" s="274"/>
      <c r="F31" s="274"/>
      <c r="G31" s="274"/>
      <c r="H31" s="274"/>
      <c r="I31" s="274"/>
      <c r="J31" s="274"/>
      <c r="K31" s="274"/>
      <c r="L31" s="274"/>
      <c r="M31" s="274"/>
      <c r="N31" s="274"/>
      <c r="O31" s="274"/>
      <c r="P31" s="274"/>
      <c r="Q31" s="274"/>
      <c r="R31" s="274"/>
      <c r="S31" s="274"/>
      <c r="T31" s="274"/>
      <c r="U31" s="274"/>
      <c r="V31" s="274"/>
      <c r="W31" s="274"/>
      <c r="X31" s="274"/>
      <c r="Y31" s="274"/>
      <c r="Z31" s="274"/>
      <c r="AA31" s="274"/>
      <c r="AB31" s="274"/>
      <c r="AC31" s="274"/>
      <c r="AD31" s="274"/>
      <c r="AE31" s="274"/>
      <c r="AF31" s="274"/>
    </row>
    <row r="32" spans="5:32" x14ac:dyDescent="0.25"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</row>
    <row r="33" spans="5:32" x14ac:dyDescent="0.25">
      <c r="E33" s="274"/>
      <c r="F33" s="274"/>
      <c r="G33" s="274"/>
      <c r="H33" s="274"/>
      <c r="I33" s="274"/>
      <c r="J33" s="274"/>
      <c r="K33" s="274"/>
      <c r="L33" s="274"/>
      <c r="M33" s="274"/>
      <c r="N33" s="274"/>
      <c r="O33" s="274"/>
      <c r="P33" s="274"/>
      <c r="Q33" s="274"/>
      <c r="R33" s="274"/>
      <c r="S33" s="274"/>
      <c r="T33" s="274"/>
      <c r="U33" s="274"/>
      <c r="V33" s="274"/>
      <c r="W33" s="274"/>
      <c r="X33" s="274"/>
      <c r="Y33" s="274"/>
      <c r="Z33" s="274"/>
      <c r="AA33" s="274"/>
      <c r="AB33" s="274"/>
      <c r="AC33" s="274"/>
      <c r="AD33" s="274"/>
      <c r="AE33" s="274"/>
      <c r="AF33" s="274"/>
    </row>
    <row r="34" spans="5:32" x14ac:dyDescent="0.25">
      <c r="E34" s="274"/>
      <c r="F34" s="274"/>
      <c r="G34" s="274"/>
      <c r="H34" s="274"/>
      <c r="I34" s="274"/>
      <c r="J34" s="274"/>
      <c r="K34" s="274"/>
      <c r="L34" s="274"/>
      <c r="M34" s="274"/>
      <c r="N34" s="274"/>
      <c r="O34" s="274"/>
      <c r="P34" s="274"/>
      <c r="Q34" s="274"/>
      <c r="R34" s="274"/>
      <c r="S34" s="274"/>
      <c r="T34" s="274"/>
      <c r="U34" s="274"/>
      <c r="V34" s="274"/>
      <c r="W34" s="274"/>
      <c r="X34" s="274"/>
      <c r="Y34" s="274"/>
      <c r="Z34" s="274"/>
      <c r="AA34" s="274"/>
      <c r="AB34" s="274"/>
      <c r="AC34" s="274"/>
      <c r="AD34" s="274"/>
      <c r="AE34" s="274"/>
      <c r="AF34" s="274"/>
    </row>
    <row r="35" spans="5:32" x14ac:dyDescent="0.25">
      <c r="E35" s="274"/>
      <c r="F35" s="274"/>
      <c r="G35" s="274"/>
      <c r="H35" s="274"/>
      <c r="I35" s="274"/>
      <c r="J35" s="274"/>
      <c r="K35" s="274"/>
      <c r="L35" s="274"/>
      <c r="M35" s="274"/>
      <c r="N35" s="274"/>
      <c r="O35" s="274"/>
      <c r="P35" s="274"/>
      <c r="Q35" s="274"/>
      <c r="R35" s="274"/>
      <c r="S35" s="274"/>
      <c r="T35" s="274"/>
      <c r="U35" s="274"/>
      <c r="V35" s="274"/>
      <c r="W35" s="274"/>
      <c r="X35" s="274"/>
      <c r="Y35" s="274"/>
      <c r="Z35" s="274"/>
      <c r="AA35" s="274"/>
      <c r="AB35" s="274"/>
      <c r="AC35" s="274"/>
      <c r="AD35" s="274"/>
      <c r="AE35" s="274"/>
      <c r="AF35" s="274"/>
    </row>
    <row r="36" spans="5:32" x14ac:dyDescent="0.25">
      <c r="E36" s="274"/>
      <c r="F36" s="274"/>
      <c r="G36" s="274"/>
      <c r="H36" s="274"/>
      <c r="I36" s="274"/>
      <c r="J36" s="274"/>
      <c r="K36" s="274"/>
      <c r="L36" s="274"/>
      <c r="M36" s="274"/>
      <c r="N36" s="274"/>
      <c r="O36" s="274"/>
      <c r="P36" s="274"/>
      <c r="Q36" s="274"/>
      <c r="R36" s="274"/>
      <c r="S36" s="274"/>
      <c r="T36" s="274"/>
      <c r="U36" s="274"/>
      <c r="V36" s="274"/>
      <c r="W36" s="274"/>
      <c r="X36" s="274"/>
      <c r="Y36" s="274"/>
      <c r="Z36" s="274"/>
      <c r="AA36" s="274"/>
      <c r="AB36" s="274"/>
      <c r="AC36" s="274"/>
      <c r="AD36" s="274"/>
      <c r="AE36" s="274"/>
      <c r="AF36" s="274"/>
    </row>
    <row r="37" spans="5:32" x14ac:dyDescent="0.25">
      <c r="E37" s="274"/>
      <c r="F37" s="274"/>
      <c r="G37" s="274"/>
      <c r="H37" s="274"/>
      <c r="I37" s="274"/>
      <c r="J37" s="274"/>
      <c r="K37" s="274"/>
      <c r="L37" s="274"/>
      <c r="M37" s="274"/>
      <c r="N37" s="274"/>
      <c r="O37" s="274"/>
      <c r="P37" s="274"/>
      <c r="Q37" s="274"/>
      <c r="R37" s="274"/>
      <c r="S37" s="274"/>
      <c r="T37" s="274"/>
      <c r="U37" s="274"/>
      <c r="V37" s="274"/>
      <c r="W37" s="274"/>
      <c r="X37" s="274"/>
      <c r="Y37" s="274"/>
      <c r="Z37" s="274"/>
      <c r="AA37" s="274"/>
      <c r="AB37" s="274"/>
      <c r="AC37" s="274"/>
      <c r="AD37" s="274"/>
      <c r="AE37" s="274"/>
      <c r="AF37" s="274"/>
    </row>
    <row r="38" spans="5:32" x14ac:dyDescent="0.25">
      <c r="E38" s="274"/>
      <c r="F38" s="274"/>
      <c r="G38" s="274"/>
      <c r="H38" s="274"/>
      <c r="I38" s="274"/>
      <c r="J38" s="274"/>
      <c r="K38" s="274"/>
      <c r="L38" s="274"/>
      <c r="M38" s="274"/>
      <c r="N38" s="274"/>
      <c r="O38" s="274"/>
      <c r="P38" s="274"/>
      <c r="Q38" s="274"/>
      <c r="R38" s="274"/>
      <c r="S38" s="274"/>
      <c r="T38" s="274"/>
      <c r="U38" s="274"/>
      <c r="V38" s="274"/>
      <c r="W38" s="274"/>
      <c r="X38" s="274"/>
      <c r="Y38" s="274"/>
      <c r="Z38" s="274"/>
      <c r="AA38" s="274"/>
      <c r="AB38" s="274"/>
      <c r="AC38" s="274"/>
      <c r="AD38" s="274"/>
      <c r="AE38" s="274"/>
      <c r="AF38" s="274"/>
    </row>
    <row r="39" spans="5:32" x14ac:dyDescent="0.25">
      <c r="E39" s="274"/>
      <c r="F39" s="274"/>
      <c r="G39" s="274"/>
      <c r="H39" s="274"/>
      <c r="I39" s="274"/>
      <c r="J39" s="274"/>
      <c r="K39" s="274"/>
      <c r="L39" s="274"/>
      <c r="M39" s="274"/>
      <c r="N39" s="274"/>
      <c r="O39" s="274"/>
      <c r="P39" s="274"/>
      <c r="Q39" s="274"/>
      <c r="R39" s="274"/>
      <c r="S39" s="274"/>
      <c r="T39" s="274"/>
      <c r="U39" s="274"/>
      <c r="V39" s="274"/>
      <c r="W39" s="274"/>
      <c r="X39" s="274"/>
      <c r="Y39" s="274"/>
      <c r="Z39" s="274"/>
      <c r="AA39" s="274"/>
      <c r="AB39" s="274"/>
      <c r="AC39" s="274"/>
      <c r="AD39" s="274"/>
      <c r="AE39" s="274"/>
      <c r="AF39" s="274"/>
    </row>
    <row r="40" spans="5:32" x14ac:dyDescent="0.25">
      <c r="E40" s="274"/>
      <c r="F40" s="274"/>
      <c r="G40" s="274"/>
      <c r="H40" s="274"/>
      <c r="I40" s="274"/>
      <c r="J40" s="274"/>
      <c r="K40" s="274"/>
      <c r="L40" s="274"/>
      <c r="M40" s="274"/>
      <c r="N40" s="274"/>
      <c r="O40" s="274"/>
      <c r="P40" s="274"/>
      <c r="Q40" s="274"/>
      <c r="R40" s="274"/>
      <c r="S40" s="274"/>
      <c r="T40" s="274"/>
      <c r="U40" s="274"/>
      <c r="V40" s="274"/>
      <c r="W40" s="274"/>
      <c r="X40" s="274"/>
      <c r="Y40" s="274"/>
      <c r="Z40" s="274"/>
      <c r="AA40" s="274"/>
      <c r="AB40" s="274"/>
      <c r="AC40" s="274"/>
      <c r="AD40" s="274"/>
      <c r="AE40" s="274"/>
      <c r="AF40" s="274"/>
    </row>
    <row r="41" spans="5:32" x14ac:dyDescent="0.25">
      <c r="E41" s="274"/>
      <c r="F41" s="274"/>
      <c r="G41" s="274"/>
      <c r="H41" s="274"/>
      <c r="I41" s="274"/>
      <c r="J41" s="274"/>
      <c r="K41" s="274"/>
      <c r="L41" s="274"/>
      <c r="M41" s="274"/>
      <c r="N41" s="274"/>
      <c r="O41" s="274"/>
      <c r="P41" s="274"/>
      <c r="Q41" s="274"/>
      <c r="R41" s="274"/>
      <c r="S41" s="274"/>
      <c r="T41" s="274"/>
      <c r="U41" s="274"/>
      <c r="V41" s="274"/>
      <c r="W41" s="274"/>
      <c r="X41" s="274"/>
      <c r="Y41" s="274"/>
      <c r="Z41" s="274"/>
      <c r="AA41" s="274"/>
      <c r="AB41" s="274"/>
      <c r="AC41" s="274"/>
      <c r="AD41" s="274"/>
      <c r="AE41" s="274"/>
      <c r="AF41" s="274"/>
    </row>
    <row r="42" spans="5:32" x14ac:dyDescent="0.25">
      <c r="E42" s="274"/>
      <c r="F42" s="274"/>
      <c r="G42" s="274"/>
      <c r="H42" s="274"/>
      <c r="I42" s="274"/>
      <c r="J42" s="274"/>
      <c r="K42" s="274"/>
      <c r="L42" s="274"/>
      <c r="M42" s="274"/>
      <c r="N42" s="274"/>
      <c r="O42" s="274"/>
      <c r="P42" s="274"/>
      <c r="Q42" s="274"/>
      <c r="R42" s="274"/>
      <c r="S42" s="274"/>
      <c r="T42" s="274"/>
      <c r="U42" s="274"/>
      <c r="V42" s="274"/>
      <c r="W42" s="274"/>
      <c r="X42" s="274"/>
      <c r="Y42" s="274"/>
      <c r="Z42" s="274"/>
      <c r="AA42" s="274"/>
      <c r="AB42" s="274"/>
      <c r="AC42" s="274"/>
      <c r="AD42" s="274"/>
      <c r="AE42" s="274"/>
      <c r="AF42" s="274"/>
    </row>
    <row r="43" spans="5:32" x14ac:dyDescent="0.25">
      <c r="E43" s="274"/>
      <c r="F43" s="274"/>
      <c r="G43" s="274"/>
      <c r="H43" s="274"/>
      <c r="I43" s="274"/>
      <c r="J43" s="274"/>
      <c r="K43" s="274"/>
      <c r="L43" s="274"/>
      <c r="M43" s="274"/>
      <c r="N43" s="274"/>
      <c r="O43" s="274"/>
      <c r="P43" s="274"/>
      <c r="Q43" s="274"/>
      <c r="R43" s="274"/>
      <c r="S43" s="274"/>
      <c r="T43" s="274"/>
      <c r="U43" s="274"/>
      <c r="V43" s="274"/>
      <c r="W43" s="274"/>
      <c r="X43" s="274"/>
      <c r="Y43" s="274"/>
      <c r="Z43" s="274"/>
      <c r="AA43" s="274"/>
      <c r="AB43" s="274"/>
      <c r="AC43" s="274"/>
      <c r="AD43" s="274"/>
      <c r="AE43" s="274"/>
      <c r="AF43" s="274"/>
    </row>
    <row r="44" spans="5:32" x14ac:dyDescent="0.25">
      <c r="E44" s="274"/>
      <c r="F44" s="274"/>
      <c r="G44" s="274"/>
      <c r="H44" s="274"/>
      <c r="I44" s="274"/>
      <c r="J44" s="274"/>
      <c r="K44" s="274"/>
      <c r="L44" s="274"/>
      <c r="M44" s="274"/>
      <c r="N44" s="274"/>
      <c r="O44" s="274"/>
      <c r="P44" s="274"/>
      <c r="Q44" s="274"/>
      <c r="R44" s="274"/>
      <c r="S44" s="274"/>
      <c r="T44" s="274"/>
      <c r="U44" s="274"/>
      <c r="V44" s="274"/>
      <c r="W44" s="274"/>
      <c r="X44" s="274"/>
      <c r="Y44" s="274"/>
      <c r="Z44" s="274"/>
      <c r="AA44" s="274"/>
      <c r="AB44" s="274"/>
      <c r="AC44" s="274"/>
      <c r="AD44" s="274"/>
      <c r="AE44" s="274"/>
      <c r="AF44" s="274"/>
    </row>
    <row r="45" spans="5:32" x14ac:dyDescent="0.25">
      <c r="E45" s="274"/>
      <c r="F45" s="274"/>
      <c r="G45" s="274"/>
      <c r="H45" s="274"/>
      <c r="I45" s="274"/>
      <c r="J45" s="274"/>
      <c r="K45" s="274"/>
      <c r="L45" s="274"/>
      <c r="M45" s="274"/>
      <c r="N45" s="274"/>
      <c r="O45" s="274"/>
      <c r="P45" s="274"/>
      <c r="Q45" s="274"/>
      <c r="R45" s="274"/>
      <c r="S45" s="274"/>
      <c r="T45" s="274"/>
      <c r="U45" s="274"/>
      <c r="V45" s="274"/>
      <c r="W45" s="274"/>
      <c r="X45" s="274"/>
      <c r="Y45" s="274"/>
      <c r="Z45" s="274"/>
      <c r="AA45" s="274"/>
      <c r="AB45" s="274"/>
      <c r="AC45" s="274"/>
      <c r="AD45" s="274"/>
      <c r="AE45" s="274"/>
      <c r="AF45" s="27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CCB2F-3EE6-4858-B77D-233550527EDB}">
  <sheetPr codeName="Feuil26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9D362-1F76-4D6B-9B98-C4DAEE78ED6C}">
  <sheetPr codeName="Feuil17">
    <pageSetUpPr fitToPage="1"/>
  </sheetPr>
  <dimension ref="A1:L33"/>
  <sheetViews>
    <sheetView view="pageBreakPreview" zoomScale="91" zoomScaleNormal="100" zoomScaleSheetLayoutView="91" workbookViewId="0">
      <selection activeCell="E11" sqref="E11"/>
    </sheetView>
  </sheetViews>
  <sheetFormatPr baseColWidth="10" defaultRowHeight="15" x14ac:dyDescent="0.25"/>
  <cols>
    <col min="1" max="1" width="17.7109375" style="29" bestFit="1" customWidth="1"/>
    <col min="2" max="2" width="65.5703125" style="29" bestFit="1" customWidth="1"/>
    <col min="3" max="3" width="14" style="29" bestFit="1" customWidth="1"/>
    <col min="4" max="4" width="17.140625" style="172" bestFit="1" customWidth="1"/>
    <col min="5" max="5" width="29.85546875" style="29" bestFit="1" customWidth="1"/>
    <col min="6" max="6" width="30.85546875" style="29" customWidth="1"/>
    <col min="7" max="7" width="22.140625" style="29" bestFit="1" customWidth="1"/>
    <col min="8" max="8" width="18.42578125" style="3" bestFit="1" customWidth="1"/>
    <col min="9" max="11" width="11.42578125" style="3"/>
  </cols>
  <sheetData>
    <row r="1" spans="1:12" ht="18.75" x14ac:dyDescent="0.3">
      <c r="A1" s="176"/>
      <c r="B1" s="293" t="s">
        <v>167</v>
      </c>
      <c r="C1" s="174"/>
    </row>
    <row r="2" spans="1:12" ht="18.75" hidden="1" x14ac:dyDescent="0.3">
      <c r="A2" s="176"/>
      <c r="B2" s="293" t="s">
        <v>168</v>
      </c>
      <c r="C2" s="174"/>
    </row>
    <row r="3" spans="1:12" ht="18.75" x14ac:dyDescent="0.3">
      <c r="A3" s="176"/>
      <c r="B3" s="293" t="s">
        <v>169</v>
      </c>
      <c r="C3" s="174"/>
    </row>
    <row r="4" spans="1:12" ht="18.75" x14ac:dyDescent="0.3">
      <c r="A4" s="176"/>
      <c r="B4" s="293" t="s">
        <v>170</v>
      </c>
      <c r="C4" s="174"/>
      <c r="J4" s="68"/>
    </row>
    <row r="5" spans="1:12" x14ac:dyDescent="0.25">
      <c r="A5" s="176"/>
      <c r="B5" s="294"/>
      <c r="J5" s="69"/>
    </row>
    <row r="6" spans="1:12" ht="26.25" x14ac:dyDescent="0.25">
      <c r="A6" s="451" t="s">
        <v>193</v>
      </c>
      <c r="B6" s="451"/>
      <c r="C6" s="451"/>
      <c r="D6" s="451"/>
      <c r="E6" s="451"/>
      <c r="F6" s="243"/>
      <c r="G6" s="243"/>
      <c r="H6" s="243"/>
      <c r="J6" s="69"/>
    </row>
    <row r="7" spans="1:12" ht="27" thickBot="1" x14ac:dyDescent="0.3">
      <c r="A7" s="243"/>
      <c r="B7" s="273"/>
      <c r="C7" s="243"/>
      <c r="D7" s="243"/>
      <c r="E7" s="243"/>
      <c r="F7" s="243"/>
      <c r="G7" s="243"/>
      <c r="H7" s="243"/>
      <c r="J7" s="69"/>
    </row>
    <row r="8" spans="1:12" ht="26.25" x14ac:dyDescent="0.3">
      <c r="A8" s="160" t="s">
        <v>194</v>
      </c>
      <c r="B8" s="295">
        <v>4</v>
      </c>
      <c r="C8" s="243"/>
      <c r="D8" s="243"/>
      <c r="E8" s="243"/>
      <c r="F8" s="243"/>
      <c r="G8" s="243"/>
      <c r="H8" s="243"/>
      <c r="J8" s="69"/>
    </row>
    <row r="9" spans="1:12" ht="19.5" thickBot="1" x14ac:dyDescent="0.35">
      <c r="A9" s="161" t="s">
        <v>171</v>
      </c>
      <c r="B9" s="296">
        <v>43225</v>
      </c>
      <c r="E9" s="109"/>
      <c r="G9" s="109"/>
      <c r="H9" s="109"/>
      <c r="J9" s="69"/>
    </row>
    <row r="10" spans="1:12" ht="19.5" thickBot="1" x14ac:dyDescent="0.35">
      <c r="C10" s="174"/>
      <c r="D10" s="109"/>
      <c r="E10" s="237"/>
      <c r="G10" s="110"/>
      <c r="H10" s="110"/>
      <c r="J10" s="69"/>
    </row>
    <row r="11" spans="1:12" ht="18.75" x14ac:dyDescent="0.3">
      <c r="C11" s="174"/>
      <c r="E11" s="303" t="s">
        <v>78</v>
      </c>
      <c r="G11" s="110"/>
      <c r="H11" s="110"/>
    </row>
    <row r="12" spans="1:12" ht="18.75" x14ac:dyDescent="0.3">
      <c r="A12" s="174"/>
      <c r="B12" s="174"/>
      <c r="C12" s="174"/>
      <c r="E12" s="304" t="str">
        <f>CONCATENATE(INDEX('BDD CLIENTS'!$B:$J,MATCH('BON DE LIVRAISON'!$E$11,'BDD CLIENTS'!$B:$B,0),MATCH('BDD CLIENTS'!$G$1,'BDD CLIENTS'!$B$1:$J$1,0))," ",INDEX('BDD CLIENTS'!$B:$J,MATCH('BON DE LIVRAISON'!$E$11,'BDD CLIENTS'!$B:$B,0),MATCH('BDD CLIENTS'!$H$1,'BDD CLIENTS'!$B$1:$J$1,0)))</f>
        <v>3 Lilas</v>
      </c>
      <c r="G12" s="110"/>
      <c r="H12" s="110"/>
    </row>
    <row r="13" spans="1:12" ht="19.5" thickBot="1" x14ac:dyDescent="0.35">
      <c r="A13" s="174"/>
      <c r="B13" s="174"/>
      <c r="E13" s="305" t="str">
        <f>CONCATENATE(INDEX('BDD CLIENTS'!$B:$J,MATCH('BON DE LIVRAISON'!$E$11,'BDD CLIENTS'!$B:$B,0),MATCH('BDD CLIENTS'!$I$1,'BDD CLIENTS'!$B$1:$J$1,0))," ",INDEX('BDD CLIENTS'!$B:$J,MATCH('BON DE LIVRAISON'!$E$11,'BDD CLIENTS'!$B:$B,0),MATCH('BDD CLIENTS'!$J$1,'BDD CLIENTS'!$B$1:$J$1,0)))</f>
        <v>64500 Ziburu</v>
      </c>
      <c r="G13" s="110"/>
      <c r="H13" s="110"/>
    </row>
    <row r="14" spans="1:12" ht="18.75" x14ac:dyDescent="0.3">
      <c r="A14" s="174"/>
      <c r="B14" s="174"/>
      <c r="C14" s="174"/>
      <c r="D14" s="454"/>
      <c r="E14" s="454"/>
      <c r="F14" s="110"/>
      <c r="G14" s="110"/>
      <c r="H14" s="110"/>
    </row>
    <row r="15" spans="1:12" ht="15.75" thickBot="1" x14ac:dyDescent="0.3"/>
    <row r="16" spans="1:12" ht="36.75" thickBot="1" x14ac:dyDescent="0.3">
      <c r="A16" s="254" t="s">
        <v>147</v>
      </c>
      <c r="B16" s="297" t="s">
        <v>292</v>
      </c>
      <c r="C16" s="266" t="s">
        <v>322</v>
      </c>
      <c r="D16" s="255" t="s">
        <v>294</v>
      </c>
      <c r="E16" s="256" t="s">
        <v>295</v>
      </c>
      <c r="F16" s="257" t="s">
        <v>176</v>
      </c>
      <c r="G16" s="3"/>
      <c r="L16" s="3"/>
    </row>
    <row r="17" spans="1:12" ht="18.75" x14ac:dyDescent="0.25">
      <c r="A17" s="244">
        <v>43225</v>
      </c>
      <c r="B17" s="298" t="s">
        <v>402</v>
      </c>
      <c r="C17" s="113" t="s">
        <v>324</v>
      </c>
      <c r="D17" s="245">
        <v>67</v>
      </c>
      <c r="E17" s="179">
        <v>14</v>
      </c>
      <c r="F17" s="179">
        <f>IF(D17="","",D17*E17)</f>
        <v>938</v>
      </c>
      <c r="G17" s="3"/>
      <c r="L17" s="3"/>
    </row>
    <row r="18" spans="1:12" ht="18.75" x14ac:dyDescent="0.25">
      <c r="A18" s="244"/>
      <c r="B18" s="298"/>
      <c r="C18" s="113"/>
      <c r="D18" s="245"/>
      <c r="E18" s="179"/>
      <c r="F18" s="179" t="str">
        <f t="shared" ref="F18:F26" si="0">IF(D18="","",D18*E18)</f>
        <v/>
      </c>
      <c r="G18" s="3"/>
      <c r="L18" s="3"/>
    </row>
    <row r="19" spans="1:12" ht="18.75" x14ac:dyDescent="0.25">
      <c r="A19" s="244"/>
      <c r="B19" s="298"/>
      <c r="C19" s="113"/>
      <c r="D19" s="245"/>
      <c r="E19" s="179"/>
      <c r="F19" s="179" t="str">
        <f t="shared" si="0"/>
        <v/>
      </c>
      <c r="G19" s="3"/>
      <c r="L19" s="3"/>
    </row>
    <row r="20" spans="1:12" ht="18.75" x14ac:dyDescent="0.25">
      <c r="A20" s="244"/>
      <c r="B20" s="298"/>
      <c r="C20" s="113"/>
      <c r="D20" s="245"/>
      <c r="E20" s="179"/>
      <c r="F20" s="179" t="str">
        <f t="shared" si="0"/>
        <v/>
      </c>
      <c r="G20" s="3"/>
      <c r="L20" s="3"/>
    </row>
    <row r="21" spans="1:12" ht="18.75" x14ac:dyDescent="0.25">
      <c r="A21" s="244"/>
      <c r="B21" s="298"/>
      <c r="C21" s="113"/>
      <c r="D21" s="245"/>
      <c r="E21" s="179"/>
      <c r="F21" s="179" t="str">
        <f t="shared" si="0"/>
        <v/>
      </c>
      <c r="G21" s="3"/>
      <c r="L21" s="3"/>
    </row>
    <row r="22" spans="1:12" ht="18.75" x14ac:dyDescent="0.25">
      <c r="A22" s="244"/>
      <c r="B22" s="298"/>
      <c r="C22" s="113"/>
      <c r="D22" s="245"/>
      <c r="E22" s="246"/>
      <c r="F22" s="179" t="str">
        <f t="shared" si="0"/>
        <v/>
      </c>
      <c r="G22" s="3"/>
      <c r="L22" s="3"/>
    </row>
    <row r="23" spans="1:12" ht="18.75" x14ac:dyDescent="0.25">
      <c r="A23" s="244"/>
      <c r="B23" s="298"/>
      <c r="C23" s="113"/>
      <c r="D23" s="245"/>
      <c r="E23" s="246"/>
      <c r="F23" s="179" t="str">
        <f t="shared" si="0"/>
        <v/>
      </c>
      <c r="G23" s="3"/>
      <c r="L23" s="3"/>
    </row>
    <row r="24" spans="1:12" ht="18.75" x14ac:dyDescent="0.25">
      <c r="A24" s="244"/>
      <c r="B24" s="298"/>
      <c r="C24" s="113"/>
      <c r="D24" s="245"/>
      <c r="E24" s="246"/>
      <c r="F24" s="179" t="str">
        <f t="shared" si="0"/>
        <v/>
      </c>
      <c r="G24" s="3"/>
      <c r="L24" s="3"/>
    </row>
    <row r="25" spans="1:12" ht="18.75" x14ac:dyDescent="0.25">
      <c r="A25" s="244"/>
      <c r="B25" s="298"/>
      <c r="C25" s="113"/>
      <c r="D25" s="245"/>
      <c r="E25" s="246"/>
      <c r="F25" s="179" t="str">
        <f t="shared" si="0"/>
        <v/>
      </c>
      <c r="G25" s="3"/>
      <c r="L25" s="3"/>
    </row>
    <row r="26" spans="1:12" ht="19.5" thickBot="1" x14ac:dyDescent="0.3">
      <c r="A26" s="247"/>
      <c r="B26" s="299"/>
      <c r="C26" s="248"/>
      <c r="D26" s="249"/>
      <c r="E26" s="250"/>
      <c r="F26" s="180" t="str">
        <f t="shared" si="0"/>
        <v/>
      </c>
      <c r="G26" s="3"/>
      <c r="L26" s="3"/>
    </row>
    <row r="27" spans="1:12" ht="12.75" customHeight="1" x14ac:dyDescent="0.25">
      <c r="C27" s="28"/>
      <c r="D27" s="29"/>
      <c r="E27" s="172"/>
      <c r="G27" s="3"/>
      <c r="L27" s="3"/>
    </row>
    <row r="28" spans="1:12" x14ac:dyDescent="0.25">
      <c r="A28" s="251"/>
      <c r="B28" s="251"/>
      <c r="C28" s="251"/>
      <c r="D28" s="252"/>
      <c r="E28" s="251"/>
      <c r="F28" s="253"/>
      <c r="G28" s="3"/>
    </row>
    <row r="29" spans="1:12" x14ac:dyDescent="0.25">
      <c r="F29" s="3"/>
      <c r="G29" s="3"/>
    </row>
    <row r="30" spans="1:12" x14ac:dyDescent="0.25">
      <c r="F30" s="3"/>
      <c r="G30" s="3"/>
    </row>
    <row r="31" spans="1:12" x14ac:dyDescent="0.25">
      <c r="F31" s="3"/>
      <c r="G31" s="3"/>
    </row>
    <row r="32" spans="1:12" ht="18" x14ac:dyDescent="0.25">
      <c r="A32" s="452" t="s">
        <v>167</v>
      </c>
      <c r="B32" s="452"/>
      <c r="C32" s="452"/>
      <c r="D32" s="452"/>
      <c r="E32" s="452"/>
      <c r="F32" s="238"/>
      <c r="G32" s="238"/>
      <c r="H32" s="238"/>
    </row>
    <row r="33" spans="1:8" ht="45.75" customHeight="1" x14ac:dyDescent="0.25">
      <c r="A33" s="453" t="s">
        <v>192</v>
      </c>
      <c r="B33" s="453"/>
      <c r="C33" s="453"/>
      <c r="D33" s="453"/>
      <c r="E33" s="453"/>
      <c r="F33" s="452"/>
      <c r="G33" s="452"/>
      <c r="H33" s="452"/>
    </row>
  </sheetData>
  <mergeCells count="5">
    <mergeCell ref="A6:E6"/>
    <mergeCell ref="A32:E32"/>
    <mergeCell ref="A33:E33"/>
    <mergeCell ref="F33:H33"/>
    <mergeCell ref="D14:E14"/>
  </mergeCells>
  <dataValidations count="1">
    <dataValidation type="list" allowBlank="1" showInputMessage="1" showErrorMessage="1" sqref="J5:J10" xr:uid="{819075EA-A7E5-46CD-9916-D0CE55741136}">
      <formula1>"janvier,février,mars,avril,mai,juin,juillet,août,septembre,octobre,novembre,décembre"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66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0742C7-1086-4A14-A73E-5F73E26FC14D}">
  <sheetPr codeName="Feuil19">
    <tabColor rgb="FFFFFF00"/>
    <pageSetUpPr fitToPage="1"/>
  </sheetPr>
  <dimension ref="A1:M49"/>
  <sheetViews>
    <sheetView view="pageBreakPreview" topLeftCell="B1" zoomScale="60" zoomScaleNormal="91" workbookViewId="0">
      <selection activeCell="C15" sqref="C15"/>
    </sheetView>
  </sheetViews>
  <sheetFormatPr baseColWidth="10" defaultRowHeight="15" x14ac:dyDescent="0.25"/>
  <cols>
    <col min="1" max="1" width="26" hidden="1" customWidth="1"/>
    <col min="2" max="2" width="22.7109375" style="104" customWidth="1"/>
    <col min="3" max="3" width="22.7109375" style="405" customWidth="1"/>
    <col min="4" max="4" width="22.7109375" style="104" customWidth="1"/>
    <col min="5" max="5" width="22.7109375" style="65" customWidth="1"/>
    <col min="6" max="6" width="16.42578125" style="104" customWidth="1"/>
    <col min="7" max="7" width="22.140625" style="104" bestFit="1" customWidth="1"/>
    <col min="8" max="8" width="18.42578125" bestFit="1" customWidth="1"/>
    <col min="10" max="10" width="8.85546875" customWidth="1"/>
    <col min="11" max="11" width="7.7109375" customWidth="1"/>
    <col min="12" max="12" width="19.7109375" bestFit="1" customWidth="1"/>
    <col min="13" max="13" width="26.140625" bestFit="1" customWidth="1"/>
  </cols>
  <sheetData>
    <row r="1" spans="1:13" ht="18.75" x14ac:dyDescent="0.25">
      <c r="B1" s="369"/>
      <c r="D1" s="370" t="s">
        <v>167</v>
      </c>
      <c r="I1" s="444"/>
      <c r="J1" s="171"/>
      <c r="K1" s="3"/>
      <c r="L1" s="3" t="s">
        <v>414</v>
      </c>
      <c r="M1" s="443" t="s">
        <v>421</v>
      </c>
    </row>
    <row r="2" spans="1:13" ht="18.75" x14ac:dyDescent="0.25">
      <c r="B2" s="369"/>
      <c r="D2" s="370" t="s">
        <v>168</v>
      </c>
      <c r="I2" t="s">
        <v>418</v>
      </c>
    </row>
    <row r="3" spans="1:13" ht="18.75" x14ac:dyDescent="0.25">
      <c r="B3" s="369"/>
      <c r="D3" s="370" t="s">
        <v>169</v>
      </c>
    </row>
    <row r="4" spans="1:13" ht="18.75" x14ac:dyDescent="0.25">
      <c r="B4" s="369"/>
      <c r="D4" s="370" t="s">
        <v>170</v>
      </c>
      <c r="J4" s="68"/>
    </row>
    <row r="5" spans="1:13" x14ac:dyDescent="0.25">
      <c r="B5" s="369"/>
      <c r="C5" s="372"/>
      <c r="J5" s="69"/>
    </row>
    <row r="6" spans="1:13" ht="26.25" x14ac:dyDescent="0.25">
      <c r="B6" s="481" t="s">
        <v>364</v>
      </c>
      <c r="C6" s="481"/>
      <c r="D6" s="481"/>
      <c r="E6" s="481"/>
      <c r="F6" s="481"/>
      <c r="G6" s="481"/>
      <c r="H6" s="481"/>
      <c r="J6" s="69"/>
    </row>
    <row r="7" spans="1:13" ht="15.75" thickBot="1" x14ac:dyDescent="0.3">
      <c r="B7" s="369"/>
      <c r="C7" s="372"/>
      <c r="F7" s="373"/>
      <c r="G7" s="373"/>
      <c r="H7" s="373"/>
      <c r="J7" s="69"/>
    </row>
    <row r="8" spans="1:13" ht="18.75" x14ac:dyDescent="0.3">
      <c r="C8" s="374" t="s">
        <v>365</v>
      </c>
      <c r="D8" s="437">
        <v>3</v>
      </c>
      <c r="E8" s="375"/>
      <c r="F8" s="482" t="s">
        <v>195</v>
      </c>
      <c r="G8" s="483"/>
      <c r="H8" s="484"/>
      <c r="J8" s="69"/>
    </row>
    <row r="9" spans="1:13" ht="19.5" thickBot="1" x14ac:dyDescent="0.35">
      <c r="C9" s="376" t="s">
        <v>171</v>
      </c>
      <c r="D9" s="377">
        <f ca="1">TODAY()</f>
        <v>43152</v>
      </c>
      <c r="E9" s="375"/>
      <c r="F9" s="485" t="str">
        <f>CONCATENATE(INDEX('BDD CLIENTS'!$B:$J,MATCH(facclient_nom_du_client,'BDD CLIENTS'!$B:$B,0),MATCH('BDD CLIENTS'!$G$1,'BDD CLIENTS'!$B$1:$J$1,0))," ",INDEX('BDD CLIENTS'!$B:$J,MATCH(facclient_nom_du_client,'BDD CLIENTS'!$B:$B,0),MATCH('BDD CLIENTS'!$H$1,'BDD CLIENTS'!$B$1:$J$1,0)))</f>
        <v>45 ROSIERS</v>
      </c>
      <c r="G9" s="486" t="str">
        <f>CONCATENATE(INDEX('BDD CLIENTS'!$B:$J,MATCH('BON DE LIVRAISON'!$E$11,'BDD CLIENTS'!$B:$B,0),MATCH('BDD CLIENTS'!$G$1,'BDD CLIENTS'!$B$1:$J$1,0))," ",INDEX('BDD CLIENTS'!$B:$J,MATCH('BON DE LIVRAISON'!$E$11,'BDD CLIENTS'!$B:$B,0),MATCH('BDD CLIENTS'!$H$1,'BDD CLIENTS'!$B$1:$J$1,0)))</f>
        <v>3 Lilas</v>
      </c>
      <c r="H9" s="487" t="str">
        <f>CONCATENATE(INDEX('BDD CLIENTS'!$B:$J,MATCH('BON DE LIVRAISON'!$E$11,'BDD CLIENTS'!$B:$B,0),MATCH('BDD CLIENTS'!$G$1,'BDD CLIENTS'!$B$1:$J$1,0))," ",INDEX('BDD CLIENTS'!$B:$J,MATCH('BON DE LIVRAISON'!$E$11,'BDD CLIENTS'!$B:$B,0),MATCH('BDD CLIENTS'!$H$1,'BDD CLIENTS'!$B$1:$J$1,0)))</f>
        <v>3 Lilas</v>
      </c>
    </row>
    <row r="10" spans="1:13" ht="18.75" x14ac:dyDescent="0.3">
      <c r="B10" s="371"/>
      <c r="C10" s="378"/>
      <c r="D10" s="371"/>
      <c r="E10" s="375"/>
      <c r="F10" s="485" t="str">
        <f>CONCATENATE(INDEX('BDD CLIENTS'!$B:$J,MATCH(facclient_nom_du_client,'BDD CLIENTS'!$B:$B,0),MATCH('BDD CLIENTS'!$I$1,'BDD CLIENTS'!$B$1:$J$1,0))," ",INDEX('BDD CLIENTS'!$B:$J,MATCH(facclient_nom_du_client,'BDD CLIENTS'!$B:$B,0),MATCH('BDD CLIENTS'!$J$1,'BDD CLIENTS'!$B$1:$J$1,0)))</f>
        <v>64000 PAU</v>
      </c>
      <c r="G10" s="486" t="str">
        <f>CONCATENATE(INDEX('BDD CLIENTS'!$B:$J,MATCH('BON DE LIVRAISON'!$E$11,'BDD CLIENTS'!$B:$B,0),MATCH('BDD CLIENTS'!$I$1,'BDD CLIENTS'!$B$1:$J$1,0))," ",INDEX('BDD CLIENTS'!$B:$J,MATCH('BON DE LIVRAISON'!$E$11,'BDD CLIENTS'!$B:$B,0),MATCH('BDD CLIENTS'!$J$1,'BDD CLIENTS'!$B$1:$J$1,0)))</f>
        <v>64500 Ziburu</v>
      </c>
      <c r="H10" s="487" t="str">
        <f>CONCATENATE(INDEX('BDD CLIENTS'!$B:$J,MATCH('BON DE LIVRAISON'!$E$11,'BDD CLIENTS'!$B:$B,0),MATCH('BDD CLIENTS'!$I$1,'BDD CLIENTS'!$B$1:$J$1,0))," ",INDEX('BDD CLIENTS'!$B:$J,MATCH('BON DE LIVRAISON'!$E$11,'BDD CLIENTS'!$B:$B,0),MATCH('BDD CLIENTS'!$J$1,'BDD CLIENTS'!$B$1:$J$1,0)))</f>
        <v>64500 Ziburu</v>
      </c>
    </row>
    <row r="11" spans="1:13" ht="18.75" x14ac:dyDescent="0.3">
      <c r="B11" s="371"/>
      <c r="C11" s="378"/>
      <c r="D11" s="379"/>
      <c r="E11" s="375"/>
      <c r="F11" s="485"/>
      <c r="G11" s="486"/>
      <c r="H11" s="487"/>
    </row>
    <row r="12" spans="1:13" ht="19.5" thickBot="1" x14ac:dyDescent="0.35">
      <c r="B12" s="371"/>
      <c r="C12" s="378"/>
      <c r="D12" s="371"/>
      <c r="E12" s="380"/>
      <c r="F12" s="478"/>
      <c r="G12" s="479"/>
      <c r="H12" s="480"/>
    </row>
    <row r="13" spans="1:13" ht="18.75" x14ac:dyDescent="0.3">
      <c r="B13" s="371"/>
      <c r="C13" s="378"/>
      <c r="D13" s="371"/>
      <c r="E13" s="380"/>
      <c r="F13" s="427"/>
      <c r="G13" s="427"/>
      <c r="H13" s="427"/>
    </row>
    <row r="14" spans="1:13" ht="36" x14ac:dyDescent="0.25">
      <c r="C14" s="381" t="s">
        <v>285</v>
      </c>
      <c r="D14" s="382" t="s">
        <v>89</v>
      </c>
      <c r="E14" s="383" t="s">
        <v>108</v>
      </c>
      <c r="F14" s="384" t="s">
        <v>366</v>
      </c>
      <c r="G14" s="381" t="s">
        <v>367</v>
      </c>
      <c r="H14" s="385" t="s">
        <v>166</v>
      </c>
    </row>
    <row r="15" spans="1:13" ht="18.75" x14ac:dyDescent="0.25">
      <c r="C15" s="386">
        <v>43225</v>
      </c>
      <c r="D15" s="387" t="s">
        <v>102</v>
      </c>
      <c r="E15" s="388" t="s">
        <v>106</v>
      </c>
      <c r="F15" s="389">
        <v>76</v>
      </c>
      <c r="G15" s="390">
        <v>15</v>
      </c>
      <c r="H15" s="391">
        <f>IF(G15="","",G15*F15)</f>
        <v>1140</v>
      </c>
    </row>
    <row r="16" spans="1:13" ht="18.75" x14ac:dyDescent="0.25">
      <c r="A16">
        <v>1</v>
      </c>
      <c r="C16" s="386"/>
      <c r="D16" s="387"/>
      <c r="E16" s="388"/>
      <c r="F16" s="389"/>
      <c r="G16" s="390"/>
      <c r="H16" s="391" t="str">
        <f t="shared" ref="H16:H19" si="0">IF(G16="","",G16*F16)</f>
        <v/>
      </c>
    </row>
    <row r="17" spans="1:8" ht="18.75" x14ac:dyDescent="0.3">
      <c r="A17">
        <v>2</v>
      </c>
      <c r="C17" s="392"/>
      <c r="D17" s="393"/>
      <c r="E17" s="394"/>
      <c r="F17" s="395"/>
      <c r="G17" s="396"/>
      <c r="H17" s="397" t="str">
        <f t="shared" si="0"/>
        <v/>
      </c>
    </row>
    <row r="18" spans="1:8" ht="18.75" x14ac:dyDescent="0.3">
      <c r="A18">
        <v>3</v>
      </c>
      <c r="C18" s="392"/>
      <c r="D18" s="393"/>
      <c r="E18" s="394"/>
      <c r="F18" s="395"/>
      <c r="G18" s="396"/>
      <c r="H18" s="397" t="str">
        <f t="shared" si="0"/>
        <v/>
      </c>
    </row>
    <row r="19" spans="1:8" ht="18.75" x14ac:dyDescent="0.3">
      <c r="A19">
        <v>4</v>
      </c>
      <c r="C19" s="398"/>
      <c r="D19" s="399"/>
      <c r="E19" s="400"/>
      <c r="F19" s="402"/>
      <c r="G19" s="403"/>
      <c r="H19" s="404" t="str">
        <f t="shared" si="0"/>
        <v/>
      </c>
    </row>
    <row r="20" spans="1:8" x14ac:dyDescent="0.25">
      <c r="A20">
        <v>5</v>
      </c>
    </row>
    <row r="21" spans="1:8" ht="12.75" customHeight="1" thickBot="1" x14ac:dyDescent="0.3">
      <c r="G21" s="406"/>
      <c r="H21" s="407"/>
    </row>
    <row r="22" spans="1:8" ht="19.5" thickTop="1" x14ac:dyDescent="0.3">
      <c r="G22" s="408" t="s">
        <v>172</v>
      </c>
      <c r="H22" s="409">
        <f>SUM(H15:H19)</f>
        <v>1140</v>
      </c>
    </row>
    <row r="23" spans="1:8" ht="19.5" thickBot="1" x14ac:dyDescent="0.35">
      <c r="G23" s="410" t="str">
        <f>CONCATENATE("TVA ","(",TEXT(TVA_FROMAGE," 0,0%"),")")</f>
        <v>TVA ( 5,5%)</v>
      </c>
      <c r="H23" s="411">
        <f>(TVA_FROMAGE*H22)</f>
        <v>62.7</v>
      </c>
    </row>
    <row r="24" spans="1:8" ht="20.25" thickTop="1" thickBot="1" x14ac:dyDescent="0.35">
      <c r="G24" s="412" t="s">
        <v>175</v>
      </c>
      <c r="H24" s="413">
        <f>H22+H23</f>
        <v>1202.7</v>
      </c>
    </row>
    <row r="25" spans="1:8" ht="9" customHeight="1" thickTop="1" x14ac:dyDescent="0.25">
      <c r="G25"/>
    </row>
    <row r="26" spans="1:8" ht="27" customHeight="1" x14ac:dyDescent="0.25">
      <c r="B26" s="447"/>
      <c r="C26" s="445" t="s">
        <v>368</v>
      </c>
      <c r="D26" s="466" t="s">
        <v>369</v>
      </c>
      <c r="E26" s="467"/>
      <c r="F26" s="468"/>
      <c r="G26" s="469" t="s">
        <v>370</v>
      </c>
      <c r="H26" s="468"/>
    </row>
    <row r="27" spans="1:8" ht="18.75" x14ac:dyDescent="0.25">
      <c r="A27">
        <v>1</v>
      </c>
      <c r="B27" s="446"/>
      <c r="C27" s="387"/>
      <c r="D27" s="470"/>
      <c r="E27" s="470"/>
      <c r="F27" s="471"/>
      <c r="G27" s="472"/>
      <c r="H27" s="473"/>
    </row>
    <row r="28" spans="1:8" ht="18.75" x14ac:dyDescent="0.25">
      <c r="A28">
        <v>2</v>
      </c>
      <c r="B28" s="446" t="s">
        <v>353</v>
      </c>
      <c r="C28" s="387" t="s">
        <v>353</v>
      </c>
      <c r="D28" s="474" t="s">
        <v>353</v>
      </c>
      <c r="E28" s="474"/>
      <c r="F28" s="475"/>
      <c r="G28" s="476" t="s">
        <v>353</v>
      </c>
      <c r="H28" s="477"/>
    </row>
    <row r="29" spans="1:8" ht="18.75" x14ac:dyDescent="0.3">
      <c r="A29">
        <v>3</v>
      </c>
      <c r="B29" s="446" t="s">
        <v>353</v>
      </c>
      <c r="C29" s="387" t="s">
        <v>353</v>
      </c>
      <c r="D29" s="458" t="s">
        <v>353</v>
      </c>
      <c r="E29" s="458"/>
      <c r="F29" s="459"/>
      <c r="G29" s="460" t="s">
        <v>353</v>
      </c>
      <c r="H29" s="461"/>
    </row>
    <row r="30" spans="1:8" ht="18.75" x14ac:dyDescent="0.3">
      <c r="A30">
        <v>4</v>
      </c>
      <c r="B30" s="446" t="s">
        <v>353</v>
      </c>
      <c r="C30" s="387" t="s">
        <v>353</v>
      </c>
      <c r="D30" s="458" t="s">
        <v>353</v>
      </c>
      <c r="E30" s="458"/>
      <c r="F30" s="459"/>
      <c r="G30" s="460" t="s">
        <v>353</v>
      </c>
      <c r="H30" s="461"/>
    </row>
    <row r="31" spans="1:8" ht="18.75" x14ac:dyDescent="0.3">
      <c r="A31">
        <v>5</v>
      </c>
      <c r="B31" s="446" t="s">
        <v>353</v>
      </c>
      <c r="C31" s="401" t="s">
        <v>353</v>
      </c>
      <c r="D31" s="462" t="s">
        <v>353</v>
      </c>
      <c r="E31" s="462"/>
      <c r="F31" s="463"/>
      <c r="G31" s="464" t="s">
        <v>353</v>
      </c>
      <c r="H31" s="465"/>
    </row>
    <row r="32" spans="1:8" ht="11.25" customHeight="1" x14ac:dyDescent="0.25"/>
    <row r="33" spans="2:8" ht="18.75" x14ac:dyDescent="0.3">
      <c r="G33" s="408" t="s">
        <v>172</v>
      </c>
      <c r="H33" s="409">
        <f>SUM(G27:H31)</f>
        <v>0</v>
      </c>
    </row>
    <row r="34" spans="2:8" ht="19.5" thickBot="1" x14ac:dyDescent="0.35">
      <c r="G34" s="410" t="str">
        <f>CONCATENATE("TVA ","(",TEXT(TVA_TRANSPORT," 0,0%"),")")</f>
        <v>TVA ( 20,0%)</v>
      </c>
      <c r="H34" s="411">
        <f>TVA_TRANSPORT*H33</f>
        <v>0</v>
      </c>
    </row>
    <row r="35" spans="2:8" ht="20.25" thickTop="1" thickBot="1" x14ac:dyDescent="0.35">
      <c r="G35" s="412" t="s">
        <v>175</v>
      </c>
      <c r="H35" s="413">
        <f>H33+H34</f>
        <v>0</v>
      </c>
    </row>
    <row r="36" spans="2:8" ht="15.75" thickTop="1" x14ac:dyDescent="0.25">
      <c r="G36"/>
    </row>
    <row r="37" spans="2:8" ht="36" x14ac:dyDescent="0.25">
      <c r="B37" s="424" t="s">
        <v>371</v>
      </c>
      <c r="C37" s="425"/>
      <c r="D37" s="425"/>
      <c r="E37" s="425"/>
      <c r="F37" s="425"/>
      <c r="G37" s="425"/>
      <c r="H37" s="426"/>
    </row>
    <row r="38" spans="2:8" ht="6" customHeight="1" x14ac:dyDescent="0.25"/>
    <row r="39" spans="2:8" ht="18.75" x14ac:dyDescent="0.3">
      <c r="G39" s="408" t="s">
        <v>172</v>
      </c>
      <c r="H39" s="409">
        <f>H33+H22</f>
        <v>1140</v>
      </c>
    </row>
    <row r="40" spans="2:8" ht="19.5" thickBot="1" x14ac:dyDescent="0.35">
      <c r="G40" s="410" t="s">
        <v>372</v>
      </c>
      <c r="H40" s="411">
        <f>H34+H23</f>
        <v>62.7</v>
      </c>
    </row>
    <row r="41" spans="2:8" ht="22.5" thickTop="1" thickBot="1" x14ac:dyDescent="0.4">
      <c r="G41" s="414" t="s">
        <v>175</v>
      </c>
      <c r="H41" s="415">
        <f>H39+H40</f>
        <v>1202.7</v>
      </c>
    </row>
    <row r="42" spans="2:8" ht="15.75" thickTop="1" x14ac:dyDescent="0.25"/>
    <row r="43" spans="2:8" ht="18.75" x14ac:dyDescent="0.3">
      <c r="B43" s="416" t="s">
        <v>373</v>
      </c>
      <c r="C43" s="416"/>
      <c r="D43" s="416"/>
      <c r="E43" s="416"/>
      <c r="F43" s="416"/>
      <c r="G43" s="416"/>
      <c r="H43" s="416"/>
    </row>
    <row r="44" spans="2:8" ht="18.75" x14ac:dyDescent="0.3">
      <c r="B44" s="416" t="s">
        <v>374</v>
      </c>
      <c r="C44" s="416"/>
      <c r="D44" s="416"/>
      <c r="E44" s="416"/>
      <c r="F44" s="416"/>
      <c r="G44" s="416"/>
      <c r="H44" s="416"/>
    </row>
    <row r="45" spans="2:8" ht="36" x14ac:dyDescent="0.25">
      <c r="B45" s="417" t="s">
        <v>375</v>
      </c>
      <c r="C45" s="457" t="s">
        <v>376</v>
      </c>
      <c r="D45" s="457"/>
      <c r="E45" s="457" t="s">
        <v>377</v>
      </c>
      <c r="F45" s="457"/>
      <c r="G45" s="457" t="s">
        <v>378</v>
      </c>
      <c r="H45" s="457"/>
    </row>
    <row r="46" spans="2:8" ht="21.75" customHeight="1" x14ac:dyDescent="0.25">
      <c r="B46" s="457" t="s">
        <v>379</v>
      </c>
      <c r="C46" s="457"/>
      <c r="D46" s="457"/>
      <c r="E46" s="457" t="s">
        <v>380</v>
      </c>
      <c r="F46" s="457"/>
      <c r="G46" s="457"/>
      <c r="H46" s="457"/>
    </row>
    <row r="48" spans="2:8" ht="18" x14ac:dyDescent="0.25">
      <c r="B48" s="455" t="s">
        <v>167</v>
      </c>
      <c r="C48" s="455"/>
      <c r="D48" s="455"/>
      <c r="E48" s="455"/>
      <c r="F48" s="455"/>
      <c r="G48" s="455"/>
      <c r="H48" s="455"/>
    </row>
    <row r="49" spans="2:8" ht="18" x14ac:dyDescent="0.25">
      <c r="B49" s="456" t="s">
        <v>192</v>
      </c>
      <c r="C49" s="456"/>
      <c r="D49" s="456"/>
      <c r="E49" s="456"/>
      <c r="F49" s="456"/>
      <c r="G49" s="456"/>
      <c r="H49" s="456"/>
    </row>
  </sheetData>
  <mergeCells count="25">
    <mergeCell ref="F12:H12"/>
    <mergeCell ref="B6:H6"/>
    <mergeCell ref="F8:H8"/>
    <mergeCell ref="F9:H9"/>
    <mergeCell ref="F10:H10"/>
    <mergeCell ref="F11:H11"/>
    <mergeCell ref="D26:F26"/>
    <mergeCell ref="G26:H26"/>
    <mergeCell ref="D27:F27"/>
    <mergeCell ref="G27:H27"/>
    <mergeCell ref="D28:F28"/>
    <mergeCell ref="G28:H28"/>
    <mergeCell ref="D29:F29"/>
    <mergeCell ref="G29:H29"/>
    <mergeCell ref="D30:F30"/>
    <mergeCell ref="G30:H30"/>
    <mergeCell ref="D31:F31"/>
    <mergeCell ref="G31:H31"/>
    <mergeCell ref="B48:H48"/>
    <mergeCell ref="B49:H49"/>
    <mergeCell ref="C45:D45"/>
    <mergeCell ref="E45:F45"/>
    <mergeCell ref="G45:H45"/>
    <mergeCell ref="B46:D46"/>
    <mergeCell ref="E46:H46"/>
  </mergeCells>
  <dataValidations count="1">
    <dataValidation type="list" allowBlank="1" showInputMessage="1" showErrorMessage="1" sqref="J5:J8" xr:uid="{A803244A-A57B-45FF-9490-AB86CAD84D52}">
      <formula1>"janvier,février,mars,avril,mai,juin,juillet,août,septembre,octobre,novembre,décembre"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64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B6AAA-9F72-43EB-B98D-128354144C5C}">
  <sheetPr codeName="Feuil2"/>
  <dimension ref="A1:Z22"/>
  <sheetViews>
    <sheetView topLeftCell="V1" zoomScale="59" zoomScaleNormal="59" workbookViewId="0">
      <selection activeCell="Y17" sqref="Y17"/>
    </sheetView>
  </sheetViews>
  <sheetFormatPr baseColWidth="10" defaultRowHeight="15" x14ac:dyDescent="0.25"/>
  <cols>
    <col min="1" max="1" width="11.5703125" style="141" customWidth="1"/>
    <col min="2" max="2" width="27.7109375" style="151" customWidth="1"/>
    <col min="3" max="3" width="29.28515625" style="420" bestFit="1" customWidth="1"/>
    <col min="4" max="4" width="22" style="136" customWidth="1"/>
    <col min="5" max="5" width="22.85546875" style="136" customWidth="1"/>
    <col min="6" max="6" width="22.28515625" style="148" customWidth="1"/>
    <col min="7" max="7" width="17.42578125" style="148" customWidth="1"/>
    <col min="8" max="9" width="16.28515625" style="140" customWidth="1"/>
    <col min="10" max="11" width="25.85546875" style="136" customWidth="1"/>
    <col min="12" max="13" width="23.5703125" style="137" customWidth="1"/>
    <col min="14" max="14" width="27.5703125" style="138" customWidth="1"/>
    <col min="15" max="15" width="19.140625" style="136" customWidth="1"/>
    <col min="16" max="16" width="19.140625" style="139" customWidth="1"/>
    <col min="17" max="17" width="11.42578125" style="154" customWidth="1"/>
    <col min="18" max="18" width="30.85546875" style="141" customWidth="1"/>
    <col min="19" max="21" width="12.140625" style="141" customWidth="1"/>
    <col min="22" max="22" width="28.28515625" style="141" bestFit="1" customWidth="1"/>
    <col min="23" max="23" width="39.42578125" style="147" bestFit="1" customWidth="1"/>
    <col min="24" max="24" width="21.7109375" style="442" bestFit="1" customWidth="1"/>
    <col min="25" max="25" width="49.5703125" style="141" customWidth="1"/>
    <col min="26" max="26" width="38.7109375" style="141" customWidth="1"/>
    <col min="27" max="16384" width="11.42578125" style="141"/>
  </cols>
  <sheetData>
    <row r="1" spans="1:26" ht="103.5" customHeight="1" x14ac:dyDescent="0.25">
      <c r="A1" s="276" t="s">
        <v>201</v>
      </c>
      <c r="B1" s="276" t="s">
        <v>412</v>
      </c>
      <c r="C1" s="418" t="s">
        <v>386</v>
      </c>
      <c r="D1" s="277" t="s">
        <v>287</v>
      </c>
      <c r="E1" s="277" t="s">
        <v>269</v>
      </c>
      <c r="F1" s="278" t="s">
        <v>355</v>
      </c>
      <c r="G1" s="278" t="s">
        <v>285</v>
      </c>
      <c r="H1" s="277" t="s">
        <v>74</v>
      </c>
      <c r="I1" s="277" t="s">
        <v>165</v>
      </c>
      <c r="J1" s="277" t="s">
        <v>89</v>
      </c>
      <c r="K1" s="277" t="s">
        <v>108</v>
      </c>
      <c r="L1" s="279" t="s">
        <v>284</v>
      </c>
      <c r="M1" s="279" t="s">
        <v>325</v>
      </c>
      <c r="N1" s="280" t="s">
        <v>154</v>
      </c>
      <c r="O1" s="277" t="s">
        <v>286</v>
      </c>
      <c r="P1" s="281" t="s">
        <v>288</v>
      </c>
      <c r="Q1" s="281" t="s">
        <v>166</v>
      </c>
      <c r="R1" s="277" t="s">
        <v>319</v>
      </c>
      <c r="S1" s="141" t="s">
        <v>404</v>
      </c>
      <c r="T1" s="141" t="s">
        <v>405</v>
      </c>
      <c r="U1" s="141" t="s">
        <v>416</v>
      </c>
      <c r="V1" s="141" t="s">
        <v>420</v>
      </c>
      <c r="W1" s="141" t="s">
        <v>411</v>
      </c>
      <c r="X1" s="440" t="s">
        <v>413</v>
      </c>
      <c r="Y1" s="141" t="s">
        <v>419</v>
      </c>
      <c r="Z1" s="141" t="s">
        <v>422</v>
      </c>
    </row>
    <row r="2" spans="1:26" x14ac:dyDescent="0.25">
      <c r="A2" s="141" t="s">
        <v>333</v>
      </c>
      <c r="B2" s="152"/>
      <c r="C2" s="419" t="str">
        <f>IF('BDD VENTES'!$B2="","A FACTURER","FACTURE")</f>
        <v>A FACTURER</v>
      </c>
      <c r="D2" s="142"/>
      <c r="E2" s="149">
        <v>2</v>
      </c>
      <c r="F2" s="150">
        <v>43225</v>
      </c>
      <c r="G2" s="143">
        <v>43150</v>
      </c>
      <c r="H2" s="282" t="s">
        <v>77</v>
      </c>
      <c r="I2" s="261" t="s">
        <v>67</v>
      </c>
      <c r="J2" s="142" t="s">
        <v>100</v>
      </c>
      <c r="K2" s="142" t="s">
        <v>105</v>
      </c>
      <c r="L2" s="144" t="s">
        <v>389</v>
      </c>
      <c r="M2" s="144" t="s">
        <v>323</v>
      </c>
      <c r="N2" s="145">
        <v>50</v>
      </c>
      <c r="O2" s="144">
        <v>56</v>
      </c>
      <c r="P2" s="146">
        <v>13</v>
      </c>
      <c r="Q2" s="153">
        <f>'BDD VENTES'!$P2*'BDD VENTES'!$N2</f>
        <v>650</v>
      </c>
      <c r="R2" s="261" t="str">
        <f>CONCATENATE('BDD VENTES'!$I2,'BDD VENTES'!$J2,'BDD VENTES'!$K2)</f>
        <v>SAÜT MoniqueESTIVE6-9 mois</v>
      </c>
      <c r="S2" s="438" t="str">
        <f>TEXT(Tableau2[[#This Row],[Date du BL]],"aaaa")</f>
        <v>2018</v>
      </c>
      <c r="T2" s="438" t="str">
        <f>TEXT(Tableau2[[#This Row],[Date du BL]],"mmmm")</f>
        <v>mai</v>
      </c>
      <c r="U2" s="438" t="str">
        <f>CONCATENATE(Tableau2[[#This Row],[année bl]],Tableau2[[#This Row],[mois bl]])</f>
        <v>2018mai</v>
      </c>
      <c r="V2" s="438" t="str">
        <f>CONCATENATE(Tableau2[[#This Row],[année bl]],Tableau2[[#This Row],[mois bl]],Tableau2[[#This Row],[N° facture client]])</f>
        <v>2018mai</v>
      </c>
      <c r="W2" s="439" t="str">
        <f>IF(Tableau2[[#This Row],[N° de document/ N°BL]]="","",CONCATENATE(Tableau2[[#This Row],[année bl]],Tableau2[[#This Row],[mois bl]],Tableau2[[#This Row],[Nom du client]]))</f>
        <v>2018maiLe Fromage d'or</v>
      </c>
      <c r="X2" s="441"/>
      <c r="Y2" s="261" t="str">
        <f>IF(Tableau2[[#This Row],[N° facture client]]&lt;&gt;"","FACTURE",IF(Tableau2[[#This Row],[Concat année_mois2]]=bddfacturesclients_concat_annee_mois,"A facturer",""))</f>
        <v>A facturer</v>
      </c>
      <c r="Z2" s="261" t="str">
        <f>IF(Tableau2[[#This Row],[Eligibilite à la facturation en cours]]="","",Tableau2[[#This Row],[Eligibilite à la facturation en cours]]&amp;Tableau2[[#This Row],[Nom du client]])</f>
        <v>A facturerLe Fromage d'or</v>
      </c>
    </row>
    <row r="3" spans="1:26" x14ac:dyDescent="0.25">
      <c r="A3" s="141" t="s">
        <v>333</v>
      </c>
      <c r="B3" s="152">
        <v>1</v>
      </c>
      <c r="C3" s="419" t="str">
        <f>IF('BDD VENTES'!$B3="","A FACTURER","FACTURE")</f>
        <v>FACTURE</v>
      </c>
      <c r="D3" s="142"/>
      <c r="E3" s="149">
        <v>2</v>
      </c>
      <c r="F3" s="150">
        <v>43225</v>
      </c>
      <c r="G3" s="143">
        <v>43150</v>
      </c>
      <c r="H3" s="282" t="s">
        <v>96</v>
      </c>
      <c r="I3" s="261" t="s">
        <v>57</v>
      </c>
      <c r="J3" s="142" t="s">
        <v>102</v>
      </c>
      <c r="K3" s="142" t="s">
        <v>106</v>
      </c>
      <c r="L3" s="144" t="s">
        <v>388</v>
      </c>
      <c r="M3" s="144" t="s">
        <v>324</v>
      </c>
      <c r="N3" s="145">
        <v>12</v>
      </c>
      <c r="O3" s="144">
        <v>6</v>
      </c>
      <c r="P3" s="146">
        <v>16</v>
      </c>
      <c r="Q3" s="153">
        <f>'BDD VENTES'!$P3*'BDD VENTES'!$N3</f>
        <v>192</v>
      </c>
      <c r="R3" s="261" t="str">
        <f>CONCATENATE('BDD VENTES'!$I3,'BDD VENTES'!$J3,'BDD VENTES'!$K3)</f>
        <v>LAUGA GrégoireFERMIER&gt;9 mois</v>
      </c>
      <c r="S3" s="438" t="str">
        <f>TEXT(Tableau2[[#This Row],[Date du BL]],"aaaa")</f>
        <v>2018</v>
      </c>
      <c r="T3" s="438" t="str">
        <f>TEXT(Tableau2[[#This Row],[Date du BL]],"mmmm")</f>
        <v>mai</v>
      </c>
      <c r="U3" s="438" t="str">
        <f>CONCATENATE(Tableau2[[#This Row],[année bl]],Tableau2[[#This Row],[mois bl]])</f>
        <v>2018mai</v>
      </c>
      <c r="V3" s="438" t="str">
        <f>CONCATENATE(Tableau2[[#This Row],[année bl]],Tableau2[[#This Row],[mois bl]],Tableau2[[#This Row],[N° facture client]])</f>
        <v>2018mai</v>
      </c>
      <c r="W3" s="439" t="str">
        <f>IF(Tableau2[[#This Row],[N° de document/ N°BL]]="","",CONCATENATE(Tableau2[[#This Row],[année bl]],Tableau2[[#This Row],[mois bl]],Tableau2[[#This Row],[Nom du client]]))</f>
        <v>2018maiEsne gaina</v>
      </c>
      <c r="X3" s="441"/>
      <c r="Y3" s="261" t="str">
        <f>IF(Tableau2[[#This Row],[N° facture client]]&lt;&gt;"","FACTURE",IF(Tableau2[[#This Row],[Concat année_mois2]]=bddfacturesclients_concat_annee_mois,"A facturer",""))</f>
        <v>A facturer</v>
      </c>
      <c r="Z3" s="261" t="str">
        <f>IF(Tableau2[[#This Row],[Eligibilite à la facturation en cours]]="","",Tableau2[[#This Row],[Eligibilite à la facturation en cours]]&amp;Tableau2[[#This Row],[Nom du client]])</f>
        <v>A facturerEsne gaina</v>
      </c>
    </row>
    <row r="4" spans="1:26" x14ac:dyDescent="0.25">
      <c r="A4" s="141" t="s">
        <v>333</v>
      </c>
      <c r="B4" s="152"/>
      <c r="C4" s="419" t="str">
        <f>IF('BDD VENTES'!$B4="","A FACTURER","FACTURE")</f>
        <v>A FACTURER</v>
      </c>
      <c r="D4" s="142"/>
      <c r="E4" s="149">
        <v>3</v>
      </c>
      <c r="F4" s="150">
        <v>43232</v>
      </c>
      <c r="G4" s="143">
        <v>43205</v>
      </c>
      <c r="H4" s="282" t="s">
        <v>77</v>
      </c>
      <c r="I4" s="261" t="s">
        <v>38</v>
      </c>
      <c r="J4" s="142" t="s">
        <v>100</v>
      </c>
      <c r="K4" s="142" t="s">
        <v>105</v>
      </c>
      <c r="L4" s="144" t="s">
        <v>400</v>
      </c>
      <c r="M4" s="144" t="s">
        <v>323</v>
      </c>
      <c r="N4" s="145">
        <v>56</v>
      </c>
      <c r="O4" s="144">
        <v>57</v>
      </c>
      <c r="P4" s="146">
        <v>13</v>
      </c>
      <c r="Q4" s="153">
        <f>'BDD VENTES'!$P4*'BDD VENTES'!$N4</f>
        <v>728</v>
      </c>
      <c r="R4" s="261" t="str">
        <f>CONCATENATE('BDD VENTES'!$I4,'BDD VENTES'!$J4,'BDD VENTES'!$K4)</f>
        <v>GAEC LANDRANESTIVE6-9 mois</v>
      </c>
      <c r="S4" s="438" t="str">
        <f>TEXT(Tableau2[[#This Row],[Date du BL]],"aaaa")</f>
        <v>2018</v>
      </c>
      <c r="T4" s="438" t="str">
        <f>TEXT(Tableau2[[#This Row],[Date du BL]],"mmmm")</f>
        <v>mai</v>
      </c>
      <c r="U4" s="438" t="str">
        <f>CONCATENATE(Tableau2[[#This Row],[année bl]],Tableau2[[#This Row],[mois bl]])</f>
        <v>2018mai</v>
      </c>
      <c r="V4" s="438" t="str">
        <f>CONCATENATE(Tableau2[[#This Row],[année bl]],Tableau2[[#This Row],[mois bl]],Tableau2[[#This Row],[N° facture client]])</f>
        <v>2018mai</v>
      </c>
      <c r="W4" s="439" t="str">
        <f>IF(Tableau2[[#This Row],[N° de document/ N°BL]]="","",CONCATENATE(Tableau2[[#This Row],[année bl]],Tableau2[[#This Row],[mois bl]],Tableau2[[#This Row],[Nom du client]]))</f>
        <v>2018maiLe Fromage d'or</v>
      </c>
      <c r="X4" s="441"/>
      <c r="Y4" s="261" t="str">
        <f>IF(Tableau2[[#This Row],[N° facture client]]&lt;&gt;"","FACTURE",IF(Tableau2[[#This Row],[Concat année_mois2]]=bddfacturesclients_concat_annee_mois,"A facturer",""))</f>
        <v>A facturer</v>
      </c>
      <c r="Z4" s="261" t="str">
        <f>IF(Tableau2[[#This Row],[Eligibilite à la facturation en cours]]="","",Tableau2[[#This Row],[Eligibilite à la facturation en cours]]&amp;Tableau2[[#This Row],[Nom du client]])</f>
        <v>A facturerLe Fromage d'or</v>
      </c>
    </row>
    <row r="5" spans="1:26" ht="30" x14ac:dyDescent="0.25">
      <c r="A5" s="141" t="s">
        <v>333</v>
      </c>
      <c r="B5" s="152"/>
      <c r="C5" s="419" t="str">
        <f>IF('BDD VENTES'!$B5="","A FACTURER","FACTURE")</f>
        <v>A FACTURER</v>
      </c>
      <c r="D5" s="142"/>
      <c r="E5" s="149">
        <v>3</v>
      </c>
      <c r="F5" s="150">
        <v>43202</v>
      </c>
      <c r="G5" s="143">
        <v>43205</v>
      </c>
      <c r="H5" s="282" t="s">
        <v>78</v>
      </c>
      <c r="I5" s="261" t="s">
        <v>30</v>
      </c>
      <c r="J5" s="142" t="s">
        <v>102</v>
      </c>
      <c r="K5" s="142" t="s">
        <v>105</v>
      </c>
      <c r="L5" s="144" t="s">
        <v>399</v>
      </c>
      <c r="M5" s="144" t="s">
        <v>324</v>
      </c>
      <c r="N5" s="145">
        <v>12</v>
      </c>
      <c r="O5" s="144">
        <v>8</v>
      </c>
      <c r="P5" s="146">
        <v>15</v>
      </c>
      <c r="Q5" s="153">
        <f>'BDD VENTES'!$P5*'BDD VENTES'!$N5</f>
        <v>180</v>
      </c>
      <c r="R5" s="261" t="str">
        <f>CONCATENATE('BDD VENTES'!$I5,'BDD VENTES'!$J5,'BDD VENTES'!$K5)</f>
        <v>BOUILLON NicolasFERMIER6-9 mois</v>
      </c>
      <c r="S5" s="438" t="str">
        <f>TEXT(Tableau2[[#This Row],[Date du BL]],"aaaa")</f>
        <v>2018</v>
      </c>
      <c r="T5" s="438" t="str">
        <f>TEXT(Tableau2[[#This Row],[Date du BL]],"mmmm")</f>
        <v>avril</v>
      </c>
      <c r="U5" s="438" t="str">
        <f>CONCATENATE(Tableau2[[#This Row],[année bl]],Tableau2[[#This Row],[mois bl]])</f>
        <v>2018avril</v>
      </c>
      <c r="V5" s="438" t="str">
        <f>CONCATENATE(Tableau2[[#This Row],[année bl]],Tableau2[[#This Row],[mois bl]],Tableau2[[#This Row],[N° facture client]])</f>
        <v>2018avril</v>
      </c>
      <c r="W5" s="439" t="str">
        <f>IF(Tableau2[[#This Row],[N° de document/ N°BL]]="","",CONCATENATE(Tableau2[[#This Row],[année bl]],Tableau2[[#This Row],[mois bl]],Tableau2[[#This Row],[Nom du client]]))</f>
        <v>2018avrilLa crème de la crème</v>
      </c>
      <c r="X5" s="441"/>
      <c r="Y5" s="261" t="str">
        <f>IF(Tableau2[[#This Row],[N° facture client]]&lt;&gt;"","FACTURE",IF(Tableau2[[#This Row],[Concat année_mois2]]=bddfacturesclients_concat_annee_mois,"A facturer",""))</f>
        <v/>
      </c>
      <c r="Z5" s="261" t="str">
        <f>IF(Tableau2[[#This Row],[Eligibilite à la facturation en cours]]="","",Tableau2[[#This Row],[Eligibilite à la facturation en cours]]&amp;Tableau2[[#This Row],[Nom du client]])</f>
        <v/>
      </c>
    </row>
    <row r="6" spans="1:26" x14ac:dyDescent="0.25">
      <c r="A6" s="141" t="s">
        <v>333</v>
      </c>
      <c r="B6" s="152">
        <v>1</v>
      </c>
      <c r="C6" s="419" t="str">
        <f>IF('BDD VENTES'!$B6="","A FACTURER","FACTURE")</f>
        <v>FACTURE</v>
      </c>
      <c r="D6" s="142"/>
      <c r="E6" s="149">
        <v>2</v>
      </c>
      <c r="F6" s="150">
        <v>43149</v>
      </c>
      <c r="G6" s="143">
        <v>43150</v>
      </c>
      <c r="H6" s="282" t="s">
        <v>265</v>
      </c>
      <c r="I6" s="261" t="s">
        <v>57</v>
      </c>
      <c r="J6" s="142" t="s">
        <v>102</v>
      </c>
      <c r="K6" s="142" t="s">
        <v>106</v>
      </c>
      <c r="L6" s="144" t="s">
        <v>388</v>
      </c>
      <c r="M6" s="144" t="s">
        <v>324</v>
      </c>
      <c r="N6" s="145">
        <v>12</v>
      </c>
      <c r="O6" s="144">
        <v>6</v>
      </c>
      <c r="P6" s="146">
        <v>16</v>
      </c>
      <c r="Q6" s="153">
        <f>'BDD VENTES'!$P6*'BDD VENTES'!$N6</f>
        <v>192</v>
      </c>
      <c r="R6" s="261" t="str">
        <f>CONCATENATE('BDD VENTES'!$I6,'BDD VENTES'!$J6,'BDD VENTES'!$K6)</f>
        <v>LAUGA GrégoireFERMIER&gt;9 mois</v>
      </c>
      <c r="S6" s="438" t="str">
        <f>TEXT(Tableau2[[#This Row],[Date du BL]],"aaaa")</f>
        <v>2018</v>
      </c>
      <c r="T6" s="438" t="str">
        <f>TEXT(Tableau2[[#This Row],[Date du BL]],"mmmm")</f>
        <v>février</v>
      </c>
      <c r="U6" s="438" t="str">
        <f>CONCATENATE(Tableau2[[#This Row],[année bl]],Tableau2[[#This Row],[mois bl]])</f>
        <v>2018février</v>
      </c>
      <c r="V6" s="438" t="str">
        <f>CONCATENATE(Tableau2[[#This Row],[année bl]],Tableau2[[#This Row],[mois bl]],Tableau2[[#This Row],[N° facture client]])</f>
        <v>2018février</v>
      </c>
      <c r="W6" s="439" t="str">
        <f>IF(Tableau2[[#This Row],[N° de document/ N°BL]]="","",CONCATENATE(Tableau2[[#This Row],[année bl]],Tableau2[[#This Row],[mois bl]],Tableau2[[#This Row],[Nom du client]]))</f>
        <v>2018févrierTOME SAVOIE 74</v>
      </c>
      <c r="X6" s="441"/>
      <c r="Y6" s="261" t="str">
        <f>IF(Tableau2[[#This Row],[N° facture client]]&lt;&gt;"","FACTURE",IF(Tableau2[[#This Row],[Concat année_mois2]]=bddfacturesclients_concat_annee_mois,"A facturer",""))</f>
        <v/>
      </c>
      <c r="Z6" s="261" t="str">
        <f>IF(Tableau2[[#This Row],[Eligibilite à la facturation en cours]]="","",Tableau2[[#This Row],[Eligibilite à la facturation en cours]]&amp;Tableau2[[#This Row],[Nom du client]])</f>
        <v/>
      </c>
    </row>
    <row r="7" spans="1:26" x14ac:dyDescent="0.25">
      <c r="A7" s="141" t="s">
        <v>333</v>
      </c>
      <c r="B7" s="152"/>
      <c r="C7" s="419" t="str">
        <f>IF('BDD VENTES'!$B7="","A FACTURER","FACTURE")</f>
        <v>A FACTURER</v>
      </c>
      <c r="D7" s="142"/>
      <c r="E7" s="149">
        <v>4</v>
      </c>
      <c r="F7" s="150">
        <v>43225</v>
      </c>
      <c r="G7" s="143">
        <v>43225</v>
      </c>
      <c r="H7" s="282" t="s">
        <v>77</v>
      </c>
      <c r="I7" s="261" t="s">
        <v>27</v>
      </c>
      <c r="J7" s="142" t="s">
        <v>102</v>
      </c>
      <c r="K7" s="142" t="s">
        <v>104</v>
      </c>
      <c r="L7" s="144" t="s">
        <v>401</v>
      </c>
      <c r="M7" s="144" t="s">
        <v>324</v>
      </c>
      <c r="N7" s="145">
        <v>67</v>
      </c>
      <c r="O7" s="144">
        <v>36</v>
      </c>
      <c r="P7" s="146">
        <v>14</v>
      </c>
      <c r="Q7" s="153">
        <f>'BDD VENTES'!$P7*'BDD VENTES'!$N7</f>
        <v>938</v>
      </c>
      <c r="R7" s="261" t="str">
        <f>CONCATENATE('BDD VENTES'!$I7,'BDD VENTES'!$J7,'BDD VENTES'!$K7)</f>
        <v>BIDABE MarcelFERMIER3-6 mois</v>
      </c>
      <c r="S7" s="438" t="str">
        <f>TEXT(Tableau2[[#This Row],[Date du BL]],"aaaa")</f>
        <v>2018</v>
      </c>
      <c r="T7" s="438" t="str">
        <f>TEXT(Tableau2[[#This Row],[Date du BL]],"mmmm")</f>
        <v>mai</v>
      </c>
      <c r="U7" s="438" t="str">
        <f>CONCATENATE(Tableau2[[#This Row],[année bl]],Tableau2[[#This Row],[mois bl]])</f>
        <v>2018mai</v>
      </c>
      <c r="V7" s="438" t="str">
        <f>CONCATENATE(Tableau2[[#This Row],[année bl]],Tableau2[[#This Row],[mois bl]],Tableau2[[#This Row],[N° facture client]])</f>
        <v>2018mai</v>
      </c>
      <c r="W7" s="439" t="str">
        <f>IF(Tableau2[[#This Row],[N° de document/ N°BL]]="","",CONCATENATE(Tableau2[[#This Row],[année bl]],Tableau2[[#This Row],[mois bl]],Tableau2[[#This Row],[Nom du client]]))</f>
        <v>2018maiLe Fromage d'or</v>
      </c>
      <c r="X7" s="441"/>
      <c r="Y7" s="261" t="str">
        <f>IF(Tableau2[[#This Row],[N° facture client]]&lt;&gt;"","FACTURE",IF(Tableau2[[#This Row],[Concat année_mois2]]=bddfacturesclients_concat_annee_mois,"A facturer",""))</f>
        <v>A facturer</v>
      </c>
      <c r="Z7" s="261" t="str">
        <f>IF(Tableau2[[#This Row],[Eligibilite à la facturation en cours]]="","",Tableau2[[#This Row],[Eligibilite à la facturation en cours]]&amp;Tableau2[[#This Row],[Nom du client]])</f>
        <v>A facturerLe Fromage d'or</v>
      </c>
    </row>
    <row r="8" spans="1:26" ht="30" x14ac:dyDescent="0.25">
      <c r="A8" s="141" t="s">
        <v>333</v>
      </c>
      <c r="B8" s="152"/>
      <c r="C8" s="419" t="str">
        <f>IF('BDD VENTES'!$B8="","A FACTURER","FACTURE")</f>
        <v>A FACTURER</v>
      </c>
      <c r="D8" s="142"/>
      <c r="E8" s="149">
        <v>4</v>
      </c>
      <c r="F8" s="150">
        <v>43225</v>
      </c>
      <c r="G8" s="143">
        <v>43225</v>
      </c>
      <c r="H8" s="282" t="s">
        <v>195</v>
      </c>
      <c r="I8" s="261" t="s">
        <v>30</v>
      </c>
      <c r="J8" s="142" t="s">
        <v>102</v>
      </c>
      <c r="K8" s="142" t="s">
        <v>106</v>
      </c>
      <c r="L8" s="144" t="s">
        <v>401</v>
      </c>
      <c r="M8" s="144" t="s">
        <v>324</v>
      </c>
      <c r="N8" s="145">
        <v>76</v>
      </c>
      <c r="O8" s="144">
        <v>45</v>
      </c>
      <c r="P8" s="146">
        <v>15</v>
      </c>
      <c r="Q8" s="153">
        <f>'BDD VENTES'!$P8*'BDD VENTES'!$N8</f>
        <v>1140</v>
      </c>
      <c r="R8" s="261" t="str">
        <f>CONCATENATE('BDD VENTES'!$I8,'BDD VENTES'!$J8,'BDD VENTES'!$K8)</f>
        <v>BOUILLON NicolasFERMIER&gt;9 mois</v>
      </c>
      <c r="S8" s="438" t="str">
        <f>TEXT(Tableau2[[#This Row],[Date du BL]],"aaaa")</f>
        <v>2018</v>
      </c>
      <c r="T8" s="438" t="str">
        <f>TEXT(Tableau2[[#This Row],[Date du BL]],"mmmm")</f>
        <v>mai</v>
      </c>
      <c r="U8" s="438" t="str">
        <f>CONCATENATE(Tableau2[[#This Row],[année bl]],Tableau2[[#This Row],[mois bl]])</f>
        <v>2018mai</v>
      </c>
      <c r="V8" s="438" t="str">
        <f>CONCATENATE(Tableau2[[#This Row],[année bl]],Tableau2[[#This Row],[mois bl]],Tableau2[[#This Row],[N° facture client]])</f>
        <v>2018mai</v>
      </c>
      <c r="W8" s="439" t="str">
        <f>IF(Tableau2[[#This Row],[N° de document/ N°BL]]="","",CONCATENATE(Tableau2[[#This Row],[année bl]],Tableau2[[#This Row],[mois bl]],Tableau2[[#This Row],[Nom du client]]))</f>
        <v>2018maiSUPER GASNA</v>
      </c>
      <c r="X8" s="441"/>
      <c r="Y8" s="261" t="str">
        <f>IF(Tableau2[[#This Row],[N° facture client]]&lt;&gt;"","FACTURE",IF(Tableau2[[#This Row],[Concat année_mois2]]=bddfacturesclients_concat_annee_mois,"A facturer",""))</f>
        <v>A facturer</v>
      </c>
      <c r="Z8" s="261" t="str">
        <f>IF(Tableau2[[#This Row],[Eligibilite à la facturation en cours]]="","",Tableau2[[#This Row],[Eligibilite à la facturation en cours]]&amp;Tableau2[[#This Row],[Nom du client]])</f>
        <v>A facturerSUPER GASNA</v>
      </c>
    </row>
    <row r="19" spans="11:11" x14ac:dyDescent="0.25">
      <c r="K19" s="136" t="s">
        <v>96</v>
      </c>
    </row>
    <row r="20" spans="11:11" x14ac:dyDescent="0.25">
      <c r="K20" s="136" t="s">
        <v>186</v>
      </c>
    </row>
    <row r="21" spans="11:11" x14ac:dyDescent="0.25">
      <c r="K21" s="136" t="s">
        <v>195</v>
      </c>
    </row>
    <row r="22" spans="11:11" x14ac:dyDescent="0.25">
      <c r="K22" s="136" t="s">
        <v>265</v>
      </c>
    </row>
  </sheetData>
  <sheetProtection insertRows="0" deleteRows="0" sort="0" autoFilter="0" pivotTables="0"/>
  <dataValidations count="1">
    <dataValidation type="list" allowBlank="1" showInputMessage="1" showErrorMessage="1" sqref="H2:H8" xr:uid="{20A8408B-D155-4F84-B417-61DA829964F2}">
      <formula1>NOM_CLIENT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7C991-CC98-4553-A3BD-3289158442E7}">
  <sheetPr codeName="Feuil20"/>
  <dimension ref="A1:S3"/>
  <sheetViews>
    <sheetView topLeftCell="K1" workbookViewId="0">
      <selection activeCell="P2" sqref="P2"/>
    </sheetView>
  </sheetViews>
  <sheetFormatPr baseColWidth="10" defaultRowHeight="15" x14ac:dyDescent="0.25"/>
  <cols>
    <col min="1" max="1" width="37.28515625" style="3" customWidth="1"/>
    <col min="2" max="2" width="7.85546875" style="3" customWidth="1"/>
    <col min="3" max="3" width="11.5703125" style="421" customWidth="1"/>
    <col min="4" max="4" width="13.85546875" bestFit="1" customWidth="1"/>
    <col min="5" max="6" width="13.85546875" customWidth="1"/>
    <col min="7" max="7" width="11.5703125" customWidth="1"/>
    <col min="8" max="8" width="26" bestFit="1" customWidth="1"/>
    <col min="9" max="9" width="13" bestFit="1" customWidth="1"/>
    <col min="10" max="10" width="13.85546875" bestFit="1" customWidth="1"/>
    <col min="11" max="11" width="22.42578125" bestFit="1" customWidth="1"/>
    <col min="12" max="12" width="22.42578125" customWidth="1"/>
    <col min="13" max="13" width="19" bestFit="1" customWidth="1"/>
    <col min="14" max="16" width="19" customWidth="1"/>
    <col min="18" max="18" width="13.28515625" customWidth="1"/>
    <col min="19" max="19" width="10.85546875" bestFit="1" customWidth="1"/>
  </cols>
  <sheetData>
    <row r="1" spans="3:19" x14ac:dyDescent="0.25">
      <c r="C1" s="421" t="s">
        <v>381</v>
      </c>
      <c r="D1" t="s">
        <v>382</v>
      </c>
      <c r="E1" t="s">
        <v>392</v>
      </c>
      <c r="F1" t="s">
        <v>393</v>
      </c>
      <c r="G1" t="s">
        <v>383</v>
      </c>
      <c r="H1" t="s">
        <v>410</v>
      </c>
      <c r="I1" t="s">
        <v>384</v>
      </c>
      <c r="J1" t="s">
        <v>385</v>
      </c>
      <c r="K1" t="s">
        <v>407</v>
      </c>
      <c r="L1" t="s">
        <v>408</v>
      </c>
      <c r="M1" t="s">
        <v>394</v>
      </c>
      <c r="N1" t="s">
        <v>395</v>
      </c>
      <c r="P1" s="488" t="s">
        <v>415</v>
      </c>
      <c r="Q1" s="488"/>
      <c r="R1" s="488"/>
      <c r="S1" s="448" t="s">
        <v>417</v>
      </c>
    </row>
    <row r="2" spans="3:19" x14ac:dyDescent="0.25">
      <c r="C2" s="421">
        <v>0</v>
      </c>
      <c r="E2" s="422"/>
      <c r="F2" s="422"/>
      <c r="H2" s="422" t="str">
        <f>IF(Tableau11[année]="","",CONCATENATE(Tableau11[année],Tableau11[mois],Tableau11[CLIENT]))</f>
        <v/>
      </c>
      <c r="P2" s="449">
        <f ca="1">TODAY()</f>
        <v>43152</v>
      </c>
      <c r="Q2" s="450">
        <v>2018</v>
      </c>
      <c r="R2" s="450" t="s">
        <v>418</v>
      </c>
      <c r="S2" s="448" t="str">
        <f>CONCATENATE(bddfacclients_annee_facturation,bdd_fac_mois)</f>
        <v>2018mai</v>
      </c>
    </row>
    <row r="3" spans="3:19" x14ac:dyDescent="0.25">
      <c r="E3" t="str">
        <f>IF($D3="","",(TEXT($D3,"aaaa")))</f>
        <v/>
      </c>
      <c r="F3" t="str">
        <f>IF($D3="","",(TEXT($D3,"mmmm")))</f>
        <v/>
      </c>
    </row>
  </sheetData>
  <mergeCells count="1">
    <mergeCell ref="P1:R1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B5178-748D-47E2-AE44-78904F28BBA0}">
  <sheetPr codeName="Feuil24">
    <tabColor rgb="FF672C94"/>
  </sheetPr>
  <dimension ref="A1:AD129"/>
  <sheetViews>
    <sheetView topLeftCell="B2" workbookViewId="0">
      <selection activeCell="J13" sqref="J13"/>
    </sheetView>
  </sheetViews>
  <sheetFormatPr baseColWidth="10" defaultRowHeight="16.5" x14ac:dyDescent="0.3"/>
  <cols>
    <col min="1" max="1" width="6.42578125" style="125" hidden="1" customWidth="1"/>
    <col min="2" max="2" width="23.7109375" style="126" customWidth="1"/>
    <col min="3" max="3" width="25.7109375" style="126" bestFit="1" customWidth="1"/>
    <col min="4" max="4" width="28.7109375" style="126" customWidth="1"/>
    <col min="5" max="5" width="15.7109375" style="126" customWidth="1"/>
    <col min="6" max="6" width="11.85546875" style="125" bestFit="1" customWidth="1"/>
    <col min="7" max="7" width="16.140625" style="126" customWidth="1"/>
    <col min="8" max="8" width="12.85546875" style="126" bestFit="1" customWidth="1"/>
    <col min="9" max="9" width="13" style="125" bestFit="1" customWidth="1"/>
    <col min="10" max="10" width="7.85546875" style="236" bestFit="1" customWidth="1"/>
    <col min="11" max="11" width="22" style="125" customWidth="1"/>
    <col min="12" max="29" width="11.42578125" style="125"/>
    <col min="30" max="16384" width="11.42578125" style="126"/>
  </cols>
  <sheetData>
    <row r="1" spans="1:30" s="125" customFormat="1" ht="37.5" hidden="1" customHeight="1" x14ac:dyDescent="0.3">
      <c r="B1" s="264"/>
      <c r="J1" s="236"/>
    </row>
    <row r="2" spans="1:30" s="125" customFormat="1" ht="17.25" thickBot="1" x14ac:dyDescent="0.35">
      <c r="G2" s="235" t="s">
        <v>317</v>
      </c>
      <c r="J2" s="236"/>
    </row>
    <row r="3" spans="1:30" ht="21.75" customHeight="1" thickTop="1" thickBot="1" x14ac:dyDescent="0.35">
      <c r="B3" s="125"/>
      <c r="C3" s="269" t="s">
        <v>327</v>
      </c>
      <c r="D3" s="270"/>
      <c r="E3" s="125"/>
      <c r="G3" s="125"/>
      <c r="H3" s="125"/>
    </row>
    <row r="4" spans="1:30" ht="27.75" customHeight="1" thickTop="1" thickBot="1" x14ac:dyDescent="0.35">
      <c r="B4" s="125"/>
      <c r="C4" s="268" t="s">
        <v>328</v>
      </c>
      <c r="D4" s="271"/>
      <c r="E4" s="125"/>
      <c r="G4" s="125"/>
      <c r="H4" s="125"/>
    </row>
    <row r="5" spans="1:30" s="125" customFormat="1" ht="22.5" customHeight="1" thickTop="1" thickBot="1" x14ac:dyDescent="0.35">
      <c r="C5" s="268" t="s">
        <v>329</v>
      </c>
      <c r="D5" s="271"/>
      <c r="J5" s="236"/>
    </row>
    <row r="6" spans="1:30" ht="24" customHeight="1" thickTop="1" thickBot="1" x14ac:dyDescent="0.35">
      <c r="B6" s="125"/>
      <c r="C6" s="267" t="s">
        <v>330</v>
      </c>
      <c r="D6" s="272"/>
      <c r="E6" s="125"/>
      <c r="G6" s="125"/>
      <c r="H6" s="125"/>
    </row>
    <row r="7" spans="1:30" ht="17.25" thickTop="1" x14ac:dyDescent="0.3">
      <c r="B7" s="125"/>
      <c r="C7" s="125"/>
      <c r="D7" s="125"/>
      <c r="E7" s="125"/>
      <c r="G7" s="125"/>
      <c r="H7" s="125"/>
    </row>
    <row r="8" spans="1:30" x14ac:dyDescent="0.3">
      <c r="B8" s="127"/>
      <c r="C8" s="127"/>
      <c r="D8" s="125"/>
      <c r="E8" s="125"/>
      <c r="G8" s="125"/>
      <c r="H8" s="125"/>
    </row>
    <row r="9" spans="1:30" x14ac:dyDescent="0.3">
      <c r="B9" s="127"/>
      <c r="C9" s="127"/>
      <c r="D9" s="125"/>
      <c r="E9" s="125"/>
      <c r="G9" s="125"/>
      <c r="H9" s="125"/>
    </row>
    <row r="10" spans="1:30" x14ac:dyDescent="0.3">
      <c r="B10" s="127"/>
      <c r="C10" s="127"/>
      <c r="D10" s="125"/>
      <c r="E10" s="125"/>
      <c r="G10" s="125"/>
      <c r="H10" s="125"/>
    </row>
    <row r="11" spans="1:30" x14ac:dyDescent="0.3">
      <c r="B11" s="125"/>
      <c r="C11" s="125"/>
      <c r="D11" s="125"/>
      <c r="E11" s="125"/>
      <c r="G11" s="125"/>
      <c r="H11" s="125"/>
    </row>
    <row r="12" spans="1:30" ht="57.75" customHeight="1" x14ac:dyDescent="0.3">
      <c r="B12" s="134"/>
      <c r="C12" s="239" t="s">
        <v>165</v>
      </c>
      <c r="D12" s="239" t="s">
        <v>89</v>
      </c>
      <c r="E12" s="239" t="s">
        <v>270</v>
      </c>
      <c r="F12" s="239" t="s">
        <v>322</v>
      </c>
      <c r="G12" s="239" t="s">
        <v>284</v>
      </c>
      <c r="H12" s="239" t="s">
        <v>271</v>
      </c>
      <c r="I12" s="239" t="s">
        <v>272</v>
      </c>
      <c r="J12" s="239" t="s">
        <v>318</v>
      </c>
      <c r="AD12" s="125"/>
    </row>
    <row r="13" spans="1:30" s="128" customFormat="1" ht="32.25" customHeight="1" x14ac:dyDescent="0.3">
      <c r="B13" s="240" t="s">
        <v>274</v>
      </c>
      <c r="C13" s="163"/>
      <c r="D13" s="163"/>
      <c r="E13" s="163"/>
      <c r="F13" s="163"/>
      <c r="G13" s="164"/>
      <c r="H13" s="166"/>
      <c r="I13" s="166"/>
      <c r="J13" s="167" t="str">
        <f>IFERROR(INDEX('BDD FROMAGES_CONSOMMABLES'!$C:$D,MATCH(CONCATENATE(D13,E13),concat_type_affinage,0),MATCH(Tableau5[[#Headers],[Prix HT au kg]],Tableau5[[#Headers],[Type fromage-affinage]:[Prix HT au kg]],0)),"")</f>
        <v/>
      </c>
      <c r="K13" s="128">
        <f>COUNTA(C13:I13)</f>
        <v>0</v>
      </c>
    </row>
    <row r="14" spans="1:30" s="133" customFormat="1" hidden="1" x14ac:dyDescent="0.3">
      <c r="B14" s="240" t="s">
        <v>273</v>
      </c>
      <c r="C14" s="129"/>
      <c r="D14" s="129"/>
      <c r="E14" s="163"/>
      <c r="F14" s="241"/>
      <c r="G14" s="130"/>
      <c r="H14" s="165"/>
      <c r="I14" s="166"/>
      <c r="J14" s="167" t="str">
        <f>IFERROR(INDEX('BDD FROMAGES_CONSOMMABLES'!$C:$D,MATCH(CONCATENATE(D14,E14),concat_type_affinage,0),MATCH(Tableau5[[#Headers],[Prix HT au kg]],Tableau5[[#Headers],[Type fromage-affinage]:[Prix HT au kg]],0)),"")</f>
        <v/>
      </c>
      <c r="K14" s="128">
        <f t="shared" ref="K14:K22" si="0">COUNTA(C14:I14)</f>
        <v>0</v>
      </c>
    </row>
    <row r="15" spans="1:30" s="128" customFormat="1" hidden="1" x14ac:dyDescent="0.3">
      <c r="B15" s="240" t="s">
        <v>275</v>
      </c>
      <c r="C15" s="129"/>
      <c r="D15" s="129"/>
      <c r="E15" s="163"/>
      <c r="F15" s="242"/>
      <c r="G15" s="130"/>
      <c r="H15" s="165"/>
      <c r="I15" s="166"/>
      <c r="J15" s="167"/>
      <c r="K15" s="128">
        <f t="shared" si="0"/>
        <v>0</v>
      </c>
    </row>
    <row r="16" spans="1:30" s="128" customFormat="1" hidden="1" x14ac:dyDescent="0.3">
      <c r="A16" s="125"/>
      <c r="B16" s="240" t="s">
        <v>276</v>
      </c>
      <c r="C16" s="129"/>
      <c r="D16" s="129"/>
      <c r="E16" s="163"/>
      <c r="F16" s="242"/>
      <c r="G16" s="130"/>
      <c r="H16" s="165"/>
      <c r="I16" s="166"/>
      <c r="J16" s="167"/>
      <c r="K16" s="128">
        <f t="shared" si="0"/>
        <v>0</v>
      </c>
    </row>
    <row r="17" spans="2:11" s="128" customFormat="1" hidden="1" x14ac:dyDescent="0.3">
      <c r="B17" s="240" t="s">
        <v>277</v>
      </c>
      <c r="C17" s="129"/>
      <c r="D17" s="129"/>
      <c r="E17" s="163"/>
      <c r="F17" s="242"/>
      <c r="G17" s="130"/>
      <c r="H17" s="165"/>
      <c r="I17" s="166"/>
      <c r="J17" s="167"/>
      <c r="K17" s="128">
        <f t="shared" si="0"/>
        <v>0</v>
      </c>
    </row>
    <row r="18" spans="2:11" s="128" customFormat="1" hidden="1" x14ac:dyDescent="0.3">
      <c r="B18" s="240" t="s">
        <v>278</v>
      </c>
      <c r="C18" s="129"/>
      <c r="D18" s="129"/>
      <c r="E18" s="163"/>
      <c r="F18" s="242"/>
      <c r="G18" s="130"/>
      <c r="H18" s="165"/>
      <c r="I18" s="166"/>
      <c r="J18" s="167"/>
      <c r="K18" s="128">
        <f t="shared" si="0"/>
        <v>0</v>
      </c>
    </row>
    <row r="19" spans="2:11" s="128" customFormat="1" hidden="1" x14ac:dyDescent="0.3">
      <c r="B19" s="240" t="s">
        <v>279</v>
      </c>
      <c r="C19" s="129"/>
      <c r="D19" s="129"/>
      <c r="E19" s="163"/>
      <c r="F19" s="242"/>
      <c r="G19" s="130"/>
      <c r="H19" s="165"/>
      <c r="I19" s="166"/>
      <c r="J19" s="167"/>
      <c r="K19" s="128">
        <f t="shared" si="0"/>
        <v>0</v>
      </c>
    </row>
    <row r="20" spans="2:11" s="128" customFormat="1" hidden="1" x14ac:dyDescent="0.3">
      <c r="B20" s="240" t="s">
        <v>280</v>
      </c>
      <c r="C20" s="129"/>
      <c r="D20" s="129"/>
      <c r="E20" s="163"/>
      <c r="F20" s="242"/>
      <c r="G20" s="130"/>
      <c r="H20" s="165"/>
      <c r="I20" s="166"/>
      <c r="J20" s="167"/>
      <c r="K20" s="128">
        <f t="shared" si="0"/>
        <v>0</v>
      </c>
    </row>
    <row r="21" spans="2:11" s="128" customFormat="1" hidden="1" x14ac:dyDescent="0.3">
      <c r="B21" s="240" t="s">
        <v>281</v>
      </c>
      <c r="C21" s="129"/>
      <c r="D21" s="129"/>
      <c r="E21" s="163"/>
      <c r="F21" s="242"/>
      <c r="G21" s="130"/>
      <c r="H21" s="165"/>
      <c r="I21" s="166"/>
      <c r="J21" s="167"/>
      <c r="K21" s="128">
        <f t="shared" si="0"/>
        <v>0</v>
      </c>
    </row>
    <row r="22" spans="2:11" s="128" customFormat="1" hidden="1" x14ac:dyDescent="0.3">
      <c r="B22" s="240" t="s">
        <v>282</v>
      </c>
      <c r="C22" s="129"/>
      <c r="D22" s="168"/>
      <c r="E22" s="163"/>
      <c r="F22" s="242"/>
      <c r="G22" s="130"/>
      <c r="H22" s="165"/>
      <c r="I22" s="166"/>
      <c r="J22" s="167"/>
      <c r="K22" s="128">
        <f t="shared" si="0"/>
        <v>0</v>
      </c>
    </row>
    <row r="23" spans="2:11" s="283" customFormat="1" x14ac:dyDescent="0.3">
      <c r="H23" s="431">
        <f>SUM(nv_Nombre)</f>
        <v>0</v>
      </c>
      <c r="I23" s="283">
        <f>SUM(plage_Prix_proposés)</f>
        <v>0</v>
      </c>
      <c r="J23" s="283" t="str">
        <f>IFERROR(INDEX('BDD FROMAGES_CONSOMMABLES'!$C:$D,MATCH(CONCATENATE(D23,G23),concat_type_affinage,0),MATCH(Tableau5[[#Headers],[Prix HT au kg]],Tableau5[[#Headers],[Type fromage-affinage]:[Prix HT au kg]],0)),"")</f>
        <v/>
      </c>
      <c r="K23" s="125">
        <f>SUM(K13:K22)</f>
        <v>0</v>
      </c>
    </row>
    <row r="24" spans="2:11" s="125" customFormat="1" x14ac:dyDescent="0.3">
      <c r="J24" s="236"/>
    </row>
    <row r="25" spans="2:11" s="125" customFormat="1" x14ac:dyDescent="0.3">
      <c r="J25" s="236"/>
    </row>
    <row r="26" spans="2:11" s="125" customFormat="1" x14ac:dyDescent="0.3">
      <c r="D26" s="135"/>
      <c r="J26" s="236"/>
    </row>
    <row r="27" spans="2:11" s="125" customFormat="1" x14ac:dyDescent="0.3">
      <c r="J27" s="236"/>
    </row>
    <row r="28" spans="2:11" s="125" customFormat="1" x14ac:dyDescent="0.3">
      <c r="J28" s="236"/>
    </row>
    <row r="29" spans="2:11" s="125" customFormat="1" x14ac:dyDescent="0.3">
      <c r="J29" s="236"/>
    </row>
    <row r="30" spans="2:11" s="125" customFormat="1" x14ac:dyDescent="0.3">
      <c r="J30" s="236"/>
    </row>
    <row r="31" spans="2:11" s="125" customFormat="1" x14ac:dyDescent="0.3">
      <c r="J31" s="236"/>
    </row>
    <row r="32" spans="2:11" s="125" customFormat="1" x14ac:dyDescent="0.3">
      <c r="J32" s="236"/>
    </row>
    <row r="33" spans="10:10" s="125" customFormat="1" x14ac:dyDescent="0.3">
      <c r="J33" s="236"/>
    </row>
    <row r="34" spans="10:10" s="125" customFormat="1" x14ac:dyDescent="0.3">
      <c r="J34" s="236"/>
    </row>
    <row r="35" spans="10:10" s="125" customFormat="1" x14ac:dyDescent="0.3">
      <c r="J35" s="236"/>
    </row>
    <row r="36" spans="10:10" s="125" customFormat="1" x14ac:dyDescent="0.3">
      <c r="J36" s="236"/>
    </row>
    <row r="37" spans="10:10" s="125" customFormat="1" x14ac:dyDescent="0.3">
      <c r="J37" s="236"/>
    </row>
    <row r="38" spans="10:10" s="125" customFormat="1" x14ac:dyDescent="0.3">
      <c r="J38" s="236"/>
    </row>
    <row r="39" spans="10:10" s="125" customFormat="1" x14ac:dyDescent="0.3">
      <c r="J39" s="236"/>
    </row>
    <row r="40" spans="10:10" s="125" customFormat="1" x14ac:dyDescent="0.3">
      <c r="J40" s="236"/>
    </row>
    <row r="41" spans="10:10" s="125" customFormat="1" x14ac:dyDescent="0.3">
      <c r="J41" s="236"/>
    </row>
    <row r="42" spans="10:10" s="125" customFormat="1" x14ac:dyDescent="0.3">
      <c r="J42" s="236"/>
    </row>
    <row r="43" spans="10:10" s="125" customFormat="1" x14ac:dyDescent="0.3">
      <c r="J43" s="236"/>
    </row>
    <row r="44" spans="10:10" s="125" customFormat="1" x14ac:dyDescent="0.3">
      <c r="J44" s="236"/>
    </row>
    <row r="45" spans="10:10" s="125" customFormat="1" x14ac:dyDescent="0.3">
      <c r="J45" s="236"/>
    </row>
    <row r="46" spans="10:10" s="125" customFormat="1" x14ac:dyDescent="0.3">
      <c r="J46" s="236"/>
    </row>
    <row r="47" spans="10:10" s="125" customFormat="1" x14ac:dyDescent="0.3">
      <c r="J47" s="236"/>
    </row>
    <row r="48" spans="10:10" s="125" customFormat="1" x14ac:dyDescent="0.3">
      <c r="J48" s="236"/>
    </row>
    <row r="49" spans="10:10" s="125" customFormat="1" x14ac:dyDescent="0.3">
      <c r="J49" s="236"/>
    </row>
    <row r="50" spans="10:10" s="125" customFormat="1" x14ac:dyDescent="0.3">
      <c r="J50" s="236"/>
    </row>
    <row r="51" spans="10:10" s="125" customFormat="1" x14ac:dyDescent="0.3">
      <c r="J51" s="236"/>
    </row>
    <row r="52" spans="10:10" s="125" customFormat="1" x14ac:dyDescent="0.3">
      <c r="J52" s="236"/>
    </row>
    <row r="53" spans="10:10" s="125" customFormat="1" x14ac:dyDescent="0.3">
      <c r="J53" s="236"/>
    </row>
    <row r="54" spans="10:10" s="125" customFormat="1" x14ac:dyDescent="0.3">
      <c r="J54" s="236"/>
    </row>
    <row r="55" spans="10:10" s="125" customFormat="1" x14ac:dyDescent="0.3">
      <c r="J55" s="236"/>
    </row>
    <row r="56" spans="10:10" s="125" customFormat="1" x14ac:dyDescent="0.3">
      <c r="J56" s="236"/>
    </row>
    <row r="57" spans="10:10" s="125" customFormat="1" x14ac:dyDescent="0.3">
      <c r="J57" s="236"/>
    </row>
    <row r="58" spans="10:10" s="125" customFormat="1" x14ac:dyDescent="0.3">
      <c r="J58" s="236"/>
    </row>
    <row r="59" spans="10:10" s="125" customFormat="1" x14ac:dyDescent="0.3">
      <c r="J59" s="236"/>
    </row>
    <row r="60" spans="10:10" s="125" customFormat="1" x14ac:dyDescent="0.3">
      <c r="J60" s="236"/>
    </row>
    <row r="61" spans="10:10" s="125" customFormat="1" x14ac:dyDescent="0.3">
      <c r="J61" s="236"/>
    </row>
    <row r="62" spans="10:10" s="125" customFormat="1" x14ac:dyDescent="0.3">
      <c r="J62" s="236"/>
    </row>
    <row r="63" spans="10:10" s="125" customFormat="1" x14ac:dyDescent="0.3">
      <c r="J63" s="236"/>
    </row>
    <row r="64" spans="10:10" s="125" customFormat="1" x14ac:dyDescent="0.3">
      <c r="J64" s="236"/>
    </row>
    <row r="65" spans="10:10" s="125" customFormat="1" x14ac:dyDescent="0.3">
      <c r="J65" s="236"/>
    </row>
    <row r="66" spans="10:10" s="125" customFormat="1" x14ac:dyDescent="0.3">
      <c r="J66" s="236"/>
    </row>
    <row r="67" spans="10:10" s="125" customFormat="1" x14ac:dyDescent="0.3">
      <c r="J67" s="236"/>
    </row>
    <row r="68" spans="10:10" s="125" customFormat="1" x14ac:dyDescent="0.3">
      <c r="J68" s="236"/>
    </row>
    <row r="69" spans="10:10" s="125" customFormat="1" x14ac:dyDescent="0.3">
      <c r="J69" s="236"/>
    </row>
    <row r="70" spans="10:10" s="125" customFormat="1" x14ac:dyDescent="0.3">
      <c r="J70" s="236"/>
    </row>
    <row r="71" spans="10:10" s="125" customFormat="1" x14ac:dyDescent="0.3">
      <c r="J71" s="236"/>
    </row>
    <row r="72" spans="10:10" s="125" customFormat="1" x14ac:dyDescent="0.3">
      <c r="J72" s="236"/>
    </row>
    <row r="73" spans="10:10" s="125" customFormat="1" x14ac:dyDescent="0.3">
      <c r="J73" s="236"/>
    </row>
    <row r="74" spans="10:10" s="125" customFormat="1" x14ac:dyDescent="0.3">
      <c r="J74" s="236"/>
    </row>
    <row r="75" spans="10:10" s="125" customFormat="1" x14ac:dyDescent="0.3">
      <c r="J75" s="236"/>
    </row>
    <row r="76" spans="10:10" s="125" customFormat="1" x14ac:dyDescent="0.3">
      <c r="J76" s="236"/>
    </row>
    <row r="77" spans="10:10" s="125" customFormat="1" x14ac:dyDescent="0.3">
      <c r="J77" s="236"/>
    </row>
    <row r="78" spans="10:10" s="125" customFormat="1" x14ac:dyDescent="0.3">
      <c r="J78" s="236"/>
    </row>
    <row r="79" spans="10:10" s="125" customFormat="1" x14ac:dyDescent="0.3">
      <c r="J79" s="236"/>
    </row>
    <row r="80" spans="10:10" s="125" customFormat="1" x14ac:dyDescent="0.3">
      <c r="J80" s="236"/>
    </row>
    <row r="81" spans="10:10" s="125" customFormat="1" x14ac:dyDescent="0.3">
      <c r="J81" s="236"/>
    </row>
    <row r="82" spans="10:10" s="125" customFormat="1" x14ac:dyDescent="0.3">
      <c r="J82" s="236"/>
    </row>
    <row r="83" spans="10:10" s="125" customFormat="1" x14ac:dyDescent="0.3">
      <c r="J83" s="236"/>
    </row>
    <row r="84" spans="10:10" s="125" customFormat="1" x14ac:dyDescent="0.3">
      <c r="J84" s="236"/>
    </row>
    <row r="85" spans="10:10" s="125" customFormat="1" x14ac:dyDescent="0.3">
      <c r="J85" s="236"/>
    </row>
    <row r="86" spans="10:10" s="125" customFormat="1" x14ac:dyDescent="0.3">
      <c r="J86" s="236"/>
    </row>
    <row r="87" spans="10:10" s="125" customFormat="1" x14ac:dyDescent="0.3">
      <c r="J87" s="236"/>
    </row>
    <row r="88" spans="10:10" s="125" customFormat="1" x14ac:dyDescent="0.3">
      <c r="J88" s="236"/>
    </row>
    <row r="89" spans="10:10" s="125" customFormat="1" x14ac:dyDescent="0.3">
      <c r="J89" s="236"/>
    </row>
    <row r="90" spans="10:10" s="125" customFormat="1" x14ac:dyDescent="0.3">
      <c r="J90" s="236"/>
    </row>
    <row r="91" spans="10:10" s="125" customFormat="1" x14ac:dyDescent="0.3">
      <c r="J91" s="236"/>
    </row>
    <row r="92" spans="10:10" s="125" customFormat="1" x14ac:dyDescent="0.3">
      <c r="J92" s="236"/>
    </row>
    <row r="93" spans="10:10" s="125" customFormat="1" x14ac:dyDescent="0.3">
      <c r="J93" s="236"/>
    </row>
    <row r="94" spans="10:10" s="125" customFormat="1" x14ac:dyDescent="0.3">
      <c r="J94" s="236"/>
    </row>
    <row r="95" spans="10:10" s="125" customFormat="1" x14ac:dyDescent="0.3">
      <c r="J95" s="236"/>
    </row>
    <row r="96" spans="10:10" s="125" customFormat="1" x14ac:dyDescent="0.3">
      <c r="J96" s="236"/>
    </row>
    <row r="97" spans="10:10" s="125" customFormat="1" x14ac:dyDescent="0.3">
      <c r="J97" s="236"/>
    </row>
    <row r="98" spans="10:10" s="125" customFormat="1" x14ac:dyDescent="0.3">
      <c r="J98" s="236"/>
    </row>
    <row r="99" spans="10:10" s="125" customFormat="1" x14ac:dyDescent="0.3">
      <c r="J99" s="236"/>
    </row>
    <row r="100" spans="10:10" s="125" customFormat="1" x14ac:dyDescent="0.3">
      <c r="J100" s="236"/>
    </row>
    <row r="101" spans="10:10" s="125" customFormat="1" x14ac:dyDescent="0.3">
      <c r="J101" s="236"/>
    </row>
    <row r="102" spans="10:10" s="125" customFormat="1" x14ac:dyDescent="0.3">
      <c r="J102" s="236"/>
    </row>
    <row r="103" spans="10:10" s="125" customFormat="1" x14ac:dyDescent="0.3">
      <c r="J103" s="236"/>
    </row>
    <row r="104" spans="10:10" s="125" customFormat="1" x14ac:dyDescent="0.3">
      <c r="J104" s="236"/>
    </row>
    <row r="105" spans="10:10" s="125" customFormat="1" x14ac:dyDescent="0.3">
      <c r="J105" s="236"/>
    </row>
    <row r="106" spans="10:10" s="125" customFormat="1" x14ac:dyDescent="0.3">
      <c r="J106" s="236"/>
    </row>
    <row r="107" spans="10:10" s="125" customFormat="1" x14ac:dyDescent="0.3">
      <c r="J107" s="236"/>
    </row>
    <row r="108" spans="10:10" s="125" customFormat="1" x14ac:dyDescent="0.3">
      <c r="J108" s="236"/>
    </row>
    <row r="109" spans="10:10" s="125" customFormat="1" x14ac:dyDescent="0.3">
      <c r="J109" s="236"/>
    </row>
    <row r="110" spans="10:10" s="125" customFormat="1" x14ac:dyDescent="0.3">
      <c r="J110" s="236"/>
    </row>
    <row r="111" spans="10:10" s="125" customFormat="1" x14ac:dyDescent="0.3">
      <c r="J111" s="236"/>
    </row>
    <row r="112" spans="10:10" s="125" customFormat="1" x14ac:dyDescent="0.3">
      <c r="J112" s="236"/>
    </row>
    <row r="113" spans="2:10" s="125" customFormat="1" x14ac:dyDescent="0.3">
      <c r="J113" s="236"/>
    </row>
    <row r="114" spans="2:10" s="125" customFormat="1" x14ac:dyDescent="0.3">
      <c r="J114" s="236"/>
    </row>
    <row r="115" spans="2:10" s="125" customFormat="1" x14ac:dyDescent="0.3">
      <c r="J115" s="236"/>
    </row>
    <row r="116" spans="2:10" s="125" customFormat="1" x14ac:dyDescent="0.3">
      <c r="J116" s="236"/>
    </row>
    <row r="117" spans="2:10" s="125" customFormat="1" x14ac:dyDescent="0.3">
      <c r="J117" s="236"/>
    </row>
    <row r="118" spans="2:10" s="125" customFormat="1" x14ac:dyDescent="0.3">
      <c r="J118" s="236"/>
    </row>
    <row r="119" spans="2:10" s="125" customFormat="1" x14ac:dyDescent="0.3">
      <c r="J119" s="236"/>
    </row>
    <row r="120" spans="2:10" s="125" customFormat="1" x14ac:dyDescent="0.3">
      <c r="J120" s="236"/>
    </row>
    <row r="121" spans="2:10" s="125" customFormat="1" x14ac:dyDescent="0.3">
      <c r="J121" s="236"/>
    </row>
    <row r="122" spans="2:10" s="125" customFormat="1" x14ac:dyDescent="0.3">
      <c r="J122" s="236"/>
    </row>
    <row r="123" spans="2:10" s="125" customFormat="1" x14ac:dyDescent="0.3">
      <c r="J123" s="236"/>
    </row>
    <row r="124" spans="2:10" s="125" customFormat="1" x14ac:dyDescent="0.3">
      <c r="J124" s="236"/>
    </row>
    <row r="125" spans="2:10" s="125" customFormat="1" x14ac:dyDescent="0.3">
      <c r="J125" s="236"/>
    </row>
    <row r="126" spans="2:10" s="125" customFormat="1" x14ac:dyDescent="0.3">
      <c r="J126" s="236"/>
    </row>
    <row r="127" spans="2:10" s="125" customFormat="1" x14ac:dyDescent="0.3">
      <c r="J127" s="236"/>
    </row>
    <row r="128" spans="2:10" s="125" customFormat="1" x14ac:dyDescent="0.3">
      <c r="B128" s="126"/>
      <c r="C128" s="126"/>
      <c r="D128" s="126"/>
      <c r="E128" s="126"/>
      <c r="G128" s="126"/>
      <c r="H128" s="126"/>
      <c r="J128" s="236"/>
    </row>
    <row r="129" spans="2:10" s="125" customFormat="1" x14ac:dyDescent="0.3">
      <c r="B129" s="126"/>
      <c r="C129" s="126"/>
      <c r="D129" s="126"/>
      <c r="E129" s="126"/>
      <c r="G129" s="126"/>
      <c r="H129" s="126"/>
      <c r="J129" s="236"/>
    </row>
  </sheetData>
  <sheetProtection formatCells="0" formatColumns="0" formatRows="0" insertColumns="0" insertRows="0" selectLockedCells="1"/>
  <conditionalFormatting sqref="C13:J22">
    <cfRule type="expression" dxfId="48" priority="50">
      <formula>C13=""</formula>
    </cfRule>
  </conditionalFormatting>
  <conditionalFormatting sqref="G13">
    <cfRule type="expression" dxfId="47" priority="9">
      <formula>G13=""</formula>
    </cfRule>
  </conditionalFormatting>
  <conditionalFormatting sqref="D4">
    <cfRule type="expression" dxfId="46" priority="8">
      <formula>D4=""</formula>
    </cfRule>
  </conditionalFormatting>
  <conditionalFormatting sqref="D6">
    <cfRule type="expression" dxfId="45" priority="5">
      <formula>D6=""</formula>
    </cfRule>
  </conditionalFormatting>
  <conditionalFormatting sqref="D3">
    <cfRule type="expression" dxfId="44" priority="4">
      <formula>D3=""</formula>
    </cfRule>
  </conditionalFormatting>
  <conditionalFormatting sqref="D5">
    <cfRule type="expression" dxfId="43" priority="1">
      <formula>D5=""</formula>
    </cfRule>
  </conditionalFormatting>
  <dataValidations count="4">
    <dataValidation type="list" allowBlank="1" showInputMessage="1" showErrorMessage="1" sqref="C13:C22 A16" xr:uid="{308665A8-334C-47EA-9199-06D25EB084E4}">
      <formula1>nom_exploitation</formula1>
    </dataValidation>
    <dataValidation type="list" allowBlank="1" showInputMessage="1" showErrorMessage="1" sqref="D13:D22" xr:uid="{11456A34-33E8-483E-8257-9402310F7F5A}">
      <formula1>type_de_fromage</formula1>
    </dataValidation>
    <dataValidation type="list" allowBlank="1" showInputMessage="1" showErrorMessage="1" sqref="E13:E22" xr:uid="{6FEBD1BB-43E3-4DE3-A16A-62A254913A62}">
      <formula1>affinage</formula1>
    </dataValidation>
    <dataValidation type="list" allowBlank="1" showInputMessage="1" showErrorMessage="1" sqref="F13:F22" xr:uid="{C9F4FCDE-8AD4-4ABF-827B-F801F465C95A}">
      <formula1>bbdp_taille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7C7E1CE-E3C0-48FA-B6E9-52FD82B23747}">
          <x14:formula1>
            <xm:f>'BDD CLIENTS'!$B$2:$B$8</xm:f>
          </x14:formula1>
          <xm:sqref>D6</xm:sqref>
        </x14:dataValidation>
        <x14:dataValidation type="list" allowBlank="1" showInputMessage="1" showErrorMessage="1" xr:uid="{628C02EF-1467-475F-94DA-EAF072C154ED}">
          <x14:formula1>
            <xm:f>'BDD FROMAGES_CONSOMMABLES'!$K$2:$K$7</xm:f>
          </x14:formula1>
          <xm:sqref>F13:F22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3911F-EA02-402C-862C-11843264F268}">
  <sheetPr codeName="Feuil18"/>
  <dimension ref="A1:K5"/>
  <sheetViews>
    <sheetView tabSelected="1" workbookViewId="0">
      <selection activeCell="K2" sqref="K2"/>
    </sheetView>
  </sheetViews>
  <sheetFormatPr baseColWidth="10" defaultRowHeight="46.5" customHeight="1" x14ac:dyDescent="0.25"/>
  <cols>
    <col min="1" max="1" width="12.140625" style="292" bestFit="1" customWidth="1"/>
    <col min="2" max="2" width="12.42578125" customWidth="1"/>
    <col min="3" max="3" width="19.7109375" bestFit="1" customWidth="1"/>
    <col min="4" max="4" width="21" style="423" bestFit="1" customWidth="1"/>
    <col min="5" max="5" width="18.28515625" customWidth="1"/>
    <col min="6" max="6" width="37.140625" style="4" customWidth="1"/>
    <col min="7" max="7" width="146.28515625" bestFit="1" customWidth="1"/>
    <col min="8" max="8" width="11.42578125" style="45"/>
    <col min="9" max="9" width="22.85546875" bestFit="1" customWidth="1"/>
    <col min="10" max="10" width="11.42578125" style="45"/>
    <col min="11" max="11" width="40.140625" customWidth="1"/>
  </cols>
  <sheetData>
    <row r="1" spans="1:11" ht="46.5" customHeight="1" x14ac:dyDescent="0.25">
      <c r="A1" s="291" t="s">
        <v>354</v>
      </c>
      <c r="B1" s="287" t="s">
        <v>355</v>
      </c>
      <c r="C1" s="288" t="s">
        <v>352</v>
      </c>
      <c r="D1" s="423" t="s">
        <v>396</v>
      </c>
      <c r="E1" s="289" t="s">
        <v>337</v>
      </c>
      <c r="F1" s="290" t="s">
        <v>336</v>
      </c>
      <c r="G1" s="290" t="s">
        <v>356</v>
      </c>
      <c r="H1" s="45" t="s">
        <v>397</v>
      </c>
      <c r="I1" t="s">
        <v>398</v>
      </c>
      <c r="J1" s="45" t="s">
        <v>406</v>
      </c>
      <c r="K1" t="s">
        <v>409</v>
      </c>
    </row>
    <row r="2" spans="1:11" ht="46.5" customHeight="1" x14ac:dyDescent="0.25">
      <c r="A2" s="300">
        <v>1</v>
      </c>
      <c r="B2" s="301">
        <v>43442</v>
      </c>
      <c r="C2" s="25" t="s">
        <v>77</v>
      </c>
      <c r="D2" s="423">
        <v>56</v>
      </c>
      <c r="E2" s="25"/>
      <c r="F2" s="432" t="s">
        <v>357</v>
      </c>
      <c r="G2" s="302" t="str">
        <f>HYPERLINK(F2)</f>
        <v>C:\Users\Bastres\Desktop\PIERRE\PRO\ANTOLA COOP\CLIENTS\SALGIZEKO GASNATEGIA\DEMO 08_03_2018\BL CLIENTS\_BL N°  16Le Fromage d'or_2018_12_08.pdf</v>
      </c>
      <c r="H2" s="45">
        <v>34</v>
      </c>
      <c r="I2" s="44">
        <v>0</v>
      </c>
      <c r="J2" s="435">
        <f>IF(Tableau13[[#This Row],[Cout transport]]="","",Tableau13[[#This Row],[Cout transport]]*Tableau13[[#This Row],[% à la charge du client]])</f>
        <v>0</v>
      </c>
    </row>
    <row r="3" spans="1:11" ht="46.5" customHeight="1" x14ac:dyDescent="0.25">
      <c r="A3" s="300">
        <v>4</v>
      </c>
      <c r="B3" s="301">
        <v>43225</v>
      </c>
      <c r="C3" s="25" t="s">
        <v>78</v>
      </c>
      <c r="D3" s="428">
        <v>67</v>
      </c>
      <c r="E3" s="25"/>
      <c r="F3" s="432" t="s">
        <v>403</v>
      </c>
      <c r="G3" s="430" t="str">
        <f>IF('BDD BL CLIENTS'!$F3="","",HYPERLINK('BDD BL CLIENTS'!$F3))</f>
        <v>C:\Users\Bastres\Desktop\PIERRE\PRO\ANTOLA COOP\CLIENTS\SALGIZEKO GASNATEGIA\DEMO 08_03_2018\BL CLIENTS\_BL N°  4La crème de la crème_2018_05_05.pdf</v>
      </c>
      <c r="H3" s="434">
        <v>450</v>
      </c>
      <c r="I3" s="429">
        <v>0</v>
      </c>
      <c r="J3" s="436">
        <f>IF(Tableau13[[#This Row],[Cout transport]]="","",Tableau13[[#This Row],[Cout transport]]*Tableau13[[#This Row],[% à la charge du client]])</f>
        <v>0</v>
      </c>
    </row>
    <row r="5" spans="1:11" ht="46.5" customHeight="1" x14ac:dyDescent="0.25">
      <c r="C5" s="433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72CE2-2C90-4F8D-93F4-96792E510650}">
  <sheetPr codeName="Feuil21"/>
  <dimension ref="A1:B1"/>
  <sheetViews>
    <sheetView workbookViewId="0">
      <selection activeCell="D2" sqref="D2"/>
    </sheetView>
  </sheetViews>
  <sheetFormatPr baseColWidth="10" defaultRowHeight="15" x14ac:dyDescent="0.25"/>
  <cols>
    <col min="2" max="2" width="12.42578125" bestFit="1" customWidth="1"/>
  </cols>
  <sheetData>
    <row r="1" spans="1:2" x14ac:dyDescent="0.25">
      <c r="A1" t="s">
        <v>73</v>
      </c>
      <c r="B1" t="s">
        <v>368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2AB827-C409-4419-8E19-8E0EDA97AA45}">
  <sheetPr codeName="Feuil29"/>
  <dimension ref="A1:AD130"/>
  <sheetViews>
    <sheetView topLeftCell="B2" workbookViewId="0">
      <selection activeCell="H14" sqref="H14"/>
    </sheetView>
  </sheetViews>
  <sheetFormatPr baseColWidth="10" defaultRowHeight="16.5" x14ac:dyDescent="0.3"/>
  <cols>
    <col min="1" max="1" width="6.42578125" style="125" hidden="1" customWidth="1"/>
    <col min="2" max="2" width="24.28515625" style="126" customWidth="1"/>
    <col min="3" max="3" width="27.85546875" style="126" customWidth="1"/>
    <col min="4" max="4" width="28.7109375" style="126" customWidth="1"/>
    <col min="5" max="5" width="15.7109375" style="126" customWidth="1"/>
    <col min="6" max="6" width="11.85546875" style="125" bestFit="1" customWidth="1"/>
    <col min="7" max="7" width="16.140625" style="126" customWidth="1"/>
    <col min="8" max="8" width="12.85546875" style="126" bestFit="1" customWidth="1"/>
    <col min="9" max="9" width="13" style="125" bestFit="1" customWidth="1"/>
    <col min="10" max="10" width="7.85546875" style="236" bestFit="1" customWidth="1"/>
    <col min="11" max="11" width="22" style="125" customWidth="1"/>
    <col min="12" max="29" width="11.42578125" style="125"/>
    <col min="30" max="16384" width="11.42578125" style="126"/>
  </cols>
  <sheetData>
    <row r="1" spans="2:30" s="125" customFormat="1" ht="37.5" hidden="1" customHeight="1" x14ac:dyDescent="0.3">
      <c r="B1" s="264"/>
      <c r="J1" s="236"/>
    </row>
    <row r="2" spans="2:30" s="125" customFormat="1" ht="17.25" thickBot="1" x14ac:dyDescent="0.35">
      <c r="G2" s="235" t="s">
        <v>317</v>
      </c>
      <c r="J2" s="236"/>
    </row>
    <row r="3" spans="2:30" ht="21.75" customHeight="1" thickTop="1" thickBot="1" x14ac:dyDescent="0.35">
      <c r="B3" s="125"/>
      <c r="C3" s="269" t="s">
        <v>331</v>
      </c>
      <c r="D3" s="275"/>
      <c r="E3" s="125"/>
      <c r="G3" s="125"/>
      <c r="H3" s="125"/>
    </row>
    <row r="4" spans="2:30" ht="27.75" customHeight="1" thickTop="1" thickBot="1" x14ac:dyDescent="0.35">
      <c r="B4" s="125"/>
      <c r="C4" s="268" t="s">
        <v>332</v>
      </c>
      <c r="D4" s="271"/>
      <c r="E4" s="125"/>
      <c r="G4" s="125"/>
      <c r="H4" s="125"/>
    </row>
    <row r="5" spans="2:30" s="125" customFormat="1" ht="22.5" customHeight="1" thickTop="1" thickBot="1" x14ac:dyDescent="0.35">
      <c r="C5" s="268" t="s">
        <v>339</v>
      </c>
      <c r="D5" s="271"/>
      <c r="J5" s="236"/>
    </row>
    <row r="6" spans="2:30" ht="24" customHeight="1" thickTop="1" thickBot="1" x14ac:dyDescent="0.35">
      <c r="B6" s="125"/>
      <c r="C6" s="267" t="s">
        <v>330</v>
      </c>
      <c r="D6" s="272"/>
      <c r="E6" s="125"/>
      <c r="G6" s="125"/>
      <c r="H6" s="125"/>
    </row>
    <row r="7" spans="2:30" ht="17.25" thickTop="1" x14ac:dyDescent="0.3">
      <c r="B7" s="125"/>
      <c r="C7" s="125"/>
      <c r="D7" s="125"/>
      <c r="E7" s="125"/>
      <c r="G7" s="125"/>
      <c r="H7" s="125"/>
    </row>
    <row r="8" spans="2:30" x14ac:dyDescent="0.3">
      <c r="B8" s="127"/>
      <c r="C8" s="127"/>
      <c r="D8" s="125"/>
      <c r="E8" s="125"/>
      <c r="G8" s="125"/>
      <c r="H8" s="125"/>
    </row>
    <row r="9" spans="2:30" x14ac:dyDescent="0.3">
      <c r="B9" s="127"/>
      <c r="C9" s="127"/>
      <c r="D9" s="125"/>
      <c r="E9" s="125"/>
      <c r="G9" s="125"/>
      <c r="H9" s="125"/>
    </row>
    <row r="10" spans="2:30" x14ac:dyDescent="0.3">
      <c r="B10" s="127"/>
      <c r="C10" s="127"/>
      <c r="D10" s="125"/>
      <c r="E10" s="125"/>
      <c r="G10" s="125"/>
      <c r="H10" s="125"/>
    </row>
    <row r="11" spans="2:30" x14ac:dyDescent="0.3">
      <c r="B11" s="127"/>
      <c r="C11" s="127"/>
      <c r="D11" s="125"/>
      <c r="E11" s="125"/>
      <c r="G11" s="125"/>
      <c r="H11" s="125"/>
    </row>
    <row r="12" spans="2:30" ht="54.75" customHeight="1" x14ac:dyDescent="0.3">
      <c r="B12" s="125"/>
      <c r="C12" s="125"/>
      <c r="D12" s="125"/>
      <c r="E12" s="125"/>
      <c r="G12" s="125"/>
      <c r="H12" s="125"/>
    </row>
    <row r="13" spans="2:30" ht="57.75" customHeight="1" x14ac:dyDescent="0.3">
      <c r="B13" s="134"/>
      <c r="C13" s="239" t="s">
        <v>165</v>
      </c>
      <c r="D13" s="239" t="s">
        <v>89</v>
      </c>
      <c r="E13" s="239" t="s">
        <v>322</v>
      </c>
      <c r="F13" s="239" t="s">
        <v>270</v>
      </c>
      <c r="G13" s="239" t="s">
        <v>284</v>
      </c>
      <c r="H13" s="239" t="s">
        <v>271</v>
      </c>
      <c r="I13" s="239" t="s">
        <v>272</v>
      </c>
      <c r="J13" s="239" t="s">
        <v>318</v>
      </c>
      <c r="AD13" s="125"/>
    </row>
    <row r="14" spans="2:30" s="128" customFormat="1" ht="39" customHeight="1" x14ac:dyDescent="0.3">
      <c r="B14" s="240" t="s">
        <v>340</v>
      </c>
      <c r="C14" s="163"/>
      <c r="D14" s="163"/>
      <c r="E14" s="163"/>
      <c r="F14" s="163"/>
      <c r="G14" s="164"/>
      <c r="H14" s="165"/>
      <c r="I14" s="166"/>
      <c r="J14" s="167"/>
      <c r="K14" s="128">
        <f>COUNTA(C14:I14)</f>
        <v>0</v>
      </c>
    </row>
    <row r="15" spans="2:30" s="133" customFormat="1" ht="39" customHeight="1" x14ac:dyDescent="0.3">
      <c r="B15" s="240" t="s">
        <v>341</v>
      </c>
      <c r="C15" s="129"/>
      <c r="D15" s="129"/>
      <c r="E15" s="163"/>
      <c r="F15" s="241"/>
      <c r="G15" s="130"/>
      <c r="H15" s="131"/>
      <c r="I15" s="132"/>
      <c r="J15" s="167"/>
      <c r="K15" s="128">
        <f t="shared" ref="K15:K23" si="0">COUNTA(C15:H15)</f>
        <v>0</v>
      </c>
    </row>
    <row r="16" spans="2:30" s="128" customFormat="1" ht="39" customHeight="1" x14ac:dyDescent="0.3">
      <c r="B16" s="240" t="s">
        <v>342</v>
      </c>
      <c r="C16" s="129"/>
      <c r="D16" s="129"/>
      <c r="E16" s="163"/>
      <c r="F16" s="242"/>
      <c r="G16" s="130"/>
      <c r="H16" s="131"/>
      <c r="I16" s="132"/>
      <c r="J16" s="167"/>
      <c r="K16" s="128">
        <f t="shared" si="0"/>
        <v>0</v>
      </c>
    </row>
    <row r="17" spans="1:11" s="128" customFormat="1" ht="39" customHeight="1" x14ac:dyDescent="0.3">
      <c r="A17" s="125"/>
      <c r="B17" s="240" t="s">
        <v>343</v>
      </c>
      <c r="C17" s="129"/>
      <c r="D17" s="129"/>
      <c r="E17" s="163"/>
      <c r="F17" s="242"/>
      <c r="G17" s="130"/>
      <c r="H17" s="131"/>
      <c r="I17" s="132"/>
      <c r="J17" s="167"/>
      <c r="K17" s="128">
        <f t="shared" si="0"/>
        <v>0</v>
      </c>
    </row>
    <row r="18" spans="1:11" s="128" customFormat="1" ht="39" customHeight="1" x14ac:dyDescent="0.3">
      <c r="B18" s="240" t="s">
        <v>344</v>
      </c>
      <c r="C18" s="129"/>
      <c r="D18" s="129"/>
      <c r="E18" s="163"/>
      <c r="F18" s="242"/>
      <c r="G18" s="130"/>
      <c r="H18" s="131"/>
      <c r="I18" s="132"/>
      <c r="J18" s="167"/>
      <c r="K18" s="128">
        <f t="shared" si="0"/>
        <v>0</v>
      </c>
    </row>
    <row r="19" spans="1:11" s="128" customFormat="1" ht="39" customHeight="1" x14ac:dyDescent="0.3">
      <c r="B19" s="240" t="s">
        <v>345</v>
      </c>
      <c r="C19" s="129"/>
      <c r="D19" s="129"/>
      <c r="E19" s="163"/>
      <c r="F19" s="242"/>
      <c r="G19" s="130"/>
      <c r="H19" s="131"/>
      <c r="I19" s="132"/>
      <c r="J19" s="167"/>
      <c r="K19" s="128">
        <f t="shared" si="0"/>
        <v>0</v>
      </c>
    </row>
    <row r="20" spans="1:11" s="128" customFormat="1" ht="39" customHeight="1" x14ac:dyDescent="0.3">
      <c r="B20" s="240" t="s">
        <v>346</v>
      </c>
      <c r="C20" s="129"/>
      <c r="D20" s="129"/>
      <c r="E20" s="163"/>
      <c r="F20" s="242"/>
      <c r="G20" s="130"/>
      <c r="H20" s="131"/>
      <c r="I20" s="132"/>
      <c r="J20" s="167"/>
      <c r="K20" s="128">
        <f t="shared" si="0"/>
        <v>0</v>
      </c>
    </row>
    <row r="21" spans="1:11" s="128" customFormat="1" ht="39" customHeight="1" x14ac:dyDescent="0.3">
      <c r="B21" s="240" t="s">
        <v>347</v>
      </c>
      <c r="C21" s="129"/>
      <c r="D21" s="129"/>
      <c r="E21" s="163"/>
      <c r="F21" s="242"/>
      <c r="G21" s="130"/>
      <c r="H21" s="131"/>
      <c r="I21" s="132"/>
      <c r="J21" s="167"/>
      <c r="K21" s="128">
        <f t="shared" si="0"/>
        <v>0</v>
      </c>
    </row>
    <row r="22" spans="1:11" s="128" customFormat="1" ht="39" customHeight="1" x14ac:dyDescent="0.3">
      <c r="B22" s="240" t="s">
        <v>348</v>
      </c>
      <c r="C22" s="129"/>
      <c r="D22" s="129"/>
      <c r="E22" s="163"/>
      <c r="F22" s="242"/>
      <c r="G22" s="130"/>
      <c r="H22" s="131"/>
      <c r="I22" s="132"/>
      <c r="J22" s="167"/>
      <c r="K22" s="128">
        <f t="shared" si="0"/>
        <v>0</v>
      </c>
    </row>
    <row r="23" spans="1:11" s="128" customFormat="1" ht="39" customHeight="1" x14ac:dyDescent="0.3">
      <c r="B23" s="240" t="s">
        <v>349</v>
      </c>
      <c r="C23" s="129"/>
      <c r="D23" s="168"/>
      <c r="E23" s="163"/>
      <c r="F23" s="242"/>
      <c r="G23" s="130"/>
      <c r="H23" s="131"/>
      <c r="I23" s="132"/>
      <c r="J23" s="167"/>
      <c r="K23" s="128">
        <f t="shared" si="0"/>
        <v>0</v>
      </c>
    </row>
    <row r="24" spans="1:11" s="125" customFormat="1" x14ac:dyDescent="0.3">
      <c r="H24" s="125">
        <v>0</v>
      </c>
      <c r="J24" s="125" t="str">
        <f>IFERROR(INDEX('BDD FROMAGES_CONSOMMABLES'!$C:$D,MATCH(CONCATENATE(D24,G24),concat_type_affinage,0),MATCH(Tableau5[[#Headers],[Prix HT au kg]],Tableau5[[#Headers],[Type fromage-affinage]:[Prix HT au kg]],0)),"")</f>
        <v/>
      </c>
      <c r="K24" s="125">
        <f>SUM(K14:K23)</f>
        <v>0</v>
      </c>
    </row>
    <row r="25" spans="1:11" s="125" customFormat="1" x14ac:dyDescent="0.3">
      <c r="J25" s="236"/>
    </row>
    <row r="26" spans="1:11" s="125" customFormat="1" x14ac:dyDescent="0.3">
      <c r="J26" s="236"/>
    </row>
    <row r="27" spans="1:11" s="125" customFormat="1" x14ac:dyDescent="0.3">
      <c r="D27" s="135"/>
      <c r="J27" s="236"/>
    </row>
    <row r="28" spans="1:11" s="125" customFormat="1" x14ac:dyDescent="0.3">
      <c r="J28" s="236"/>
    </row>
    <row r="29" spans="1:11" s="125" customFormat="1" x14ac:dyDescent="0.3">
      <c r="J29" s="236"/>
    </row>
    <row r="30" spans="1:11" s="125" customFormat="1" x14ac:dyDescent="0.3">
      <c r="J30" s="236"/>
    </row>
    <row r="31" spans="1:11" s="125" customFormat="1" x14ac:dyDescent="0.3">
      <c r="J31" s="236"/>
    </row>
    <row r="32" spans="1:11" s="125" customFormat="1" x14ac:dyDescent="0.3">
      <c r="J32" s="236"/>
    </row>
    <row r="33" spans="10:10" s="125" customFormat="1" x14ac:dyDescent="0.3">
      <c r="J33" s="236"/>
    </row>
    <row r="34" spans="10:10" s="125" customFormat="1" x14ac:dyDescent="0.3">
      <c r="J34" s="236"/>
    </row>
    <row r="35" spans="10:10" s="125" customFormat="1" x14ac:dyDescent="0.3">
      <c r="J35" s="236"/>
    </row>
    <row r="36" spans="10:10" s="125" customFormat="1" x14ac:dyDescent="0.3">
      <c r="J36" s="236"/>
    </row>
    <row r="37" spans="10:10" s="125" customFormat="1" x14ac:dyDescent="0.3">
      <c r="J37" s="236"/>
    </row>
    <row r="38" spans="10:10" s="125" customFormat="1" x14ac:dyDescent="0.3">
      <c r="J38" s="236"/>
    </row>
    <row r="39" spans="10:10" s="125" customFormat="1" x14ac:dyDescent="0.3">
      <c r="J39" s="236"/>
    </row>
    <row r="40" spans="10:10" s="125" customFormat="1" x14ac:dyDescent="0.3">
      <c r="J40" s="236"/>
    </row>
    <row r="41" spans="10:10" s="125" customFormat="1" x14ac:dyDescent="0.3">
      <c r="J41" s="236"/>
    </row>
    <row r="42" spans="10:10" s="125" customFormat="1" x14ac:dyDescent="0.3">
      <c r="J42" s="236"/>
    </row>
    <row r="43" spans="10:10" s="125" customFormat="1" x14ac:dyDescent="0.3">
      <c r="J43" s="236"/>
    </row>
    <row r="44" spans="10:10" s="125" customFormat="1" x14ac:dyDescent="0.3">
      <c r="J44" s="236"/>
    </row>
    <row r="45" spans="10:10" s="125" customFormat="1" x14ac:dyDescent="0.3">
      <c r="J45" s="236"/>
    </row>
    <row r="46" spans="10:10" s="125" customFormat="1" x14ac:dyDescent="0.3">
      <c r="J46" s="236"/>
    </row>
    <row r="47" spans="10:10" s="125" customFormat="1" x14ac:dyDescent="0.3">
      <c r="J47" s="236"/>
    </row>
    <row r="48" spans="10:10" s="125" customFormat="1" x14ac:dyDescent="0.3">
      <c r="J48" s="236"/>
    </row>
    <row r="49" spans="10:10" s="125" customFormat="1" x14ac:dyDescent="0.3">
      <c r="J49" s="236"/>
    </row>
    <row r="50" spans="10:10" s="125" customFormat="1" x14ac:dyDescent="0.3">
      <c r="J50" s="236"/>
    </row>
    <row r="51" spans="10:10" s="125" customFormat="1" x14ac:dyDescent="0.3">
      <c r="J51" s="236"/>
    </row>
    <row r="52" spans="10:10" s="125" customFormat="1" x14ac:dyDescent="0.3">
      <c r="J52" s="236"/>
    </row>
    <row r="53" spans="10:10" s="125" customFormat="1" x14ac:dyDescent="0.3">
      <c r="J53" s="236"/>
    </row>
    <row r="54" spans="10:10" s="125" customFormat="1" x14ac:dyDescent="0.3">
      <c r="J54" s="236"/>
    </row>
    <row r="55" spans="10:10" s="125" customFormat="1" x14ac:dyDescent="0.3">
      <c r="J55" s="236"/>
    </row>
    <row r="56" spans="10:10" s="125" customFormat="1" x14ac:dyDescent="0.3">
      <c r="J56" s="236"/>
    </row>
    <row r="57" spans="10:10" s="125" customFormat="1" x14ac:dyDescent="0.3">
      <c r="J57" s="236"/>
    </row>
    <row r="58" spans="10:10" s="125" customFormat="1" x14ac:dyDescent="0.3">
      <c r="J58" s="236"/>
    </row>
    <row r="59" spans="10:10" s="125" customFormat="1" x14ac:dyDescent="0.3">
      <c r="J59" s="236"/>
    </row>
    <row r="60" spans="10:10" s="125" customFormat="1" x14ac:dyDescent="0.3">
      <c r="J60" s="236"/>
    </row>
    <row r="61" spans="10:10" s="125" customFormat="1" x14ac:dyDescent="0.3">
      <c r="J61" s="236"/>
    </row>
    <row r="62" spans="10:10" s="125" customFormat="1" x14ac:dyDescent="0.3">
      <c r="J62" s="236"/>
    </row>
    <row r="63" spans="10:10" s="125" customFormat="1" x14ac:dyDescent="0.3">
      <c r="J63" s="236"/>
    </row>
    <row r="64" spans="10:10" s="125" customFormat="1" x14ac:dyDescent="0.3">
      <c r="J64" s="236"/>
    </row>
    <row r="65" spans="10:10" s="125" customFormat="1" x14ac:dyDescent="0.3">
      <c r="J65" s="236"/>
    </row>
    <row r="66" spans="10:10" s="125" customFormat="1" x14ac:dyDescent="0.3">
      <c r="J66" s="236"/>
    </row>
    <row r="67" spans="10:10" s="125" customFormat="1" x14ac:dyDescent="0.3">
      <c r="J67" s="236"/>
    </row>
    <row r="68" spans="10:10" s="125" customFormat="1" x14ac:dyDescent="0.3">
      <c r="J68" s="236"/>
    </row>
    <row r="69" spans="10:10" s="125" customFormat="1" x14ac:dyDescent="0.3">
      <c r="J69" s="236"/>
    </row>
    <row r="70" spans="10:10" s="125" customFormat="1" x14ac:dyDescent="0.3">
      <c r="J70" s="236"/>
    </row>
    <row r="71" spans="10:10" s="125" customFormat="1" x14ac:dyDescent="0.3">
      <c r="J71" s="236"/>
    </row>
    <row r="72" spans="10:10" s="125" customFormat="1" x14ac:dyDescent="0.3">
      <c r="J72" s="236"/>
    </row>
    <row r="73" spans="10:10" s="125" customFormat="1" x14ac:dyDescent="0.3">
      <c r="J73" s="236"/>
    </row>
    <row r="74" spans="10:10" s="125" customFormat="1" x14ac:dyDescent="0.3">
      <c r="J74" s="236"/>
    </row>
    <row r="75" spans="10:10" s="125" customFormat="1" x14ac:dyDescent="0.3">
      <c r="J75" s="236"/>
    </row>
    <row r="76" spans="10:10" s="125" customFormat="1" x14ac:dyDescent="0.3">
      <c r="J76" s="236"/>
    </row>
    <row r="77" spans="10:10" s="125" customFormat="1" x14ac:dyDescent="0.3">
      <c r="J77" s="236"/>
    </row>
    <row r="78" spans="10:10" s="125" customFormat="1" x14ac:dyDescent="0.3">
      <c r="J78" s="236"/>
    </row>
    <row r="79" spans="10:10" s="125" customFormat="1" x14ac:dyDescent="0.3">
      <c r="J79" s="236"/>
    </row>
    <row r="80" spans="10:10" s="125" customFormat="1" x14ac:dyDescent="0.3">
      <c r="J80" s="236"/>
    </row>
    <row r="81" spans="10:10" s="125" customFormat="1" x14ac:dyDescent="0.3">
      <c r="J81" s="236"/>
    </row>
    <row r="82" spans="10:10" s="125" customFormat="1" x14ac:dyDescent="0.3">
      <c r="J82" s="236"/>
    </row>
    <row r="83" spans="10:10" s="125" customFormat="1" x14ac:dyDescent="0.3">
      <c r="J83" s="236"/>
    </row>
    <row r="84" spans="10:10" s="125" customFormat="1" x14ac:dyDescent="0.3">
      <c r="J84" s="236"/>
    </row>
    <row r="85" spans="10:10" s="125" customFormat="1" x14ac:dyDescent="0.3">
      <c r="J85" s="236"/>
    </row>
    <row r="86" spans="10:10" s="125" customFormat="1" x14ac:dyDescent="0.3">
      <c r="J86" s="236"/>
    </row>
    <row r="87" spans="10:10" s="125" customFormat="1" x14ac:dyDescent="0.3">
      <c r="J87" s="236"/>
    </row>
    <row r="88" spans="10:10" s="125" customFormat="1" x14ac:dyDescent="0.3">
      <c r="J88" s="236"/>
    </row>
    <row r="89" spans="10:10" s="125" customFormat="1" x14ac:dyDescent="0.3">
      <c r="J89" s="236"/>
    </row>
    <row r="90" spans="10:10" s="125" customFormat="1" x14ac:dyDescent="0.3">
      <c r="J90" s="236"/>
    </row>
    <row r="91" spans="10:10" s="125" customFormat="1" x14ac:dyDescent="0.3">
      <c r="J91" s="236"/>
    </row>
    <row r="92" spans="10:10" s="125" customFormat="1" x14ac:dyDescent="0.3">
      <c r="J92" s="236"/>
    </row>
    <row r="93" spans="10:10" s="125" customFormat="1" x14ac:dyDescent="0.3">
      <c r="J93" s="236"/>
    </row>
    <row r="94" spans="10:10" s="125" customFormat="1" x14ac:dyDescent="0.3">
      <c r="J94" s="236"/>
    </row>
    <row r="95" spans="10:10" s="125" customFormat="1" x14ac:dyDescent="0.3">
      <c r="J95" s="236"/>
    </row>
    <row r="96" spans="10:10" s="125" customFormat="1" x14ac:dyDescent="0.3">
      <c r="J96" s="236"/>
    </row>
    <row r="97" spans="10:10" s="125" customFormat="1" x14ac:dyDescent="0.3">
      <c r="J97" s="236"/>
    </row>
    <row r="98" spans="10:10" s="125" customFormat="1" x14ac:dyDescent="0.3">
      <c r="J98" s="236"/>
    </row>
    <row r="99" spans="10:10" s="125" customFormat="1" x14ac:dyDescent="0.3">
      <c r="J99" s="236"/>
    </row>
    <row r="100" spans="10:10" s="125" customFormat="1" x14ac:dyDescent="0.3">
      <c r="J100" s="236"/>
    </row>
    <row r="101" spans="10:10" s="125" customFormat="1" x14ac:dyDescent="0.3">
      <c r="J101" s="236"/>
    </row>
    <row r="102" spans="10:10" s="125" customFormat="1" x14ac:dyDescent="0.3">
      <c r="J102" s="236"/>
    </row>
    <row r="103" spans="10:10" s="125" customFormat="1" x14ac:dyDescent="0.3">
      <c r="J103" s="236"/>
    </row>
    <row r="104" spans="10:10" s="125" customFormat="1" x14ac:dyDescent="0.3">
      <c r="J104" s="236"/>
    </row>
    <row r="105" spans="10:10" s="125" customFormat="1" x14ac:dyDescent="0.3">
      <c r="J105" s="236"/>
    </row>
    <row r="106" spans="10:10" s="125" customFormat="1" x14ac:dyDescent="0.3">
      <c r="J106" s="236"/>
    </row>
    <row r="107" spans="10:10" s="125" customFormat="1" x14ac:dyDescent="0.3">
      <c r="J107" s="236"/>
    </row>
    <row r="108" spans="10:10" s="125" customFormat="1" x14ac:dyDescent="0.3">
      <c r="J108" s="236"/>
    </row>
    <row r="109" spans="10:10" s="125" customFormat="1" x14ac:dyDescent="0.3">
      <c r="J109" s="236"/>
    </row>
    <row r="110" spans="10:10" s="125" customFormat="1" x14ac:dyDescent="0.3">
      <c r="J110" s="236"/>
    </row>
    <row r="111" spans="10:10" s="125" customFormat="1" x14ac:dyDescent="0.3">
      <c r="J111" s="236"/>
    </row>
    <row r="112" spans="10:10" s="125" customFormat="1" x14ac:dyDescent="0.3">
      <c r="J112" s="236"/>
    </row>
    <row r="113" spans="10:10" s="125" customFormat="1" x14ac:dyDescent="0.3">
      <c r="J113" s="236"/>
    </row>
    <row r="114" spans="10:10" s="125" customFormat="1" x14ac:dyDescent="0.3">
      <c r="J114" s="236"/>
    </row>
    <row r="115" spans="10:10" s="125" customFormat="1" x14ac:dyDescent="0.3">
      <c r="J115" s="236"/>
    </row>
    <row r="116" spans="10:10" s="125" customFormat="1" x14ac:dyDescent="0.3">
      <c r="J116" s="236"/>
    </row>
    <row r="117" spans="10:10" s="125" customFormat="1" x14ac:dyDescent="0.3">
      <c r="J117" s="236"/>
    </row>
    <row r="118" spans="10:10" s="125" customFormat="1" x14ac:dyDescent="0.3">
      <c r="J118" s="236"/>
    </row>
    <row r="119" spans="10:10" s="125" customFormat="1" x14ac:dyDescent="0.3">
      <c r="J119" s="236"/>
    </row>
    <row r="120" spans="10:10" s="125" customFormat="1" x14ac:dyDescent="0.3">
      <c r="J120" s="236"/>
    </row>
    <row r="121" spans="10:10" s="125" customFormat="1" x14ac:dyDescent="0.3">
      <c r="J121" s="236"/>
    </row>
    <row r="122" spans="10:10" s="125" customFormat="1" x14ac:dyDescent="0.3">
      <c r="J122" s="236"/>
    </row>
    <row r="123" spans="10:10" s="125" customFormat="1" x14ac:dyDescent="0.3">
      <c r="J123" s="236"/>
    </row>
    <row r="124" spans="10:10" s="125" customFormat="1" x14ac:dyDescent="0.3">
      <c r="J124" s="236"/>
    </row>
    <row r="125" spans="10:10" s="125" customFormat="1" x14ac:dyDescent="0.3">
      <c r="J125" s="236"/>
    </row>
    <row r="126" spans="10:10" s="125" customFormat="1" x14ac:dyDescent="0.3">
      <c r="J126" s="236"/>
    </row>
    <row r="127" spans="10:10" s="125" customFormat="1" x14ac:dyDescent="0.3">
      <c r="J127" s="236"/>
    </row>
    <row r="128" spans="10:10" s="125" customFormat="1" x14ac:dyDescent="0.3">
      <c r="J128" s="236"/>
    </row>
    <row r="129" spans="2:10" s="125" customFormat="1" x14ac:dyDescent="0.3">
      <c r="B129" s="126"/>
      <c r="C129" s="126"/>
      <c r="D129" s="126"/>
      <c r="E129" s="126"/>
      <c r="G129" s="126"/>
      <c r="H129" s="126"/>
      <c r="J129" s="236"/>
    </row>
    <row r="130" spans="2:10" s="125" customFormat="1" x14ac:dyDescent="0.3">
      <c r="B130" s="126"/>
      <c r="C130" s="126"/>
      <c r="D130" s="126"/>
      <c r="E130" s="126"/>
      <c r="G130" s="126"/>
      <c r="H130" s="126"/>
      <c r="J130" s="236"/>
    </row>
  </sheetData>
  <sheetProtection formatCells="0" formatColumns="0" formatRows="0" insertColumns="0" insertRows="0" selectLockedCells="1"/>
  <conditionalFormatting sqref="C14:J23">
    <cfRule type="expression" dxfId="42" priority="6">
      <formula>C14=""</formula>
    </cfRule>
  </conditionalFormatting>
  <conditionalFormatting sqref="G14">
    <cfRule type="expression" dxfId="41" priority="5">
      <formula>G14=""</formula>
    </cfRule>
  </conditionalFormatting>
  <conditionalFormatting sqref="D4">
    <cfRule type="expression" dxfId="40" priority="4">
      <formula>D4=""</formula>
    </cfRule>
  </conditionalFormatting>
  <conditionalFormatting sqref="D6">
    <cfRule type="expression" dxfId="39" priority="3">
      <formula>D6=""</formula>
    </cfRule>
  </conditionalFormatting>
  <conditionalFormatting sqref="D3">
    <cfRule type="expression" dxfId="38" priority="2">
      <formula>D3=""</formula>
    </cfRule>
  </conditionalFormatting>
  <conditionalFormatting sqref="D5">
    <cfRule type="expression" dxfId="37" priority="1">
      <formula>D5=""</formula>
    </cfRule>
  </conditionalFormatting>
  <dataValidations count="4">
    <dataValidation type="list" allowBlank="1" showInputMessage="1" showErrorMessage="1" sqref="E14:E23" xr:uid="{576C0A3D-9226-4C50-A625-0DBE97109E93}">
      <formula1>bbdp_taille</formula1>
    </dataValidation>
    <dataValidation type="list" allowBlank="1" showInputMessage="1" showErrorMessage="1" sqref="F14" xr:uid="{DAAD1428-8D50-464C-86B3-B918BEB5716E}">
      <formula1>affinage</formula1>
    </dataValidation>
    <dataValidation type="list" allowBlank="1" showInputMessage="1" showErrorMessage="1" sqref="D14:D23" xr:uid="{2309706D-E915-4A26-8E84-7D66A4B018A9}">
      <formula1>type_de_fromage</formula1>
    </dataValidation>
    <dataValidation type="list" allowBlank="1" showInputMessage="1" showErrorMessage="1" sqref="C14:C23 A17" xr:uid="{95E01823-4BA3-4813-BBBA-1ECD19A849D1}">
      <formula1>nom_exploitation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910A0A-7A5A-4E05-8239-EC2B6E9D2A13}">
          <x14:formula1>
            <xm:f>'BDD CLIENTS'!$B$2:$B$8</xm:f>
          </x14:formula1>
          <xm:sqref>D6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C3482-F930-4B88-A195-7099371547CF}">
  <sheetPr codeName="Feuil12"/>
  <dimension ref="A1:K13"/>
  <sheetViews>
    <sheetView workbookViewId="0">
      <selection activeCell="L15" sqref="L15"/>
    </sheetView>
  </sheetViews>
  <sheetFormatPr baseColWidth="10" defaultRowHeight="15" x14ac:dyDescent="0.25"/>
  <cols>
    <col min="1" max="1" width="16.5703125" customWidth="1"/>
    <col min="2" max="2" width="22.7109375" customWidth="1"/>
    <col min="3" max="3" width="23.7109375" bestFit="1" customWidth="1"/>
    <col min="4" max="5" width="21.5703125" customWidth="1"/>
    <col min="7" max="7" width="15.42578125" customWidth="1"/>
    <col min="8" max="8" width="18.85546875" bestFit="1" customWidth="1"/>
    <col min="11" max="11" width="20.5703125" bestFit="1" customWidth="1"/>
  </cols>
  <sheetData>
    <row r="1" spans="1:11" x14ac:dyDescent="0.25">
      <c r="A1" t="s">
        <v>101</v>
      </c>
      <c r="B1" t="s">
        <v>103</v>
      </c>
      <c r="C1" t="s">
        <v>120</v>
      </c>
      <c r="D1" t="s">
        <v>121</v>
      </c>
      <c r="E1" t="s">
        <v>127</v>
      </c>
      <c r="F1" t="s">
        <v>122</v>
      </c>
      <c r="G1" t="s">
        <v>129</v>
      </c>
      <c r="H1" t="s">
        <v>137</v>
      </c>
      <c r="I1" t="s">
        <v>141</v>
      </c>
      <c r="J1" t="s">
        <v>146</v>
      </c>
      <c r="K1" t="s">
        <v>322</v>
      </c>
    </row>
    <row r="2" spans="1:11" x14ac:dyDescent="0.25">
      <c r="A2" t="s">
        <v>100</v>
      </c>
      <c r="B2" t="s">
        <v>104</v>
      </c>
      <c r="C2" t="str">
        <f>CONCATENATE($A$2,Tableau5[[#This Row],[AFFINAGE]])</f>
        <v>ESTIVE3-6 mois</v>
      </c>
      <c r="D2" s="19">
        <v>12</v>
      </c>
      <c r="E2" s="24">
        <v>5.5E-2</v>
      </c>
      <c r="F2" s="20">
        <f>Tableau5[[#This Row],[Prix HT au kg]]*(1+TVA_FROMAGE)</f>
        <v>12.66</v>
      </c>
      <c r="G2" s="24">
        <v>0.2</v>
      </c>
      <c r="H2" t="s">
        <v>138</v>
      </c>
      <c r="I2" s="42">
        <v>1</v>
      </c>
      <c r="J2" s="44">
        <v>0.2</v>
      </c>
      <c r="K2" t="s">
        <v>323</v>
      </c>
    </row>
    <row r="3" spans="1:11" x14ac:dyDescent="0.25">
      <c r="A3" t="s">
        <v>102</v>
      </c>
      <c r="B3" t="s">
        <v>105</v>
      </c>
      <c r="C3" t="str">
        <f>CONCATENATE($A$2,Tableau5[[#This Row],[AFFINAGE]])</f>
        <v>ESTIVE6-9 mois</v>
      </c>
      <c r="D3" s="19">
        <v>13</v>
      </c>
      <c r="E3" s="19"/>
      <c r="F3" s="20">
        <f>Tableau5[[#This Row],[Prix HT au kg]]*(1+TVA_FROMAGE)</f>
        <v>13.715</v>
      </c>
      <c r="H3" t="s">
        <v>139</v>
      </c>
      <c r="I3" s="43">
        <v>12</v>
      </c>
      <c r="J3" s="44">
        <v>0.2</v>
      </c>
      <c r="K3" t="s">
        <v>324</v>
      </c>
    </row>
    <row r="4" spans="1:11" x14ac:dyDescent="0.25">
      <c r="B4" t="s">
        <v>106</v>
      </c>
      <c r="C4" t="str">
        <f>CONCATENATE($A$2,Tableau5[[#This Row],[AFFINAGE]])</f>
        <v>ESTIVE&gt;9 mois</v>
      </c>
      <c r="D4" s="19">
        <v>14</v>
      </c>
      <c r="E4" s="19"/>
      <c r="F4" s="20">
        <f>Tableau5[[#This Row],[Prix HT au kg]]*(1+TVA_FROMAGE)</f>
        <v>14.77</v>
      </c>
      <c r="H4" t="s">
        <v>20</v>
      </c>
      <c r="I4" s="42">
        <v>2</v>
      </c>
      <c r="J4" s="44">
        <v>0.2</v>
      </c>
    </row>
    <row r="5" spans="1:11" x14ac:dyDescent="0.25">
      <c r="C5" t="str">
        <f>CONCATENATE($A$3,B2)</f>
        <v>FERMIER3-6 mois</v>
      </c>
      <c r="D5" s="19">
        <v>14</v>
      </c>
      <c r="E5" s="19"/>
      <c r="F5" s="20">
        <f>Tableau5[[#This Row],[Prix HT au kg]]*(1+TVA_FROMAGE)</f>
        <v>14.77</v>
      </c>
      <c r="H5" t="s">
        <v>140</v>
      </c>
      <c r="J5" s="44">
        <v>0.2</v>
      </c>
    </row>
    <row r="6" spans="1:11" x14ac:dyDescent="0.25">
      <c r="C6" t="str">
        <f t="shared" ref="C6:C7" si="0">CONCATENATE($A$3,B3)</f>
        <v>FERMIER6-9 mois</v>
      </c>
      <c r="D6" s="19">
        <v>15</v>
      </c>
      <c r="E6" s="19"/>
      <c r="F6" s="20">
        <f>Tableau5[[#This Row],[Prix HT au kg]]*(1+TVA_FROMAGE)</f>
        <v>15.824999999999999</v>
      </c>
    </row>
    <row r="7" spans="1:11" x14ac:dyDescent="0.25">
      <c r="C7" t="str">
        <f t="shared" si="0"/>
        <v>FERMIER&gt;9 mois</v>
      </c>
      <c r="D7" s="19">
        <v>16</v>
      </c>
      <c r="E7" s="19"/>
      <c r="F7" s="20">
        <f>Tableau5[[#This Row],[Prix HT au kg]]*(1+TVA_FROMAGE)</f>
        <v>16.88</v>
      </c>
    </row>
    <row r="8" spans="1:11" x14ac:dyDescent="0.25">
      <c r="C8" t="str">
        <f>CONCATENATE($A$2,Tableau5[[#This Row],[AFFINAGE]])</f>
        <v>ESTIVE</v>
      </c>
      <c r="D8" s="19"/>
      <c r="E8" s="19"/>
      <c r="F8" s="20">
        <f>Tableau5[[#This Row],[Prix HT au kg]]*(1+TVA_FROMAGE)</f>
        <v>0</v>
      </c>
    </row>
    <row r="9" spans="1:11" x14ac:dyDescent="0.25">
      <c r="C9" t="str">
        <f>CONCATENATE($A$2,Tableau5[[#This Row],[AFFINAGE]])</f>
        <v>ESTIVE</v>
      </c>
      <c r="D9" s="19"/>
      <c r="E9" s="19"/>
      <c r="F9" s="20">
        <f>Tableau5[[#This Row],[Prix HT au kg]]*(1+TVA_FROMAGE)</f>
        <v>0</v>
      </c>
    </row>
    <row r="10" spans="1:11" x14ac:dyDescent="0.25">
      <c r="C10" t="str">
        <f>CONCATENATE($A$2,Tableau5[[#This Row],[AFFINAGE]])</f>
        <v>ESTIVE</v>
      </c>
      <c r="D10" s="19"/>
      <c r="E10" s="19"/>
      <c r="F10" s="20">
        <f>Tableau5[[#This Row],[Prix HT au kg]]*(1+TVA_FROMAGE)</f>
        <v>0</v>
      </c>
    </row>
    <row r="11" spans="1:11" x14ac:dyDescent="0.25">
      <c r="C11" t="str">
        <f>CONCATENATE($A$2,Tableau5[[#This Row],[AFFINAGE]])</f>
        <v>ESTIVE</v>
      </c>
      <c r="D11" s="19"/>
      <c r="E11" s="19"/>
      <c r="F11" s="20">
        <f>Tableau5[[#This Row],[Prix HT au kg]]*(1+TVA_FROMAGE)</f>
        <v>0</v>
      </c>
    </row>
    <row r="12" spans="1:11" x14ac:dyDescent="0.25">
      <c r="C12" t="str">
        <f>CONCATENATE($A$2,Tableau5[[#This Row],[AFFINAGE]])</f>
        <v>ESTIVE</v>
      </c>
      <c r="D12" s="19"/>
      <c r="E12" s="19"/>
      <c r="F12" s="20">
        <f>Tableau5[[#This Row],[Prix HT au kg]]*(1+TVA_FROMAGE)</f>
        <v>0</v>
      </c>
    </row>
    <row r="13" spans="1:11" x14ac:dyDescent="0.25">
      <c r="C13" t="str">
        <f>CONCATENATE($A$2,Tableau5[[#This Row],[AFFINAGE]])</f>
        <v>ESTIVE</v>
      </c>
      <c r="D13" s="19"/>
      <c r="E13" s="19"/>
      <c r="F13" s="20">
        <f>Tableau5[[#This Row],[Prix HT au kg]]*(1+TVA_FROMAGE)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1EA89-CFB1-4101-AB5D-09C5C47B6ADB}">
  <sheetPr codeName="Feuil28">
    <pageSetUpPr fitToPage="1"/>
  </sheetPr>
  <dimension ref="A1:F44"/>
  <sheetViews>
    <sheetView zoomScale="80" zoomScaleNormal="80" workbookViewId="0">
      <selection activeCell="I12" sqref="I12"/>
    </sheetView>
  </sheetViews>
  <sheetFormatPr baseColWidth="10" defaultRowHeight="15" x14ac:dyDescent="0.25"/>
  <cols>
    <col min="1" max="1" width="55.7109375" style="29" bestFit="1" customWidth="1"/>
    <col min="2" max="2" width="32.140625" style="28" bestFit="1" customWidth="1"/>
    <col min="3" max="3" width="21.7109375" style="29" customWidth="1"/>
    <col min="4" max="4" width="36.5703125" style="172" bestFit="1" customWidth="1"/>
    <col min="5" max="5" width="17" style="29" bestFit="1" customWidth="1"/>
    <col min="6" max="16384" width="11.42578125" style="3"/>
  </cols>
  <sheetData>
    <row r="1" spans="1:6" ht="18.75" x14ac:dyDescent="0.3">
      <c r="A1" s="48"/>
      <c r="B1" s="171"/>
    </row>
    <row r="2" spans="1:6" ht="26.25" x14ac:dyDescent="0.4">
      <c r="A2" s="187" t="s">
        <v>57</v>
      </c>
      <c r="B2" s="173"/>
    </row>
    <row r="3" spans="1:6" ht="21" x14ac:dyDescent="0.35">
      <c r="A3" s="173">
        <f>IFERROR(INDEX('BDD PAYSANS'!A:D,MATCH(fac_pl_produc,'BDD PAYSANS'!B:B,0),MATCH(Tableau4[[#Headers],[Adresse]],Tableau4[#Headers],0)),"erreur")</f>
        <v>0</v>
      </c>
      <c r="B3" s="173"/>
      <c r="C3" s="174"/>
    </row>
    <row r="4" spans="1:6" ht="21" x14ac:dyDescent="0.35">
      <c r="A4" s="173" t="str">
        <f>IFERROR(INDEX('BDD PAYSANS'!$A:$D,MATCH(fac_pl_produc,'BDD PAYSANS'!$B:$B,0),MATCH(Tableau4[[#Headers],[Commune]],Tableau4[#Headers],0)),"erreur")</f>
        <v>64130 AINHARP</v>
      </c>
      <c r="B4" s="173"/>
      <c r="C4" s="174"/>
    </row>
    <row r="5" spans="1:6" ht="21" x14ac:dyDescent="0.35">
      <c r="A5" s="173" t="s">
        <v>297</v>
      </c>
      <c r="B5" s="173">
        <f>IFERROR(INDEX('BDD PAYSANS'!$A:$F,MATCH(fac_pl_produc,'BDD PAYSANS'!$B:$B,0),MATCH(Tableau4[[#Headers],[SIRET]],Tableau4[#Headers],0)),"erreur")</f>
        <v>244</v>
      </c>
      <c r="C5" s="174"/>
    </row>
    <row r="6" spans="1:6" ht="21" x14ac:dyDescent="0.35">
      <c r="A6" s="173" t="s">
        <v>298</v>
      </c>
      <c r="B6" s="173">
        <f>IFERROR(INDEX('BDD PAYSANS'!$A:$F,MATCH(fac_pl_produc,'BDD PAYSANS'!$B:$B,0),MATCH(Tableau4[[#Headers],[N° TVA INTRA]],Tableau4[#Headers],0)),"erreur")</f>
        <v>64014</v>
      </c>
      <c r="C6" s="174"/>
      <c r="D6" s="175" t="s">
        <v>167</v>
      </c>
      <c r="F6" s="68"/>
    </row>
    <row r="7" spans="1:6" ht="21" x14ac:dyDescent="0.35">
      <c r="A7" s="176"/>
      <c r="B7" s="108"/>
      <c r="D7" s="175" t="s">
        <v>260</v>
      </c>
      <c r="F7" s="69"/>
    </row>
    <row r="8" spans="1:6" ht="21" x14ac:dyDescent="0.35">
      <c r="A8" s="176"/>
      <c r="B8" s="108"/>
      <c r="D8" s="175" t="s">
        <v>296</v>
      </c>
      <c r="F8" s="69"/>
    </row>
    <row r="9" spans="1:6" x14ac:dyDescent="0.25">
      <c r="A9" s="176"/>
      <c r="B9" s="108"/>
      <c r="E9" s="171"/>
      <c r="F9" s="69"/>
    </row>
    <row r="10" spans="1:6" x14ac:dyDescent="0.25">
      <c r="A10" s="176"/>
      <c r="B10" s="108"/>
      <c r="F10" s="69"/>
    </row>
    <row r="11" spans="1:6" x14ac:dyDescent="0.25">
      <c r="A11" s="176"/>
      <c r="B11" s="108"/>
      <c r="F11" s="69"/>
    </row>
    <row r="12" spans="1:6" x14ac:dyDescent="0.25">
      <c r="A12" s="176"/>
      <c r="B12" s="108"/>
      <c r="F12" s="69"/>
    </row>
    <row r="13" spans="1:6" x14ac:dyDescent="0.25">
      <c r="A13" s="176"/>
      <c r="B13" s="108"/>
      <c r="C13" s="114"/>
      <c r="D13" s="115"/>
      <c r="E13" s="109"/>
      <c r="F13" s="69"/>
    </row>
    <row r="14" spans="1:6" s="177" customFormat="1" ht="21" x14ac:dyDescent="0.25">
      <c r="A14" s="227" t="s">
        <v>293</v>
      </c>
      <c r="B14" s="186">
        <v>1</v>
      </c>
      <c r="C14" s="228"/>
      <c r="D14" s="227" t="s">
        <v>171</v>
      </c>
      <c r="E14" s="229">
        <v>43149</v>
      </c>
      <c r="F14" s="162"/>
    </row>
    <row r="15" spans="1:6" ht="21" x14ac:dyDescent="0.35">
      <c r="A15" s="230"/>
      <c r="B15" s="231"/>
      <c r="C15" s="230"/>
      <c r="D15" s="232"/>
      <c r="E15" s="233"/>
    </row>
    <row r="16" spans="1:6" ht="18.75" x14ac:dyDescent="0.3">
      <c r="A16" s="112"/>
      <c r="B16" s="116"/>
      <c r="C16" s="112"/>
      <c r="D16" s="115"/>
      <c r="E16" s="111"/>
    </row>
    <row r="17" spans="1:6" ht="18.75" x14ac:dyDescent="0.3">
      <c r="A17" s="174"/>
      <c r="B17" s="178"/>
      <c r="D17" s="115"/>
      <c r="E17" s="114"/>
    </row>
    <row r="18" spans="1:6" ht="18.75" x14ac:dyDescent="0.3">
      <c r="A18" s="174"/>
      <c r="B18" s="178"/>
      <c r="C18" s="174"/>
      <c r="D18" s="454"/>
      <c r="E18" s="454"/>
    </row>
    <row r="19" spans="1:6" ht="15.75" thickBot="1" x14ac:dyDescent="0.3"/>
    <row r="20" spans="1:6" ht="54.75" thickBot="1" x14ac:dyDescent="0.3">
      <c r="A20" s="181" t="s">
        <v>147</v>
      </c>
      <c r="B20" s="182" t="s">
        <v>292</v>
      </c>
      <c r="C20" s="265" t="s">
        <v>322</v>
      </c>
      <c r="D20" s="183" t="s">
        <v>294</v>
      </c>
      <c r="E20" s="184" t="s">
        <v>295</v>
      </c>
      <c r="F20" s="185" t="s">
        <v>176</v>
      </c>
    </row>
    <row r="21" spans="1:6" ht="18.75" x14ac:dyDescent="0.3">
      <c r="A21" s="221">
        <v>43150</v>
      </c>
      <c r="B21" s="222" t="s">
        <v>390</v>
      </c>
      <c r="C21" s="222" t="s">
        <v>324</v>
      </c>
      <c r="D21" s="222">
        <v>12</v>
      </c>
      <c r="E21" s="223">
        <v>16</v>
      </c>
      <c r="F21" s="179">
        <f t="shared" ref="F21:F30" si="0">IF(D21="","",D21*E21)</f>
        <v>192</v>
      </c>
    </row>
    <row r="22" spans="1:6" ht="18.75" x14ac:dyDescent="0.3">
      <c r="A22" s="224"/>
      <c r="B22" s="46"/>
      <c r="C22" s="46"/>
      <c r="D22" s="46"/>
      <c r="E22" s="225"/>
      <c r="F22" s="179" t="str">
        <f t="shared" si="0"/>
        <v/>
      </c>
    </row>
    <row r="23" spans="1:6" ht="18.75" x14ac:dyDescent="0.3">
      <c r="A23" s="224"/>
      <c r="B23" s="46"/>
      <c r="C23" s="46"/>
      <c r="D23" s="46"/>
      <c r="E23" s="225"/>
      <c r="F23" s="179" t="str">
        <f t="shared" si="0"/>
        <v/>
      </c>
    </row>
    <row r="24" spans="1:6" ht="18.75" x14ac:dyDescent="0.3">
      <c r="A24" s="224"/>
      <c r="B24" s="46"/>
      <c r="C24" s="46"/>
      <c r="D24" s="46"/>
      <c r="E24" s="225"/>
      <c r="F24" s="179" t="str">
        <f t="shared" si="0"/>
        <v/>
      </c>
    </row>
    <row r="25" spans="1:6" ht="18.75" x14ac:dyDescent="0.3">
      <c r="A25" s="224"/>
      <c r="B25" s="46"/>
      <c r="C25" s="46"/>
      <c r="D25" s="46"/>
      <c r="E25" s="225"/>
      <c r="F25" s="179" t="str">
        <f t="shared" si="0"/>
        <v/>
      </c>
    </row>
    <row r="26" spans="1:6" ht="18.75" x14ac:dyDescent="0.3">
      <c r="A26" s="224"/>
      <c r="B26" s="46"/>
      <c r="C26" s="46"/>
      <c r="D26" s="46"/>
      <c r="E26" s="225"/>
      <c r="F26" s="179" t="str">
        <f t="shared" si="0"/>
        <v/>
      </c>
    </row>
    <row r="27" spans="1:6" ht="18.75" x14ac:dyDescent="0.3">
      <c r="A27" s="224"/>
      <c r="B27" s="46"/>
      <c r="C27" s="46"/>
      <c r="D27" s="46"/>
      <c r="E27" s="225"/>
      <c r="F27" s="179" t="str">
        <f t="shared" si="0"/>
        <v/>
      </c>
    </row>
    <row r="28" spans="1:6" ht="18.75" x14ac:dyDescent="0.3">
      <c r="A28" s="224"/>
      <c r="B28" s="46"/>
      <c r="C28" s="46"/>
      <c r="D28" s="46"/>
      <c r="E28" s="225"/>
      <c r="F28" s="179" t="str">
        <f t="shared" si="0"/>
        <v/>
      </c>
    </row>
    <row r="29" spans="1:6" ht="18.75" x14ac:dyDescent="0.3">
      <c r="A29" s="224"/>
      <c r="B29" s="46"/>
      <c r="C29" s="46"/>
      <c r="D29" s="46"/>
      <c r="E29" s="225"/>
      <c r="F29" s="179" t="str">
        <f t="shared" si="0"/>
        <v/>
      </c>
    </row>
    <row r="30" spans="1:6" ht="19.5" thickBot="1" x14ac:dyDescent="0.35">
      <c r="A30" s="259"/>
      <c r="B30" s="226"/>
      <c r="C30" s="226"/>
      <c r="D30" s="226"/>
      <c r="E30" s="260"/>
      <c r="F30" s="180" t="str">
        <f t="shared" si="0"/>
        <v/>
      </c>
    </row>
    <row r="31" spans="1:6" ht="12.75" customHeight="1" x14ac:dyDescent="0.25">
      <c r="C31" s="28"/>
      <c r="D31" s="29"/>
      <c r="E31" s="172"/>
      <c r="F31" s="29"/>
    </row>
    <row r="32" spans="1:6" ht="18.75" x14ac:dyDescent="0.3">
      <c r="A32" s="190"/>
      <c r="B32" s="191"/>
      <c r="C32" s="191"/>
      <c r="D32" s="190"/>
      <c r="E32" s="192" t="s">
        <v>172</v>
      </c>
      <c r="F32" s="193">
        <f>SUM(F21:F30)</f>
        <v>192</v>
      </c>
    </row>
    <row r="33" spans="1:6" ht="18.75" x14ac:dyDescent="0.3">
      <c r="A33" s="190"/>
      <c r="B33" s="191"/>
      <c r="C33" s="191"/>
      <c r="D33" s="190"/>
      <c r="E33" s="194" t="str">
        <f>CONCATENATE("TVA ",TEXT(TVA_FROMAGE,"0,0%"))</f>
        <v>TVA 5,5%</v>
      </c>
      <c r="F33" s="193">
        <f>F32*(TVA_FROMAGE)</f>
        <v>10.56</v>
      </c>
    </row>
    <row r="34" spans="1:6" ht="18.75" x14ac:dyDescent="0.3">
      <c r="A34" s="190"/>
      <c r="B34" s="191"/>
      <c r="C34" s="191"/>
      <c r="D34" s="190"/>
      <c r="E34" s="194" t="s">
        <v>175</v>
      </c>
      <c r="F34" s="193">
        <f>F32+F33</f>
        <v>202.56</v>
      </c>
    </row>
    <row r="36" spans="1:6" s="202" customFormat="1" ht="18.75" x14ac:dyDescent="0.3">
      <c r="A36" s="48" t="s">
        <v>301</v>
      </c>
      <c r="C36" s="174"/>
      <c r="D36" s="189"/>
      <c r="E36" s="174"/>
    </row>
    <row r="37" spans="1:6" s="202" customFormat="1" ht="18.75" x14ac:dyDescent="0.3">
      <c r="A37" s="174"/>
      <c r="B37" s="178"/>
      <c r="C37" s="174"/>
      <c r="D37" s="189"/>
      <c r="E37" s="174"/>
    </row>
    <row r="38" spans="1:6" s="202" customFormat="1" ht="18.75" x14ac:dyDescent="0.3">
      <c r="A38" s="203" t="s">
        <v>302</v>
      </c>
      <c r="B38" s="47" t="s">
        <v>303</v>
      </c>
      <c r="C38" s="234">
        <f>IFERROR(INDEX('BDD PAYSANS'!$A:$M,MATCH(fac_pl_produc,'BDD PAYSANS'!$B:$B,0),MATCH(Tableau4[[#Headers],[Domiciliation]],Tableau4[#Headers],0)),"erreur")</f>
        <v>14</v>
      </c>
      <c r="D38" s="205"/>
      <c r="E38" s="204"/>
    </row>
    <row r="39" spans="1:6" s="202" customFormat="1" ht="18.75" x14ac:dyDescent="0.3">
      <c r="A39" s="174"/>
      <c r="B39" s="178"/>
      <c r="C39" s="174"/>
      <c r="D39" s="189"/>
      <c r="E39" s="174"/>
    </row>
    <row r="40" spans="1:6" s="202" customFormat="1" ht="18.75" x14ac:dyDescent="0.3">
      <c r="A40" s="206" t="s">
        <v>307</v>
      </c>
      <c r="B40" s="206" t="s">
        <v>308</v>
      </c>
      <c r="C40" s="207" t="s">
        <v>309</v>
      </c>
      <c r="D40" s="208"/>
      <c r="E40" s="206" t="s">
        <v>310</v>
      </c>
    </row>
    <row r="41" spans="1:6" s="202" customFormat="1" ht="18.75" x14ac:dyDescent="0.3">
      <c r="A41" s="209">
        <f>IFERROR(INDEX('BDD PAYSANS'!$A:$M,MATCH(fac_pl_produc,'BDD PAYSANS'!$B:$B,0),MATCH(Tableau4[[#Headers],[Code banque]],Tableau4[#Headers],0)),"erreur")</f>
        <v>14</v>
      </c>
      <c r="B41" s="210">
        <f>IFERROR(INDEX('BDD PAYSANS'!$A:$M,MATCH(fac_pl_produc,'BDD PAYSANS'!$B:$B,0),MATCH(Tableau4[[#Headers],[Code guichet]],Tableau4[#Headers],0)),"erreur")</f>
        <v>14</v>
      </c>
      <c r="C41" s="211">
        <f>IFERROR(INDEX('BDD PAYSANS'!$A:$M,MATCH(fac_pl_produc,'BDD PAYSANS'!$B:$B,0),MATCH(Tableau4[[#Headers],[Numéro de compte]],Tableau4[#Headers],0)),"erreur")</f>
        <v>14</v>
      </c>
      <c r="D41" s="212"/>
      <c r="E41" s="213">
        <f>IFERROR(INDEX('BDD PAYSANS'!$A:$M,MATCH(fac_pl_produc,'BDD PAYSANS'!$B:$B,0),MATCH(Tableau4[[#Headers],[Clé RIB]],Tableau4[#Headers],0)),"erreur")</f>
        <v>14</v>
      </c>
    </row>
    <row r="42" spans="1:6" s="202" customFormat="1" ht="18.75" x14ac:dyDescent="0.3">
      <c r="A42" s="207" t="s">
        <v>312</v>
      </c>
      <c r="B42" s="214"/>
      <c r="C42" s="207" t="s">
        <v>313</v>
      </c>
      <c r="D42" s="188"/>
      <c r="E42" s="215"/>
    </row>
    <row r="43" spans="1:6" s="202" customFormat="1" ht="18.75" x14ac:dyDescent="0.3">
      <c r="A43" s="216">
        <f>IFERROR(INDEX('BDD PAYSANS'!$A:$M,MATCH(fac_pl_produc,'BDD PAYSANS'!$B:$B,0),MATCH(Tableau4[[#Headers],[IBAN]],Tableau4[#Headers],0)),"erreur")</f>
        <v>14</v>
      </c>
      <c r="B43" s="217"/>
      <c r="C43" s="218">
        <f>IFERROR(INDEX('BDD PAYSANS'!$A:$M,MATCH(fac_pl_produc,'BDD PAYSANS'!$B:$B,0),MATCH(Tableau4[[#Headers],[BIC]],Tableau4[#Headers],0)),"erreur")</f>
        <v>14</v>
      </c>
      <c r="D43" s="219"/>
      <c r="E43" s="220"/>
    </row>
    <row r="44" spans="1:6" s="202" customFormat="1" ht="18.75" x14ac:dyDescent="0.3">
      <c r="A44" s="174"/>
      <c r="B44" s="178"/>
      <c r="C44" s="174"/>
      <c r="D44" s="189"/>
      <c r="E44" s="174"/>
    </row>
  </sheetData>
  <mergeCells count="1">
    <mergeCell ref="D18:E18"/>
  </mergeCells>
  <dataValidations count="1">
    <dataValidation type="list" allowBlank="1" showInputMessage="1" showErrorMessage="1" sqref="F7:F14" xr:uid="{BF3B368E-C004-4843-A17F-21A5DF6BB04A}">
      <formula1>"janvier,février,mars,avril,mai,juin,juillet,août,septembre,octobre,novembre,décembre"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58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D893A-4C26-4841-A103-31D12AE06EFC}">
  <sheetPr codeName="Feuil7"/>
  <dimension ref="A1:G1048559"/>
  <sheetViews>
    <sheetView zoomScale="57" zoomScaleNormal="57" workbookViewId="0">
      <selection activeCell="B2" sqref="B2"/>
    </sheetView>
  </sheetViews>
  <sheetFormatPr baseColWidth="10" defaultRowHeight="15" x14ac:dyDescent="0.25"/>
  <cols>
    <col min="1" max="1" width="18" style="284" bestFit="1" customWidth="1"/>
    <col min="2" max="2" width="18" style="285" customWidth="1"/>
    <col min="3" max="3" width="18" style="38" bestFit="1" customWidth="1"/>
    <col min="4" max="4" width="27.7109375" style="286" bestFit="1" customWidth="1"/>
    <col min="5" max="5" width="40.5703125" style="65" hidden="1" customWidth="1"/>
    <col min="6" max="6" width="117.42578125" style="65" customWidth="1"/>
    <col min="7" max="7" width="16.140625" style="38" customWidth="1"/>
    <col min="8" max="16384" width="11.42578125" style="38"/>
  </cols>
  <sheetData>
    <row r="1" spans="1:7" x14ac:dyDescent="0.25">
      <c r="A1" s="284" t="s">
        <v>334</v>
      </c>
      <c r="B1" s="285" t="s">
        <v>182</v>
      </c>
      <c r="C1" s="38" t="s">
        <v>165</v>
      </c>
      <c r="D1" s="286" t="s">
        <v>337</v>
      </c>
      <c r="E1" s="65" t="s">
        <v>336</v>
      </c>
      <c r="F1" s="65" t="s">
        <v>335</v>
      </c>
      <c r="G1" s="38" t="s">
        <v>394</v>
      </c>
    </row>
    <row r="2" spans="1:7" ht="75" x14ac:dyDescent="0.25">
      <c r="A2" s="284">
        <v>1</v>
      </c>
      <c r="B2" s="285">
        <v>43149</v>
      </c>
      <c r="C2" s="38" t="s">
        <v>57</v>
      </c>
      <c r="D2" s="286">
        <v>192</v>
      </c>
      <c r="E2" s="65" t="s">
        <v>391</v>
      </c>
      <c r="F2" s="65" t="str">
        <f>IF(Tableau9[[#This Row],[Extension nom fichier]]="","",HYPERLINK(Tableau9[[#This Row],[Extension nom fichier]]))</f>
        <v>C:\Users\Bastres\Desktop\PIERRE\PRO\ANTOLA COOP\CLIENTS\SALGIZEKO GASNATEGIA\DEMO 08_03_2018\FACTURES PRODUCTEURS_SALOIR\_facN° 1LAUGA Grégoire_2018_02_18.pdf</v>
      </c>
    </row>
    <row r="1048559" spans="1:1" x14ac:dyDescent="0.25">
      <c r="A1048559" s="284">
        <v>43147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533E2-1B25-4164-89D0-FE8B78723FBF}">
  <sheetPr codeName="Feuil10"/>
  <dimension ref="A1:R20"/>
  <sheetViews>
    <sheetView topLeftCell="G10" workbookViewId="0">
      <selection activeCell="A21" sqref="A21:XFD23"/>
    </sheetView>
  </sheetViews>
  <sheetFormatPr baseColWidth="10" defaultRowHeight="15" x14ac:dyDescent="0.25"/>
  <cols>
    <col min="1" max="1" width="11.42578125" style="38" customWidth="1"/>
    <col min="2" max="2" width="25.85546875" style="38" bestFit="1" customWidth="1"/>
    <col min="3" max="3" width="22" style="38" customWidth="1"/>
    <col min="4" max="13" width="27.28515625" style="38" customWidth="1"/>
  </cols>
  <sheetData>
    <row r="1" spans="1:18" ht="33" customHeight="1" x14ac:dyDescent="0.25">
      <c r="A1" s="38" t="s">
        <v>107</v>
      </c>
      <c r="B1" s="30" t="s">
        <v>24</v>
      </c>
      <c r="C1" s="31" t="s">
        <v>25</v>
      </c>
      <c r="D1" s="30" t="s">
        <v>26</v>
      </c>
      <c r="E1" s="169" t="s">
        <v>299</v>
      </c>
      <c r="F1" s="169" t="s">
        <v>300</v>
      </c>
      <c r="G1" s="169" t="s">
        <v>316</v>
      </c>
      <c r="H1" s="169" t="s">
        <v>304</v>
      </c>
      <c r="I1" s="169" t="s">
        <v>305</v>
      </c>
      <c r="J1" s="169" t="s">
        <v>314</v>
      </c>
      <c r="K1" s="169" t="s">
        <v>306</v>
      </c>
      <c r="L1" s="169" t="s">
        <v>311</v>
      </c>
      <c r="M1" s="169" t="s">
        <v>315</v>
      </c>
      <c r="N1" s="1"/>
      <c r="O1" s="1"/>
      <c r="P1" s="1"/>
      <c r="Q1" s="1"/>
      <c r="R1" s="1"/>
    </row>
    <row r="2" spans="1:18" ht="64.5" customHeight="1" x14ac:dyDescent="0.25">
      <c r="A2" s="38">
        <f>ROW()-1</f>
        <v>1</v>
      </c>
      <c r="B2" s="32" t="s">
        <v>27</v>
      </c>
      <c r="C2" s="32" t="s">
        <v>28</v>
      </c>
      <c r="D2" s="33" t="s">
        <v>29</v>
      </c>
      <c r="E2" s="170">
        <v>231</v>
      </c>
      <c r="F2" s="33">
        <v>64001</v>
      </c>
      <c r="G2" s="201">
        <v>1</v>
      </c>
      <c r="H2" s="195">
        <v>1</v>
      </c>
      <c r="I2" s="196">
        <v>1</v>
      </c>
      <c r="J2" s="197">
        <v>1</v>
      </c>
      <c r="K2" s="198">
        <v>1</v>
      </c>
      <c r="L2" s="199">
        <v>1</v>
      </c>
      <c r="M2" s="200">
        <v>1</v>
      </c>
    </row>
    <row r="3" spans="1:18" x14ac:dyDescent="0.25">
      <c r="A3" s="38">
        <f t="shared" ref="A3:A20" si="0">ROW()-1</f>
        <v>2</v>
      </c>
      <c r="B3" s="34" t="s">
        <v>30</v>
      </c>
      <c r="C3" s="32"/>
      <c r="D3" s="33" t="s">
        <v>31</v>
      </c>
      <c r="E3" s="170">
        <v>232</v>
      </c>
      <c r="F3" s="33">
        <v>64002</v>
      </c>
      <c r="G3" s="201">
        <v>2</v>
      </c>
      <c r="H3" s="195">
        <v>2</v>
      </c>
      <c r="I3" s="196">
        <v>2</v>
      </c>
      <c r="J3" s="197">
        <v>2</v>
      </c>
      <c r="K3" s="198">
        <v>2</v>
      </c>
      <c r="L3" s="199">
        <v>2</v>
      </c>
      <c r="M3" s="200">
        <v>2</v>
      </c>
    </row>
    <row r="4" spans="1:18" x14ac:dyDescent="0.25">
      <c r="A4" s="38">
        <f t="shared" si="0"/>
        <v>3</v>
      </c>
      <c r="B4" s="32" t="s">
        <v>32</v>
      </c>
      <c r="C4" s="33"/>
      <c r="D4" s="33" t="s">
        <v>33</v>
      </c>
      <c r="E4" s="170">
        <v>233</v>
      </c>
      <c r="F4" s="33">
        <v>64003</v>
      </c>
      <c r="G4" s="201">
        <v>3</v>
      </c>
      <c r="H4" s="195">
        <v>3</v>
      </c>
      <c r="I4" s="196">
        <v>3</v>
      </c>
      <c r="J4" s="197">
        <v>3</v>
      </c>
      <c r="K4" s="198">
        <v>3</v>
      </c>
      <c r="L4" s="199">
        <v>3</v>
      </c>
      <c r="M4" s="200">
        <v>3</v>
      </c>
    </row>
    <row r="5" spans="1:18" x14ac:dyDescent="0.25">
      <c r="A5" s="38">
        <f t="shared" si="0"/>
        <v>4</v>
      </c>
      <c r="B5" s="35" t="s">
        <v>34</v>
      </c>
      <c r="C5" s="36"/>
      <c r="D5" s="37" t="s">
        <v>29</v>
      </c>
      <c r="E5" s="170">
        <v>234</v>
      </c>
      <c r="F5" s="33">
        <v>64004</v>
      </c>
      <c r="G5" s="201">
        <v>4</v>
      </c>
      <c r="H5" s="195">
        <v>4</v>
      </c>
      <c r="I5" s="196">
        <v>4</v>
      </c>
      <c r="J5" s="197">
        <v>4</v>
      </c>
      <c r="K5" s="198">
        <v>4</v>
      </c>
      <c r="L5" s="199">
        <v>4</v>
      </c>
      <c r="M5" s="200">
        <v>4</v>
      </c>
    </row>
    <row r="6" spans="1:18" x14ac:dyDescent="0.25">
      <c r="A6" s="38">
        <f t="shared" si="0"/>
        <v>5</v>
      </c>
      <c r="B6" s="32" t="s">
        <v>36</v>
      </c>
      <c r="C6" s="32"/>
      <c r="D6" s="32" t="s">
        <v>37</v>
      </c>
      <c r="E6" s="170">
        <v>235</v>
      </c>
      <c r="F6" s="33">
        <v>64005</v>
      </c>
      <c r="G6" s="201">
        <v>5</v>
      </c>
      <c r="H6" s="195">
        <v>5</v>
      </c>
      <c r="I6" s="196">
        <v>5</v>
      </c>
      <c r="J6" s="197">
        <v>5</v>
      </c>
      <c r="K6" s="198">
        <v>5</v>
      </c>
      <c r="L6" s="199">
        <v>5</v>
      </c>
      <c r="M6" s="200">
        <v>5</v>
      </c>
    </row>
    <row r="7" spans="1:18" x14ac:dyDescent="0.25">
      <c r="A7" s="38">
        <f t="shared" si="0"/>
        <v>6</v>
      </c>
      <c r="B7" s="36" t="s">
        <v>38</v>
      </c>
      <c r="C7" s="32" t="s">
        <v>39</v>
      </c>
      <c r="D7" s="33" t="s">
        <v>40</v>
      </c>
      <c r="E7" s="170">
        <v>236</v>
      </c>
      <c r="F7" s="33">
        <v>64006</v>
      </c>
      <c r="G7" s="201">
        <v>6</v>
      </c>
      <c r="H7" s="195">
        <v>6</v>
      </c>
      <c r="I7" s="196">
        <v>6</v>
      </c>
      <c r="J7" s="197">
        <v>6</v>
      </c>
      <c r="K7" s="198">
        <v>6</v>
      </c>
      <c r="L7" s="199">
        <v>6</v>
      </c>
      <c r="M7" s="200">
        <v>6</v>
      </c>
    </row>
    <row r="8" spans="1:18" x14ac:dyDescent="0.25">
      <c r="A8" s="38">
        <f t="shared" si="0"/>
        <v>7</v>
      </c>
      <c r="B8" s="34" t="s">
        <v>41</v>
      </c>
      <c r="C8" s="32"/>
      <c r="D8" s="33" t="s">
        <v>42</v>
      </c>
      <c r="E8" s="170">
        <v>237</v>
      </c>
      <c r="F8" s="33">
        <v>64007</v>
      </c>
      <c r="G8" s="201">
        <v>7</v>
      </c>
      <c r="H8" s="195">
        <v>7</v>
      </c>
      <c r="I8" s="196">
        <v>7</v>
      </c>
      <c r="J8" s="197">
        <v>7</v>
      </c>
      <c r="K8" s="198">
        <v>7</v>
      </c>
      <c r="L8" s="199">
        <v>7</v>
      </c>
      <c r="M8" s="200">
        <v>7</v>
      </c>
    </row>
    <row r="9" spans="1:18" x14ac:dyDescent="0.25">
      <c r="A9" s="38">
        <f t="shared" si="0"/>
        <v>8</v>
      </c>
      <c r="B9" s="34" t="s">
        <v>43</v>
      </c>
      <c r="C9" s="32" t="s">
        <v>44</v>
      </c>
      <c r="D9" s="33" t="s">
        <v>33</v>
      </c>
      <c r="E9" s="170">
        <v>238</v>
      </c>
      <c r="F9" s="33">
        <v>64008</v>
      </c>
      <c r="G9" s="201">
        <v>8</v>
      </c>
      <c r="H9" s="195">
        <v>8</v>
      </c>
      <c r="I9" s="196">
        <v>8</v>
      </c>
      <c r="J9" s="197">
        <v>8</v>
      </c>
      <c r="K9" s="198">
        <v>8</v>
      </c>
      <c r="L9" s="199">
        <v>8</v>
      </c>
      <c r="M9" s="200">
        <v>8</v>
      </c>
    </row>
    <row r="10" spans="1:18" x14ac:dyDescent="0.25">
      <c r="A10" s="38">
        <f t="shared" si="0"/>
        <v>9</v>
      </c>
      <c r="B10" s="36" t="s">
        <v>45</v>
      </c>
      <c r="C10" s="32" t="s">
        <v>46</v>
      </c>
      <c r="D10" s="33" t="s">
        <v>29</v>
      </c>
      <c r="E10" s="170">
        <v>239</v>
      </c>
      <c r="F10" s="33">
        <v>64009</v>
      </c>
      <c r="G10" s="201">
        <v>9</v>
      </c>
      <c r="H10" s="195">
        <v>9</v>
      </c>
      <c r="I10" s="196">
        <v>9</v>
      </c>
      <c r="J10" s="197">
        <v>9</v>
      </c>
      <c r="K10" s="198">
        <v>9</v>
      </c>
      <c r="L10" s="199">
        <v>9</v>
      </c>
      <c r="M10" s="200">
        <v>9</v>
      </c>
    </row>
    <row r="11" spans="1:18" x14ac:dyDescent="0.25">
      <c r="A11" s="38">
        <f t="shared" si="0"/>
        <v>10</v>
      </c>
      <c r="B11" s="35" t="s">
        <v>47</v>
      </c>
      <c r="C11" s="36"/>
      <c r="D11" s="37" t="s">
        <v>48</v>
      </c>
      <c r="E11" s="170">
        <v>240</v>
      </c>
      <c r="F11" s="33">
        <v>64010</v>
      </c>
      <c r="G11" s="201">
        <v>10</v>
      </c>
      <c r="H11" s="195">
        <v>10</v>
      </c>
      <c r="I11" s="196">
        <v>10</v>
      </c>
      <c r="J11" s="197">
        <v>10</v>
      </c>
      <c r="K11" s="198">
        <v>10</v>
      </c>
      <c r="L11" s="199">
        <v>10</v>
      </c>
      <c r="M11" s="200">
        <v>10</v>
      </c>
    </row>
    <row r="12" spans="1:18" x14ac:dyDescent="0.25">
      <c r="A12" s="38">
        <f t="shared" si="0"/>
        <v>11</v>
      </c>
      <c r="B12" s="32" t="s">
        <v>49</v>
      </c>
      <c r="C12" s="32" t="s">
        <v>50</v>
      </c>
      <c r="D12" s="33" t="s">
        <v>51</v>
      </c>
      <c r="E12" s="170">
        <v>241</v>
      </c>
      <c r="F12" s="33">
        <v>64011</v>
      </c>
      <c r="G12" s="201">
        <v>11</v>
      </c>
      <c r="H12" s="195">
        <v>11</v>
      </c>
      <c r="I12" s="196">
        <v>11</v>
      </c>
      <c r="J12" s="197">
        <v>11</v>
      </c>
      <c r="K12" s="198">
        <v>11</v>
      </c>
      <c r="L12" s="199">
        <v>11</v>
      </c>
      <c r="M12" s="200">
        <v>11</v>
      </c>
    </row>
    <row r="13" spans="1:18" x14ac:dyDescent="0.25">
      <c r="A13" s="38">
        <f t="shared" si="0"/>
        <v>12</v>
      </c>
      <c r="B13" s="35" t="s">
        <v>52</v>
      </c>
      <c r="C13" s="36" t="s">
        <v>53</v>
      </c>
      <c r="D13" s="37" t="s">
        <v>51</v>
      </c>
      <c r="E13" s="170">
        <v>242</v>
      </c>
      <c r="F13" s="33">
        <v>64012</v>
      </c>
      <c r="G13" s="201">
        <v>12</v>
      </c>
      <c r="H13" s="195">
        <v>12</v>
      </c>
      <c r="I13" s="196">
        <v>12</v>
      </c>
      <c r="J13" s="197">
        <v>12</v>
      </c>
      <c r="K13" s="198">
        <v>12</v>
      </c>
      <c r="L13" s="199">
        <v>12</v>
      </c>
      <c r="M13" s="200">
        <v>12</v>
      </c>
    </row>
    <row r="14" spans="1:18" x14ac:dyDescent="0.25">
      <c r="A14" s="38">
        <f t="shared" si="0"/>
        <v>13</v>
      </c>
      <c r="B14" s="36" t="s">
        <v>54</v>
      </c>
      <c r="C14" s="32" t="s">
        <v>55</v>
      </c>
      <c r="D14" s="33" t="s">
        <v>56</v>
      </c>
      <c r="E14" s="170">
        <v>243</v>
      </c>
      <c r="F14" s="33">
        <v>64013</v>
      </c>
      <c r="G14" s="201">
        <v>13</v>
      </c>
      <c r="H14" s="195">
        <v>13</v>
      </c>
      <c r="I14" s="196">
        <v>13</v>
      </c>
      <c r="J14" s="197">
        <v>13</v>
      </c>
      <c r="K14" s="198">
        <v>13</v>
      </c>
      <c r="L14" s="199">
        <v>13</v>
      </c>
      <c r="M14" s="200">
        <v>13</v>
      </c>
    </row>
    <row r="15" spans="1:18" x14ac:dyDescent="0.25">
      <c r="A15" s="38">
        <f t="shared" si="0"/>
        <v>14</v>
      </c>
      <c r="B15" s="32" t="s">
        <v>57</v>
      </c>
      <c r="C15" s="32"/>
      <c r="D15" s="33" t="s">
        <v>58</v>
      </c>
      <c r="E15" s="170">
        <v>244</v>
      </c>
      <c r="F15" s="33">
        <v>64014</v>
      </c>
      <c r="G15" s="201">
        <v>14</v>
      </c>
      <c r="H15" s="195">
        <v>14</v>
      </c>
      <c r="I15" s="196">
        <v>14</v>
      </c>
      <c r="J15" s="197">
        <v>14</v>
      </c>
      <c r="K15" s="198">
        <v>14</v>
      </c>
      <c r="L15" s="199">
        <v>14</v>
      </c>
      <c r="M15" s="200">
        <v>14</v>
      </c>
    </row>
    <row r="16" spans="1:18" x14ac:dyDescent="0.25">
      <c r="A16" s="38">
        <f t="shared" si="0"/>
        <v>15</v>
      </c>
      <c r="B16" s="35" t="s">
        <v>59</v>
      </c>
      <c r="C16" s="36"/>
      <c r="D16" s="37" t="s">
        <v>60</v>
      </c>
      <c r="E16" s="170">
        <v>245</v>
      </c>
      <c r="F16" s="33">
        <v>64015</v>
      </c>
      <c r="G16" s="201">
        <v>15</v>
      </c>
      <c r="H16" s="195">
        <v>15</v>
      </c>
      <c r="I16" s="196">
        <v>15</v>
      </c>
      <c r="J16" s="197">
        <v>15</v>
      </c>
      <c r="K16" s="198">
        <v>15</v>
      </c>
      <c r="L16" s="199">
        <v>15</v>
      </c>
      <c r="M16" s="200">
        <v>15</v>
      </c>
    </row>
    <row r="17" spans="1:13" x14ac:dyDescent="0.25">
      <c r="A17" s="38">
        <f t="shared" si="0"/>
        <v>16</v>
      </c>
      <c r="B17" s="35" t="s">
        <v>61</v>
      </c>
      <c r="C17" s="36" t="s">
        <v>62</v>
      </c>
      <c r="D17" s="37" t="s">
        <v>63</v>
      </c>
      <c r="E17" s="170">
        <v>246</v>
      </c>
      <c r="F17" s="33">
        <v>64016</v>
      </c>
      <c r="G17" s="201">
        <v>16</v>
      </c>
      <c r="H17" s="195">
        <v>16</v>
      </c>
      <c r="I17" s="196">
        <v>16</v>
      </c>
      <c r="J17" s="197">
        <v>16</v>
      </c>
      <c r="K17" s="198">
        <v>16</v>
      </c>
      <c r="L17" s="199">
        <v>16</v>
      </c>
      <c r="M17" s="200">
        <v>16</v>
      </c>
    </row>
    <row r="18" spans="1:13" x14ac:dyDescent="0.25">
      <c r="A18" s="38">
        <f t="shared" si="0"/>
        <v>17</v>
      </c>
      <c r="B18" s="32" t="s">
        <v>64</v>
      </c>
      <c r="C18" s="32" t="s">
        <v>65</v>
      </c>
      <c r="D18" s="33" t="s">
        <v>66</v>
      </c>
      <c r="E18" s="170">
        <v>247</v>
      </c>
      <c r="F18" s="33">
        <v>64017</v>
      </c>
      <c r="G18" s="201">
        <v>17</v>
      </c>
      <c r="H18" s="195">
        <v>17</v>
      </c>
      <c r="I18" s="196">
        <v>17</v>
      </c>
      <c r="J18" s="197">
        <v>17</v>
      </c>
      <c r="K18" s="198">
        <v>17</v>
      </c>
      <c r="L18" s="199">
        <v>17</v>
      </c>
      <c r="M18" s="200">
        <v>17</v>
      </c>
    </row>
    <row r="19" spans="1:13" x14ac:dyDescent="0.25">
      <c r="A19" s="38">
        <f t="shared" si="0"/>
        <v>18</v>
      </c>
      <c r="B19" s="36" t="s">
        <v>67</v>
      </c>
      <c r="C19" s="32" t="s">
        <v>68</v>
      </c>
      <c r="D19" s="33" t="s">
        <v>69</v>
      </c>
      <c r="E19" s="170">
        <v>248</v>
      </c>
      <c r="F19" s="33">
        <v>64018</v>
      </c>
      <c r="G19" s="201">
        <v>18</v>
      </c>
      <c r="H19" s="195">
        <v>18</v>
      </c>
      <c r="I19" s="196">
        <v>18</v>
      </c>
      <c r="J19" s="197">
        <v>18</v>
      </c>
      <c r="K19" s="198">
        <v>18</v>
      </c>
      <c r="L19" s="199">
        <v>18</v>
      </c>
      <c r="M19" s="200">
        <v>18</v>
      </c>
    </row>
    <row r="20" spans="1:13" x14ac:dyDescent="0.25">
      <c r="A20" s="38">
        <f t="shared" si="0"/>
        <v>19</v>
      </c>
      <c r="B20" s="32" t="s">
        <v>70</v>
      </c>
      <c r="C20" s="32"/>
      <c r="D20" s="33" t="s">
        <v>71</v>
      </c>
      <c r="E20" s="170">
        <v>249</v>
      </c>
      <c r="F20" s="33">
        <v>64019</v>
      </c>
      <c r="G20" s="201">
        <v>19</v>
      </c>
      <c r="H20" s="195">
        <v>19</v>
      </c>
      <c r="I20" s="196">
        <v>19</v>
      </c>
      <c r="J20" s="197">
        <v>19</v>
      </c>
      <c r="K20" s="198">
        <v>19</v>
      </c>
      <c r="L20" s="199">
        <v>19</v>
      </c>
      <c r="M20" s="200">
        <v>19</v>
      </c>
    </row>
  </sheetData>
  <dataValidations count="1">
    <dataValidation type="list" allowBlank="1" showInputMessage="1" showErrorMessage="1" sqref="C1:C2" xr:uid="{6965CF41-7035-41B8-AD02-E42F1C62FEFB}">
      <formula1>"Mr., Mme"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DC935-93DA-446D-B08B-D1D3A226B753}">
  <sheetPr codeName="Feuil16"/>
  <dimension ref="A1:O10"/>
  <sheetViews>
    <sheetView workbookViewId="0">
      <selection activeCell="B6" sqref="B6"/>
    </sheetView>
  </sheetViews>
  <sheetFormatPr baseColWidth="10" defaultRowHeight="15" x14ac:dyDescent="0.25"/>
  <cols>
    <col min="1" max="1" width="20.42578125" style="8" customWidth="1"/>
    <col min="2" max="2" width="23.42578125" style="8" customWidth="1"/>
    <col min="3" max="4" width="20.42578125" style="8" customWidth="1"/>
    <col min="5" max="5" width="26.28515625" style="8" customWidth="1"/>
    <col min="7" max="7" width="24.7109375" style="16" bestFit="1" customWidth="1"/>
    <col min="8" max="8" width="19.5703125" style="8" customWidth="1"/>
    <col min="9" max="9" width="21.28515625" style="8" customWidth="1"/>
    <col min="10" max="10" width="26.140625" style="8" customWidth="1"/>
    <col min="11" max="11" width="13" style="16" hidden="1" customWidth="1"/>
    <col min="12" max="12" width="21.28515625" style="17" customWidth="1"/>
    <col min="13" max="13" width="18.7109375" style="8" customWidth="1"/>
    <col min="14" max="14" width="26.28515625" style="8" customWidth="1"/>
    <col min="15" max="16" width="33.85546875" style="8" bestFit="1" customWidth="1"/>
    <col min="17" max="16384" width="11.42578125" style="8"/>
  </cols>
  <sheetData>
    <row r="1" spans="1:15" ht="87.75" customHeight="1" x14ac:dyDescent="0.25">
      <c r="A1" s="10" t="s">
        <v>107</v>
      </c>
      <c r="B1" s="10" t="s">
        <v>132</v>
      </c>
      <c r="C1" s="26" t="s">
        <v>320</v>
      </c>
      <c r="D1" s="10" t="s">
        <v>112</v>
      </c>
      <c r="E1" s="10" t="s">
        <v>89</v>
      </c>
      <c r="F1" s="11" t="s">
        <v>114</v>
      </c>
      <c r="G1" s="10" t="s">
        <v>117</v>
      </c>
      <c r="H1" s="10" t="s">
        <v>115</v>
      </c>
      <c r="I1" s="10" t="s">
        <v>108</v>
      </c>
      <c r="J1" s="11" t="s">
        <v>113</v>
      </c>
      <c r="K1" s="12" t="s">
        <v>118</v>
      </c>
      <c r="L1" s="10" t="s">
        <v>133</v>
      </c>
      <c r="M1" s="10" t="s">
        <v>325</v>
      </c>
      <c r="N1" s="10" t="s">
        <v>326</v>
      </c>
      <c r="O1" s="263" t="s">
        <v>321</v>
      </c>
    </row>
    <row r="2" spans="1:15" x14ac:dyDescent="0.25">
      <c r="A2" s="13">
        <f>ROW()-1</f>
        <v>1</v>
      </c>
      <c r="B2" s="13" t="s">
        <v>131</v>
      </c>
      <c r="C2" s="14">
        <v>43104</v>
      </c>
      <c r="D2" s="13" t="s">
        <v>27</v>
      </c>
      <c r="E2" s="13" t="s">
        <v>100</v>
      </c>
      <c r="F2" s="15">
        <v>43109</v>
      </c>
      <c r="G2" s="22" t="s">
        <v>126</v>
      </c>
      <c r="H2" s="22"/>
      <c r="I2" s="21" t="str">
        <f ca="1">IF((Tableau3[[#This Row],[aujourdhui]]-Tableau3[[#This Row],[Date de production]])&lt;90,"&lt;3 mois",IF(AND((Tableau3[[#This Row],[aujourdhui]]-Tableau3[[#This Row],[Date de production]])&gt;=90,(Tableau3[[#This Row],[aujourdhui]]-Tableau3[[#This Row],[Date de production]])&lt;180),"3-6 mois",IF(AND((Tableau3[[#This Row],[aujourdhui]]-Tableau3[[#This Row],[Date de production]])&gt;=180,(Tableau3[[#This Row],[aujourdhui]]-Tableau3[[#This Row],[Date de production]])&lt;210),"6-9 mois","&gt;9 mois")))</f>
        <v>&lt;3 mois</v>
      </c>
      <c r="J2" s="23">
        <f t="shared" ref="J2:J3" ca="1" si="0">TODAY()</f>
        <v>43152</v>
      </c>
      <c r="K2" s="9">
        <f ca="1">Tableau3[[#This Row],[aujourdhui]]-Tableau3[[#This Row],[Date de production]]</f>
        <v>43</v>
      </c>
      <c r="L2" s="13">
        <v>150</v>
      </c>
      <c r="M2" s="13" t="s">
        <v>323</v>
      </c>
      <c r="N2" s="13">
        <v>151</v>
      </c>
      <c r="O2" s="262" t="str">
        <f ca="1">CONCATENATE(Tableau3[[#This Row],[Paysan]],Tableau3[[#This Row],[Type de fromage]],Tableau3[[#This Row],[Affinage]])</f>
        <v>BIDABE MarcelESTIVE&lt;3 mois</v>
      </c>
    </row>
    <row r="3" spans="1:15" x14ac:dyDescent="0.25">
      <c r="A3" s="13">
        <f t="shared" ref="A3" si="1">ROW()-1</f>
        <v>2</v>
      </c>
      <c r="B3" s="13" t="s">
        <v>131</v>
      </c>
      <c r="C3" s="14">
        <v>43101</v>
      </c>
      <c r="D3" s="13" t="s">
        <v>27</v>
      </c>
      <c r="E3" s="13" t="s">
        <v>100</v>
      </c>
      <c r="F3" s="15">
        <v>43110</v>
      </c>
      <c r="G3" s="22" t="s">
        <v>125</v>
      </c>
      <c r="H3" s="22"/>
      <c r="I3" s="21" t="str">
        <f ca="1">IF((Tableau3[[#This Row],[aujourdhui]]-Tableau3[[#This Row],[Date de production]])&lt;90,"&lt;3 mois",IF(AND((Tableau3[[#This Row],[aujourdhui]]-Tableau3[[#This Row],[Date de production]])&gt;=90,(Tableau3[[#This Row],[aujourdhui]]-Tableau3[[#This Row],[Date de production]])&lt;180),"3-6 mois",IF(AND((Tableau3[[#This Row],[aujourdhui]]-Tableau3[[#This Row],[Date de production]])&gt;=180,(Tableau3[[#This Row],[aujourdhui]]-Tableau3[[#This Row],[Date de production]])&lt;210),"6-9 mois","&gt;9 mois")))</f>
        <v>&lt;3 mois</v>
      </c>
      <c r="J3" s="23">
        <f t="shared" ca="1" si="0"/>
        <v>43152</v>
      </c>
      <c r="K3" s="9">
        <f ca="1">Tableau3[[#This Row],[aujourdhui]]-Tableau3[[#This Row],[Date de production]]</f>
        <v>42</v>
      </c>
      <c r="L3" s="13">
        <v>60</v>
      </c>
      <c r="M3" s="13" t="s">
        <v>324</v>
      </c>
      <c r="N3" s="13">
        <v>31</v>
      </c>
      <c r="O3" s="262" t="str">
        <f ca="1">CONCATENATE(Tableau3[[#This Row],[Paysan]],Tableau3[[#This Row],[Type de fromage]],Tableau3[[#This Row],[Affinage]])</f>
        <v>BIDABE MarcelESTIVE&lt;3 mois</v>
      </c>
    </row>
    <row r="5" spans="1:15" x14ac:dyDescent="0.25">
      <c r="E5" s="18"/>
      <c r="N5" s="18"/>
    </row>
    <row r="10" spans="1:15" x14ac:dyDescent="0.25">
      <c r="C10"/>
    </row>
  </sheetData>
  <dataValidations count="4">
    <dataValidation type="list" allowBlank="1" showInputMessage="1" showErrorMessage="1" sqref="E2:E3" xr:uid="{6EB73931-21DA-44BA-8085-5E93D691D769}">
      <formula1>type_de_fromage</formula1>
    </dataValidation>
    <dataValidation type="list" allowBlank="1" showInputMessage="1" showErrorMessage="1" sqref="D2:D3" xr:uid="{3FC3D4A5-2FAF-4096-9CD8-7D56D52DED83}">
      <formula1>nom_exploitation</formula1>
    </dataValidation>
    <dataValidation type="list" allowBlank="1" showInputMessage="1" showErrorMessage="1" sqref="B2:B3" xr:uid="{8A0502D8-1B54-4E47-B2FB-42A3A462020B}">
      <formula1>"ENTREE FROMAGE, SORTIE,AJUSTEMENT INVENTAIRE"</formula1>
    </dataValidation>
    <dataValidation type="list" allowBlank="1" showInputMessage="1" showErrorMessage="1" sqref="M2:M3" xr:uid="{F15AF441-F29F-4050-A327-669B5DE1DC4B}">
      <formula1>bbdp_taille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6E418-C5ED-4220-A9B9-0865B9149008}">
  <sheetPr codeName="Feuil3">
    <tabColor rgb="FFFFFF00"/>
  </sheetPr>
  <dimension ref="A1:CS111"/>
  <sheetViews>
    <sheetView zoomScale="66" zoomScaleNormal="66" workbookViewId="0">
      <selection activeCell="W3" sqref="W3"/>
    </sheetView>
  </sheetViews>
  <sheetFormatPr baseColWidth="10" defaultRowHeight="15" x14ac:dyDescent="0.25"/>
  <cols>
    <col min="1" max="1" width="29.42578125" style="337" bestFit="1" customWidth="1"/>
    <col min="2" max="2" width="4.85546875" style="338" hidden="1" customWidth="1"/>
    <col min="3" max="3" width="47" style="338" hidden="1" customWidth="1"/>
    <col min="4" max="5" width="47.85546875" style="338" hidden="1" customWidth="1"/>
    <col min="6" max="6" width="47" style="338" hidden="1" customWidth="1"/>
    <col min="7" max="7" width="44.5703125" style="338" hidden="1" customWidth="1"/>
    <col min="8" max="9" width="45.28515625" style="338" hidden="1" customWidth="1"/>
    <col min="10" max="10" width="46.5703125" style="339" hidden="1" customWidth="1"/>
    <col min="11" max="11" width="13.7109375" style="339" hidden="1" customWidth="1"/>
    <col min="12" max="12" width="11.42578125" style="72" bestFit="1" customWidth="1"/>
    <col min="13" max="13" width="8.85546875" style="72" bestFit="1" customWidth="1"/>
    <col min="14" max="17" width="12.7109375" style="72" bestFit="1" customWidth="1"/>
    <col min="18" max="18" width="21.28515625" style="72" bestFit="1" customWidth="1"/>
    <col min="19" max="19" width="14.7109375" style="72" bestFit="1" customWidth="1"/>
    <col min="20" max="20" width="15.28515625" style="72" bestFit="1" customWidth="1"/>
    <col min="21" max="23" width="12.7109375" style="72" bestFit="1" customWidth="1"/>
    <col min="24" max="24" width="11.42578125" style="72" bestFit="1" customWidth="1"/>
    <col min="25" max="25" width="8.85546875" style="72" bestFit="1" customWidth="1"/>
    <col min="26" max="26" width="13.7109375" style="72" bestFit="1" customWidth="1"/>
    <col min="27" max="29" width="12.7109375" style="72" bestFit="1" customWidth="1"/>
    <col min="30" max="30" width="11.42578125" style="72" bestFit="1" customWidth="1"/>
    <col min="31" max="31" width="8.85546875" style="72" bestFit="1" customWidth="1"/>
    <col min="32" max="32" width="15.28515625" style="72" bestFit="1" customWidth="1"/>
    <col min="33" max="35" width="12.7109375" style="72" bestFit="1" customWidth="1"/>
    <col min="36" max="36" width="11.42578125" style="8" bestFit="1" customWidth="1"/>
    <col min="37" max="37" width="9" style="8" bestFit="1" customWidth="1"/>
    <col min="38" max="38" width="12.7109375" style="8" bestFit="1" customWidth="1"/>
    <col min="39" max="39" width="14.140625" style="8" bestFit="1" customWidth="1"/>
    <col min="40" max="40" width="14.85546875" style="8" bestFit="1" customWidth="1"/>
    <col min="41" max="41" width="12.7109375" style="8" bestFit="1" customWidth="1"/>
    <col min="42" max="42" width="11.42578125" style="8"/>
    <col min="43" max="43" width="8.85546875" style="8" bestFit="1" customWidth="1"/>
    <col min="44" max="47" width="12.7109375" style="8" bestFit="1" customWidth="1"/>
    <col min="48" max="48" width="11.42578125" style="8"/>
    <col min="49" max="49" width="8.85546875" style="8" bestFit="1" customWidth="1"/>
    <col min="50" max="51" width="12.7109375" style="8" bestFit="1" customWidth="1"/>
    <col min="52" max="52" width="16" style="8" bestFit="1" customWidth="1"/>
    <col min="53" max="53" width="12.7109375" style="8" bestFit="1" customWidth="1"/>
    <col min="54" max="54" width="11.42578125" style="8"/>
    <col min="55" max="55" width="8.85546875" style="8" bestFit="1" customWidth="1"/>
    <col min="56" max="59" width="12.7109375" style="8" bestFit="1" customWidth="1"/>
    <col min="60" max="97" width="11.42578125" style="3"/>
    <col min="98" max="16384" width="11.42578125" style="8"/>
  </cols>
  <sheetData>
    <row r="1" spans="1:97" s="329" customFormat="1" ht="24.75" customHeight="1" x14ac:dyDescent="0.3">
      <c r="A1" s="505" t="s">
        <v>202</v>
      </c>
      <c r="B1" s="505"/>
      <c r="C1" s="505"/>
      <c r="D1" s="505"/>
      <c r="E1" s="505"/>
      <c r="F1" s="505"/>
      <c r="G1" s="505"/>
      <c r="H1" s="505"/>
      <c r="I1" s="505"/>
      <c r="J1" s="505"/>
      <c r="K1" s="505"/>
      <c r="L1" s="505"/>
      <c r="M1" s="505"/>
      <c r="N1" s="505"/>
      <c r="O1" s="505"/>
      <c r="P1" s="505"/>
      <c r="Q1" s="505"/>
      <c r="R1" s="505"/>
      <c r="S1" s="505"/>
      <c r="T1" s="505"/>
      <c r="U1" s="505"/>
      <c r="V1" s="505"/>
      <c r="W1" s="505"/>
      <c r="X1" s="505"/>
      <c r="Y1" s="505"/>
      <c r="Z1" s="505"/>
      <c r="AA1" s="505"/>
      <c r="AB1" s="505"/>
      <c r="AC1" s="505"/>
      <c r="AD1" s="505"/>
      <c r="AE1" s="505"/>
      <c r="AF1" s="505"/>
      <c r="AG1" s="505"/>
      <c r="AH1" s="505"/>
      <c r="AI1" s="505"/>
      <c r="AJ1" s="202"/>
      <c r="AK1" s="202"/>
      <c r="AL1" s="202"/>
      <c r="AM1" s="202"/>
      <c r="AN1" s="202"/>
      <c r="AO1" s="202"/>
      <c r="AP1" s="202"/>
      <c r="AQ1" s="202"/>
      <c r="AR1" s="202"/>
      <c r="AS1" s="202"/>
      <c r="AT1" s="202"/>
      <c r="AU1" s="202"/>
      <c r="AV1" s="202"/>
      <c r="AW1" s="202"/>
      <c r="AX1" s="202"/>
      <c r="AY1" s="202"/>
      <c r="AZ1" s="202"/>
      <c r="BA1" s="202"/>
      <c r="BB1" s="202"/>
      <c r="BC1" s="202"/>
      <c r="BD1" s="202"/>
      <c r="BE1" s="202"/>
      <c r="BF1" s="202"/>
      <c r="BG1" s="202"/>
      <c r="BH1" s="202"/>
      <c r="BI1" s="202"/>
      <c r="BJ1" s="202"/>
      <c r="BK1" s="202"/>
      <c r="BL1" s="202"/>
      <c r="BM1" s="202"/>
      <c r="BN1" s="202"/>
      <c r="BO1" s="202"/>
      <c r="BP1" s="202"/>
      <c r="BQ1" s="202"/>
      <c r="BR1" s="202"/>
      <c r="BS1" s="202"/>
      <c r="BT1" s="202"/>
      <c r="BU1" s="202"/>
      <c r="BV1" s="202"/>
      <c r="BW1" s="202"/>
      <c r="BX1" s="202"/>
      <c r="BY1" s="202"/>
      <c r="BZ1" s="202"/>
      <c r="CA1" s="202"/>
      <c r="CB1" s="202"/>
      <c r="CC1" s="202"/>
      <c r="CD1" s="202"/>
      <c r="CE1" s="202"/>
      <c r="CF1" s="202"/>
      <c r="CG1" s="202"/>
      <c r="CH1" s="202"/>
      <c r="CI1" s="202"/>
      <c r="CJ1" s="202"/>
      <c r="CK1" s="202"/>
      <c r="CL1" s="202"/>
      <c r="CM1" s="202"/>
      <c r="CN1" s="202"/>
      <c r="CO1" s="202"/>
      <c r="CP1" s="202"/>
      <c r="CQ1" s="202"/>
      <c r="CR1" s="202"/>
      <c r="CS1" s="202"/>
    </row>
    <row r="2" spans="1:97" s="202" customFormat="1" ht="12.75" customHeight="1" thickBot="1" x14ac:dyDescent="0.35">
      <c r="A2" s="363"/>
      <c r="B2" s="363"/>
      <c r="C2" s="363"/>
      <c r="D2" s="363"/>
      <c r="E2" s="363"/>
      <c r="F2" s="363"/>
      <c r="G2" s="363"/>
      <c r="H2" s="363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3"/>
      <c r="AB2" s="363"/>
      <c r="AC2" s="363"/>
      <c r="AD2" s="363"/>
      <c r="AE2" s="363"/>
      <c r="AF2" s="363"/>
      <c r="AG2" s="363"/>
      <c r="AH2" s="363"/>
      <c r="AI2" s="363"/>
    </row>
    <row r="3" spans="1:97" ht="30.75" customHeight="1" thickBot="1" x14ac:dyDescent="0.35">
      <c r="A3" s="308"/>
      <c r="B3" s="318"/>
      <c r="C3" s="319"/>
      <c r="D3" s="318"/>
      <c r="E3" s="318"/>
      <c r="F3" s="318"/>
      <c r="G3" s="318"/>
      <c r="H3" s="318"/>
      <c r="I3" s="318"/>
      <c r="J3" s="321"/>
      <c r="K3" s="321"/>
      <c r="L3" s="27"/>
      <c r="M3" s="27"/>
      <c r="N3" s="27"/>
      <c r="O3" s="27"/>
      <c r="P3" s="46"/>
      <c r="Q3" s="46"/>
      <c r="R3" s="327" t="s">
        <v>362</v>
      </c>
      <c r="S3" s="328">
        <v>42736</v>
      </c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</row>
    <row r="4" spans="1:97" ht="31.5" customHeight="1" thickBot="1" x14ac:dyDescent="0.35">
      <c r="A4" s="308"/>
      <c r="B4" s="318"/>
      <c r="C4" s="319"/>
      <c r="D4" s="318"/>
      <c r="E4" s="318"/>
      <c r="F4" s="318"/>
      <c r="G4" s="318"/>
      <c r="H4" s="318"/>
      <c r="I4" s="318"/>
      <c r="J4" s="322"/>
      <c r="K4" s="323"/>
      <c r="L4" s="27"/>
      <c r="M4" s="27"/>
      <c r="N4" s="27"/>
      <c r="O4" s="27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</row>
    <row r="5" spans="1:97" ht="18.75" customHeight="1" x14ac:dyDescent="0.3">
      <c r="A5" s="310"/>
      <c r="B5" s="320"/>
      <c r="C5" s="320"/>
      <c r="D5" s="320"/>
      <c r="E5" s="320"/>
      <c r="F5" s="320"/>
      <c r="G5" s="320"/>
      <c r="H5" s="320"/>
      <c r="I5" s="320"/>
      <c r="J5" s="320"/>
      <c r="K5" s="320"/>
      <c r="L5" s="500" t="s">
        <v>102</v>
      </c>
      <c r="M5" s="501"/>
      <c r="N5" s="501"/>
      <c r="O5" s="501"/>
      <c r="P5" s="501"/>
      <c r="Q5" s="502"/>
      <c r="R5" s="500" t="s">
        <v>102</v>
      </c>
      <c r="S5" s="501"/>
      <c r="T5" s="501"/>
      <c r="U5" s="501"/>
      <c r="V5" s="501"/>
      <c r="W5" s="502"/>
      <c r="X5" s="500" t="s">
        <v>102</v>
      </c>
      <c r="Y5" s="501"/>
      <c r="Z5" s="501"/>
      <c r="AA5" s="501"/>
      <c r="AB5" s="501"/>
      <c r="AC5" s="502"/>
      <c r="AD5" s="500" t="s">
        <v>102</v>
      </c>
      <c r="AE5" s="501"/>
      <c r="AF5" s="501"/>
      <c r="AG5" s="501"/>
      <c r="AH5" s="501"/>
      <c r="AI5" s="502"/>
      <c r="AJ5" s="497" t="s">
        <v>100</v>
      </c>
      <c r="AK5" s="498"/>
      <c r="AL5" s="498"/>
      <c r="AM5" s="498"/>
      <c r="AN5" s="498"/>
      <c r="AO5" s="499"/>
      <c r="AP5" s="497" t="s">
        <v>100</v>
      </c>
      <c r="AQ5" s="498"/>
      <c r="AR5" s="498"/>
      <c r="AS5" s="498"/>
      <c r="AT5" s="498"/>
      <c r="AU5" s="499"/>
      <c r="AV5" s="497" t="s">
        <v>100</v>
      </c>
      <c r="AW5" s="498"/>
      <c r="AX5" s="498"/>
      <c r="AY5" s="498"/>
      <c r="AZ5" s="498"/>
      <c r="BA5" s="499"/>
      <c r="BB5" s="497" t="s">
        <v>100</v>
      </c>
      <c r="BC5" s="498"/>
      <c r="BD5" s="498"/>
      <c r="BE5" s="498"/>
      <c r="BF5" s="498"/>
      <c r="BG5" s="499"/>
    </row>
    <row r="6" spans="1:97" ht="19.5" customHeight="1" x14ac:dyDescent="0.3">
      <c r="A6" s="310"/>
      <c r="B6" s="320"/>
      <c r="C6" s="320"/>
      <c r="D6" s="320"/>
      <c r="E6" s="320"/>
      <c r="F6" s="320"/>
      <c r="G6" s="320"/>
      <c r="H6" s="320"/>
      <c r="I6" s="320"/>
      <c r="J6" s="320"/>
      <c r="K6" s="320"/>
      <c r="L6" s="489" t="s">
        <v>130</v>
      </c>
      <c r="M6" s="490"/>
      <c r="N6" s="490"/>
      <c r="O6" s="490"/>
      <c r="P6" s="490"/>
      <c r="Q6" s="491"/>
      <c r="R6" s="506" t="s">
        <v>104</v>
      </c>
      <c r="S6" s="490"/>
      <c r="T6" s="490"/>
      <c r="U6" s="490"/>
      <c r="V6" s="490"/>
      <c r="W6" s="491"/>
      <c r="X6" s="506" t="s">
        <v>105</v>
      </c>
      <c r="Y6" s="490"/>
      <c r="Z6" s="490"/>
      <c r="AA6" s="490"/>
      <c r="AB6" s="490"/>
      <c r="AC6" s="491"/>
      <c r="AD6" s="506" t="s">
        <v>106</v>
      </c>
      <c r="AE6" s="490"/>
      <c r="AF6" s="490"/>
      <c r="AG6" s="490"/>
      <c r="AH6" s="490"/>
      <c r="AI6" s="491"/>
      <c r="AJ6" s="489" t="s">
        <v>130</v>
      </c>
      <c r="AK6" s="490"/>
      <c r="AL6" s="490"/>
      <c r="AM6" s="490"/>
      <c r="AN6" s="490"/>
      <c r="AO6" s="491"/>
      <c r="AP6" s="489" t="s">
        <v>104</v>
      </c>
      <c r="AQ6" s="490"/>
      <c r="AR6" s="490"/>
      <c r="AS6" s="490"/>
      <c r="AT6" s="490"/>
      <c r="AU6" s="491"/>
      <c r="AV6" s="489" t="s">
        <v>105</v>
      </c>
      <c r="AW6" s="490"/>
      <c r="AX6" s="490"/>
      <c r="AY6" s="490"/>
      <c r="AZ6" s="490"/>
      <c r="BA6" s="491"/>
      <c r="BB6" s="489" t="s">
        <v>106</v>
      </c>
      <c r="BC6" s="490"/>
      <c r="BD6" s="490"/>
      <c r="BE6" s="490"/>
      <c r="BF6" s="490"/>
      <c r="BG6" s="491"/>
    </row>
    <row r="7" spans="1:97" ht="21" customHeight="1" thickBot="1" x14ac:dyDescent="0.3">
      <c r="A7" s="503"/>
      <c r="B7" s="504"/>
      <c r="C7" s="504"/>
      <c r="D7" s="504"/>
      <c r="E7" s="504"/>
      <c r="F7" s="504"/>
      <c r="G7" s="504"/>
      <c r="H7" s="504"/>
      <c r="I7" s="504"/>
      <c r="J7" s="504"/>
      <c r="K7" s="324"/>
      <c r="L7" s="507" t="s">
        <v>154</v>
      </c>
      <c r="M7" s="508"/>
      <c r="N7" s="509" t="s">
        <v>324</v>
      </c>
      <c r="O7" s="510"/>
      <c r="P7" s="509" t="s">
        <v>323</v>
      </c>
      <c r="Q7" s="511"/>
      <c r="R7" s="492" t="s">
        <v>154</v>
      </c>
      <c r="S7" s="493"/>
      <c r="T7" s="494" t="s">
        <v>324</v>
      </c>
      <c r="U7" s="495"/>
      <c r="V7" s="494" t="s">
        <v>323</v>
      </c>
      <c r="W7" s="496"/>
      <c r="X7" s="492" t="s">
        <v>154</v>
      </c>
      <c r="Y7" s="493"/>
      <c r="Z7" s="494" t="s">
        <v>324</v>
      </c>
      <c r="AA7" s="495"/>
      <c r="AB7" s="494" t="s">
        <v>323</v>
      </c>
      <c r="AC7" s="496"/>
      <c r="AD7" s="492" t="s">
        <v>154</v>
      </c>
      <c r="AE7" s="493"/>
      <c r="AF7" s="494" t="s">
        <v>324</v>
      </c>
      <c r="AG7" s="495"/>
      <c r="AH7" s="494" t="s">
        <v>323</v>
      </c>
      <c r="AI7" s="496"/>
      <c r="AJ7" s="492" t="s">
        <v>154</v>
      </c>
      <c r="AK7" s="493"/>
      <c r="AL7" s="494" t="s">
        <v>324</v>
      </c>
      <c r="AM7" s="495"/>
      <c r="AN7" s="494" t="s">
        <v>323</v>
      </c>
      <c r="AO7" s="496"/>
      <c r="AP7" s="492" t="s">
        <v>154</v>
      </c>
      <c r="AQ7" s="493"/>
      <c r="AR7" s="494" t="s">
        <v>324</v>
      </c>
      <c r="AS7" s="495"/>
      <c r="AT7" s="494" t="s">
        <v>323</v>
      </c>
      <c r="AU7" s="496"/>
      <c r="AV7" s="492" t="s">
        <v>154</v>
      </c>
      <c r="AW7" s="493"/>
      <c r="AX7" s="494" t="s">
        <v>324</v>
      </c>
      <c r="AY7" s="495"/>
      <c r="AZ7" s="494" t="s">
        <v>323</v>
      </c>
      <c r="BA7" s="496"/>
      <c r="BB7" s="492" t="s">
        <v>154</v>
      </c>
      <c r="BC7" s="493"/>
      <c r="BD7" s="494" t="s">
        <v>324</v>
      </c>
      <c r="BE7" s="495"/>
      <c r="BF7" s="494" t="s">
        <v>323</v>
      </c>
      <c r="BG7" s="496"/>
    </row>
    <row r="8" spans="1:97" s="330" customFormat="1" ht="27.75" hidden="1" customHeight="1" x14ac:dyDescent="0.25">
      <c r="A8" s="314"/>
      <c r="B8" s="315"/>
      <c r="C8" s="315" t="s">
        <v>130</v>
      </c>
      <c r="D8" s="315" t="s">
        <v>104</v>
      </c>
      <c r="E8" s="315" t="s">
        <v>105</v>
      </c>
      <c r="F8" s="315" t="s">
        <v>106</v>
      </c>
      <c r="G8" s="315" t="s">
        <v>130</v>
      </c>
      <c r="H8" s="315" t="s">
        <v>104</v>
      </c>
      <c r="I8" s="315" t="s">
        <v>105</v>
      </c>
      <c r="J8" s="315" t="s">
        <v>106</v>
      </c>
      <c r="K8" s="315"/>
      <c r="L8" s="358"/>
      <c r="M8" s="359"/>
      <c r="N8" s="360"/>
      <c r="O8" s="360"/>
      <c r="P8" s="360"/>
      <c r="Q8" s="361"/>
      <c r="R8" s="344"/>
      <c r="S8" s="316"/>
      <c r="T8" s="317"/>
      <c r="U8" s="317"/>
      <c r="V8" s="317"/>
      <c r="W8" s="345"/>
      <c r="X8" s="344"/>
      <c r="Y8" s="316"/>
      <c r="Z8" s="317"/>
      <c r="AA8" s="317"/>
      <c r="AB8" s="317"/>
      <c r="AC8" s="345"/>
      <c r="AD8" s="344"/>
      <c r="AE8" s="316"/>
      <c r="AF8" s="317"/>
      <c r="AG8" s="317"/>
      <c r="AH8" s="317"/>
      <c r="AI8" s="345"/>
      <c r="AJ8" s="344"/>
      <c r="AK8" s="316"/>
      <c r="AL8" s="317"/>
      <c r="AM8" s="317"/>
      <c r="AN8" s="317"/>
      <c r="AO8" s="345"/>
      <c r="AP8" s="344"/>
      <c r="AQ8" s="316"/>
      <c r="AR8" s="317"/>
      <c r="AS8" s="317"/>
      <c r="AT8" s="317"/>
      <c r="AU8" s="345"/>
      <c r="AV8" s="344"/>
      <c r="AW8" s="316"/>
      <c r="AX8" s="317"/>
      <c r="AY8" s="317"/>
      <c r="AZ8" s="317"/>
      <c r="BA8" s="345"/>
      <c r="BB8" s="344"/>
      <c r="BC8" s="316"/>
      <c r="BD8" s="317"/>
      <c r="BE8" s="317"/>
      <c r="BF8" s="317"/>
      <c r="BG8" s="345"/>
      <c r="BH8" s="368"/>
      <c r="BI8" s="368"/>
      <c r="BJ8" s="368"/>
      <c r="BK8" s="368"/>
      <c r="BL8" s="368"/>
      <c r="BM8" s="368"/>
      <c r="BN8" s="368"/>
      <c r="BO8" s="368"/>
      <c r="BP8" s="368"/>
      <c r="BQ8" s="368"/>
      <c r="BR8" s="368"/>
      <c r="BS8" s="368"/>
      <c r="BT8" s="368"/>
      <c r="BU8" s="368"/>
      <c r="BV8" s="368"/>
      <c r="BW8" s="368"/>
      <c r="BX8" s="368"/>
      <c r="BY8" s="368"/>
      <c r="BZ8" s="368"/>
      <c r="CA8" s="368"/>
      <c r="CB8" s="368"/>
      <c r="CC8" s="368"/>
      <c r="CD8" s="368"/>
      <c r="CE8" s="368"/>
      <c r="CF8" s="368"/>
      <c r="CG8" s="368"/>
      <c r="CH8" s="368"/>
      <c r="CI8" s="368"/>
      <c r="CJ8" s="368"/>
      <c r="CK8" s="368"/>
      <c r="CL8" s="368"/>
      <c r="CM8" s="368"/>
      <c r="CN8" s="368"/>
      <c r="CO8" s="368"/>
      <c r="CP8" s="368"/>
      <c r="CQ8" s="368"/>
      <c r="CR8" s="368"/>
      <c r="CS8" s="368"/>
    </row>
    <row r="9" spans="1:97" s="330" customFormat="1" ht="27.75" hidden="1" customHeight="1" x14ac:dyDescent="0.25">
      <c r="A9" s="314"/>
      <c r="B9" s="315"/>
      <c r="C9" s="315" t="s">
        <v>102</v>
      </c>
      <c r="D9" s="315" t="s">
        <v>102</v>
      </c>
      <c r="E9" s="315" t="s">
        <v>102</v>
      </c>
      <c r="F9" s="315" t="s">
        <v>102</v>
      </c>
      <c r="G9" s="315" t="s">
        <v>100</v>
      </c>
      <c r="H9" s="315" t="s">
        <v>100</v>
      </c>
      <c r="I9" s="315" t="s">
        <v>100</v>
      </c>
      <c r="J9" s="315" t="s">
        <v>100</v>
      </c>
      <c r="K9" s="315"/>
      <c r="L9" s="344"/>
      <c r="M9" s="316"/>
      <c r="N9" s="317"/>
      <c r="O9" s="317"/>
      <c r="P9" s="317"/>
      <c r="Q9" s="345"/>
      <c r="R9" s="344"/>
      <c r="S9" s="316"/>
      <c r="T9" s="317"/>
      <c r="U9" s="317"/>
      <c r="V9" s="317"/>
      <c r="W9" s="345"/>
      <c r="X9" s="344"/>
      <c r="Y9" s="316"/>
      <c r="Z9" s="317"/>
      <c r="AA9" s="317"/>
      <c r="AB9" s="317"/>
      <c r="AC9" s="345"/>
      <c r="AD9" s="344"/>
      <c r="AE9" s="316"/>
      <c r="AF9" s="317"/>
      <c r="AG9" s="317"/>
      <c r="AH9" s="317"/>
      <c r="AI9" s="345"/>
      <c r="AJ9" s="344"/>
      <c r="AK9" s="316"/>
      <c r="AL9" s="317"/>
      <c r="AM9" s="317"/>
      <c r="AN9" s="317"/>
      <c r="AO9" s="345"/>
      <c r="AP9" s="344"/>
      <c r="AQ9" s="316"/>
      <c r="AR9" s="317"/>
      <c r="AS9" s="317"/>
      <c r="AT9" s="317"/>
      <c r="AU9" s="345"/>
      <c r="AV9" s="344"/>
      <c r="AW9" s="316"/>
      <c r="AX9" s="317"/>
      <c r="AY9" s="317"/>
      <c r="AZ9" s="317"/>
      <c r="BA9" s="345"/>
      <c r="BB9" s="344"/>
      <c r="BC9" s="316"/>
      <c r="BD9" s="317"/>
      <c r="BE9" s="317"/>
      <c r="BF9" s="317"/>
      <c r="BG9" s="345"/>
      <c r="BH9" s="368"/>
      <c r="BI9" s="368"/>
      <c r="BJ9" s="368"/>
      <c r="BK9" s="368"/>
      <c r="BL9" s="368"/>
      <c r="BM9" s="368"/>
      <c r="BN9" s="368"/>
      <c r="BO9" s="368"/>
      <c r="BP9" s="368"/>
      <c r="BQ9" s="368"/>
      <c r="BR9" s="368"/>
      <c r="BS9" s="368"/>
      <c r="BT9" s="368"/>
      <c r="BU9" s="368"/>
      <c r="BV9" s="368"/>
      <c r="BW9" s="368"/>
      <c r="BX9" s="368"/>
      <c r="BY9" s="368"/>
      <c r="BZ9" s="368"/>
      <c r="CA9" s="368"/>
      <c r="CB9" s="368"/>
      <c r="CC9" s="368"/>
      <c r="CD9" s="368"/>
      <c r="CE9" s="368"/>
      <c r="CF9" s="368"/>
      <c r="CG9" s="368"/>
      <c r="CH9" s="368"/>
      <c r="CI9" s="368"/>
      <c r="CJ9" s="368"/>
      <c r="CK9" s="368"/>
      <c r="CL9" s="368"/>
      <c r="CM9" s="368"/>
      <c r="CN9" s="368"/>
      <c r="CO9" s="368"/>
      <c r="CP9" s="368"/>
      <c r="CQ9" s="368"/>
      <c r="CR9" s="368"/>
      <c r="CS9" s="368"/>
    </row>
    <row r="10" spans="1:97" ht="27.75" customHeight="1" x14ac:dyDescent="0.25">
      <c r="A10" s="309"/>
      <c r="B10" s="315"/>
      <c r="C10" s="315"/>
      <c r="D10" s="315"/>
      <c r="E10" s="315"/>
      <c r="F10" s="315"/>
      <c r="G10" s="315"/>
      <c r="H10" s="315"/>
      <c r="I10" s="315"/>
      <c r="J10" s="315"/>
      <c r="K10" s="315"/>
      <c r="L10" s="346" t="s">
        <v>360</v>
      </c>
      <c r="M10" s="312" t="s">
        <v>359</v>
      </c>
      <c r="N10" s="311" t="s">
        <v>360</v>
      </c>
      <c r="O10" s="312" t="s">
        <v>359</v>
      </c>
      <c r="P10" s="311" t="s">
        <v>360</v>
      </c>
      <c r="Q10" s="347" t="s">
        <v>359</v>
      </c>
      <c r="R10" s="346" t="s">
        <v>360</v>
      </c>
      <c r="S10" s="312" t="s">
        <v>359</v>
      </c>
      <c r="T10" s="311" t="s">
        <v>360</v>
      </c>
      <c r="U10" s="312" t="s">
        <v>359</v>
      </c>
      <c r="V10" s="311" t="s">
        <v>360</v>
      </c>
      <c r="W10" s="347" t="s">
        <v>359</v>
      </c>
      <c r="X10" s="346" t="s">
        <v>360</v>
      </c>
      <c r="Y10" s="312" t="s">
        <v>359</v>
      </c>
      <c r="Z10" s="311" t="s">
        <v>360</v>
      </c>
      <c r="AA10" s="312" t="s">
        <v>359</v>
      </c>
      <c r="AB10" s="311" t="s">
        <v>360</v>
      </c>
      <c r="AC10" s="347" t="s">
        <v>359</v>
      </c>
      <c r="AD10" s="346" t="s">
        <v>360</v>
      </c>
      <c r="AE10" s="312" t="s">
        <v>359</v>
      </c>
      <c r="AF10" s="311" t="s">
        <v>360</v>
      </c>
      <c r="AG10" s="312" t="s">
        <v>359</v>
      </c>
      <c r="AH10" s="311" t="s">
        <v>360</v>
      </c>
      <c r="AI10" s="347" t="s">
        <v>359</v>
      </c>
      <c r="AJ10" s="346" t="s">
        <v>360</v>
      </c>
      <c r="AK10" s="312" t="s">
        <v>359</v>
      </c>
      <c r="AL10" s="311" t="s">
        <v>360</v>
      </c>
      <c r="AM10" s="312" t="s">
        <v>359</v>
      </c>
      <c r="AN10" s="311" t="s">
        <v>360</v>
      </c>
      <c r="AO10" s="347" t="s">
        <v>359</v>
      </c>
      <c r="AP10" s="346" t="s">
        <v>360</v>
      </c>
      <c r="AQ10" s="312" t="s">
        <v>359</v>
      </c>
      <c r="AR10" s="311" t="s">
        <v>360</v>
      </c>
      <c r="AS10" s="312" t="s">
        <v>359</v>
      </c>
      <c r="AT10" s="311" t="s">
        <v>360</v>
      </c>
      <c r="AU10" s="347" t="s">
        <v>359</v>
      </c>
      <c r="AV10" s="346" t="s">
        <v>360</v>
      </c>
      <c r="AW10" s="312" t="s">
        <v>359</v>
      </c>
      <c r="AX10" s="311" t="s">
        <v>360</v>
      </c>
      <c r="AY10" s="312" t="s">
        <v>359</v>
      </c>
      <c r="AZ10" s="311" t="s">
        <v>360</v>
      </c>
      <c r="BA10" s="347" t="s">
        <v>359</v>
      </c>
      <c r="BB10" s="346" t="s">
        <v>360</v>
      </c>
      <c r="BC10" s="312" t="s">
        <v>359</v>
      </c>
      <c r="BD10" s="311" t="s">
        <v>360</v>
      </c>
      <c r="BE10" s="312" t="s">
        <v>359</v>
      </c>
      <c r="BF10" s="311" t="s">
        <v>360</v>
      </c>
      <c r="BG10" s="347" t="s">
        <v>359</v>
      </c>
    </row>
    <row r="11" spans="1:97" ht="27.75" customHeight="1" thickBot="1" x14ac:dyDescent="0.3">
      <c r="A11" s="306" t="s">
        <v>361</v>
      </c>
      <c r="B11" s="315"/>
      <c r="C11" s="315"/>
      <c r="D11" s="315"/>
      <c r="E11" s="315"/>
      <c r="F11" s="315"/>
      <c r="G11" s="315"/>
      <c r="H11" s="315"/>
      <c r="I11" s="315"/>
      <c r="J11" s="315"/>
      <c r="K11" s="315"/>
      <c r="L11" s="354">
        <f t="shared" ref="L11:BG11" ca="1" si="0">SUM(L12:L100)</f>
        <v>0</v>
      </c>
      <c r="M11" s="355">
        <f t="shared" ca="1" si="0"/>
        <v>0</v>
      </c>
      <c r="N11" s="356">
        <f t="shared" ca="1" si="0"/>
        <v>0</v>
      </c>
      <c r="O11" s="356">
        <f t="shared" ca="1" si="0"/>
        <v>0</v>
      </c>
      <c r="P11" s="356">
        <f t="shared" ca="1" si="0"/>
        <v>0</v>
      </c>
      <c r="Q11" s="357">
        <f t="shared" ca="1" si="0"/>
        <v>0</v>
      </c>
      <c r="R11" s="354">
        <f t="shared" ca="1" si="0"/>
        <v>-67</v>
      </c>
      <c r="S11" s="355">
        <f t="shared" ca="1" si="0"/>
        <v>0</v>
      </c>
      <c r="T11" s="356">
        <f t="shared" ca="1" si="0"/>
        <v>-36</v>
      </c>
      <c r="U11" s="356">
        <f t="shared" ca="1" si="0"/>
        <v>0</v>
      </c>
      <c r="V11" s="356">
        <f t="shared" ca="1" si="0"/>
        <v>0</v>
      </c>
      <c r="W11" s="357">
        <f t="shared" ca="1" si="0"/>
        <v>0</v>
      </c>
      <c r="X11" s="354">
        <f t="shared" ca="1" si="0"/>
        <v>-12</v>
      </c>
      <c r="Y11" s="355">
        <f t="shared" ca="1" si="0"/>
        <v>0</v>
      </c>
      <c r="Z11" s="356">
        <f t="shared" ca="1" si="0"/>
        <v>-8</v>
      </c>
      <c r="AA11" s="356">
        <f t="shared" ca="1" si="0"/>
        <v>0</v>
      </c>
      <c r="AB11" s="356">
        <f t="shared" ca="1" si="0"/>
        <v>0</v>
      </c>
      <c r="AC11" s="357">
        <f t="shared" ca="1" si="0"/>
        <v>0</v>
      </c>
      <c r="AD11" s="354">
        <f t="shared" ca="1" si="0"/>
        <v>-100</v>
      </c>
      <c r="AE11" s="355">
        <f t="shared" ca="1" si="0"/>
        <v>0</v>
      </c>
      <c r="AF11" s="356">
        <f t="shared" ca="1" si="0"/>
        <v>-57</v>
      </c>
      <c r="AG11" s="356">
        <f t="shared" ca="1" si="0"/>
        <v>0</v>
      </c>
      <c r="AH11" s="356">
        <f t="shared" ca="1" si="0"/>
        <v>0</v>
      </c>
      <c r="AI11" s="357">
        <f t="shared" ca="1" si="0"/>
        <v>0</v>
      </c>
      <c r="AJ11" s="354">
        <f t="shared" ca="1" si="0"/>
        <v>210</v>
      </c>
      <c r="AK11" s="355">
        <f t="shared" ca="1" si="0"/>
        <v>40</v>
      </c>
      <c r="AL11" s="356">
        <f t="shared" ca="1" si="0"/>
        <v>6</v>
      </c>
      <c r="AM11" s="356">
        <f t="shared" ca="1" si="0"/>
        <v>20</v>
      </c>
      <c r="AN11" s="356">
        <f t="shared" ca="1" si="0"/>
        <v>151</v>
      </c>
      <c r="AO11" s="357">
        <f t="shared" ca="1" si="0"/>
        <v>0</v>
      </c>
      <c r="AP11" s="354">
        <f t="shared" ca="1" si="0"/>
        <v>0</v>
      </c>
      <c r="AQ11" s="355">
        <f t="shared" ca="1" si="0"/>
        <v>13</v>
      </c>
      <c r="AR11" s="356">
        <f t="shared" ca="1" si="0"/>
        <v>0</v>
      </c>
      <c r="AS11" s="356">
        <f t="shared" ca="1" si="0"/>
        <v>6</v>
      </c>
      <c r="AT11" s="356">
        <f t="shared" ca="1" si="0"/>
        <v>0</v>
      </c>
      <c r="AU11" s="357">
        <f t="shared" ca="1" si="0"/>
        <v>0</v>
      </c>
      <c r="AV11" s="354">
        <f t="shared" ca="1" si="0"/>
        <v>-12</v>
      </c>
      <c r="AW11" s="355">
        <f t="shared" ca="1" si="0"/>
        <v>0</v>
      </c>
      <c r="AX11" s="356">
        <f t="shared" ca="1" si="0"/>
        <v>0</v>
      </c>
      <c r="AY11" s="356">
        <f t="shared" ca="1" si="0"/>
        <v>0</v>
      </c>
      <c r="AZ11" s="356">
        <f t="shared" ca="1" si="0"/>
        <v>-113</v>
      </c>
      <c r="BA11" s="357">
        <f t="shared" ca="1" si="0"/>
        <v>0</v>
      </c>
      <c r="BB11" s="354">
        <f t="shared" ca="1" si="0"/>
        <v>0</v>
      </c>
      <c r="BC11" s="355">
        <f t="shared" ca="1" si="0"/>
        <v>0</v>
      </c>
      <c r="BD11" s="356">
        <f t="shared" ca="1" si="0"/>
        <v>0</v>
      </c>
      <c r="BE11" s="356">
        <f t="shared" ca="1" si="0"/>
        <v>0</v>
      </c>
      <c r="BF11" s="356">
        <f t="shared" ca="1" si="0"/>
        <v>0</v>
      </c>
      <c r="BG11" s="357">
        <f t="shared" ca="1" si="0"/>
        <v>0</v>
      </c>
    </row>
    <row r="12" spans="1:97" ht="18.75" customHeight="1" x14ac:dyDescent="0.25">
      <c r="A12" s="331" t="str">
        <f ca="1">OFFSET('BDD PAYSANS'!$B$1,B12,0,1,1)</f>
        <v>BIDABE Marcel</v>
      </c>
      <c r="B12" s="325">
        <v>1</v>
      </c>
      <c r="C12" s="325" t="str">
        <f t="shared" ref="C12:J27" ca="1" si="1">CONCATENATE($A12,C$9,C$8)</f>
        <v>BIDABE MarcelFERMIER&lt;3 mois</v>
      </c>
      <c r="D12" s="325" t="str">
        <f t="shared" ca="1" si="1"/>
        <v>BIDABE MarcelFERMIER3-6 mois</v>
      </c>
      <c r="E12" s="325" t="str">
        <f t="shared" ca="1" si="1"/>
        <v>BIDABE MarcelFERMIER6-9 mois</v>
      </c>
      <c r="F12" s="325" t="str">
        <f t="shared" ca="1" si="1"/>
        <v>BIDABE MarcelFERMIER&gt;9 mois</v>
      </c>
      <c r="G12" s="325" t="str">
        <f t="shared" ca="1" si="1"/>
        <v>BIDABE MarcelESTIVE&lt;3 mois</v>
      </c>
      <c r="H12" s="325" t="str">
        <f t="shared" ca="1" si="1"/>
        <v>BIDABE MarcelESTIVE3-6 mois</v>
      </c>
      <c r="I12" s="325" t="str">
        <f t="shared" ca="1" si="1"/>
        <v>BIDABE MarcelESTIVE6-9 mois</v>
      </c>
      <c r="J12" s="325" t="str">
        <f t="shared" ca="1" si="1"/>
        <v>BIDABE MarcelESTIVE&gt;9 mois</v>
      </c>
      <c r="K12" s="325"/>
      <c r="L12" s="352">
        <f ca="1">SUMIFS(es_poids,es_prod_type_affinage,'SUIVI STOCKS PAR PAYSAN'!$C12,es_date_entree,"&gt;"&amp;date_inventaire)-SUMIFS(v_Poids,v_conc_prod_tye_affinage,'SUIVI STOCKS PAR PAYSAN'!$C12,v_Date_commande,"&gt;"&amp;date_inventaire)</f>
        <v>0</v>
      </c>
      <c r="M12" s="341">
        <f ca="1">SUMIFS(bddres_c_qte,bddres_c_prod_type_aff,'SUIVI STOCKS PAR PAYSAN'!C12,'BDD RESERVATIONS'!$B:$B,"&gt;"&amp;date_inventaire)</f>
        <v>0</v>
      </c>
      <c r="N12" s="342">
        <f ca="1">SUMIFS(bddres_pieces,es_prod_type_affinage,'SUIVI STOCKS PAR PAYSAN'!$C12,es_date_entree,"&gt;"&amp;date_inventaire,es_taille,'SUIVI STOCKS PAR PAYSAN'!$N$7)-SUMIFS(v_Pièces,v_Taille,'SUIVI STOCKS PAR PAYSAN'!$N$7,v_conc_prod_tye_affinage,'SUIVI STOCKS PAR PAYSAN'!$C12,v_Date_commande,"&gt;"&amp;date_inventaire)</f>
        <v>0</v>
      </c>
      <c r="O12" s="342">
        <f ca="1">SUMIFS(bddres_pieces,'BDD RESERVATIONS'!$G:$G,'SUIVI STOCKS PAR PAYSAN'!$N$7,bddres_c_prod_type_aff,'SUIVI STOCKS PAR PAYSAN'!$C12,'BDD RESERVATIONS'!$B:$B,"&gt;"&amp;date_inventaire)</f>
        <v>0</v>
      </c>
      <c r="P12" s="343">
        <f ca="1">SUMIFS(es_pieces,es_prod_type_affinage,'SUIVI STOCKS PAR PAYSAN'!$C12,es_date_entree,"&gt;"&amp;date_inventaire,es_taille,'SUIVI STOCKS PAR PAYSAN'!$P$7)-SUMIFS(v_Pièces,v_Taille,'SUIVI STOCKS PAR PAYSAN'!$P$7,v_conc_prod_tye_affinage,'SUIVI STOCKS PAR PAYSAN'!$C12,v_Date_commande,"&gt;"&amp;date_inventaire)</f>
        <v>0</v>
      </c>
      <c r="Q12" s="353">
        <f ca="1">SUMIFS(bddres_pieces,'BDD RESERVATIONS'!$G:$G,'SUIVI STOCKS PAR PAYSAN'!$P$7,bddres_c_prod_type_aff,'SUIVI STOCKS PAR PAYSAN'!$C12,'BDD RESERVATIONS'!$B:$B,"&gt;"&amp;date_inventaire)</f>
        <v>0</v>
      </c>
      <c r="R12" s="352">
        <f ca="1">SUMIFS(es_poids,es_prod_type_affinage,'SUIVI STOCKS PAR PAYSAN'!$D12,es_date_entree,"&gt;"&amp;date_inventaire)-SUMIFS(v_Poids,v_conc_prod_tye_affinage,'SUIVI STOCKS PAR PAYSAN'!$D12,v_Date_commande,"&gt;"&amp;date_inventaire)</f>
        <v>-67</v>
      </c>
      <c r="S12" s="341">
        <f ca="1">SUMIFS(bddres_c_qte,bddres_c_prod_type_aff,'SUIVI STOCKS PAR PAYSAN'!D12,'BDD RESERVATIONS'!$B:$B,"&gt;"&amp;date_inventaire)</f>
        <v>0</v>
      </c>
      <c r="T12" s="342">
        <f ca="1">SUMIFS(bddres_pieces,es_prod_type_affinage,'SUIVI STOCKS PAR PAYSAN'!$D12,es_date_entree,"&gt;"&amp;date_inventaire,es_taille,'SUIVI STOCKS PAR PAYSAN'!$T$7)-SUMIFS(v_Pièces,v_Taille,'SUIVI STOCKS PAR PAYSAN'!$T$7,v_conc_prod_tye_affinage,'SUIVI STOCKS PAR PAYSAN'!$D12,v_Date_commande,"&gt;"&amp;date_inventaire)</f>
        <v>-36</v>
      </c>
      <c r="U12" s="342">
        <f ca="1">SUMIFS(bddres_pieces,'BDD RESERVATIONS'!$G:$G,'SUIVI STOCKS PAR PAYSAN'!$T$7,bddres_c_prod_type_aff,'SUIVI STOCKS PAR PAYSAN'!$D12,'BDD RESERVATIONS'!$B:$B,"&gt;"&amp;date_inventaire)</f>
        <v>0</v>
      </c>
      <c r="V12" s="343">
        <f ca="1">SUMIFS(es_pieces,es_prod_type_affinage,'SUIVI STOCKS PAR PAYSAN'!$D12,es_date_entree,"&gt;"&amp;date_inventaire,es_taille,'SUIVI STOCKS PAR PAYSAN'!$V$7)-SUMIFS(v_Pièces,v_Taille,'SUIVI STOCKS PAR PAYSAN'!$V$7,v_conc_prod_tye_affinage,'SUIVI STOCKS PAR PAYSAN'!$D12,v_Date_commande,"&gt;"&amp;date_inventaire)</f>
        <v>0</v>
      </c>
      <c r="W12" s="353">
        <f ca="1">SUMIFS(bddres_pieces,'BDD RESERVATIONS'!$G:$G,'SUIVI STOCKS PAR PAYSAN'!$V$7,bddres_c_prod_type_aff,'SUIVI STOCKS PAR PAYSAN'!$D12,'BDD RESERVATIONS'!$B:$B,"&gt;"&amp;date_inventaire)</f>
        <v>0</v>
      </c>
      <c r="X12" s="352">
        <f ca="1">SUMIFS(es_poids,es_prod_type_affinage,'SUIVI STOCKS PAR PAYSAN'!$E12,es_date_entree,"&gt;"&amp;date_inventaire)-SUMIFS(v_Poids,v_conc_prod_tye_affinage,'SUIVI STOCKS PAR PAYSAN'!$E12,v_Date_commande,"&gt;"&amp;date_inventaire)</f>
        <v>0</v>
      </c>
      <c r="Y12" s="341">
        <f ca="1">SUMIFS(bddres_c_qte,bddres_c_prod_type_aff,'SUIVI STOCKS PAR PAYSAN'!E12,'BDD RESERVATIONS'!$B:$B,"&gt;"&amp;date_inventaire)</f>
        <v>0</v>
      </c>
      <c r="Z12" s="342">
        <f ca="1">SUMIFS(bddres_pieces,es_prod_type_affinage,'SUIVI STOCKS PAR PAYSAN'!$E12,es_date_entree,"&gt;"&amp;date_inventaire,es_taille,'SUIVI STOCKS PAR PAYSAN'!$Z$7)-SUMIFS(v_Pièces,v_Taille,'SUIVI STOCKS PAR PAYSAN'!$Z$7,v_conc_prod_tye_affinage,'SUIVI STOCKS PAR PAYSAN'!$E12,v_Date_commande,"&gt;"&amp;date_inventaire)</f>
        <v>0</v>
      </c>
      <c r="AA12" s="342">
        <f ca="1">SUMIFS(bddres_pieces,'BDD RESERVATIONS'!$G:$G,'SUIVI STOCKS PAR PAYSAN'!$Z$7,bddres_c_prod_type_aff,'SUIVI STOCKS PAR PAYSAN'!$E12,'BDD RESERVATIONS'!$B:$B,"&gt;"&amp;date_inventaire)</f>
        <v>0</v>
      </c>
      <c r="AB12" s="343">
        <f ca="1">SUMIFS(es_pieces,es_prod_type_affinage,'SUIVI STOCKS PAR PAYSAN'!$E12,es_date_entree,"&gt;"&amp;date_inventaire,es_taille,'SUIVI STOCKS PAR PAYSAN'!$AB$7)-SUMIFS(v_Pièces,v_Taille,'SUIVI STOCKS PAR PAYSAN'!$AB$7,v_conc_prod_tye_affinage,'SUIVI STOCKS PAR PAYSAN'!$E12,v_Date_commande,"&gt;"&amp;date_inventaire)</f>
        <v>0</v>
      </c>
      <c r="AC12" s="353">
        <f ca="1">SUMIFS(bddres_pieces,'BDD RESERVATIONS'!$G:$G,'SUIVI STOCKS PAR PAYSAN'!$AB$7,bddres_c_prod_type_aff,'SUIVI STOCKS PAR PAYSAN'!$E12,'BDD RESERVATIONS'!$B:$B,"&gt;"&amp;date_inventaire)</f>
        <v>0</v>
      </c>
      <c r="AD12" s="352">
        <f ca="1">SUMIFS(es_poids,es_prod_type_affinage,'SUIVI STOCKS PAR PAYSAN'!$F12,es_date_entree,"&gt;"&amp;date_inventaire)-SUMIFS(v_Poids,v_conc_prod_tye_affinage,'SUIVI STOCKS PAR PAYSAN'!$F12,v_Date_commande,"&gt;"&amp;date_inventaire)</f>
        <v>0</v>
      </c>
      <c r="AE12" s="341">
        <f ca="1">SUMIFS(bddres_c_qte,bddres_c_prod_type_aff,'SUIVI STOCKS PAR PAYSAN'!F12,'BDD RESERVATIONS'!$B:$B,"&gt;"&amp;date_inventaire)</f>
        <v>0</v>
      </c>
      <c r="AF12" s="342">
        <f ca="1">SUMIFS(bddres_pieces,es_prod_type_affinage,'SUIVI STOCKS PAR PAYSAN'!$F12,es_date_entree,"&gt;"&amp;date_inventaire,es_taille,'SUIVI STOCKS PAR PAYSAN'!$Z$7)-SUMIFS(v_Pièces,v_Taille,'SUIVI STOCKS PAR PAYSAN'!$Z$7,v_conc_prod_tye_affinage,'SUIVI STOCKS PAR PAYSAN'!$F12,v_Date_commande,"&gt;"&amp;date_inventaire)</f>
        <v>0</v>
      </c>
      <c r="AG12" s="342">
        <f ca="1">SUMIFS(bddres_pieces,'BDD RESERVATIONS'!$G:$G,'SUIVI STOCKS PAR PAYSAN'!$Z$7,bddres_c_prod_type_aff,'SUIVI STOCKS PAR PAYSAN'!$F12,'BDD RESERVATIONS'!$B:$B,"&gt;"&amp;date_inventaire)</f>
        <v>0</v>
      </c>
      <c r="AH12" s="343">
        <f ca="1">SUMIFS(es_pieces,es_prod_type_affinage,'SUIVI STOCKS PAR PAYSAN'!$F12,es_date_entree,"&gt;"&amp;date_inventaire,es_taille,'SUIVI STOCKS PAR PAYSAN'!$AH$7)-SUMIFS(v_Pièces,v_Taille,'SUIVI STOCKS PAR PAYSAN'!$AH$7,v_conc_prod_tye_affinage,'SUIVI STOCKS PAR PAYSAN'!$F12,v_Date_commande,"&gt;"&amp;date_inventaire)</f>
        <v>0</v>
      </c>
      <c r="AI12" s="353">
        <f ca="1">SUMIFS(bddres_pieces,'BDD RESERVATIONS'!$G:$G,'SUIVI STOCKS PAR PAYSAN'!$AB$7,bddres_c_prod_type_aff,'SUIVI STOCKS PAR PAYSAN'!$F12,'BDD RESERVATIONS'!$B:$B,"&gt;"&amp;date_inventaire)</f>
        <v>0</v>
      </c>
      <c r="AJ12" s="352">
        <f ca="1">SUMIFS(es_poids,es_prod_type_affinage,'SUIVI STOCKS PAR PAYSAN'!$G12,es_date_entree,"&gt;"&amp;date_inventaire)-SUMIFS(v_Poids,v_conc_prod_tye_affinage,'SUIVI STOCKS PAR PAYSAN'!$G12,v_Date_commande,"&gt;"&amp;date_inventaire)</f>
        <v>210</v>
      </c>
      <c r="AK12" s="341">
        <f ca="1">SUMIFS(bddres_c_qte,bddres_c_prod_type_aff,'SUIVI STOCKS PAR PAYSAN'!G12,'BDD RESERVATIONS'!$B:$B,"&gt;"&amp;date_inventaire)</f>
        <v>40</v>
      </c>
      <c r="AL12" s="342">
        <f ca="1">SUMIFS(bddres_pieces,es_prod_type_affinage,'SUIVI STOCKS PAR PAYSAN'!$G12,es_date_entree,"&gt;"&amp;date_inventaire,es_taille,'SUIVI STOCKS PAR PAYSAN'!$AL$7)-SUMIFS(v_Pièces,v_Taille,'SUIVI STOCKS PAR PAYSAN'!$AL$7,v_conc_prod_tye_affinage,'SUIVI STOCKS PAR PAYSAN'!$G12,v_Date_commande,"&gt;"&amp;date_inventaire)</f>
        <v>6</v>
      </c>
      <c r="AM12" s="342">
        <f ca="1">SUMIFS(bddres_pieces,'BDD RESERVATIONS'!$G:$G,'SUIVI STOCKS PAR PAYSAN'!$AL$7,bddres_c_prod_type_aff,'SUIVI STOCKS PAR PAYSAN'!$G12,'BDD RESERVATIONS'!$B:$B,"&gt;"&amp;date_inventaire)</f>
        <v>20</v>
      </c>
      <c r="AN12" s="343">
        <f ca="1">SUMIFS(es_pieces,es_prod_type_affinage,'SUIVI STOCKS PAR PAYSAN'!$G12,es_date_entree,"&gt;"&amp;date_inventaire,es_taille,'SUIVI STOCKS PAR PAYSAN'!$AN$7)-SUMIFS(v_Pièces,v_Taille,'SUIVI STOCKS PAR PAYSAN'!$AN$7,v_conc_prod_tye_affinage,'SUIVI STOCKS PAR PAYSAN'!$G12,v_Date_commande,"&gt;"&amp;date_inventaire)</f>
        <v>151</v>
      </c>
      <c r="AO12" s="353">
        <f ca="1">SUMIFS(bddres_pieces,'BDD RESERVATIONS'!$G:$G,'SUIVI STOCKS PAR PAYSAN'!$AN$7,bddres_c_prod_type_aff,'SUIVI STOCKS PAR PAYSAN'!$G12,'BDD RESERVATIONS'!$B:$B,"&gt;"&amp;date_inventaire)</f>
        <v>0</v>
      </c>
      <c r="AP12" s="352">
        <f ca="1">SUMIFS(es_poids,es_prod_type_affinage,'SUIVI STOCKS PAR PAYSAN'!$H12,es_date_entree,"&gt;"&amp;date_inventaire)-SUMIFS(v_Poids,v_conc_prod_tye_affinage,'SUIVI STOCKS PAR PAYSAN'!$H12,v_Date_commande,"&gt;"&amp;date_inventaire)</f>
        <v>0</v>
      </c>
      <c r="AQ12" s="341">
        <f ca="1">SUMIFS(bddres_c_qte,bddres_c_prod_type_aff,'SUIVI STOCKS PAR PAYSAN'!H12,'BDD RESERVATIONS'!$B:$B,"&gt;"&amp;date_inventaire)</f>
        <v>13</v>
      </c>
      <c r="AR12" s="342">
        <f ca="1">SUMIFS(bddres_pieces,es_prod_type_affinage,'SUIVI STOCKS PAR PAYSAN'!$H12,es_date_entree,"&gt;"&amp;date_inventaire,es_taille,'SUIVI STOCKS PAR PAYSAN'!$AR$7)-SUMIFS(v_Pièces,v_Taille,'SUIVI STOCKS PAR PAYSAN'!$AR$7,v_conc_prod_tye_affinage,'SUIVI STOCKS PAR PAYSAN'!$H12,v_Date_commande,"&gt;"&amp;date_inventaire)</f>
        <v>0</v>
      </c>
      <c r="AS12" s="342">
        <f ca="1">SUMIFS(bddres_pieces,'BDD RESERVATIONS'!$G:$G,'SUIVI STOCKS PAR PAYSAN'!AR7,bddres_c_prod_type_aff,'SUIVI STOCKS PAR PAYSAN'!$H12,'BDD RESERVATIONS'!$B:$B,"&gt;"&amp;date_inventaire)</f>
        <v>6</v>
      </c>
      <c r="AT12" s="343">
        <f ca="1">SUMIFS(es_pieces,es_prod_type_affinage,'SUIVI STOCKS PAR PAYSAN'!$H12,es_date_entree,"&gt;"&amp;date_inventaire,es_taille,'SUIVI STOCKS PAR PAYSAN'!$AT$7)-SUMIFS(v_Pièces,v_Taille,'SUIVI STOCKS PAR PAYSAN'!$AT$7,v_conc_prod_tye_affinage,'SUIVI STOCKS PAR PAYSAN'!$H12,v_Date_commande,"&gt;"&amp;date_inventaire)</f>
        <v>0</v>
      </c>
      <c r="AU12" s="353">
        <f ca="1">SUMIFS(bddres_pieces,'BDD RESERVATIONS'!$G:$G,'SUIVI STOCKS PAR PAYSAN'!$AT$7,bddres_c_prod_type_aff,'SUIVI STOCKS PAR PAYSAN'!$H12,'BDD RESERVATIONS'!$B:$B,"&gt;"&amp;date_inventaire)</f>
        <v>0</v>
      </c>
      <c r="AV12" s="352">
        <f ca="1">SUMIFS(es_poids,es_prod_type_affinage,'SUIVI STOCKS PAR PAYSAN'!$I12,es_date_entree,"&gt;"&amp;date_inventaire)-SUMIFS(v_Poids,v_conc_prod_tye_affinage,'SUIVI STOCKS PAR PAYSAN'!$E12,v_Date_commande,"&gt;"&amp;date_inventaire)</f>
        <v>0</v>
      </c>
      <c r="AW12" s="341">
        <f ca="1">SUMIFS(bddres_c_qte,bddres_c_prod_type_aff,'SUIVI STOCKS PAR PAYSAN'!I12,'BDD RESERVATIONS'!$B:$B,"&gt;"&amp;date_inventaire)</f>
        <v>0</v>
      </c>
      <c r="AX12" s="342">
        <f ca="1">SUMIFS(bddres_pieces,es_prod_type_affinage,'SUIVI STOCKS PAR PAYSAN'!$I12,es_date_entree,"&gt;"&amp;date_inventaire,es_taille,'SUIVI STOCKS PAR PAYSAN'!$AX$7)-SUMIFS(v_Pièces,v_Taille,'SUIVI STOCKS PAR PAYSAN'!$AX$7,v_conc_prod_tye_affinage,'SUIVI STOCKS PAR PAYSAN'!$I12,v_Date_commande,"&gt;"&amp;date_inventaire)</f>
        <v>0</v>
      </c>
      <c r="AY12" s="342">
        <f ca="1">SUMIFS(bddres_pieces,'BDD RESERVATIONS'!$G:$G,'SUIVI STOCKS PAR PAYSAN'!$AX$7,bddres_c_prod_type_aff,'SUIVI STOCKS PAR PAYSAN'!$I12,'BDD RESERVATIONS'!$B:$B,"&gt;"&amp;date_inventaire)</f>
        <v>0</v>
      </c>
      <c r="AZ12" s="343">
        <f ca="1">SUMIFS(es_pieces,es_prod_type_affinage,'SUIVI STOCKS PAR PAYSAN'!$I12,es_date_entree,"&gt;"&amp;date_inventaire,es_taille,'SUIVI STOCKS PAR PAYSAN'!$AZ$7)-SUMIFS(v_Pièces,v_Taille,'SUIVI STOCKS PAR PAYSAN'!$AZ$7,v_conc_prod_tye_affinage,'SUIVI STOCKS PAR PAYSAN'!$I12,v_Date_commande,"&gt;"&amp;date_inventaire)</f>
        <v>0</v>
      </c>
      <c r="BA12" s="353">
        <f ca="1">SUMIFS(bddres_pieces,'BDD RESERVATIONS'!$G:$G,'SUIVI STOCKS PAR PAYSAN'!$AZ$7,bddres_c_prod_type_aff,'SUIVI STOCKS PAR PAYSAN'!$I12,'BDD RESERVATIONS'!$B:$B,"&gt;"&amp;date_inventaire)</f>
        <v>0</v>
      </c>
      <c r="BB12" s="352">
        <f ca="1">SUMIFS(es_poids,es_prod_type_affinage,'SUIVI STOCKS PAR PAYSAN'!$J12,es_date_entree,"&gt;"&amp;date_inventaire)-SUMIFS(v_Poids,v_conc_prod_tye_affinage,'SUIVI STOCKS PAR PAYSAN'!$J12,v_Date_commande,"&gt;"&amp;date_inventaire)</f>
        <v>0</v>
      </c>
      <c r="BC12" s="341">
        <f ca="1">SUMIFS(bddres_c_qte,bddres_c_prod_type_aff,'SUIVI STOCKS PAR PAYSAN'!J12,'BDD RESERVATIONS'!$B:$B,"&gt;"&amp;date_inventaire)</f>
        <v>0</v>
      </c>
      <c r="BD12" s="342">
        <f ca="1">SUMIFS(bddres_pieces,es_prod_type_affinage,'SUIVI STOCKS PAR PAYSAN'!$J12,es_date_entree,"&gt;"&amp;date_inventaire,es_taille,'SUIVI STOCKS PAR PAYSAN'!$BD$7)-SUMIFS(v_Pièces,v_Taille,'SUIVI STOCKS PAR PAYSAN'!$BD$7,v_conc_prod_tye_affinage,'SUIVI STOCKS PAR PAYSAN'!$J12,v_Date_commande,"&gt;"&amp;date_inventaire)</f>
        <v>0</v>
      </c>
      <c r="BE12" s="342">
        <f ca="1">SUMIFS(bddres_pieces,'BDD RESERVATIONS'!$G:$G,'SUIVI STOCKS PAR PAYSAN'!BD7,bddres_c_prod_type_aff,'SUIVI STOCKS PAR PAYSAN'!J12,'BDD RESERVATIONS'!$B:$B,"&gt;"&amp;date_inventaire)</f>
        <v>0</v>
      </c>
      <c r="BF12" s="343">
        <f ca="1">SUMIFS(es_pieces,es_prod_type_affinage,'SUIVI STOCKS PAR PAYSAN'!J12,es_date_entree,"&gt;"&amp;date_inventaire,es_taille,'SUIVI STOCKS PAR PAYSAN'!$BF$7)-SUMIFS(v_Pièces,v_Taille,'SUIVI STOCKS PAR PAYSAN'!$BF$7,v_conc_prod_tye_affinage,'SUIVI STOCKS PAR PAYSAN'!J12,v_Date_commande,"&gt;"&amp;date_inventaire)</f>
        <v>0</v>
      </c>
      <c r="BG12" s="353">
        <f ca="1">SUMIFS(bddres_pieces,'BDD RESERVATIONS'!$G:$G,'SUIVI STOCKS PAR PAYSAN'!$BF$7,bddres_c_prod_type_aff,'SUIVI STOCKS PAR PAYSAN'!J12,'BDD RESERVATIONS'!$B:$B,"&gt;"&amp;date_inventaire)</f>
        <v>0</v>
      </c>
    </row>
    <row r="13" spans="1:97" ht="18.75" customHeight="1" x14ac:dyDescent="0.25">
      <c r="A13" s="331" t="str">
        <f ca="1">OFFSET('BDD PAYSANS'!$B$1,B13,0,1,1)</f>
        <v>BOUILLON Nicolas</v>
      </c>
      <c r="B13" s="325">
        <v>2</v>
      </c>
      <c r="C13" s="325" t="str">
        <f t="shared" ca="1" si="1"/>
        <v>BOUILLON NicolasFERMIER&lt;3 mois</v>
      </c>
      <c r="D13" s="325" t="str">
        <f t="shared" ca="1" si="1"/>
        <v>BOUILLON NicolasFERMIER3-6 mois</v>
      </c>
      <c r="E13" s="325" t="str">
        <f t="shared" ca="1" si="1"/>
        <v>BOUILLON NicolasFERMIER6-9 mois</v>
      </c>
      <c r="F13" s="325" t="str">
        <f t="shared" ca="1" si="1"/>
        <v>BOUILLON NicolasFERMIER&gt;9 mois</v>
      </c>
      <c r="G13" s="325" t="str">
        <f t="shared" ca="1" si="1"/>
        <v>BOUILLON NicolasESTIVE&lt;3 mois</v>
      </c>
      <c r="H13" s="325" t="str">
        <f t="shared" ca="1" si="1"/>
        <v>BOUILLON NicolasESTIVE3-6 mois</v>
      </c>
      <c r="I13" s="325" t="str">
        <f t="shared" ca="1" si="1"/>
        <v>BOUILLON NicolasESTIVE6-9 mois</v>
      </c>
      <c r="J13" s="325" t="str">
        <f t="shared" ca="1" si="1"/>
        <v>BOUILLON NicolasESTIVE&gt;9 mois</v>
      </c>
      <c r="K13" s="325"/>
      <c r="L13" s="352">
        <f ca="1">SUMIFS(es_poids,es_prod_type_affinage,'SUIVI STOCKS PAR PAYSAN'!$C13,es_date_entree,"&gt;"&amp;date_inventaire)-SUMIFS(v_Poids,v_conc_prod_tye_affinage,'SUIVI STOCKS PAR PAYSAN'!$C13,v_Date_commande,"&gt;"&amp;date_inventaire)</f>
        <v>0</v>
      </c>
      <c r="M13" s="341">
        <f ca="1">SUMIFS(bddres_c_qte,bddres_c_prod_type_aff,'SUIVI STOCKS PAR PAYSAN'!C13,'BDD RESERVATIONS'!$B:$B,"&gt;"&amp;date_inventaire)</f>
        <v>0</v>
      </c>
      <c r="N13" s="342">
        <f ca="1">SUMIFS(bddres_pieces,es_prod_type_affinage,'SUIVI STOCKS PAR PAYSAN'!$C13,es_date_entree,"&gt;"&amp;date_inventaire,es_taille,'SUIVI STOCKS PAR PAYSAN'!$N$7)-SUMIFS(v_Pièces,v_Taille,'SUIVI STOCKS PAR PAYSAN'!$N$7,v_conc_prod_tye_affinage,'SUIVI STOCKS PAR PAYSAN'!$C13,v_Date_commande,"&gt;"&amp;date_inventaire)</f>
        <v>0</v>
      </c>
      <c r="O13" s="342">
        <f ca="1">SUMIFS(bddres_pieces,'BDD RESERVATIONS'!$G:$G,'SUIVI STOCKS PAR PAYSAN'!$N$7,bddres_c_prod_type_aff,'SUIVI STOCKS PAR PAYSAN'!$C13,'BDD RESERVATIONS'!$B:$B,"&gt;"&amp;date_inventaire)</f>
        <v>0</v>
      </c>
      <c r="P13" s="343">
        <f ca="1">SUMIFS(es_pieces,es_prod_type_affinage,'SUIVI STOCKS PAR PAYSAN'!$C13,es_date_entree,"&gt;"&amp;date_inventaire,es_taille,'SUIVI STOCKS PAR PAYSAN'!$P$7)-SUMIFS(v_Pièces,v_Taille,'SUIVI STOCKS PAR PAYSAN'!$P$7,v_conc_prod_tye_affinage,'SUIVI STOCKS PAR PAYSAN'!$C13,v_Date_commande,"&gt;"&amp;date_inventaire)</f>
        <v>0</v>
      </c>
      <c r="Q13" s="353">
        <f ca="1">SUMIFS(bddres_pieces,'BDD RESERVATIONS'!$G:$G,'SUIVI STOCKS PAR PAYSAN'!$P$7,bddres_c_prod_type_aff,'SUIVI STOCKS PAR PAYSAN'!$C13,'BDD RESERVATIONS'!$B:$B,"&gt;"&amp;date_inventaire)</f>
        <v>0</v>
      </c>
      <c r="R13" s="348">
        <f ca="1">SUMIFS(es_poids,es_prod_type_affinage,'SUIVI STOCKS PAR PAYSAN'!$D13,es_date_entree,"&gt;"&amp;date_inventaire)-SUMIFS(v_Poids,v_conc_prod_tye_affinage,'SUIVI STOCKS PAR PAYSAN'!$D13,v_Date_commande,"&gt;"&amp;date_inventaire)</f>
        <v>0</v>
      </c>
      <c r="S13" s="341">
        <f ca="1">SUMIFS(bddres_c_qte,bddres_c_prod_type_aff,'SUIVI STOCKS PAR PAYSAN'!D13,'BDD RESERVATIONS'!$B:$B,"&gt;"&amp;date_inventaire)</f>
        <v>0</v>
      </c>
      <c r="T13" s="342">
        <f ca="1">SUMIFS(bddres_pieces,es_prod_type_affinage,'SUIVI STOCKS PAR PAYSAN'!$D13,es_date_entree,"&gt;"&amp;date_inventaire,es_taille,'SUIVI STOCKS PAR PAYSAN'!$T$7)-SUMIFS(v_Pièces,v_Taille,'SUIVI STOCKS PAR PAYSAN'!$T$7,v_conc_prod_tye_affinage,'SUIVI STOCKS PAR PAYSAN'!$D13,v_Date_commande,"&gt;"&amp;date_inventaire)</f>
        <v>0</v>
      </c>
      <c r="U13" s="342">
        <f ca="1">SUMIFS(bddres_pieces,'BDD RESERVATIONS'!$G:$G,'SUIVI STOCKS PAR PAYSAN'!$T$7,bddres_c_prod_type_aff,'SUIVI STOCKS PAR PAYSAN'!$D13,'BDD RESERVATIONS'!$B:$B,"&gt;"&amp;date_inventaire)</f>
        <v>0</v>
      </c>
      <c r="V13" s="343">
        <f ca="1">SUMIFS(es_pieces,es_prod_type_affinage,'SUIVI STOCKS PAR PAYSAN'!$D13,es_date_entree,"&gt;"&amp;date_inventaire,es_taille,'SUIVI STOCKS PAR PAYSAN'!$V$7)-SUMIFS(v_Pièces,v_Taille,'SUIVI STOCKS PAR PAYSAN'!$V$7,v_conc_prod_tye_affinage,'SUIVI STOCKS PAR PAYSAN'!$D13,v_Date_commande,"&gt;"&amp;date_inventaire)</f>
        <v>0</v>
      </c>
      <c r="W13" s="353">
        <f ca="1">SUMIFS(bddres_pieces,'BDD RESERVATIONS'!$G:$G,'SUIVI STOCKS PAR PAYSAN'!$V$7,bddres_c_prod_type_aff,'SUIVI STOCKS PAR PAYSAN'!$D13,'BDD RESERVATIONS'!$B:$B,"&gt;"&amp;date_inventaire)</f>
        <v>0</v>
      </c>
      <c r="X13" s="348">
        <f ca="1">SUMIFS(es_poids,es_prod_type_affinage,'SUIVI STOCKS PAR PAYSAN'!$E13,es_date_entree,"&gt;"&amp;date_inventaire)-SUMIFS(v_Poids,v_conc_prod_tye_affinage,'SUIVI STOCKS PAR PAYSAN'!$E13,v_Date_commande,"&gt;"&amp;date_inventaire)</f>
        <v>-12</v>
      </c>
      <c r="Y13" s="341">
        <f ca="1">SUMIFS(bddres_c_qte,bddres_c_prod_type_aff,'SUIVI STOCKS PAR PAYSAN'!E13,'BDD RESERVATIONS'!$B:$B,"&gt;"&amp;date_inventaire)</f>
        <v>0</v>
      </c>
      <c r="Z13" s="342">
        <f ca="1">SUMIFS(bddres_pieces,es_prod_type_affinage,'SUIVI STOCKS PAR PAYSAN'!$E13,es_date_entree,"&gt;"&amp;date_inventaire,es_taille,'SUIVI STOCKS PAR PAYSAN'!$Z$7)-SUMIFS(v_Pièces,v_Taille,'SUIVI STOCKS PAR PAYSAN'!$Z$7,v_conc_prod_tye_affinage,'SUIVI STOCKS PAR PAYSAN'!$E13,v_Date_commande,"&gt;"&amp;date_inventaire)</f>
        <v>-8</v>
      </c>
      <c r="AA13" s="342">
        <f ca="1">SUMIFS(bddres_pieces,'BDD RESERVATIONS'!$G:$G,'SUIVI STOCKS PAR PAYSAN'!$Z$7,bddres_c_prod_type_aff,'SUIVI STOCKS PAR PAYSAN'!$E13,'BDD RESERVATIONS'!$B:$B,"&gt;"&amp;date_inventaire)</f>
        <v>0</v>
      </c>
      <c r="AB13" s="343">
        <f ca="1">SUMIFS(es_pieces,es_prod_type_affinage,'SUIVI STOCKS PAR PAYSAN'!$E13,es_date_entree,"&gt;"&amp;date_inventaire,es_taille,'SUIVI STOCKS PAR PAYSAN'!$AB$7)-SUMIFS(v_Pièces,v_Taille,'SUIVI STOCKS PAR PAYSAN'!$AB$7,v_conc_prod_tye_affinage,'SUIVI STOCKS PAR PAYSAN'!$E13,v_Date_commande,"&gt;"&amp;date_inventaire)</f>
        <v>0</v>
      </c>
      <c r="AC13" s="353">
        <f ca="1">SUMIFS(bddres_pieces,'BDD RESERVATIONS'!$G:$G,'SUIVI STOCKS PAR PAYSAN'!$AB$7,bddres_c_prod_type_aff,'SUIVI STOCKS PAR PAYSAN'!$E13,'BDD RESERVATIONS'!$B:$B,"&gt;"&amp;date_inventaire)</f>
        <v>0</v>
      </c>
      <c r="AD13" s="348">
        <f ca="1">SUMIFS(es_poids,es_prod_type_affinage,'SUIVI STOCKS PAR PAYSAN'!$F13,es_date_entree,"&gt;"&amp;date_inventaire)-SUMIFS(v_Poids,v_conc_prod_tye_affinage,'SUIVI STOCKS PAR PAYSAN'!$F13,v_Date_commande,"&gt;"&amp;date_inventaire)</f>
        <v>-76</v>
      </c>
      <c r="AE13" s="341">
        <f ca="1">SUMIFS(bddres_c_qte,bddres_c_prod_type_aff,'SUIVI STOCKS PAR PAYSAN'!F13,'BDD RESERVATIONS'!$B:$B,"&gt;"&amp;date_inventaire)</f>
        <v>0</v>
      </c>
      <c r="AF13" s="342">
        <f ca="1">SUMIFS(bddres_pieces,es_prod_type_affinage,'SUIVI STOCKS PAR PAYSAN'!$F13,es_date_entree,"&gt;"&amp;date_inventaire,es_taille,'SUIVI STOCKS PAR PAYSAN'!$Z$7)-SUMIFS(v_Pièces,v_Taille,'SUIVI STOCKS PAR PAYSAN'!$Z$7,v_conc_prod_tye_affinage,'SUIVI STOCKS PAR PAYSAN'!$F13,v_Date_commande,"&gt;"&amp;date_inventaire)</f>
        <v>-45</v>
      </c>
      <c r="AG13" s="342">
        <f ca="1">SUMIFS(bddres_pieces,'BDD RESERVATIONS'!$G:$G,'SUIVI STOCKS PAR PAYSAN'!$Z$7,bddres_c_prod_type_aff,'SUIVI STOCKS PAR PAYSAN'!$F13,'BDD RESERVATIONS'!$B:$B,"&gt;"&amp;date_inventaire)</f>
        <v>0</v>
      </c>
      <c r="AH13" s="343">
        <f ca="1">SUMIFS(es_pieces,es_prod_type_affinage,'SUIVI STOCKS PAR PAYSAN'!$F13,es_date_entree,"&gt;"&amp;date_inventaire,es_taille,'SUIVI STOCKS PAR PAYSAN'!$AH$7)-SUMIFS(v_Pièces,v_Taille,'SUIVI STOCKS PAR PAYSAN'!$AH$7,v_conc_prod_tye_affinage,'SUIVI STOCKS PAR PAYSAN'!$F13,v_Date_commande,"&gt;"&amp;date_inventaire)</f>
        <v>0</v>
      </c>
      <c r="AI13" s="353">
        <f ca="1">SUMIFS(bddres_pieces,'BDD RESERVATIONS'!$G:$G,'SUIVI STOCKS PAR PAYSAN'!$AB$7,bddres_c_prod_type_aff,'SUIVI STOCKS PAR PAYSAN'!$F13,'BDD RESERVATIONS'!$B:$B,"&gt;"&amp;date_inventaire)</f>
        <v>0</v>
      </c>
      <c r="AJ13" s="352">
        <f ca="1">SUMIFS(es_poids,es_prod_type_affinage,'SUIVI STOCKS PAR PAYSAN'!$G13,es_date_entree,"&gt;"&amp;date_inventaire)-SUMIFS(v_Poids,v_conc_prod_tye_affinage,'SUIVI STOCKS PAR PAYSAN'!$G13,v_Date_commande,"&gt;"&amp;date_inventaire)</f>
        <v>0</v>
      </c>
      <c r="AK13" s="341">
        <f ca="1">SUMIFS(bddres_c_qte,bddres_c_prod_type_aff,'SUIVI STOCKS PAR PAYSAN'!G13,'BDD RESERVATIONS'!$B:$B,"&gt;"&amp;date_inventaire)</f>
        <v>0</v>
      </c>
      <c r="AL13" s="342">
        <f ca="1">SUMIFS(bddres_pieces,es_prod_type_affinage,'SUIVI STOCKS PAR PAYSAN'!$G13,es_date_entree,"&gt;"&amp;date_inventaire,es_taille,'SUIVI STOCKS PAR PAYSAN'!$AL$7)-SUMIFS(v_Pièces,v_Taille,'SUIVI STOCKS PAR PAYSAN'!$AL$7,v_conc_prod_tye_affinage,'SUIVI STOCKS PAR PAYSAN'!$G13,v_Date_commande,"&gt;"&amp;date_inventaire)</f>
        <v>0</v>
      </c>
      <c r="AM13" s="342">
        <f ca="1">SUMIFS(bddres_pieces,'BDD RESERVATIONS'!$G:$G,'SUIVI STOCKS PAR PAYSAN'!$AL$7,bddres_c_prod_type_aff,'SUIVI STOCKS PAR PAYSAN'!$G13,'BDD RESERVATIONS'!$B:$B,"&gt;"&amp;date_inventaire)</f>
        <v>0</v>
      </c>
      <c r="AN13" s="343">
        <f ca="1">SUMIFS(es_pieces,es_prod_type_affinage,'SUIVI STOCKS PAR PAYSAN'!$G13,es_date_entree,"&gt;"&amp;date_inventaire,es_taille,'SUIVI STOCKS PAR PAYSAN'!$AN$7)-SUMIFS(v_Pièces,v_Taille,'SUIVI STOCKS PAR PAYSAN'!$AN$7,v_conc_prod_tye_affinage,'SUIVI STOCKS PAR PAYSAN'!$G13,v_Date_commande,"&gt;"&amp;date_inventaire)</f>
        <v>0</v>
      </c>
      <c r="AO13" s="353">
        <f ca="1">SUMIFS(bddres_pieces,'BDD RESERVATIONS'!$G:$G,'SUIVI STOCKS PAR PAYSAN'!$AN$7,bddres_c_prod_type_aff,'SUIVI STOCKS PAR PAYSAN'!$G13,'BDD RESERVATIONS'!$B:$B,"&gt;"&amp;date_inventaire)</f>
        <v>0</v>
      </c>
      <c r="AP13" s="348">
        <f ca="1">SUMIFS(es_poids,es_prod_type_affinage,'SUIVI STOCKS PAR PAYSAN'!$H13,es_date_entree,"&gt;"&amp;date_inventaire)-SUMIFS(v_Poids,v_conc_prod_tye_affinage,'SUIVI STOCKS PAR PAYSAN'!$H13,v_Date_commande,"&gt;"&amp;date_inventaire)</f>
        <v>0</v>
      </c>
      <c r="AQ13" s="341">
        <f ca="1">SUMIFS(bddres_c_qte,bddres_c_prod_type_aff,'SUIVI STOCKS PAR PAYSAN'!H13,'BDD RESERVATIONS'!$B:$B,"&gt;"&amp;date_inventaire)</f>
        <v>0</v>
      </c>
      <c r="AR13" s="342">
        <f ca="1">SUMIFS(bddres_pieces,es_prod_type_affinage,'SUIVI STOCKS PAR PAYSAN'!$H13,es_date_entree,"&gt;"&amp;date_inventaire,es_taille,'SUIVI STOCKS PAR PAYSAN'!$AR$7)-SUMIFS(v_Pièces,v_Taille,'SUIVI STOCKS PAR PAYSAN'!$AR$7,v_conc_prod_tye_affinage,'SUIVI STOCKS PAR PAYSAN'!$H13,v_Date_commande,"&gt;"&amp;date_inventaire)</f>
        <v>0</v>
      </c>
      <c r="AS13" s="326">
        <f ca="1">SUMIFS(bddres_pieces,'BDD RESERVATIONS'!$G:$G,'SUIVI STOCKS PAR PAYSAN'!AR8,bddres_c_prod_type_aff,'SUIVI STOCKS PAR PAYSAN'!$H13,'BDD RESERVATIONS'!$B:$B,"&gt;"&amp;date_inventaire)</f>
        <v>0</v>
      </c>
      <c r="AT13" s="343">
        <f ca="1">SUMIFS(es_pieces,es_prod_type_affinage,'SUIVI STOCKS PAR PAYSAN'!$H13,es_date_entree,"&gt;"&amp;date_inventaire,es_taille,'SUIVI STOCKS PAR PAYSAN'!$AT$7)-SUMIFS(v_Pièces,v_Taille,'SUIVI STOCKS PAR PAYSAN'!$AT$7,v_conc_prod_tye_affinage,'SUIVI STOCKS PAR PAYSAN'!$H13,v_Date_commande,"&gt;"&amp;date_inventaire)</f>
        <v>0</v>
      </c>
      <c r="AU13" s="353">
        <f ca="1">SUMIFS(bddres_pieces,'BDD RESERVATIONS'!$G:$G,'SUIVI STOCKS PAR PAYSAN'!$AT$7,bddres_c_prod_type_aff,'SUIVI STOCKS PAR PAYSAN'!$H13,'BDD RESERVATIONS'!$B:$B,"&gt;"&amp;date_inventaire)</f>
        <v>0</v>
      </c>
      <c r="AV13" s="348">
        <f ca="1">SUMIFS(es_poids,es_prod_type_affinage,'SUIVI STOCKS PAR PAYSAN'!$I13,es_date_entree,"&gt;"&amp;date_inventaire)-SUMIFS(v_Poids,v_conc_prod_tye_affinage,'SUIVI STOCKS PAR PAYSAN'!$E13,v_Date_commande,"&gt;"&amp;date_inventaire)</f>
        <v>-12</v>
      </c>
      <c r="AW13" s="313">
        <f ca="1">SUMIFS(bddres_c_qte,bddres_c_prod_type_aff,'SUIVI STOCKS PAR PAYSAN'!I13,'BDD RESERVATIONS'!$B:$B,"&gt;"&amp;date_inventaire)</f>
        <v>0</v>
      </c>
      <c r="AX13" s="342">
        <f ca="1">SUMIFS(bddres_pieces,es_prod_type_affinage,'SUIVI STOCKS PAR PAYSAN'!$I13,es_date_entree,"&gt;"&amp;date_inventaire,es_taille,'SUIVI STOCKS PAR PAYSAN'!$AX$7)-SUMIFS(v_Pièces,v_Taille,'SUIVI STOCKS PAR PAYSAN'!$AX$7,v_conc_prod_tye_affinage,'SUIVI STOCKS PAR PAYSAN'!$I13,v_Date_commande,"&gt;"&amp;date_inventaire)</f>
        <v>0</v>
      </c>
      <c r="AY13" s="342">
        <f ca="1">SUMIFS(bddres_pieces,'BDD RESERVATIONS'!$G:$G,'SUIVI STOCKS PAR PAYSAN'!$AX$7,bddres_c_prod_type_aff,'SUIVI STOCKS PAR PAYSAN'!$I13,'BDD RESERVATIONS'!$B:$B,"&gt;"&amp;date_inventaire)</f>
        <v>0</v>
      </c>
      <c r="AZ13" s="343">
        <f ca="1">SUMIFS(es_pieces,es_prod_type_affinage,'SUIVI STOCKS PAR PAYSAN'!$I13,es_date_entree,"&gt;"&amp;date_inventaire,es_taille,'SUIVI STOCKS PAR PAYSAN'!$AZ$7)-SUMIFS(v_Pièces,v_Taille,'SUIVI STOCKS PAR PAYSAN'!$AZ$7,v_conc_prod_tye_affinage,'SUIVI STOCKS PAR PAYSAN'!$I13,v_Date_commande,"&gt;"&amp;date_inventaire)</f>
        <v>0</v>
      </c>
      <c r="BA13" s="353">
        <f ca="1">SUMIFS(bddres_pieces,'BDD RESERVATIONS'!$G:$G,'SUIVI STOCKS PAR PAYSAN'!$AZ$7,bddres_c_prod_type_aff,'SUIVI STOCKS PAR PAYSAN'!$I13,'BDD RESERVATIONS'!$B:$B,"&gt;"&amp;date_inventaire)</f>
        <v>0</v>
      </c>
      <c r="BB13" s="348">
        <f ca="1">SUMIFS(es_poids,es_prod_type_affinage,'SUIVI STOCKS PAR PAYSAN'!$J13,es_date_entree,"&gt;"&amp;date_inventaire)-SUMIFS(v_Poids,v_conc_prod_tye_affinage,'SUIVI STOCKS PAR PAYSAN'!$J13,v_Date_commande,"&gt;"&amp;date_inventaire)</f>
        <v>0</v>
      </c>
      <c r="BC13" s="313">
        <f ca="1">SUMIFS(bddres_c_qte,bddres_c_prod_type_aff,'SUIVI STOCKS PAR PAYSAN'!J13,'BDD RESERVATIONS'!$B:$B,"&gt;"&amp;date_inventaire)</f>
        <v>0</v>
      </c>
      <c r="BD13" s="342">
        <f ca="1">SUMIFS(bddres_pieces,es_prod_type_affinage,'SUIVI STOCKS PAR PAYSAN'!$J13,es_date_entree,"&gt;"&amp;date_inventaire,es_taille,'SUIVI STOCKS PAR PAYSAN'!$BD$7)-SUMIFS(v_Pièces,v_Taille,'SUIVI STOCKS PAR PAYSAN'!$BD$7,v_conc_prod_tye_affinage,'SUIVI STOCKS PAR PAYSAN'!$J13,v_Date_commande,"&gt;"&amp;date_inventaire)</f>
        <v>0</v>
      </c>
      <c r="BE13" s="326">
        <f ca="1">SUMIFS(bddres_pieces,'BDD RESERVATIONS'!$G:$G,'SUIVI STOCKS PAR PAYSAN'!BD8,bddres_c_prod_type_aff,'SUIVI STOCKS PAR PAYSAN'!J13,'BDD RESERVATIONS'!$B:$B,"&gt;"&amp;date_inventaire)</f>
        <v>0</v>
      </c>
      <c r="BF13" s="343">
        <f ca="1">SUMIFS(es_pieces,es_prod_type_affinage,'SUIVI STOCKS PAR PAYSAN'!J13,es_date_entree,"&gt;"&amp;date_inventaire,es_taille,'SUIVI STOCKS PAR PAYSAN'!$BF$7)-SUMIFS(v_Pièces,v_Taille,'SUIVI STOCKS PAR PAYSAN'!$BF$7,v_conc_prod_tye_affinage,'SUIVI STOCKS PAR PAYSAN'!J13,v_Date_commande,"&gt;"&amp;date_inventaire)</f>
        <v>0</v>
      </c>
      <c r="BG13" s="353">
        <f ca="1">SUMIFS(bddres_pieces,'BDD RESERVATIONS'!$G:$G,'SUIVI STOCKS PAR PAYSAN'!$BF$7,bddres_c_prod_type_aff,'SUIVI STOCKS PAR PAYSAN'!J13,'BDD RESERVATIONS'!$B:$B,"&gt;"&amp;date_inventaire)</f>
        <v>0</v>
      </c>
    </row>
    <row r="14" spans="1:97" ht="18.75" customHeight="1" x14ac:dyDescent="0.25">
      <c r="A14" s="331" t="str">
        <f ca="1">OFFSET('BDD PAYSANS'!$B$1,B14,0,1,1)</f>
        <v>GAEC BIAK INBIDO</v>
      </c>
      <c r="B14" s="325">
        <v>3</v>
      </c>
      <c r="C14" s="325" t="str">
        <f t="shared" ca="1" si="1"/>
        <v>GAEC BIAK INBIDOFERMIER&lt;3 mois</v>
      </c>
      <c r="D14" s="325" t="str">
        <f t="shared" ca="1" si="1"/>
        <v>GAEC BIAK INBIDOFERMIER3-6 mois</v>
      </c>
      <c r="E14" s="325" t="str">
        <f t="shared" ca="1" si="1"/>
        <v>GAEC BIAK INBIDOFERMIER6-9 mois</v>
      </c>
      <c r="F14" s="325" t="str">
        <f t="shared" ca="1" si="1"/>
        <v>GAEC BIAK INBIDOFERMIER&gt;9 mois</v>
      </c>
      <c r="G14" s="325" t="str">
        <f t="shared" ca="1" si="1"/>
        <v>GAEC BIAK INBIDOESTIVE&lt;3 mois</v>
      </c>
      <c r="H14" s="325" t="str">
        <f t="shared" ca="1" si="1"/>
        <v>GAEC BIAK INBIDOESTIVE3-6 mois</v>
      </c>
      <c r="I14" s="325" t="str">
        <f t="shared" ca="1" si="1"/>
        <v>GAEC BIAK INBIDOESTIVE6-9 mois</v>
      </c>
      <c r="J14" s="325" t="str">
        <f t="shared" ca="1" si="1"/>
        <v>GAEC BIAK INBIDOESTIVE&gt;9 mois</v>
      </c>
      <c r="K14" s="325"/>
      <c r="L14" s="352">
        <f ca="1">SUMIFS(es_poids,es_prod_type_affinage,'SUIVI STOCKS PAR PAYSAN'!$C14,es_date_entree,"&gt;"&amp;date_inventaire)-SUMIFS(v_Poids,v_conc_prod_tye_affinage,'SUIVI STOCKS PAR PAYSAN'!$C14,v_Date_commande,"&gt;"&amp;date_inventaire)</f>
        <v>0</v>
      </c>
      <c r="M14" s="341">
        <f ca="1">SUMIFS(bddres_c_qte,bddres_c_prod_type_aff,'SUIVI STOCKS PAR PAYSAN'!C14,'BDD RESERVATIONS'!$B:$B,"&gt;"&amp;date_inventaire)</f>
        <v>0</v>
      </c>
      <c r="N14" s="342">
        <f ca="1">SUMIFS(bddres_pieces,es_prod_type_affinage,'SUIVI STOCKS PAR PAYSAN'!$C14,es_date_entree,"&gt;"&amp;date_inventaire,es_taille,'SUIVI STOCKS PAR PAYSAN'!$N$7)-SUMIFS(v_Pièces,v_Taille,'SUIVI STOCKS PAR PAYSAN'!$N$7,v_conc_prod_tye_affinage,'SUIVI STOCKS PAR PAYSAN'!$C14,v_Date_commande,"&gt;"&amp;date_inventaire)</f>
        <v>0</v>
      </c>
      <c r="O14" s="342">
        <f ca="1">SUMIFS(bddres_pieces,'BDD RESERVATIONS'!$G:$G,'SUIVI STOCKS PAR PAYSAN'!$N$7,bddres_c_prod_type_aff,'SUIVI STOCKS PAR PAYSAN'!$C14,'BDD RESERVATIONS'!$B:$B,"&gt;"&amp;date_inventaire)</f>
        <v>0</v>
      </c>
      <c r="P14" s="343">
        <f ca="1">SUMIFS(es_pieces,es_prod_type_affinage,'SUIVI STOCKS PAR PAYSAN'!$C14,es_date_entree,"&gt;"&amp;date_inventaire,es_taille,'SUIVI STOCKS PAR PAYSAN'!$P$7)-SUMIFS(v_Pièces,v_Taille,'SUIVI STOCKS PAR PAYSAN'!$P$7,v_conc_prod_tye_affinage,'SUIVI STOCKS PAR PAYSAN'!$C14,v_Date_commande,"&gt;"&amp;date_inventaire)</f>
        <v>0</v>
      </c>
      <c r="Q14" s="353">
        <f ca="1">SUMIFS(bddres_pieces,'BDD RESERVATIONS'!$G:$G,'SUIVI STOCKS PAR PAYSAN'!$P$7,bddres_c_prod_type_aff,'SUIVI STOCKS PAR PAYSAN'!$C14,'BDD RESERVATIONS'!$B:$B,"&gt;"&amp;date_inventaire)</f>
        <v>0</v>
      </c>
      <c r="R14" s="348">
        <f ca="1">SUMIFS(es_poids,es_prod_type_affinage,'SUIVI STOCKS PAR PAYSAN'!$D14,es_date_entree,"&gt;"&amp;date_inventaire)-SUMIFS(v_Poids,v_conc_prod_tye_affinage,'SUIVI STOCKS PAR PAYSAN'!$D14,v_Date_commande,"&gt;"&amp;date_inventaire)</f>
        <v>0</v>
      </c>
      <c r="S14" s="341">
        <f ca="1">SUMIFS(bddres_c_qte,bddres_c_prod_type_aff,'SUIVI STOCKS PAR PAYSAN'!D14,'BDD RESERVATIONS'!$B:$B,"&gt;"&amp;date_inventaire)</f>
        <v>0</v>
      </c>
      <c r="T14" s="342">
        <f ca="1">SUMIFS(bddres_pieces,es_prod_type_affinage,'SUIVI STOCKS PAR PAYSAN'!$D14,es_date_entree,"&gt;"&amp;date_inventaire,es_taille,'SUIVI STOCKS PAR PAYSAN'!$T$7)-SUMIFS(v_Pièces,v_Taille,'SUIVI STOCKS PAR PAYSAN'!$T$7,v_conc_prod_tye_affinage,'SUIVI STOCKS PAR PAYSAN'!$D14,v_Date_commande,"&gt;"&amp;date_inventaire)</f>
        <v>0</v>
      </c>
      <c r="U14" s="342">
        <f ca="1">SUMIFS(bddres_pieces,'BDD RESERVATIONS'!$G:$G,'SUIVI STOCKS PAR PAYSAN'!$T$7,bddres_c_prod_type_aff,'SUIVI STOCKS PAR PAYSAN'!$D14,'BDD RESERVATIONS'!$B:$B,"&gt;"&amp;date_inventaire)</f>
        <v>0</v>
      </c>
      <c r="V14" s="343">
        <f ca="1">SUMIFS(es_pieces,es_prod_type_affinage,'SUIVI STOCKS PAR PAYSAN'!$D14,es_date_entree,"&gt;"&amp;date_inventaire,es_taille,'SUIVI STOCKS PAR PAYSAN'!$V$7)-SUMIFS(v_Pièces,v_Taille,'SUIVI STOCKS PAR PAYSAN'!$V$7,v_conc_prod_tye_affinage,'SUIVI STOCKS PAR PAYSAN'!$D14,v_Date_commande,"&gt;"&amp;date_inventaire)</f>
        <v>0</v>
      </c>
      <c r="W14" s="353">
        <f ca="1">SUMIFS(bddres_pieces,'BDD RESERVATIONS'!$G:$G,'SUIVI STOCKS PAR PAYSAN'!$V$7,bddres_c_prod_type_aff,'SUIVI STOCKS PAR PAYSAN'!$D14,'BDD RESERVATIONS'!$B:$B,"&gt;"&amp;date_inventaire)</f>
        <v>0</v>
      </c>
      <c r="X14" s="348">
        <f ca="1">SUMIFS(es_poids,es_prod_type_affinage,'SUIVI STOCKS PAR PAYSAN'!$E14,es_date_entree,"&gt;"&amp;date_inventaire)-SUMIFS(v_Poids,v_conc_prod_tye_affinage,'SUIVI STOCKS PAR PAYSAN'!$E14,v_Date_commande,"&gt;"&amp;date_inventaire)</f>
        <v>0</v>
      </c>
      <c r="Y14" s="341">
        <f ca="1">SUMIFS(bddres_c_qte,bddres_c_prod_type_aff,'SUIVI STOCKS PAR PAYSAN'!E14,'BDD RESERVATIONS'!$B:$B,"&gt;"&amp;date_inventaire)</f>
        <v>0</v>
      </c>
      <c r="Z14" s="342">
        <f ca="1">SUMIFS(bddres_pieces,es_prod_type_affinage,'SUIVI STOCKS PAR PAYSAN'!$E14,es_date_entree,"&gt;"&amp;date_inventaire,es_taille,'SUIVI STOCKS PAR PAYSAN'!$Z$7)-SUMIFS(v_Pièces,v_Taille,'SUIVI STOCKS PAR PAYSAN'!$Z$7,v_conc_prod_tye_affinage,'SUIVI STOCKS PAR PAYSAN'!$E14,v_Date_commande,"&gt;"&amp;date_inventaire)</f>
        <v>0</v>
      </c>
      <c r="AA14" s="342">
        <f ca="1">SUMIFS(bddres_pieces,'BDD RESERVATIONS'!$G:$G,'SUIVI STOCKS PAR PAYSAN'!$Z$7,bddres_c_prod_type_aff,'SUIVI STOCKS PAR PAYSAN'!$E14,'BDD RESERVATIONS'!$B:$B,"&gt;"&amp;date_inventaire)</f>
        <v>0</v>
      </c>
      <c r="AB14" s="343">
        <f ca="1">SUMIFS(es_pieces,es_prod_type_affinage,'SUIVI STOCKS PAR PAYSAN'!$E14,es_date_entree,"&gt;"&amp;date_inventaire,es_taille,'SUIVI STOCKS PAR PAYSAN'!$AB$7)-SUMIFS(v_Pièces,v_Taille,'SUIVI STOCKS PAR PAYSAN'!$AB$7,v_conc_prod_tye_affinage,'SUIVI STOCKS PAR PAYSAN'!$E14,v_Date_commande,"&gt;"&amp;date_inventaire)</f>
        <v>0</v>
      </c>
      <c r="AC14" s="353">
        <f ca="1">SUMIFS(bddres_pieces,'BDD RESERVATIONS'!$G:$G,'SUIVI STOCKS PAR PAYSAN'!$AB$7,bddres_c_prod_type_aff,'SUIVI STOCKS PAR PAYSAN'!$E14,'BDD RESERVATIONS'!$B:$B,"&gt;"&amp;date_inventaire)</f>
        <v>0</v>
      </c>
      <c r="AD14" s="348">
        <f ca="1">SUMIFS(es_poids,es_prod_type_affinage,'SUIVI STOCKS PAR PAYSAN'!$F14,es_date_entree,"&gt;"&amp;date_inventaire)-SUMIFS(v_Poids,v_conc_prod_tye_affinage,'SUIVI STOCKS PAR PAYSAN'!$F14,v_Date_commande,"&gt;"&amp;date_inventaire)</f>
        <v>0</v>
      </c>
      <c r="AE14" s="341">
        <f ca="1">SUMIFS(bddres_c_qte,bddres_c_prod_type_aff,'SUIVI STOCKS PAR PAYSAN'!F14,'BDD RESERVATIONS'!$B:$B,"&gt;"&amp;date_inventaire)</f>
        <v>0</v>
      </c>
      <c r="AF14" s="342">
        <f ca="1">SUMIFS(bddres_pieces,es_prod_type_affinage,'SUIVI STOCKS PAR PAYSAN'!$F14,es_date_entree,"&gt;"&amp;date_inventaire,es_taille,'SUIVI STOCKS PAR PAYSAN'!$Z$7)-SUMIFS(v_Pièces,v_Taille,'SUIVI STOCKS PAR PAYSAN'!$Z$7,v_conc_prod_tye_affinage,'SUIVI STOCKS PAR PAYSAN'!$F14,v_Date_commande,"&gt;"&amp;date_inventaire)</f>
        <v>0</v>
      </c>
      <c r="AG14" s="342">
        <f ca="1">SUMIFS(bddres_pieces,'BDD RESERVATIONS'!$G:$G,'SUIVI STOCKS PAR PAYSAN'!$Z$7,bddres_c_prod_type_aff,'SUIVI STOCKS PAR PAYSAN'!$F14,'BDD RESERVATIONS'!$B:$B,"&gt;"&amp;date_inventaire)</f>
        <v>0</v>
      </c>
      <c r="AH14" s="343">
        <f ca="1">SUMIFS(es_pieces,es_prod_type_affinage,'SUIVI STOCKS PAR PAYSAN'!$F14,es_date_entree,"&gt;"&amp;date_inventaire,es_taille,'SUIVI STOCKS PAR PAYSAN'!$AH$7)-SUMIFS(v_Pièces,v_Taille,'SUIVI STOCKS PAR PAYSAN'!$AH$7,v_conc_prod_tye_affinage,'SUIVI STOCKS PAR PAYSAN'!$F14,v_Date_commande,"&gt;"&amp;date_inventaire)</f>
        <v>0</v>
      </c>
      <c r="AI14" s="353">
        <f ca="1">SUMIFS(bddres_pieces,'BDD RESERVATIONS'!$G:$G,'SUIVI STOCKS PAR PAYSAN'!$AB$7,bddres_c_prod_type_aff,'SUIVI STOCKS PAR PAYSAN'!$F14,'BDD RESERVATIONS'!$B:$B,"&gt;"&amp;date_inventaire)</f>
        <v>0</v>
      </c>
      <c r="AJ14" s="352">
        <f ca="1">SUMIFS(es_poids,es_prod_type_affinage,'SUIVI STOCKS PAR PAYSAN'!$G14,es_date_entree,"&gt;"&amp;date_inventaire)-SUMIFS(v_Poids,v_conc_prod_tye_affinage,'SUIVI STOCKS PAR PAYSAN'!$G14,v_Date_commande,"&gt;"&amp;date_inventaire)</f>
        <v>0</v>
      </c>
      <c r="AK14" s="341">
        <f ca="1">SUMIFS(bddres_c_qte,bddres_c_prod_type_aff,'SUIVI STOCKS PAR PAYSAN'!G14,'BDD RESERVATIONS'!$B:$B,"&gt;"&amp;date_inventaire)</f>
        <v>0</v>
      </c>
      <c r="AL14" s="342">
        <f ca="1">SUMIFS(bddres_pieces,es_prod_type_affinage,'SUIVI STOCKS PAR PAYSAN'!$G14,es_date_entree,"&gt;"&amp;date_inventaire,es_taille,'SUIVI STOCKS PAR PAYSAN'!$AL$7)-SUMIFS(v_Pièces,v_Taille,'SUIVI STOCKS PAR PAYSAN'!$AL$7,v_conc_prod_tye_affinage,'SUIVI STOCKS PAR PAYSAN'!$G14,v_Date_commande,"&gt;"&amp;date_inventaire)</f>
        <v>0</v>
      </c>
      <c r="AM14" s="342">
        <f ca="1">SUMIFS(bddres_pieces,'BDD RESERVATIONS'!$G:$G,'SUIVI STOCKS PAR PAYSAN'!$AL$7,bddres_c_prod_type_aff,'SUIVI STOCKS PAR PAYSAN'!$G14,'BDD RESERVATIONS'!$B:$B,"&gt;"&amp;date_inventaire)</f>
        <v>0</v>
      </c>
      <c r="AN14" s="343">
        <f ca="1">SUMIFS(es_pieces,es_prod_type_affinage,'SUIVI STOCKS PAR PAYSAN'!$G14,es_date_entree,"&gt;"&amp;date_inventaire,es_taille,'SUIVI STOCKS PAR PAYSAN'!$AN$7)-SUMIFS(v_Pièces,v_Taille,'SUIVI STOCKS PAR PAYSAN'!$AN$7,v_conc_prod_tye_affinage,'SUIVI STOCKS PAR PAYSAN'!$G14,v_Date_commande,"&gt;"&amp;date_inventaire)</f>
        <v>0</v>
      </c>
      <c r="AO14" s="353">
        <f ca="1">SUMIFS(bddres_pieces,'BDD RESERVATIONS'!$G:$G,'SUIVI STOCKS PAR PAYSAN'!$AN$7,bddres_c_prod_type_aff,'SUIVI STOCKS PAR PAYSAN'!$G14,'BDD RESERVATIONS'!$B:$B,"&gt;"&amp;date_inventaire)</f>
        <v>0</v>
      </c>
      <c r="AP14" s="348">
        <f ca="1">SUMIFS(es_poids,es_prod_type_affinage,'SUIVI STOCKS PAR PAYSAN'!$H14,es_date_entree,"&gt;"&amp;date_inventaire)-SUMIFS(v_Poids,v_conc_prod_tye_affinage,'SUIVI STOCKS PAR PAYSAN'!$H14,v_Date_commande,"&gt;"&amp;date_inventaire)</f>
        <v>0</v>
      </c>
      <c r="AQ14" s="341">
        <f ca="1">SUMIFS(bddres_c_qte,bddres_c_prod_type_aff,'SUIVI STOCKS PAR PAYSAN'!H14,'BDD RESERVATIONS'!$B:$B,"&gt;"&amp;date_inventaire)</f>
        <v>0</v>
      </c>
      <c r="AR14" s="342">
        <f ca="1">SUMIFS(bddres_pieces,es_prod_type_affinage,'SUIVI STOCKS PAR PAYSAN'!$H14,es_date_entree,"&gt;"&amp;date_inventaire,es_taille,'SUIVI STOCKS PAR PAYSAN'!$AR$7)-SUMIFS(v_Pièces,v_Taille,'SUIVI STOCKS PAR PAYSAN'!$AR$7,v_conc_prod_tye_affinage,'SUIVI STOCKS PAR PAYSAN'!$H14,v_Date_commande,"&gt;"&amp;date_inventaire)</f>
        <v>0</v>
      </c>
      <c r="AS14" s="326">
        <f ca="1">SUMIFS(bddres_pieces,'BDD RESERVATIONS'!$G:$G,'SUIVI STOCKS PAR PAYSAN'!AR9,bddres_c_prod_type_aff,'SUIVI STOCKS PAR PAYSAN'!$H14,'BDD RESERVATIONS'!$B:$B,"&gt;"&amp;date_inventaire)</f>
        <v>0</v>
      </c>
      <c r="AT14" s="343">
        <f ca="1">SUMIFS(es_pieces,es_prod_type_affinage,'SUIVI STOCKS PAR PAYSAN'!$H14,es_date_entree,"&gt;"&amp;date_inventaire,es_taille,'SUIVI STOCKS PAR PAYSAN'!$AT$7)-SUMIFS(v_Pièces,v_Taille,'SUIVI STOCKS PAR PAYSAN'!$AT$7,v_conc_prod_tye_affinage,'SUIVI STOCKS PAR PAYSAN'!$H14,v_Date_commande,"&gt;"&amp;date_inventaire)</f>
        <v>0</v>
      </c>
      <c r="AU14" s="353">
        <f ca="1">SUMIFS(bddres_pieces,'BDD RESERVATIONS'!$G:$G,'SUIVI STOCKS PAR PAYSAN'!$AT$7,bddres_c_prod_type_aff,'SUIVI STOCKS PAR PAYSAN'!$H14,'BDD RESERVATIONS'!$B:$B,"&gt;"&amp;date_inventaire)</f>
        <v>0</v>
      </c>
      <c r="AV14" s="348">
        <f ca="1">SUMIFS(es_poids,es_prod_type_affinage,'SUIVI STOCKS PAR PAYSAN'!$I14,es_date_entree,"&gt;"&amp;date_inventaire)-SUMIFS(v_Poids,v_conc_prod_tye_affinage,'SUIVI STOCKS PAR PAYSAN'!$E14,v_Date_commande,"&gt;"&amp;date_inventaire)</f>
        <v>0</v>
      </c>
      <c r="AW14" s="313">
        <f ca="1">SUMIFS(bddres_c_qte,bddres_c_prod_type_aff,'SUIVI STOCKS PAR PAYSAN'!I14,'BDD RESERVATIONS'!$B:$B,"&gt;"&amp;date_inventaire)</f>
        <v>0</v>
      </c>
      <c r="AX14" s="342">
        <f ca="1">SUMIFS(bddres_pieces,es_prod_type_affinage,'SUIVI STOCKS PAR PAYSAN'!$I14,es_date_entree,"&gt;"&amp;date_inventaire,es_taille,'SUIVI STOCKS PAR PAYSAN'!$AX$7)-SUMIFS(v_Pièces,v_Taille,'SUIVI STOCKS PAR PAYSAN'!$AX$7,v_conc_prod_tye_affinage,'SUIVI STOCKS PAR PAYSAN'!$I14,v_Date_commande,"&gt;"&amp;date_inventaire)</f>
        <v>0</v>
      </c>
      <c r="AY14" s="342">
        <f ca="1">SUMIFS(bddres_pieces,'BDD RESERVATIONS'!$G:$G,'SUIVI STOCKS PAR PAYSAN'!$AX$7,bddres_c_prod_type_aff,'SUIVI STOCKS PAR PAYSAN'!$I14,'BDD RESERVATIONS'!$B:$B,"&gt;"&amp;date_inventaire)</f>
        <v>0</v>
      </c>
      <c r="AZ14" s="343">
        <f ca="1">SUMIFS(es_pieces,es_prod_type_affinage,'SUIVI STOCKS PAR PAYSAN'!$I14,es_date_entree,"&gt;"&amp;date_inventaire,es_taille,'SUIVI STOCKS PAR PAYSAN'!$AZ$7)-SUMIFS(v_Pièces,v_Taille,'SUIVI STOCKS PAR PAYSAN'!$AZ$7,v_conc_prod_tye_affinage,'SUIVI STOCKS PAR PAYSAN'!$I14,v_Date_commande,"&gt;"&amp;date_inventaire)</f>
        <v>0</v>
      </c>
      <c r="BA14" s="353">
        <f ca="1">SUMIFS(bddres_pieces,'BDD RESERVATIONS'!$G:$G,'SUIVI STOCKS PAR PAYSAN'!$AZ$7,bddres_c_prod_type_aff,'SUIVI STOCKS PAR PAYSAN'!$I14,'BDD RESERVATIONS'!$B:$B,"&gt;"&amp;date_inventaire)</f>
        <v>0</v>
      </c>
      <c r="BB14" s="348">
        <f ca="1">SUMIFS(es_poids,es_prod_type_affinage,'SUIVI STOCKS PAR PAYSAN'!$J14,es_date_entree,"&gt;"&amp;date_inventaire)-SUMIFS(v_Poids,v_conc_prod_tye_affinage,'SUIVI STOCKS PAR PAYSAN'!$J14,v_Date_commande,"&gt;"&amp;date_inventaire)</f>
        <v>0</v>
      </c>
      <c r="BC14" s="313">
        <f ca="1">SUMIFS(bddres_c_qte,bddres_c_prod_type_aff,'SUIVI STOCKS PAR PAYSAN'!J14,'BDD RESERVATIONS'!$B:$B,"&gt;"&amp;date_inventaire)</f>
        <v>0</v>
      </c>
      <c r="BD14" s="342">
        <f ca="1">SUMIFS(bddres_pieces,es_prod_type_affinage,'SUIVI STOCKS PAR PAYSAN'!$J14,es_date_entree,"&gt;"&amp;date_inventaire,es_taille,'SUIVI STOCKS PAR PAYSAN'!$BD$7)-SUMIFS(v_Pièces,v_Taille,'SUIVI STOCKS PAR PAYSAN'!$BD$7,v_conc_prod_tye_affinage,'SUIVI STOCKS PAR PAYSAN'!$J14,v_Date_commande,"&gt;"&amp;date_inventaire)</f>
        <v>0</v>
      </c>
      <c r="BE14" s="326">
        <f ca="1">SUMIFS(bddres_pieces,'BDD RESERVATIONS'!$G:$G,'SUIVI STOCKS PAR PAYSAN'!BD9,bddres_c_prod_type_aff,'SUIVI STOCKS PAR PAYSAN'!J14,'BDD RESERVATIONS'!$B:$B,"&gt;"&amp;date_inventaire)</f>
        <v>0</v>
      </c>
      <c r="BF14" s="343">
        <f ca="1">SUMIFS(es_pieces,es_prod_type_affinage,'SUIVI STOCKS PAR PAYSAN'!J14,es_date_entree,"&gt;"&amp;date_inventaire,es_taille,'SUIVI STOCKS PAR PAYSAN'!$BF$7)-SUMIFS(v_Pièces,v_Taille,'SUIVI STOCKS PAR PAYSAN'!$BF$7,v_conc_prod_tye_affinage,'SUIVI STOCKS PAR PAYSAN'!J14,v_Date_commande,"&gt;"&amp;date_inventaire)</f>
        <v>0</v>
      </c>
      <c r="BG14" s="353">
        <f ca="1">SUMIFS(bddres_pieces,'BDD RESERVATIONS'!$G:$G,'SUIVI STOCKS PAR PAYSAN'!$BF$7,bddres_c_prod_type_aff,'SUIVI STOCKS PAR PAYSAN'!J14,'BDD RESERVATIONS'!$B:$B,"&gt;"&amp;date_inventaire)</f>
        <v>0</v>
      </c>
    </row>
    <row r="15" spans="1:97" ht="18.75" customHeight="1" x14ac:dyDescent="0.25">
      <c r="A15" s="331" t="str">
        <f ca="1">OFFSET('BDD PAYSANS'!$B$1,B15,0,1,1)</f>
        <v>GAEC GASTELU GAT</v>
      </c>
      <c r="B15" s="325">
        <v>4</v>
      </c>
      <c r="C15" s="325" t="str">
        <f t="shared" ca="1" si="1"/>
        <v>GAEC GASTELU GATFERMIER&lt;3 mois</v>
      </c>
      <c r="D15" s="325" t="str">
        <f t="shared" ca="1" si="1"/>
        <v>GAEC GASTELU GATFERMIER3-6 mois</v>
      </c>
      <c r="E15" s="325" t="str">
        <f t="shared" ca="1" si="1"/>
        <v>GAEC GASTELU GATFERMIER6-9 mois</v>
      </c>
      <c r="F15" s="325" t="str">
        <f t="shared" ca="1" si="1"/>
        <v>GAEC GASTELU GATFERMIER&gt;9 mois</v>
      </c>
      <c r="G15" s="325" t="str">
        <f t="shared" ca="1" si="1"/>
        <v>GAEC GASTELU GATESTIVE&lt;3 mois</v>
      </c>
      <c r="H15" s="325" t="str">
        <f t="shared" ca="1" si="1"/>
        <v>GAEC GASTELU GATESTIVE3-6 mois</v>
      </c>
      <c r="I15" s="325" t="str">
        <f t="shared" ca="1" si="1"/>
        <v>GAEC GASTELU GATESTIVE6-9 mois</v>
      </c>
      <c r="J15" s="325" t="str">
        <f t="shared" ca="1" si="1"/>
        <v>GAEC GASTELU GATESTIVE&gt;9 mois</v>
      </c>
      <c r="K15" s="325"/>
      <c r="L15" s="352">
        <f ca="1">SUMIFS(es_poids,es_prod_type_affinage,'SUIVI STOCKS PAR PAYSAN'!$C15,es_date_entree,"&gt;"&amp;date_inventaire)-SUMIFS(v_Poids,v_conc_prod_tye_affinage,'SUIVI STOCKS PAR PAYSAN'!$C15,v_Date_commande,"&gt;"&amp;date_inventaire)</f>
        <v>0</v>
      </c>
      <c r="M15" s="341">
        <f ca="1">SUMIFS(bddres_c_qte,bddres_c_prod_type_aff,'SUIVI STOCKS PAR PAYSAN'!C15,'BDD RESERVATIONS'!$B:$B,"&gt;"&amp;date_inventaire)</f>
        <v>0</v>
      </c>
      <c r="N15" s="342">
        <f ca="1">SUMIFS(bddres_pieces,es_prod_type_affinage,'SUIVI STOCKS PAR PAYSAN'!$C15,es_date_entree,"&gt;"&amp;date_inventaire,es_taille,'SUIVI STOCKS PAR PAYSAN'!$N$7)-SUMIFS(v_Pièces,v_Taille,'SUIVI STOCKS PAR PAYSAN'!$N$7,v_conc_prod_tye_affinage,'SUIVI STOCKS PAR PAYSAN'!$C15,v_Date_commande,"&gt;"&amp;date_inventaire)</f>
        <v>0</v>
      </c>
      <c r="O15" s="342">
        <f ca="1">SUMIFS(bddres_pieces,'BDD RESERVATIONS'!$G:$G,'SUIVI STOCKS PAR PAYSAN'!$N$7,bddres_c_prod_type_aff,'SUIVI STOCKS PAR PAYSAN'!$C15,'BDD RESERVATIONS'!$B:$B,"&gt;"&amp;date_inventaire)</f>
        <v>0</v>
      </c>
      <c r="P15" s="343">
        <f ca="1">SUMIFS(es_pieces,es_prod_type_affinage,'SUIVI STOCKS PAR PAYSAN'!$C15,es_date_entree,"&gt;"&amp;date_inventaire,es_taille,'SUIVI STOCKS PAR PAYSAN'!$P$7)-SUMIFS(v_Pièces,v_Taille,'SUIVI STOCKS PAR PAYSAN'!$P$7,v_conc_prod_tye_affinage,'SUIVI STOCKS PAR PAYSAN'!$C15,v_Date_commande,"&gt;"&amp;date_inventaire)</f>
        <v>0</v>
      </c>
      <c r="Q15" s="353">
        <f ca="1">SUMIFS(bddres_pieces,'BDD RESERVATIONS'!$G:$G,'SUIVI STOCKS PAR PAYSAN'!$P$7,bddres_c_prod_type_aff,'SUIVI STOCKS PAR PAYSAN'!$C15,'BDD RESERVATIONS'!$B:$B,"&gt;"&amp;date_inventaire)</f>
        <v>0</v>
      </c>
      <c r="R15" s="348">
        <f ca="1">SUMIFS(es_poids,es_prod_type_affinage,'SUIVI STOCKS PAR PAYSAN'!$D15,es_date_entree,"&gt;"&amp;date_inventaire)-SUMIFS(v_Poids,v_conc_prod_tye_affinage,'SUIVI STOCKS PAR PAYSAN'!$D15,v_Date_commande,"&gt;"&amp;date_inventaire)</f>
        <v>0</v>
      </c>
      <c r="S15" s="341">
        <f ca="1">SUMIFS(bddres_c_qte,bddres_c_prod_type_aff,'SUIVI STOCKS PAR PAYSAN'!D15,'BDD RESERVATIONS'!$B:$B,"&gt;"&amp;date_inventaire)</f>
        <v>0</v>
      </c>
      <c r="T15" s="342">
        <f ca="1">SUMIFS(bddres_pieces,es_prod_type_affinage,'SUIVI STOCKS PAR PAYSAN'!$D15,es_date_entree,"&gt;"&amp;date_inventaire,es_taille,'SUIVI STOCKS PAR PAYSAN'!$T$7)-SUMIFS(v_Pièces,v_Taille,'SUIVI STOCKS PAR PAYSAN'!$T$7,v_conc_prod_tye_affinage,'SUIVI STOCKS PAR PAYSAN'!$D15,v_Date_commande,"&gt;"&amp;date_inventaire)</f>
        <v>0</v>
      </c>
      <c r="U15" s="342">
        <f ca="1">SUMIFS(bddres_pieces,'BDD RESERVATIONS'!$G:$G,'SUIVI STOCKS PAR PAYSAN'!$T$7,bddres_c_prod_type_aff,'SUIVI STOCKS PAR PAYSAN'!$D15,'BDD RESERVATIONS'!$B:$B,"&gt;"&amp;date_inventaire)</f>
        <v>0</v>
      </c>
      <c r="V15" s="343">
        <f ca="1">SUMIFS(es_pieces,es_prod_type_affinage,'SUIVI STOCKS PAR PAYSAN'!$D15,es_date_entree,"&gt;"&amp;date_inventaire,es_taille,'SUIVI STOCKS PAR PAYSAN'!$V$7)-SUMIFS(v_Pièces,v_Taille,'SUIVI STOCKS PAR PAYSAN'!$V$7,v_conc_prod_tye_affinage,'SUIVI STOCKS PAR PAYSAN'!$D15,v_Date_commande,"&gt;"&amp;date_inventaire)</f>
        <v>0</v>
      </c>
      <c r="W15" s="353">
        <f ca="1">SUMIFS(bddres_pieces,'BDD RESERVATIONS'!$G:$G,'SUIVI STOCKS PAR PAYSAN'!$V$7,bddres_c_prod_type_aff,'SUIVI STOCKS PAR PAYSAN'!$D15,'BDD RESERVATIONS'!$B:$B,"&gt;"&amp;date_inventaire)</f>
        <v>0</v>
      </c>
      <c r="X15" s="348">
        <f ca="1">SUMIFS(es_poids,es_prod_type_affinage,'SUIVI STOCKS PAR PAYSAN'!$E15,es_date_entree,"&gt;"&amp;date_inventaire)-SUMIFS(v_Poids,v_conc_prod_tye_affinage,'SUIVI STOCKS PAR PAYSAN'!$E15,v_Date_commande,"&gt;"&amp;date_inventaire)</f>
        <v>0</v>
      </c>
      <c r="Y15" s="341">
        <f ca="1">SUMIFS(bddres_c_qte,bddres_c_prod_type_aff,'SUIVI STOCKS PAR PAYSAN'!E15,'BDD RESERVATIONS'!$B:$B,"&gt;"&amp;date_inventaire)</f>
        <v>0</v>
      </c>
      <c r="Z15" s="342">
        <f ca="1">SUMIFS(bddres_pieces,es_prod_type_affinage,'SUIVI STOCKS PAR PAYSAN'!$E15,es_date_entree,"&gt;"&amp;date_inventaire,es_taille,'SUIVI STOCKS PAR PAYSAN'!$Z$7)-SUMIFS(v_Pièces,v_Taille,'SUIVI STOCKS PAR PAYSAN'!$Z$7,v_conc_prod_tye_affinage,'SUIVI STOCKS PAR PAYSAN'!$E15,v_Date_commande,"&gt;"&amp;date_inventaire)</f>
        <v>0</v>
      </c>
      <c r="AA15" s="342">
        <f ca="1">SUMIFS(bddres_pieces,'BDD RESERVATIONS'!$G:$G,'SUIVI STOCKS PAR PAYSAN'!$Z$7,bddres_c_prod_type_aff,'SUIVI STOCKS PAR PAYSAN'!$E15,'BDD RESERVATIONS'!$B:$B,"&gt;"&amp;date_inventaire)</f>
        <v>0</v>
      </c>
      <c r="AB15" s="343">
        <f ca="1">SUMIFS(es_pieces,es_prod_type_affinage,'SUIVI STOCKS PAR PAYSAN'!$E15,es_date_entree,"&gt;"&amp;date_inventaire,es_taille,'SUIVI STOCKS PAR PAYSAN'!$AB$7)-SUMIFS(v_Pièces,v_Taille,'SUIVI STOCKS PAR PAYSAN'!$AB$7,v_conc_prod_tye_affinage,'SUIVI STOCKS PAR PAYSAN'!$E15,v_Date_commande,"&gt;"&amp;date_inventaire)</f>
        <v>0</v>
      </c>
      <c r="AC15" s="353">
        <f ca="1">SUMIFS(bddres_pieces,'BDD RESERVATIONS'!$G:$G,'SUIVI STOCKS PAR PAYSAN'!$AB$7,bddres_c_prod_type_aff,'SUIVI STOCKS PAR PAYSAN'!$E15,'BDD RESERVATIONS'!$B:$B,"&gt;"&amp;date_inventaire)</f>
        <v>0</v>
      </c>
      <c r="AD15" s="348">
        <f ca="1">SUMIFS(es_poids,es_prod_type_affinage,'SUIVI STOCKS PAR PAYSAN'!$F15,es_date_entree,"&gt;"&amp;date_inventaire)-SUMIFS(v_Poids,v_conc_prod_tye_affinage,'SUIVI STOCKS PAR PAYSAN'!$F15,v_Date_commande,"&gt;"&amp;date_inventaire)</f>
        <v>0</v>
      </c>
      <c r="AE15" s="341">
        <f ca="1">SUMIFS(bddres_c_qte,bddres_c_prod_type_aff,'SUIVI STOCKS PAR PAYSAN'!F15,'BDD RESERVATIONS'!$B:$B,"&gt;"&amp;date_inventaire)</f>
        <v>0</v>
      </c>
      <c r="AF15" s="342">
        <f ca="1">SUMIFS(bddres_pieces,es_prod_type_affinage,'SUIVI STOCKS PAR PAYSAN'!$F15,es_date_entree,"&gt;"&amp;date_inventaire,es_taille,'SUIVI STOCKS PAR PAYSAN'!$Z$7)-SUMIFS(v_Pièces,v_Taille,'SUIVI STOCKS PAR PAYSAN'!$Z$7,v_conc_prod_tye_affinage,'SUIVI STOCKS PAR PAYSAN'!$F15,v_Date_commande,"&gt;"&amp;date_inventaire)</f>
        <v>0</v>
      </c>
      <c r="AG15" s="342">
        <f ca="1">SUMIFS(bddres_pieces,'BDD RESERVATIONS'!$G:$G,'SUIVI STOCKS PAR PAYSAN'!$Z$7,bddres_c_prod_type_aff,'SUIVI STOCKS PAR PAYSAN'!$F15,'BDD RESERVATIONS'!$B:$B,"&gt;"&amp;date_inventaire)</f>
        <v>0</v>
      </c>
      <c r="AH15" s="343">
        <f ca="1">SUMIFS(es_pieces,es_prod_type_affinage,'SUIVI STOCKS PAR PAYSAN'!$F15,es_date_entree,"&gt;"&amp;date_inventaire,es_taille,'SUIVI STOCKS PAR PAYSAN'!$AH$7)-SUMIFS(v_Pièces,v_Taille,'SUIVI STOCKS PAR PAYSAN'!$AH$7,v_conc_prod_tye_affinage,'SUIVI STOCKS PAR PAYSAN'!$F15,v_Date_commande,"&gt;"&amp;date_inventaire)</f>
        <v>0</v>
      </c>
      <c r="AI15" s="353">
        <f ca="1">SUMIFS(bddres_pieces,'BDD RESERVATIONS'!$G:$G,'SUIVI STOCKS PAR PAYSAN'!$AB$7,bddres_c_prod_type_aff,'SUIVI STOCKS PAR PAYSAN'!$F15,'BDD RESERVATIONS'!$B:$B,"&gt;"&amp;date_inventaire)</f>
        <v>0</v>
      </c>
      <c r="AJ15" s="352">
        <f ca="1">SUMIFS(es_poids,es_prod_type_affinage,'SUIVI STOCKS PAR PAYSAN'!$G15,es_date_entree,"&gt;"&amp;date_inventaire)-SUMIFS(v_Poids,v_conc_prod_tye_affinage,'SUIVI STOCKS PAR PAYSAN'!$G15,v_Date_commande,"&gt;"&amp;date_inventaire)</f>
        <v>0</v>
      </c>
      <c r="AK15" s="341">
        <f ca="1">SUMIFS(bddres_c_qte,bddres_c_prod_type_aff,'SUIVI STOCKS PAR PAYSAN'!G15,'BDD RESERVATIONS'!$B:$B,"&gt;"&amp;date_inventaire)</f>
        <v>0</v>
      </c>
      <c r="AL15" s="342">
        <f ca="1">SUMIFS(bddres_pieces,es_prod_type_affinage,'SUIVI STOCKS PAR PAYSAN'!$G15,es_date_entree,"&gt;"&amp;date_inventaire,es_taille,'SUIVI STOCKS PAR PAYSAN'!$AL$7)-SUMIFS(v_Pièces,v_Taille,'SUIVI STOCKS PAR PAYSAN'!$AL$7,v_conc_prod_tye_affinage,'SUIVI STOCKS PAR PAYSAN'!$G15,v_Date_commande,"&gt;"&amp;date_inventaire)</f>
        <v>0</v>
      </c>
      <c r="AM15" s="342">
        <f ca="1">SUMIFS(bddres_pieces,'BDD RESERVATIONS'!$G:$G,'SUIVI STOCKS PAR PAYSAN'!$AL$7,bddres_c_prod_type_aff,'SUIVI STOCKS PAR PAYSAN'!$G15,'BDD RESERVATIONS'!$B:$B,"&gt;"&amp;date_inventaire)</f>
        <v>0</v>
      </c>
      <c r="AN15" s="343">
        <f ca="1">SUMIFS(es_pieces,es_prod_type_affinage,'SUIVI STOCKS PAR PAYSAN'!$G15,es_date_entree,"&gt;"&amp;date_inventaire,es_taille,'SUIVI STOCKS PAR PAYSAN'!$AN$7)-SUMIFS(v_Pièces,v_Taille,'SUIVI STOCKS PAR PAYSAN'!$AN$7,v_conc_prod_tye_affinage,'SUIVI STOCKS PAR PAYSAN'!$G15,v_Date_commande,"&gt;"&amp;date_inventaire)</f>
        <v>0</v>
      </c>
      <c r="AO15" s="353">
        <f ca="1">SUMIFS(bddres_pieces,'BDD RESERVATIONS'!$G:$G,'SUIVI STOCKS PAR PAYSAN'!$AN$7,bddres_c_prod_type_aff,'SUIVI STOCKS PAR PAYSAN'!$G15,'BDD RESERVATIONS'!$B:$B,"&gt;"&amp;date_inventaire)</f>
        <v>0</v>
      </c>
      <c r="AP15" s="348">
        <f ca="1">SUMIFS(es_poids,es_prod_type_affinage,'SUIVI STOCKS PAR PAYSAN'!$H15,es_date_entree,"&gt;"&amp;date_inventaire)-SUMIFS(v_Poids,v_conc_prod_tye_affinage,'SUIVI STOCKS PAR PAYSAN'!$H15,v_Date_commande,"&gt;"&amp;date_inventaire)</f>
        <v>0</v>
      </c>
      <c r="AQ15" s="341">
        <f ca="1">SUMIFS(bddres_c_qte,bddres_c_prod_type_aff,'SUIVI STOCKS PAR PAYSAN'!H15,'BDD RESERVATIONS'!$B:$B,"&gt;"&amp;date_inventaire)</f>
        <v>0</v>
      </c>
      <c r="AR15" s="342">
        <f ca="1">SUMIFS(bddres_pieces,es_prod_type_affinage,'SUIVI STOCKS PAR PAYSAN'!$H15,es_date_entree,"&gt;"&amp;date_inventaire,es_taille,'SUIVI STOCKS PAR PAYSAN'!$AR$7)-SUMIFS(v_Pièces,v_Taille,'SUIVI STOCKS PAR PAYSAN'!$AR$7,v_conc_prod_tye_affinage,'SUIVI STOCKS PAR PAYSAN'!$H15,v_Date_commande,"&gt;"&amp;date_inventaire)</f>
        <v>0</v>
      </c>
      <c r="AS15" s="326">
        <f ca="1">SUMIFS(bddres_pieces,'BDD RESERVATIONS'!$G:$G,'SUIVI STOCKS PAR PAYSAN'!AR10,bddres_c_prod_type_aff,'SUIVI STOCKS PAR PAYSAN'!$H15,'BDD RESERVATIONS'!$B:$B,"&gt;"&amp;date_inventaire)</f>
        <v>0</v>
      </c>
      <c r="AT15" s="343">
        <f ca="1">SUMIFS(es_pieces,es_prod_type_affinage,'SUIVI STOCKS PAR PAYSAN'!$H15,es_date_entree,"&gt;"&amp;date_inventaire,es_taille,'SUIVI STOCKS PAR PAYSAN'!$AT$7)-SUMIFS(v_Pièces,v_Taille,'SUIVI STOCKS PAR PAYSAN'!$AT$7,v_conc_prod_tye_affinage,'SUIVI STOCKS PAR PAYSAN'!$H15,v_Date_commande,"&gt;"&amp;date_inventaire)</f>
        <v>0</v>
      </c>
      <c r="AU15" s="353">
        <f ca="1">SUMIFS(bddres_pieces,'BDD RESERVATIONS'!$G:$G,'SUIVI STOCKS PAR PAYSAN'!$AT$7,bddres_c_prod_type_aff,'SUIVI STOCKS PAR PAYSAN'!$H15,'BDD RESERVATIONS'!$B:$B,"&gt;"&amp;date_inventaire)</f>
        <v>0</v>
      </c>
      <c r="AV15" s="348">
        <f ca="1">SUMIFS(es_poids,es_prod_type_affinage,'SUIVI STOCKS PAR PAYSAN'!$I15,es_date_entree,"&gt;"&amp;date_inventaire)-SUMIFS(v_Poids,v_conc_prod_tye_affinage,'SUIVI STOCKS PAR PAYSAN'!$E15,v_Date_commande,"&gt;"&amp;date_inventaire)</f>
        <v>0</v>
      </c>
      <c r="AW15" s="313">
        <f ca="1">SUMIFS(bddres_c_qte,bddres_c_prod_type_aff,'SUIVI STOCKS PAR PAYSAN'!I15,'BDD RESERVATIONS'!$B:$B,"&gt;"&amp;date_inventaire)</f>
        <v>0</v>
      </c>
      <c r="AX15" s="342">
        <f ca="1">SUMIFS(bddres_pieces,es_prod_type_affinage,'SUIVI STOCKS PAR PAYSAN'!$I15,es_date_entree,"&gt;"&amp;date_inventaire,es_taille,'SUIVI STOCKS PAR PAYSAN'!$AX$7)-SUMIFS(v_Pièces,v_Taille,'SUIVI STOCKS PAR PAYSAN'!$AX$7,v_conc_prod_tye_affinage,'SUIVI STOCKS PAR PAYSAN'!$I15,v_Date_commande,"&gt;"&amp;date_inventaire)</f>
        <v>0</v>
      </c>
      <c r="AY15" s="342">
        <f ca="1">SUMIFS(bddres_pieces,'BDD RESERVATIONS'!$G:$G,'SUIVI STOCKS PAR PAYSAN'!$AX$7,bddres_c_prod_type_aff,'SUIVI STOCKS PAR PAYSAN'!$I15,'BDD RESERVATIONS'!$B:$B,"&gt;"&amp;date_inventaire)</f>
        <v>0</v>
      </c>
      <c r="AZ15" s="343">
        <f ca="1">SUMIFS(es_pieces,es_prod_type_affinage,'SUIVI STOCKS PAR PAYSAN'!$I15,es_date_entree,"&gt;"&amp;date_inventaire,es_taille,'SUIVI STOCKS PAR PAYSAN'!$AZ$7)-SUMIFS(v_Pièces,v_Taille,'SUIVI STOCKS PAR PAYSAN'!$AZ$7,v_conc_prod_tye_affinage,'SUIVI STOCKS PAR PAYSAN'!$I15,v_Date_commande,"&gt;"&amp;date_inventaire)</f>
        <v>0</v>
      </c>
      <c r="BA15" s="353">
        <f ca="1">SUMIFS(bddres_pieces,'BDD RESERVATIONS'!$G:$G,'SUIVI STOCKS PAR PAYSAN'!$AZ$7,bddres_c_prod_type_aff,'SUIVI STOCKS PAR PAYSAN'!$I15,'BDD RESERVATIONS'!$B:$B,"&gt;"&amp;date_inventaire)</f>
        <v>0</v>
      </c>
      <c r="BB15" s="348">
        <f ca="1">SUMIFS(es_poids,es_prod_type_affinage,'SUIVI STOCKS PAR PAYSAN'!$J15,es_date_entree,"&gt;"&amp;date_inventaire)-SUMIFS(v_Poids,v_conc_prod_tye_affinage,'SUIVI STOCKS PAR PAYSAN'!$J15,v_Date_commande,"&gt;"&amp;date_inventaire)</f>
        <v>0</v>
      </c>
      <c r="BC15" s="313">
        <f ca="1">SUMIFS(bddres_c_qte,bddres_c_prod_type_aff,'SUIVI STOCKS PAR PAYSAN'!J15,'BDD RESERVATIONS'!$B:$B,"&gt;"&amp;date_inventaire)</f>
        <v>0</v>
      </c>
      <c r="BD15" s="342">
        <f ca="1">SUMIFS(bddres_pieces,es_prod_type_affinage,'SUIVI STOCKS PAR PAYSAN'!$J15,es_date_entree,"&gt;"&amp;date_inventaire,es_taille,'SUIVI STOCKS PAR PAYSAN'!$BD$7)-SUMIFS(v_Pièces,v_Taille,'SUIVI STOCKS PAR PAYSAN'!$BD$7,v_conc_prod_tye_affinage,'SUIVI STOCKS PAR PAYSAN'!$J15,v_Date_commande,"&gt;"&amp;date_inventaire)</f>
        <v>0</v>
      </c>
      <c r="BE15" s="326">
        <f ca="1">SUMIFS(bddres_pieces,'BDD RESERVATIONS'!$G:$G,'SUIVI STOCKS PAR PAYSAN'!BD10,bddres_c_prod_type_aff,'SUIVI STOCKS PAR PAYSAN'!J15,'BDD RESERVATIONS'!$B:$B,"&gt;"&amp;date_inventaire)</f>
        <v>0</v>
      </c>
      <c r="BF15" s="343">
        <f ca="1">SUMIFS(es_pieces,es_prod_type_affinage,'SUIVI STOCKS PAR PAYSAN'!J15,es_date_entree,"&gt;"&amp;date_inventaire,es_taille,'SUIVI STOCKS PAR PAYSAN'!$BF$7)-SUMIFS(v_Pièces,v_Taille,'SUIVI STOCKS PAR PAYSAN'!$BF$7,v_conc_prod_tye_affinage,'SUIVI STOCKS PAR PAYSAN'!J15,v_Date_commande,"&gt;"&amp;date_inventaire)</f>
        <v>0</v>
      </c>
      <c r="BG15" s="353">
        <f ca="1">SUMIFS(bddres_pieces,'BDD RESERVATIONS'!$G:$G,'SUIVI STOCKS PAR PAYSAN'!$BF$7,bddres_c_prod_type_aff,'SUIVI STOCKS PAR PAYSAN'!J15,'BDD RESERVATIONS'!$B:$B,"&gt;"&amp;date_inventaire)</f>
        <v>0</v>
      </c>
    </row>
    <row r="16" spans="1:97" ht="18.75" customHeight="1" x14ac:dyDescent="0.25">
      <c r="A16" s="331" t="str">
        <f ca="1">OFFSET('BDD PAYSANS'!$B$1,B16,0,1,1)</f>
        <v>GAEC JAUREGUIZAHAR</v>
      </c>
      <c r="B16" s="325">
        <v>5</v>
      </c>
      <c r="C16" s="325" t="str">
        <f t="shared" ca="1" si="1"/>
        <v>GAEC JAUREGUIZAHARFERMIER&lt;3 mois</v>
      </c>
      <c r="D16" s="325" t="str">
        <f t="shared" ca="1" si="1"/>
        <v>GAEC JAUREGUIZAHARFERMIER3-6 mois</v>
      </c>
      <c r="E16" s="325" t="str">
        <f t="shared" ca="1" si="1"/>
        <v>GAEC JAUREGUIZAHARFERMIER6-9 mois</v>
      </c>
      <c r="F16" s="325" t="str">
        <f t="shared" ca="1" si="1"/>
        <v>GAEC JAUREGUIZAHARFERMIER&gt;9 mois</v>
      </c>
      <c r="G16" s="325" t="str">
        <f t="shared" ca="1" si="1"/>
        <v>GAEC JAUREGUIZAHARESTIVE&lt;3 mois</v>
      </c>
      <c r="H16" s="325" t="str">
        <f t="shared" ca="1" si="1"/>
        <v>GAEC JAUREGUIZAHARESTIVE3-6 mois</v>
      </c>
      <c r="I16" s="325" t="str">
        <f t="shared" ca="1" si="1"/>
        <v>GAEC JAUREGUIZAHARESTIVE6-9 mois</v>
      </c>
      <c r="J16" s="325" t="str">
        <f t="shared" ca="1" si="1"/>
        <v>GAEC JAUREGUIZAHARESTIVE&gt;9 mois</v>
      </c>
      <c r="K16" s="325"/>
      <c r="L16" s="352">
        <f ca="1">SUMIFS(es_poids,es_prod_type_affinage,'SUIVI STOCKS PAR PAYSAN'!$C16,es_date_entree,"&gt;"&amp;date_inventaire)-SUMIFS(v_Poids,v_conc_prod_tye_affinage,'SUIVI STOCKS PAR PAYSAN'!$C16,v_Date_commande,"&gt;"&amp;date_inventaire)</f>
        <v>0</v>
      </c>
      <c r="M16" s="341">
        <f ca="1">SUMIFS(bddres_c_qte,bddres_c_prod_type_aff,'SUIVI STOCKS PAR PAYSAN'!C16,'BDD RESERVATIONS'!$B:$B,"&gt;"&amp;date_inventaire)</f>
        <v>0</v>
      </c>
      <c r="N16" s="342">
        <f ca="1">SUMIFS(bddres_pieces,es_prod_type_affinage,'SUIVI STOCKS PAR PAYSAN'!$C16,es_date_entree,"&gt;"&amp;date_inventaire,es_taille,'SUIVI STOCKS PAR PAYSAN'!$N$7)-SUMIFS(v_Pièces,v_Taille,'SUIVI STOCKS PAR PAYSAN'!$N$7,v_conc_prod_tye_affinage,'SUIVI STOCKS PAR PAYSAN'!$C16,v_Date_commande,"&gt;"&amp;date_inventaire)</f>
        <v>0</v>
      </c>
      <c r="O16" s="342">
        <f ca="1">SUMIFS(bddres_pieces,'BDD RESERVATIONS'!$G:$G,'SUIVI STOCKS PAR PAYSAN'!$N$7,bddres_c_prod_type_aff,'SUIVI STOCKS PAR PAYSAN'!$C16,'BDD RESERVATIONS'!$B:$B,"&gt;"&amp;date_inventaire)</f>
        <v>0</v>
      </c>
      <c r="P16" s="343">
        <f ca="1">SUMIFS(es_pieces,es_prod_type_affinage,'SUIVI STOCKS PAR PAYSAN'!$C16,es_date_entree,"&gt;"&amp;date_inventaire,es_taille,'SUIVI STOCKS PAR PAYSAN'!$P$7)-SUMIFS(v_Pièces,v_Taille,'SUIVI STOCKS PAR PAYSAN'!$P$7,v_conc_prod_tye_affinage,'SUIVI STOCKS PAR PAYSAN'!$C16,v_Date_commande,"&gt;"&amp;date_inventaire)</f>
        <v>0</v>
      </c>
      <c r="Q16" s="353">
        <f ca="1">SUMIFS(bddres_pieces,'BDD RESERVATIONS'!$G:$G,'SUIVI STOCKS PAR PAYSAN'!$P$7,bddres_c_prod_type_aff,'SUIVI STOCKS PAR PAYSAN'!$C16,'BDD RESERVATIONS'!$B:$B,"&gt;"&amp;date_inventaire)</f>
        <v>0</v>
      </c>
      <c r="R16" s="348">
        <f ca="1">SUMIFS(es_poids,es_prod_type_affinage,'SUIVI STOCKS PAR PAYSAN'!$D16,es_date_entree,"&gt;"&amp;date_inventaire)-SUMIFS(v_Poids,v_conc_prod_tye_affinage,'SUIVI STOCKS PAR PAYSAN'!$D16,v_Date_commande,"&gt;"&amp;date_inventaire)</f>
        <v>0</v>
      </c>
      <c r="S16" s="341">
        <f ca="1">SUMIFS(bddres_c_qte,bddres_c_prod_type_aff,'SUIVI STOCKS PAR PAYSAN'!D16,'BDD RESERVATIONS'!$B:$B,"&gt;"&amp;date_inventaire)</f>
        <v>0</v>
      </c>
      <c r="T16" s="342">
        <f ca="1">SUMIFS(bddres_pieces,es_prod_type_affinage,'SUIVI STOCKS PAR PAYSAN'!$D16,es_date_entree,"&gt;"&amp;date_inventaire,es_taille,'SUIVI STOCKS PAR PAYSAN'!$T$7)-SUMIFS(v_Pièces,v_Taille,'SUIVI STOCKS PAR PAYSAN'!$T$7,v_conc_prod_tye_affinage,'SUIVI STOCKS PAR PAYSAN'!$D16,v_Date_commande,"&gt;"&amp;date_inventaire)</f>
        <v>0</v>
      </c>
      <c r="U16" s="342">
        <f ca="1">SUMIFS(bddres_pieces,'BDD RESERVATIONS'!$G:$G,'SUIVI STOCKS PAR PAYSAN'!$T$7,bddres_c_prod_type_aff,'SUIVI STOCKS PAR PAYSAN'!$D16,'BDD RESERVATIONS'!$B:$B,"&gt;"&amp;date_inventaire)</f>
        <v>0</v>
      </c>
      <c r="V16" s="343">
        <f ca="1">SUMIFS(es_pieces,es_prod_type_affinage,'SUIVI STOCKS PAR PAYSAN'!$D16,es_date_entree,"&gt;"&amp;date_inventaire,es_taille,'SUIVI STOCKS PAR PAYSAN'!$V$7)-SUMIFS(v_Pièces,v_Taille,'SUIVI STOCKS PAR PAYSAN'!$V$7,v_conc_prod_tye_affinage,'SUIVI STOCKS PAR PAYSAN'!$D16,v_Date_commande,"&gt;"&amp;date_inventaire)</f>
        <v>0</v>
      </c>
      <c r="W16" s="353">
        <f ca="1">SUMIFS(bddres_pieces,'BDD RESERVATIONS'!$G:$G,'SUIVI STOCKS PAR PAYSAN'!$V$7,bddres_c_prod_type_aff,'SUIVI STOCKS PAR PAYSAN'!$D16,'BDD RESERVATIONS'!$B:$B,"&gt;"&amp;date_inventaire)</f>
        <v>0</v>
      </c>
      <c r="X16" s="348">
        <f ca="1">SUMIFS(es_poids,es_prod_type_affinage,'SUIVI STOCKS PAR PAYSAN'!$E16,es_date_entree,"&gt;"&amp;date_inventaire)-SUMIFS(v_Poids,v_conc_prod_tye_affinage,'SUIVI STOCKS PAR PAYSAN'!$E16,v_Date_commande,"&gt;"&amp;date_inventaire)</f>
        <v>0</v>
      </c>
      <c r="Y16" s="341">
        <f ca="1">SUMIFS(bddres_c_qte,bddres_c_prod_type_aff,'SUIVI STOCKS PAR PAYSAN'!E16,'BDD RESERVATIONS'!$B:$B,"&gt;"&amp;date_inventaire)</f>
        <v>0</v>
      </c>
      <c r="Z16" s="342">
        <f ca="1">SUMIFS(bddres_pieces,es_prod_type_affinage,'SUIVI STOCKS PAR PAYSAN'!$E16,es_date_entree,"&gt;"&amp;date_inventaire,es_taille,'SUIVI STOCKS PAR PAYSAN'!$Z$7)-SUMIFS(v_Pièces,v_Taille,'SUIVI STOCKS PAR PAYSAN'!$Z$7,v_conc_prod_tye_affinage,'SUIVI STOCKS PAR PAYSAN'!$E16,v_Date_commande,"&gt;"&amp;date_inventaire)</f>
        <v>0</v>
      </c>
      <c r="AA16" s="342">
        <f ca="1">SUMIFS(bddres_pieces,'BDD RESERVATIONS'!$G:$G,'SUIVI STOCKS PAR PAYSAN'!$Z$7,bddres_c_prod_type_aff,'SUIVI STOCKS PAR PAYSAN'!$E16,'BDD RESERVATIONS'!$B:$B,"&gt;"&amp;date_inventaire)</f>
        <v>0</v>
      </c>
      <c r="AB16" s="343">
        <f ca="1">SUMIFS(es_pieces,es_prod_type_affinage,'SUIVI STOCKS PAR PAYSAN'!$E16,es_date_entree,"&gt;"&amp;date_inventaire,es_taille,'SUIVI STOCKS PAR PAYSAN'!$AB$7)-SUMIFS(v_Pièces,v_Taille,'SUIVI STOCKS PAR PAYSAN'!$AB$7,v_conc_prod_tye_affinage,'SUIVI STOCKS PAR PAYSAN'!$E16,v_Date_commande,"&gt;"&amp;date_inventaire)</f>
        <v>0</v>
      </c>
      <c r="AC16" s="353">
        <f ca="1">SUMIFS(bddres_pieces,'BDD RESERVATIONS'!$G:$G,'SUIVI STOCKS PAR PAYSAN'!$AB$7,bddres_c_prod_type_aff,'SUIVI STOCKS PAR PAYSAN'!$E16,'BDD RESERVATIONS'!$B:$B,"&gt;"&amp;date_inventaire)</f>
        <v>0</v>
      </c>
      <c r="AD16" s="348">
        <f ca="1">SUMIFS(es_poids,es_prod_type_affinage,'SUIVI STOCKS PAR PAYSAN'!$F16,es_date_entree,"&gt;"&amp;date_inventaire)-SUMIFS(v_Poids,v_conc_prod_tye_affinage,'SUIVI STOCKS PAR PAYSAN'!$F16,v_Date_commande,"&gt;"&amp;date_inventaire)</f>
        <v>0</v>
      </c>
      <c r="AE16" s="341">
        <f ca="1">SUMIFS(bddres_c_qte,bddres_c_prod_type_aff,'SUIVI STOCKS PAR PAYSAN'!F16,'BDD RESERVATIONS'!$B:$B,"&gt;"&amp;date_inventaire)</f>
        <v>0</v>
      </c>
      <c r="AF16" s="342">
        <f ca="1">SUMIFS(bddres_pieces,es_prod_type_affinage,'SUIVI STOCKS PAR PAYSAN'!$F16,es_date_entree,"&gt;"&amp;date_inventaire,es_taille,'SUIVI STOCKS PAR PAYSAN'!$Z$7)-SUMIFS(v_Pièces,v_Taille,'SUIVI STOCKS PAR PAYSAN'!$Z$7,v_conc_prod_tye_affinage,'SUIVI STOCKS PAR PAYSAN'!$F16,v_Date_commande,"&gt;"&amp;date_inventaire)</f>
        <v>0</v>
      </c>
      <c r="AG16" s="342">
        <f ca="1">SUMIFS(bddres_pieces,'BDD RESERVATIONS'!$G:$G,'SUIVI STOCKS PAR PAYSAN'!$Z$7,bddres_c_prod_type_aff,'SUIVI STOCKS PAR PAYSAN'!$F16,'BDD RESERVATIONS'!$B:$B,"&gt;"&amp;date_inventaire)</f>
        <v>0</v>
      </c>
      <c r="AH16" s="343">
        <f ca="1">SUMIFS(es_pieces,es_prod_type_affinage,'SUIVI STOCKS PAR PAYSAN'!$F16,es_date_entree,"&gt;"&amp;date_inventaire,es_taille,'SUIVI STOCKS PAR PAYSAN'!$AH$7)-SUMIFS(v_Pièces,v_Taille,'SUIVI STOCKS PAR PAYSAN'!$AH$7,v_conc_prod_tye_affinage,'SUIVI STOCKS PAR PAYSAN'!$F16,v_Date_commande,"&gt;"&amp;date_inventaire)</f>
        <v>0</v>
      </c>
      <c r="AI16" s="353">
        <f ca="1">SUMIFS(bddres_pieces,'BDD RESERVATIONS'!$G:$G,'SUIVI STOCKS PAR PAYSAN'!$AB$7,bddres_c_prod_type_aff,'SUIVI STOCKS PAR PAYSAN'!$F16,'BDD RESERVATIONS'!$B:$B,"&gt;"&amp;date_inventaire)</f>
        <v>0</v>
      </c>
      <c r="AJ16" s="352">
        <f ca="1">SUMIFS(es_poids,es_prod_type_affinage,'SUIVI STOCKS PAR PAYSAN'!$G16,es_date_entree,"&gt;"&amp;date_inventaire)-SUMIFS(v_Poids,v_conc_prod_tye_affinage,'SUIVI STOCKS PAR PAYSAN'!$G16,v_Date_commande,"&gt;"&amp;date_inventaire)</f>
        <v>0</v>
      </c>
      <c r="AK16" s="341">
        <f ca="1">SUMIFS(bddres_c_qte,bddres_c_prod_type_aff,'SUIVI STOCKS PAR PAYSAN'!G16,'BDD RESERVATIONS'!$B:$B,"&gt;"&amp;date_inventaire)</f>
        <v>0</v>
      </c>
      <c r="AL16" s="342">
        <f ca="1">SUMIFS(bddres_pieces,es_prod_type_affinage,'SUIVI STOCKS PAR PAYSAN'!$G16,es_date_entree,"&gt;"&amp;date_inventaire,es_taille,'SUIVI STOCKS PAR PAYSAN'!$AL$7)-SUMIFS(v_Pièces,v_Taille,'SUIVI STOCKS PAR PAYSAN'!$AL$7,v_conc_prod_tye_affinage,'SUIVI STOCKS PAR PAYSAN'!$G16,v_Date_commande,"&gt;"&amp;date_inventaire)</f>
        <v>0</v>
      </c>
      <c r="AM16" s="342">
        <f ca="1">SUMIFS(bddres_pieces,'BDD RESERVATIONS'!$G:$G,'SUIVI STOCKS PAR PAYSAN'!$AL$7,bddres_c_prod_type_aff,'SUIVI STOCKS PAR PAYSAN'!$G16,'BDD RESERVATIONS'!$B:$B,"&gt;"&amp;date_inventaire)</f>
        <v>0</v>
      </c>
      <c r="AN16" s="343">
        <f ca="1">SUMIFS(es_pieces,es_prod_type_affinage,'SUIVI STOCKS PAR PAYSAN'!$G16,es_date_entree,"&gt;"&amp;date_inventaire,es_taille,'SUIVI STOCKS PAR PAYSAN'!$AN$7)-SUMIFS(v_Pièces,v_Taille,'SUIVI STOCKS PAR PAYSAN'!$AN$7,v_conc_prod_tye_affinage,'SUIVI STOCKS PAR PAYSAN'!$G16,v_Date_commande,"&gt;"&amp;date_inventaire)</f>
        <v>0</v>
      </c>
      <c r="AO16" s="353">
        <f ca="1">SUMIFS(bddres_pieces,'BDD RESERVATIONS'!$G:$G,'SUIVI STOCKS PAR PAYSAN'!$AN$7,bddres_c_prod_type_aff,'SUIVI STOCKS PAR PAYSAN'!$G16,'BDD RESERVATIONS'!$B:$B,"&gt;"&amp;date_inventaire)</f>
        <v>0</v>
      </c>
      <c r="AP16" s="348">
        <f ca="1">SUMIFS(es_poids,es_prod_type_affinage,'SUIVI STOCKS PAR PAYSAN'!$H16,es_date_entree,"&gt;"&amp;date_inventaire)-SUMIFS(v_Poids,v_conc_prod_tye_affinage,'SUIVI STOCKS PAR PAYSAN'!$H16,v_Date_commande,"&gt;"&amp;date_inventaire)</f>
        <v>0</v>
      </c>
      <c r="AQ16" s="341">
        <f ca="1">SUMIFS(bddres_c_qte,bddres_c_prod_type_aff,'SUIVI STOCKS PAR PAYSAN'!H16,'BDD RESERVATIONS'!$B:$B,"&gt;"&amp;date_inventaire)</f>
        <v>0</v>
      </c>
      <c r="AR16" s="342">
        <f ca="1">SUMIFS(bddres_pieces,es_prod_type_affinage,'SUIVI STOCKS PAR PAYSAN'!$H16,es_date_entree,"&gt;"&amp;date_inventaire,es_taille,'SUIVI STOCKS PAR PAYSAN'!$AR$7)-SUMIFS(v_Pièces,v_Taille,'SUIVI STOCKS PAR PAYSAN'!$AR$7,v_conc_prod_tye_affinage,'SUIVI STOCKS PAR PAYSAN'!$H16,v_Date_commande,"&gt;"&amp;date_inventaire)</f>
        <v>0</v>
      </c>
      <c r="AS16" s="326">
        <f ca="1">SUMIFS(bddres_pieces,'BDD RESERVATIONS'!$G:$G,'SUIVI STOCKS PAR PAYSAN'!AR11,bddres_c_prod_type_aff,'SUIVI STOCKS PAR PAYSAN'!$H16,'BDD RESERVATIONS'!$B:$B,"&gt;"&amp;date_inventaire)</f>
        <v>0</v>
      </c>
      <c r="AT16" s="343">
        <f ca="1">SUMIFS(es_pieces,es_prod_type_affinage,'SUIVI STOCKS PAR PAYSAN'!$H16,es_date_entree,"&gt;"&amp;date_inventaire,es_taille,'SUIVI STOCKS PAR PAYSAN'!$AT$7)-SUMIFS(v_Pièces,v_Taille,'SUIVI STOCKS PAR PAYSAN'!$AT$7,v_conc_prod_tye_affinage,'SUIVI STOCKS PAR PAYSAN'!$H16,v_Date_commande,"&gt;"&amp;date_inventaire)</f>
        <v>0</v>
      </c>
      <c r="AU16" s="353">
        <f ca="1">SUMIFS(bddres_pieces,'BDD RESERVATIONS'!$G:$G,'SUIVI STOCKS PAR PAYSAN'!$AT$7,bddres_c_prod_type_aff,'SUIVI STOCKS PAR PAYSAN'!$H16,'BDD RESERVATIONS'!$B:$B,"&gt;"&amp;date_inventaire)</f>
        <v>0</v>
      </c>
      <c r="AV16" s="348">
        <f ca="1">SUMIFS(es_poids,es_prod_type_affinage,'SUIVI STOCKS PAR PAYSAN'!$I16,es_date_entree,"&gt;"&amp;date_inventaire)-SUMIFS(v_Poids,v_conc_prod_tye_affinage,'SUIVI STOCKS PAR PAYSAN'!$E16,v_Date_commande,"&gt;"&amp;date_inventaire)</f>
        <v>0</v>
      </c>
      <c r="AW16" s="313">
        <f ca="1">SUMIFS(bddres_c_qte,bddres_c_prod_type_aff,'SUIVI STOCKS PAR PAYSAN'!I16,'BDD RESERVATIONS'!$B:$B,"&gt;"&amp;date_inventaire)</f>
        <v>0</v>
      </c>
      <c r="AX16" s="342">
        <f ca="1">SUMIFS(bddres_pieces,es_prod_type_affinage,'SUIVI STOCKS PAR PAYSAN'!$I16,es_date_entree,"&gt;"&amp;date_inventaire,es_taille,'SUIVI STOCKS PAR PAYSAN'!$AX$7)-SUMIFS(v_Pièces,v_Taille,'SUIVI STOCKS PAR PAYSAN'!$AX$7,v_conc_prod_tye_affinage,'SUIVI STOCKS PAR PAYSAN'!$I16,v_Date_commande,"&gt;"&amp;date_inventaire)</f>
        <v>0</v>
      </c>
      <c r="AY16" s="342">
        <f ca="1">SUMIFS(bddres_pieces,'BDD RESERVATIONS'!$G:$G,'SUIVI STOCKS PAR PAYSAN'!$AX$7,bddres_c_prod_type_aff,'SUIVI STOCKS PAR PAYSAN'!$I16,'BDD RESERVATIONS'!$B:$B,"&gt;"&amp;date_inventaire)</f>
        <v>0</v>
      </c>
      <c r="AZ16" s="343">
        <f ca="1">SUMIFS(es_pieces,es_prod_type_affinage,'SUIVI STOCKS PAR PAYSAN'!$I16,es_date_entree,"&gt;"&amp;date_inventaire,es_taille,'SUIVI STOCKS PAR PAYSAN'!$AZ$7)-SUMIFS(v_Pièces,v_Taille,'SUIVI STOCKS PAR PAYSAN'!$AZ$7,v_conc_prod_tye_affinage,'SUIVI STOCKS PAR PAYSAN'!$I16,v_Date_commande,"&gt;"&amp;date_inventaire)</f>
        <v>0</v>
      </c>
      <c r="BA16" s="353">
        <f ca="1">SUMIFS(bddres_pieces,'BDD RESERVATIONS'!$G:$G,'SUIVI STOCKS PAR PAYSAN'!$AZ$7,bddres_c_prod_type_aff,'SUIVI STOCKS PAR PAYSAN'!$I16,'BDD RESERVATIONS'!$B:$B,"&gt;"&amp;date_inventaire)</f>
        <v>0</v>
      </c>
      <c r="BB16" s="348">
        <f ca="1">SUMIFS(es_poids,es_prod_type_affinage,'SUIVI STOCKS PAR PAYSAN'!$J16,es_date_entree,"&gt;"&amp;date_inventaire)-SUMIFS(v_Poids,v_conc_prod_tye_affinage,'SUIVI STOCKS PAR PAYSAN'!$J16,v_Date_commande,"&gt;"&amp;date_inventaire)</f>
        <v>0</v>
      </c>
      <c r="BC16" s="313">
        <f ca="1">SUMIFS(bddres_c_qte,bddres_c_prod_type_aff,'SUIVI STOCKS PAR PAYSAN'!J16,'BDD RESERVATIONS'!$B:$B,"&gt;"&amp;date_inventaire)</f>
        <v>0</v>
      </c>
      <c r="BD16" s="342">
        <f ca="1">SUMIFS(bddres_pieces,es_prod_type_affinage,'SUIVI STOCKS PAR PAYSAN'!$J16,es_date_entree,"&gt;"&amp;date_inventaire,es_taille,'SUIVI STOCKS PAR PAYSAN'!$BD$7)-SUMIFS(v_Pièces,v_Taille,'SUIVI STOCKS PAR PAYSAN'!$BD$7,v_conc_prod_tye_affinage,'SUIVI STOCKS PAR PAYSAN'!$J16,v_Date_commande,"&gt;"&amp;date_inventaire)</f>
        <v>0</v>
      </c>
      <c r="BE16" s="326">
        <f ca="1">SUMIFS(bddres_pieces,'BDD RESERVATIONS'!$G:$G,'SUIVI STOCKS PAR PAYSAN'!BD11,bddres_c_prod_type_aff,'SUIVI STOCKS PAR PAYSAN'!J16,'BDD RESERVATIONS'!$B:$B,"&gt;"&amp;date_inventaire)</f>
        <v>0</v>
      </c>
      <c r="BF16" s="343">
        <f ca="1">SUMIFS(es_pieces,es_prod_type_affinage,'SUIVI STOCKS PAR PAYSAN'!J16,es_date_entree,"&gt;"&amp;date_inventaire,es_taille,'SUIVI STOCKS PAR PAYSAN'!$BF$7)-SUMIFS(v_Pièces,v_Taille,'SUIVI STOCKS PAR PAYSAN'!$BF$7,v_conc_prod_tye_affinage,'SUIVI STOCKS PAR PAYSAN'!J16,v_Date_commande,"&gt;"&amp;date_inventaire)</f>
        <v>0</v>
      </c>
      <c r="BG16" s="353">
        <f ca="1">SUMIFS(bddres_pieces,'BDD RESERVATIONS'!$G:$G,'SUIVI STOCKS PAR PAYSAN'!$BF$7,bddres_c_prod_type_aff,'SUIVI STOCKS PAR PAYSAN'!J16,'BDD RESERVATIONS'!$B:$B,"&gt;"&amp;date_inventaire)</f>
        <v>0</v>
      </c>
    </row>
    <row r="17" spans="1:59" ht="18.75" customHeight="1" x14ac:dyDescent="0.25">
      <c r="A17" s="331" t="str">
        <f ca="1">OFFSET('BDD PAYSANS'!$B$1,B17,0,1,1)</f>
        <v>GAEC LANDRAN</v>
      </c>
      <c r="B17" s="325">
        <v>6</v>
      </c>
      <c r="C17" s="325" t="str">
        <f t="shared" ca="1" si="1"/>
        <v>GAEC LANDRANFERMIER&lt;3 mois</v>
      </c>
      <c r="D17" s="325" t="str">
        <f t="shared" ca="1" si="1"/>
        <v>GAEC LANDRANFERMIER3-6 mois</v>
      </c>
      <c r="E17" s="325" t="str">
        <f t="shared" ca="1" si="1"/>
        <v>GAEC LANDRANFERMIER6-9 mois</v>
      </c>
      <c r="F17" s="325" t="str">
        <f t="shared" ca="1" si="1"/>
        <v>GAEC LANDRANFERMIER&gt;9 mois</v>
      </c>
      <c r="G17" s="325" t="str">
        <f t="shared" ca="1" si="1"/>
        <v>GAEC LANDRANESTIVE&lt;3 mois</v>
      </c>
      <c r="H17" s="325" t="str">
        <f t="shared" ca="1" si="1"/>
        <v>GAEC LANDRANESTIVE3-6 mois</v>
      </c>
      <c r="I17" s="325" t="str">
        <f t="shared" ca="1" si="1"/>
        <v>GAEC LANDRANESTIVE6-9 mois</v>
      </c>
      <c r="J17" s="325" t="str">
        <f t="shared" ca="1" si="1"/>
        <v>GAEC LANDRANESTIVE&gt;9 mois</v>
      </c>
      <c r="K17" s="325"/>
      <c r="L17" s="352">
        <f ca="1">SUMIFS(es_poids,es_prod_type_affinage,'SUIVI STOCKS PAR PAYSAN'!$C17,es_date_entree,"&gt;"&amp;date_inventaire)-SUMIFS(v_Poids,v_conc_prod_tye_affinage,'SUIVI STOCKS PAR PAYSAN'!$C17,v_Date_commande,"&gt;"&amp;date_inventaire)</f>
        <v>0</v>
      </c>
      <c r="M17" s="341">
        <f ca="1">SUMIFS(bddres_c_qte,bddres_c_prod_type_aff,'SUIVI STOCKS PAR PAYSAN'!C17,'BDD RESERVATIONS'!$B:$B,"&gt;"&amp;date_inventaire)</f>
        <v>0</v>
      </c>
      <c r="N17" s="342">
        <f ca="1">SUMIFS(bddres_pieces,es_prod_type_affinage,'SUIVI STOCKS PAR PAYSAN'!$C17,es_date_entree,"&gt;"&amp;date_inventaire,es_taille,'SUIVI STOCKS PAR PAYSAN'!$N$7)-SUMIFS(v_Pièces,v_Taille,'SUIVI STOCKS PAR PAYSAN'!$N$7,v_conc_prod_tye_affinage,'SUIVI STOCKS PAR PAYSAN'!$C17,v_Date_commande,"&gt;"&amp;date_inventaire)</f>
        <v>0</v>
      </c>
      <c r="O17" s="342">
        <f ca="1">SUMIFS(bddres_pieces,'BDD RESERVATIONS'!$G:$G,'SUIVI STOCKS PAR PAYSAN'!$N$7,bddres_c_prod_type_aff,'SUIVI STOCKS PAR PAYSAN'!$C17,'BDD RESERVATIONS'!$B:$B,"&gt;"&amp;date_inventaire)</f>
        <v>0</v>
      </c>
      <c r="P17" s="343">
        <f ca="1">SUMIFS(es_pieces,es_prod_type_affinage,'SUIVI STOCKS PAR PAYSAN'!$C17,es_date_entree,"&gt;"&amp;date_inventaire,es_taille,'SUIVI STOCKS PAR PAYSAN'!$P$7)-SUMIFS(v_Pièces,v_Taille,'SUIVI STOCKS PAR PAYSAN'!$P$7,v_conc_prod_tye_affinage,'SUIVI STOCKS PAR PAYSAN'!$C17,v_Date_commande,"&gt;"&amp;date_inventaire)</f>
        <v>0</v>
      </c>
      <c r="Q17" s="353">
        <f ca="1">SUMIFS(bddres_pieces,'BDD RESERVATIONS'!$G:$G,'SUIVI STOCKS PAR PAYSAN'!$P$7,bddres_c_prod_type_aff,'SUIVI STOCKS PAR PAYSAN'!$C17,'BDD RESERVATIONS'!$B:$B,"&gt;"&amp;date_inventaire)</f>
        <v>0</v>
      </c>
      <c r="R17" s="348">
        <f ca="1">SUMIFS(es_poids,es_prod_type_affinage,'SUIVI STOCKS PAR PAYSAN'!$D17,es_date_entree,"&gt;"&amp;date_inventaire)-SUMIFS(v_Poids,v_conc_prod_tye_affinage,'SUIVI STOCKS PAR PAYSAN'!$D17,v_Date_commande,"&gt;"&amp;date_inventaire)</f>
        <v>0</v>
      </c>
      <c r="S17" s="341">
        <f ca="1">SUMIFS(bddres_c_qte,bddres_c_prod_type_aff,'SUIVI STOCKS PAR PAYSAN'!D17,'BDD RESERVATIONS'!$B:$B,"&gt;"&amp;date_inventaire)</f>
        <v>0</v>
      </c>
      <c r="T17" s="342">
        <f ca="1">SUMIFS(bddres_pieces,es_prod_type_affinage,'SUIVI STOCKS PAR PAYSAN'!$D17,es_date_entree,"&gt;"&amp;date_inventaire,es_taille,'SUIVI STOCKS PAR PAYSAN'!$T$7)-SUMIFS(v_Pièces,v_Taille,'SUIVI STOCKS PAR PAYSAN'!$T$7,v_conc_prod_tye_affinage,'SUIVI STOCKS PAR PAYSAN'!$D17,v_Date_commande,"&gt;"&amp;date_inventaire)</f>
        <v>0</v>
      </c>
      <c r="U17" s="342">
        <f ca="1">SUMIFS(bddres_pieces,'BDD RESERVATIONS'!$G:$G,'SUIVI STOCKS PAR PAYSAN'!$T$7,bddres_c_prod_type_aff,'SUIVI STOCKS PAR PAYSAN'!$D17,'BDD RESERVATIONS'!$B:$B,"&gt;"&amp;date_inventaire)</f>
        <v>0</v>
      </c>
      <c r="V17" s="343">
        <f ca="1">SUMIFS(es_pieces,es_prod_type_affinage,'SUIVI STOCKS PAR PAYSAN'!$D17,es_date_entree,"&gt;"&amp;date_inventaire,es_taille,'SUIVI STOCKS PAR PAYSAN'!$V$7)-SUMIFS(v_Pièces,v_Taille,'SUIVI STOCKS PAR PAYSAN'!$V$7,v_conc_prod_tye_affinage,'SUIVI STOCKS PAR PAYSAN'!$D17,v_Date_commande,"&gt;"&amp;date_inventaire)</f>
        <v>0</v>
      </c>
      <c r="W17" s="353">
        <f ca="1">SUMIFS(bddres_pieces,'BDD RESERVATIONS'!$G:$G,'SUIVI STOCKS PAR PAYSAN'!$V$7,bddres_c_prod_type_aff,'SUIVI STOCKS PAR PAYSAN'!$D17,'BDD RESERVATIONS'!$B:$B,"&gt;"&amp;date_inventaire)</f>
        <v>0</v>
      </c>
      <c r="X17" s="348">
        <f ca="1">SUMIFS(es_poids,es_prod_type_affinage,'SUIVI STOCKS PAR PAYSAN'!$E17,es_date_entree,"&gt;"&amp;date_inventaire)-SUMIFS(v_Poids,v_conc_prod_tye_affinage,'SUIVI STOCKS PAR PAYSAN'!$E17,v_Date_commande,"&gt;"&amp;date_inventaire)</f>
        <v>0</v>
      </c>
      <c r="Y17" s="341">
        <f ca="1">SUMIFS(bddres_c_qte,bddres_c_prod_type_aff,'SUIVI STOCKS PAR PAYSAN'!E17,'BDD RESERVATIONS'!$B:$B,"&gt;"&amp;date_inventaire)</f>
        <v>0</v>
      </c>
      <c r="Z17" s="342">
        <f ca="1">SUMIFS(bddres_pieces,es_prod_type_affinage,'SUIVI STOCKS PAR PAYSAN'!$E17,es_date_entree,"&gt;"&amp;date_inventaire,es_taille,'SUIVI STOCKS PAR PAYSAN'!$Z$7)-SUMIFS(v_Pièces,v_Taille,'SUIVI STOCKS PAR PAYSAN'!$Z$7,v_conc_prod_tye_affinage,'SUIVI STOCKS PAR PAYSAN'!$E17,v_Date_commande,"&gt;"&amp;date_inventaire)</f>
        <v>0</v>
      </c>
      <c r="AA17" s="342">
        <f ca="1">SUMIFS(bddres_pieces,'BDD RESERVATIONS'!$G:$G,'SUIVI STOCKS PAR PAYSAN'!$Z$7,bddres_c_prod_type_aff,'SUIVI STOCKS PAR PAYSAN'!$E17,'BDD RESERVATIONS'!$B:$B,"&gt;"&amp;date_inventaire)</f>
        <v>0</v>
      </c>
      <c r="AB17" s="343">
        <f ca="1">SUMIFS(es_pieces,es_prod_type_affinage,'SUIVI STOCKS PAR PAYSAN'!$E17,es_date_entree,"&gt;"&amp;date_inventaire,es_taille,'SUIVI STOCKS PAR PAYSAN'!$AB$7)-SUMIFS(v_Pièces,v_Taille,'SUIVI STOCKS PAR PAYSAN'!$AB$7,v_conc_prod_tye_affinage,'SUIVI STOCKS PAR PAYSAN'!$E17,v_Date_commande,"&gt;"&amp;date_inventaire)</f>
        <v>0</v>
      </c>
      <c r="AC17" s="353">
        <f ca="1">SUMIFS(bddres_pieces,'BDD RESERVATIONS'!$G:$G,'SUIVI STOCKS PAR PAYSAN'!$AB$7,bddres_c_prod_type_aff,'SUIVI STOCKS PAR PAYSAN'!$E17,'BDD RESERVATIONS'!$B:$B,"&gt;"&amp;date_inventaire)</f>
        <v>0</v>
      </c>
      <c r="AD17" s="348">
        <f ca="1">SUMIFS(es_poids,es_prod_type_affinage,'SUIVI STOCKS PAR PAYSAN'!$F17,es_date_entree,"&gt;"&amp;date_inventaire)-SUMIFS(v_Poids,v_conc_prod_tye_affinage,'SUIVI STOCKS PAR PAYSAN'!$F17,v_Date_commande,"&gt;"&amp;date_inventaire)</f>
        <v>0</v>
      </c>
      <c r="AE17" s="341">
        <f ca="1">SUMIFS(bddres_c_qte,bddres_c_prod_type_aff,'SUIVI STOCKS PAR PAYSAN'!F17,'BDD RESERVATIONS'!$B:$B,"&gt;"&amp;date_inventaire)</f>
        <v>0</v>
      </c>
      <c r="AF17" s="342">
        <f ca="1">SUMIFS(bddres_pieces,es_prod_type_affinage,'SUIVI STOCKS PAR PAYSAN'!$F17,es_date_entree,"&gt;"&amp;date_inventaire,es_taille,'SUIVI STOCKS PAR PAYSAN'!$Z$7)-SUMIFS(v_Pièces,v_Taille,'SUIVI STOCKS PAR PAYSAN'!$Z$7,v_conc_prod_tye_affinage,'SUIVI STOCKS PAR PAYSAN'!$F17,v_Date_commande,"&gt;"&amp;date_inventaire)</f>
        <v>0</v>
      </c>
      <c r="AG17" s="342">
        <f ca="1">SUMIFS(bddres_pieces,'BDD RESERVATIONS'!$G:$G,'SUIVI STOCKS PAR PAYSAN'!$Z$7,bddres_c_prod_type_aff,'SUIVI STOCKS PAR PAYSAN'!$F17,'BDD RESERVATIONS'!$B:$B,"&gt;"&amp;date_inventaire)</f>
        <v>0</v>
      </c>
      <c r="AH17" s="343">
        <f ca="1">SUMIFS(es_pieces,es_prod_type_affinage,'SUIVI STOCKS PAR PAYSAN'!$F17,es_date_entree,"&gt;"&amp;date_inventaire,es_taille,'SUIVI STOCKS PAR PAYSAN'!$AH$7)-SUMIFS(v_Pièces,v_Taille,'SUIVI STOCKS PAR PAYSAN'!$AH$7,v_conc_prod_tye_affinage,'SUIVI STOCKS PAR PAYSAN'!$F17,v_Date_commande,"&gt;"&amp;date_inventaire)</f>
        <v>0</v>
      </c>
      <c r="AI17" s="353">
        <f ca="1">SUMIFS(bddres_pieces,'BDD RESERVATIONS'!$G:$G,'SUIVI STOCKS PAR PAYSAN'!$AB$7,bddres_c_prod_type_aff,'SUIVI STOCKS PAR PAYSAN'!$F17,'BDD RESERVATIONS'!$B:$B,"&gt;"&amp;date_inventaire)</f>
        <v>0</v>
      </c>
      <c r="AJ17" s="352">
        <f ca="1">SUMIFS(es_poids,es_prod_type_affinage,'SUIVI STOCKS PAR PAYSAN'!$G17,es_date_entree,"&gt;"&amp;date_inventaire)-SUMIFS(v_Poids,v_conc_prod_tye_affinage,'SUIVI STOCKS PAR PAYSAN'!$G17,v_Date_commande,"&gt;"&amp;date_inventaire)</f>
        <v>0</v>
      </c>
      <c r="AK17" s="341">
        <f ca="1">SUMIFS(bddres_c_qte,bddres_c_prod_type_aff,'SUIVI STOCKS PAR PAYSAN'!G17,'BDD RESERVATIONS'!$B:$B,"&gt;"&amp;date_inventaire)</f>
        <v>0</v>
      </c>
      <c r="AL17" s="342">
        <f ca="1">SUMIFS(bddres_pieces,es_prod_type_affinage,'SUIVI STOCKS PAR PAYSAN'!$G17,es_date_entree,"&gt;"&amp;date_inventaire,es_taille,'SUIVI STOCKS PAR PAYSAN'!$AL$7)-SUMIFS(v_Pièces,v_Taille,'SUIVI STOCKS PAR PAYSAN'!$AL$7,v_conc_prod_tye_affinage,'SUIVI STOCKS PAR PAYSAN'!$G17,v_Date_commande,"&gt;"&amp;date_inventaire)</f>
        <v>0</v>
      </c>
      <c r="AM17" s="342">
        <f ca="1">SUMIFS(bddres_pieces,'BDD RESERVATIONS'!$G:$G,'SUIVI STOCKS PAR PAYSAN'!$AL$7,bddres_c_prod_type_aff,'SUIVI STOCKS PAR PAYSAN'!$G17,'BDD RESERVATIONS'!$B:$B,"&gt;"&amp;date_inventaire)</f>
        <v>0</v>
      </c>
      <c r="AN17" s="343">
        <f ca="1">SUMIFS(es_pieces,es_prod_type_affinage,'SUIVI STOCKS PAR PAYSAN'!$G17,es_date_entree,"&gt;"&amp;date_inventaire,es_taille,'SUIVI STOCKS PAR PAYSAN'!$AN$7)-SUMIFS(v_Pièces,v_Taille,'SUIVI STOCKS PAR PAYSAN'!$AN$7,v_conc_prod_tye_affinage,'SUIVI STOCKS PAR PAYSAN'!$G17,v_Date_commande,"&gt;"&amp;date_inventaire)</f>
        <v>0</v>
      </c>
      <c r="AO17" s="353">
        <f ca="1">SUMIFS(bddres_pieces,'BDD RESERVATIONS'!$G:$G,'SUIVI STOCKS PAR PAYSAN'!$AN$7,bddres_c_prod_type_aff,'SUIVI STOCKS PAR PAYSAN'!$G17,'BDD RESERVATIONS'!$B:$B,"&gt;"&amp;date_inventaire)</f>
        <v>0</v>
      </c>
      <c r="AP17" s="348">
        <f ca="1">SUMIFS(es_poids,es_prod_type_affinage,'SUIVI STOCKS PAR PAYSAN'!$H17,es_date_entree,"&gt;"&amp;date_inventaire)-SUMIFS(v_Poids,v_conc_prod_tye_affinage,'SUIVI STOCKS PAR PAYSAN'!$H17,v_Date_commande,"&gt;"&amp;date_inventaire)</f>
        <v>0</v>
      </c>
      <c r="AQ17" s="341">
        <f ca="1">SUMIFS(bddres_c_qte,bddres_c_prod_type_aff,'SUIVI STOCKS PAR PAYSAN'!H17,'BDD RESERVATIONS'!$B:$B,"&gt;"&amp;date_inventaire)</f>
        <v>0</v>
      </c>
      <c r="AR17" s="342">
        <f ca="1">SUMIFS(bddres_pieces,es_prod_type_affinage,'SUIVI STOCKS PAR PAYSAN'!$H17,es_date_entree,"&gt;"&amp;date_inventaire,es_taille,'SUIVI STOCKS PAR PAYSAN'!$AR$7)-SUMIFS(v_Pièces,v_Taille,'SUIVI STOCKS PAR PAYSAN'!$AR$7,v_conc_prod_tye_affinage,'SUIVI STOCKS PAR PAYSAN'!$H17,v_Date_commande,"&gt;"&amp;date_inventaire)</f>
        <v>0</v>
      </c>
      <c r="AS17" s="326">
        <f ca="1">SUMIFS(bddres_pieces,'BDD RESERVATIONS'!$G:$G,'SUIVI STOCKS PAR PAYSAN'!AR12,bddres_c_prod_type_aff,'SUIVI STOCKS PAR PAYSAN'!$H17,'BDD RESERVATIONS'!$B:$B,"&gt;"&amp;date_inventaire)</f>
        <v>0</v>
      </c>
      <c r="AT17" s="343">
        <f ca="1">SUMIFS(es_pieces,es_prod_type_affinage,'SUIVI STOCKS PAR PAYSAN'!$H17,es_date_entree,"&gt;"&amp;date_inventaire,es_taille,'SUIVI STOCKS PAR PAYSAN'!$AT$7)-SUMIFS(v_Pièces,v_Taille,'SUIVI STOCKS PAR PAYSAN'!$AT$7,v_conc_prod_tye_affinage,'SUIVI STOCKS PAR PAYSAN'!$H17,v_Date_commande,"&gt;"&amp;date_inventaire)</f>
        <v>0</v>
      </c>
      <c r="AU17" s="353">
        <f ca="1">SUMIFS(bddres_pieces,'BDD RESERVATIONS'!$G:$G,'SUIVI STOCKS PAR PAYSAN'!$AT$7,bddres_c_prod_type_aff,'SUIVI STOCKS PAR PAYSAN'!$H17,'BDD RESERVATIONS'!$B:$B,"&gt;"&amp;date_inventaire)</f>
        <v>0</v>
      </c>
      <c r="AV17" s="348">
        <f ca="1">SUMIFS(es_poids,es_prod_type_affinage,'SUIVI STOCKS PAR PAYSAN'!$I17,es_date_entree,"&gt;"&amp;date_inventaire)-SUMIFS(v_Poids,v_conc_prod_tye_affinage,'SUIVI STOCKS PAR PAYSAN'!$E17,v_Date_commande,"&gt;"&amp;date_inventaire)</f>
        <v>0</v>
      </c>
      <c r="AW17" s="313">
        <f ca="1">SUMIFS(bddres_c_qte,bddres_c_prod_type_aff,'SUIVI STOCKS PAR PAYSAN'!I17,'BDD RESERVATIONS'!$B:$B,"&gt;"&amp;date_inventaire)</f>
        <v>0</v>
      </c>
      <c r="AX17" s="342">
        <f ca="1">SUMIFS(bddres_pieces,es_prod_type_affinage,'SUIVI STOCKS PAR PAYSAN'!$I17,es_date_entree,"&gt;"&amp;date_inventaire,es_taille,'SUIVI STOCKS PAR PAYSAN'!$AX$7)-SUMIFS(v_Pièces,v_Taille,'SUIVI STOCKS PAR PAYSAN'!$AX$7,v_conc_prod_tye_affinage,'SUIVI STOCKS PAR PAYSAN'!$I17,v_Date_commande,"&gt;"&amp;date_inventaire)</f>
        <v>0</v>
      </c>
      <c r="AY17" s="342">
        <f ca="1">SUMIFS(bddres_pieces,'BDD RESERVATIONS'!$G:$G,'SUIVI STOCKS PAR PAYSAN'!$AX$7,bddres_c_prod_type_aff,'SUIVI STOCKS PAR PAYSAN'!$I17,'BDD RESERVATIONS'!$B:$B,"&gt;"&amp;date_inventaire)</f>
        <v>0</v>
      </c>
      <c r="AZ17" s="343">
        <f ca="1">SUMIFS(es_pieces,es_prod_type_affinage,'SUIVI STOCKS PAR PAYSAN'!$I17,es_date_entree,"&gt;"&amp;date_inventaire,es_taille,'SUIVI STOCKS PAR PAYSAN'!$AZ$7)-SUMIFS(v_Pièces,v_Taille,'SUIVI STOCKS PAR PAYSAN'!$AZ$7,v_conc_prod_tye_affinage,'SUIVI STOCKS PAR PAYSAN'!$I17,v_Date_commande,"&gt;"&amp;date_inventaire)</f>
        <v>-57</v>
      </c>
      <c r="BA17" s="353">
        <f ca="1">SUMIFS(bddres_pieces,'BDD RESERVATIONS'!$G:$G,'SUIVI STOCKS PAR PAYSAN'!$AZ$7,bddres_c_prod_type_aff,'SUIVI STOCKS PAR PAYSAN'!$I17,'BDD RESERVATIONS'!$B:$B,"&gt;"&amp;date_inventaire)</f>
        <v>0</v>
      </c>
      <c r="BB17" s="348">
        <f ca="1">SUMIFS(es_poids,es_prod_type_affinage,'SUIVI STOCKS PAR PAYSAN'!$J17,es_date_entree,"&gt;"&amp;date_inventaire)-SUMIFS(v_Poids,v_conc_prod_tye_affinage,'SUIVI STOCKS PAR PAYSAN'!$J17,v_Date_commande,"&gt;"&amp;date_inventaire)</f>
        <v>0</v>
      </c>
      <c r="BC17" s="313">
        <f ca="1">SUMIFS(bddres_c_qte,bddres_c_prod_type_aff,'SUIVI STOCKS PAR PAYSAN'!J17,'BDD RESERVATIONS'!$B:$B,"&gt;"&amp;date_inventaire)</f>
        <v>0</v>
      </c>
      <c r="BD17" s="342">
        <f ca="1">SUMIFS(bddres_pieces,es_prod_type_affinage,'SUIVI STOCKS PAR PAYSAN'!$J17,es_date_entree,"&gt;"&amp;date_inventaire,es_taille,'SUIVI STOCKS PAR PAYSAN'!$BD$7)-SUMIFS(v_Pièces,v_Taille,'SUIVI STOCKS PAR PAYSAN'!$BD$7,v_conc_prod_tye_affinage,'SUIVI STOCKS PAR PAYSAN'!$J17,v_Date_commande,"&gt;"&amp;date_inventaire)</f>
        <v>0</v>
      </c>
      <c r="BE17" s="326">
        <f ca="1">SUMIFS(bddres_pieces,'BDD RESERVATIONS'!$G:$G,'SUIVI STOCKS PAR PAYSAN'!BD12,bddres_c_prod_type_aff,'SUIVI STOCKS PAR PAYSAN'!J17,'BDD RESERVATIONS'!$B:$B,"&gt;"&amp;date_inventaire)</f>
        <v>0</v>
      </c>
      <c r="BF17" s="343">
        <f ca="1">SUMIFS(es_pieces,es_prod_type_affinage,'SUIVI STOCKS PAR PAYSAN'!J17,es_date_entree,"&gt;"&amp;date_inventaire,es_taille,'SUIVI STOCKS PAR PAYSAN'!$BF$7)-SUMIFS(v_Pièces,v_Taille,'SUIVI STOCKS PAR PAYSAN'!$BF$7,v_conc_prod_tye_affinage,'SUIVI STOCKS PAR PAYSAN'!J17,v_Date_commande,"&gt;"&amp;date_inventaire)</f>
        <v>0</v>
      </c>
      <c r="BG17" s="353">
        <f ca="1">SUMIFS(bddres_pieces,'BDD RESERVATIONS'!$G:$G,'SUIVI STOCKS PAR PAYSAN'!$BF$7,bddres_c_prod_type_aff,'SUIVI STOCKS PAR PAYSAN'!J17,'BDD RESERVATIONS'!$B:$B,"&gt;"&amp;date_inventaire)</f>
        <v>0</v>
      </c>
    </row>
    <row r="18" spans="1:59" ht="18.75" customHeight="1" x14ac:dyDescent="0.25">
      <c r="A18" s="331" t="str">
        <f ca="1">OFFSET('BDD PAYSANS'!$B$1,B18,0,1,1)</f>
        <v>GAEC OLALAINTY</v>
      </c>
      <c r="B18" s="325">
        <v>7</v>
      </c>
      <c r="C18" s="325" t="str">
        <f t="shared" ca="1" si="1"/>
        <v>GAEC OLALAINTYFERMIER&lt;3 mois</v>
      </c>
      <c r="D18" s="325" t="str">
        <f t="shared" ca="1" si="1"/>
        <v>GAEC OLALAINTYFERMIER3-6 mois</v>
      </c>
      <c r="E18" s="325" t="str">
        <f t="shared" ca="1" si="1"/>
        <v>GAEC OLALAINTYFERMIER6-9 mois</v>
      </c>
      <c r="F18" s="325" t="str">
        <f t="shared" ca="1" si="1"/>
        <v>GAEC OLALAINTYFERMIER&gt;9 mois</v>
      </c>
      <c r="G18" s="325" t="str">
        <f t="shared" ca="1" si="1"/>
        <v>GAEC OLALAINTYESTIVE&lt;3 mois</v>
      </c>
      <c r="H18" s="325" t="str">
        <f t="shared" ca="1" si="1"/>
        <v>GAEC OLALAINTYESTIVE3-6 mois</v>
      </c>
      <c r="I18" s="325" t="str">
        <f t="shared" ca="1" si="1"/>
        <v>GAEC OLALAINTYESTIVE6-9 mois</v>
      </c>
      <c r="J18" s="325" t="str">
        <f t="shared" ca="1" si="1"/>
        <v>GAEC OLALAINTYESTIVE&gt;9 mois</v>
      </c>
      <c r="K18" s="325"/>
      <c r="L18" s="352">
        <f ca="1">SUMIFS(es_poids,es_prod_type_affinage,'SUIVI STOCKS PAR PAYSAN'!$C18,es_date_entree,"&gt;"&amp;date_inventaire)-SUMIFS(v_Poids,v_conc_prod_tye_affinage,'SUIVI STOCKS PAR PAYSAN'!$C18,v_Date_commande,"&gt;"&amp;date_inventaire)</f>
        <v>0</v>
      </c>
      <c r="M18" s="341">
        <f ca="1">SUMIFS(bddres_c_qte,bddres_c_prod_type_aff,'SUIVI STOCKS PAR PAYSAN'!C18,'BDD RESERVATIONS'!$B:$B,"&gt;"&amp;date_inventaire)</f>
        <v>0</v>
      </c>
      <c r="N18" s="342">
        <f ca="1">SUMIFS(bddres_pieces,es_prod_type_affinage,'SUIVI STOCKS PAR PAYSAN'!$C18,es_date_entree,"&gt;"&amp;date_inventaire,es_taille,'SUIVI STOCKS PAR PAYSAN'!$N$7)-SUMIFS(v_Pièces,v_Taille,'SUIVI STOCKS PAR PAYSAN'!$N$7,v_conc_prod_tye_affinage,'SUIVI STOCKS PAR PAYSAN'!$C18,v_Date_commande,"&gt;"&amp;date_inventaire)</f>
        <v>0</v>
      </c>
      <c r="O18" s="342">
        <f ca="1">SUMIFS(bddres_pieces,'BDD RESERVATIONS'!$G:$G,'SUIVI STOCKS PAR PAYSAN'!$N$7,bddres_c_prod_type_aff,'SUIVI STOCKS PAR PAYSAN'!$C18,'BDD RESERVATIONS'!$B:$B,"&gt;"&amp;date_inventaire)</f>
        <v>0</v>
      </c>
      <c r="P18" s="343">
        <f ca="1">SUMIFS(es_pieces,es_prod_type_affinage,'SUIVI STOCKS PAR PAYSAN'!$C18,es_date_entree,"&gt;"&amp;date_inventaire,es_taille,'SUIVI STOCKS PAR PAYSAN'!$P$7)-SUMIFS(v_Pièces,v_Taille,'SUIVI STOCKS PAR PAYSAN'!$P$7,v_conc_prod_tye_affinage,'SUIVI STOCKS PAR PAYSAN'!$C18,v_Date_commande,"&gt;"&amp;date_inventaire)</f>
        <v>0</v>
      </c>
      <c r="Q18" s="353">
        <f ca="1">SUMIFS(bddres_pieces,'BDD RESERVATIONS'!$G:$G,'SUIVI STOCKS PAR PAYSAN'!$P$7,bddres_c_prod_type_aff,'SUIVI STOCKS PAR PAYSAN'!$C18,'BDD RESERVATIONS'!$B:$B,"&gt;"&amp;date_inventaire)</f>
        <v>0</v>
      </c>
      <c r="R18" s="348">
        <f ca="1">SUMIFS(es_poids,es_prod_type_affinage,'SUIVI STOCKS PAR PAYSAN'!$D18,es_date_entree,"&gt;"&amp;date_inventaire)-SUMIFS(v_Poids,v_conc_prod_tye_affinage,'SUIVI STOCKS PAR PAYSAN'!$D18,v_Date_commande,"&gt;"&amp;date_inventaire)</f>
        <v>0</v>
      </c>
      <c r="S18" s="341">
        <f ca="1">SUMIFS(bddres_c_qte,bddres_c_prod_type_aff,'SUIVI STOCKS PAR PAYSAN'!D18,'BDD RESERVATIONS'!$B:$B,"&gt;"&amp;date_inventaire)</f>
        <v>0</v>
      </c>
      <c r="T18" s="342">
        <f ca="1">SUMIFS(bddres_pieces,es_prod_type_affinage,'SUIVI STOCKS PAR PAYSAN'!$D18,es_date_entree,"&gt;"&amp;date_inventaire,es_taille,'SUIVI STOCKS PAR PAYSAN'!$T$7)-SUMIFS(v_Pièces,v_Taille,'SUIVI STOCKS PAR PAYSAN'!$T$7,v_conc_prod_tye_affinage,'SUIVI STOCKS PAR PAYSAN'!$D18,v_Date_commande,"&gt;"&amp;date_inventaire)</f>
        <v>0</v>
      </c>
      <c r="U18" s="342">
        <f ca="1">SUMIFS(bddres_pieces,'BDD RESERVATIONS'!$G:$G,'SUIVI STOCKS PAR PAYSAN'!$T$7,bddres_c_prod_type_aff,'SUIVI STOCKS PAR PAYSAN'!$D18,'BDD RESERVATIONS'!$B:$B,"&gt;"&amp;date_inventaire)</f>
        <v>0</v>
      </c>
      <c r="V18" s="343">
        <f ca="1">SUMIFS(es_pieces,es_prod_type_affinage,'SUIVI STOCKS PAR PAYSAN'!$D18,es_date_entree,"&gt;"&amp;date_inventaire,es_taille,'SUIVI STOCKS PAR PAYSAN'!$V$7)-SUMIFS(v_Pièces,v_Taille,'SUIVI STOCKS PAR PAYSAN'!$V$7,v_conc_prod_tye_affinage,'SUIVI STOCKS PAR PAYSAN'!$D18,v_Date_commande,"&gt;"&amp;date_inventaire)</f>
        <v>0</v>
      </c>
      <c r="W18" s="353">
        <f ca="1">SUMIFS(bddres_pieces,'BDD RESERVATIONS'!$G:$G,'SUIVI STOCKS PAR PAYSAN'!$V$7,bddres_c_prod_type_aff,'SUIVI STOCKS PAR PAYSAN'!$D18,'BDD RESERVATIONS'!$B:$B,"&gt;"&amp;date_inventaire)</f>
        <v>0</v>
      </c>
      <c r="X18" s="348">
        <f ca="1">SUMIFS(es_poids,es_prod_type_affinage,'SUIVI STOCKS PAR PAYSAN'!$E18,es_date_entree,"&gt;"&amp;date_inventaire)-SUMIFS(v_Poids,v_conc_prod_tye_affinage,'SUIVI STOCKS PAR PAYSAN'!$E18,v_Date_commande,"&gt;"&amp;date_inventaire)</f>
        <v>0</v>
      </c>
      <c r="Y18" s="341">
        <f ca="1">SUMIFS(bddres_c_qte,bddres_c_prod_type_aff,'SUIVI STOCKS PAR PAYSAN'!E18,'BDD RESERVATIONS'!$B:$B,"&gt;"&amp;date_inventaire)</f>
        <v>0</v>
      </c>
      <c r="Z18" s="342">
        <f ca="1">SUMIFS(bddres_pieces,es_prod_type_affinage,'SUIVI STOCKS PAR PAYSAN'!$E18,es_date_entree,"&gt;"&amp;date_inventaire,es_taille,'SUIVI STOCKS PAR PAYSAN'!$Z$7)-SUMIFS(v_Pièces,v_Taille,'SUIVI STOCKS PAR PAYSAN'!$Z$7,v_conc_prod_tye_affinage,'SUIVI STOCKS PAR PAYSAN'!$E18,v_Date_commande,"&gt;"&amp;date_inventaire)</f>
        <v>0</v>
      </c>
      <c r="AA18" s="342">
        <f ca="1">SUMIFS(bddres_pieces,'BDD RESERVATIONS'!$G:$G,'SUIVI STOCKS PAR PAYSAN'!$Z$7,bddres_c_prod_type_aff,'SUIVI STOCKS PAR PAYSAN'!$E18,'BDD RESERVATIONS'!$B:$B,"&gt;"&amp;date_inventaire)</f>
        <v>0</v>
      </c>
      <c r="AB18" s="343">
        <f ca="1">SUMIFS(es_pieces,es_prod_type_affinage,'SUIVI STOCKS PAR PAYSAN'!$E18,es_date_entree,"&gt;"&amp;date_inventaire,es_taille,'SUIVI STOCKS PAR PAYSAN'!$AB$7)-SUMIFS(v_Pièces,v_Taille,'SUIVI STOCKS PAR PAYSAN'!$AB$7,v_conc_prod_tye_affinage,'SUIVI STOCKS PAR PAYSAN'!$E18,v_Date_commande,"&gt;"&amp;date_inventaire)</f>
        <v>0</v>
      </c>
      <c r="AC18" s="353">
        <f ca="1">SUMIFS(bddres_pieces,'BDD RESERVATIONS'!$G:$G,'SUIVI STOCKS PAR PAYSAN'!$AB$7,bddres_c_prod_type_aff,'SUIVI STOCKS PAR PAYSAN'!$E18,'BDD RESERVATIONS'!$B:$B,"&gt;"&amp;date_inventaire)</f>
        <v>0</v>
      </c>
      <c r="AD18" s="348">
        <f ca="1">SUMIFS(es_poids,es_prod_type_affinage,'SUIVI STOCKS PAR PAYSAN'!$F18,es_date_entree,"&gt;"&amp;date_inventaire)-SUMIFS(v_Poids,v_conc_prod_tye_affinage,'SUIVI STOCKS PAR PAYSAN'!$F18,v_Date_commande,"&gt;"&amp;date_inventaire)</f>
        <v>0</v>
      </c>
      <c r="AE18" s="341">
        <f ca="1">SUMIFS(bddres_c_qte,bddres_c_prod_type_aff,'SUIVI STOCKS PAR PAYSAN'!F18,'BDD RESERVATIONS'!$B:$B,"&gt;"&amp;date_inventaire)</f>
        <v>0</v>
      </c>
      <c r="AF18" s="342">
        <f ca="1">SUMIFS(bddres_pieces,es_prod_type_affinage,'SUIVI STOCKS PAR PAYSAN'!$F18,es_date_entree,"&gt;"&amp;date_inventaire,es_taille,'SUIVI STOCKS PAR PAYSAN'!$Z$7)-SUMIFS(v_Pièces,v_Taille,'SUIVI STOCKS PAR PAYSAN'!$Z$7,v_conc_prod_tye_affinage,'SUIVI STOCKS PAR PAYSAN'!$F18,v_Date_commande,"&gt;"&amp;date_inventaire)</f>
        <v>0</v>
      </c>
      <c r="AG18" s="342">
        <f ca="1">SUMIFS(bddres_pieces,'BDD RESERVATIONS'!$G:$G,'SUIVI STOCKS PAR PAYSAN'!$Z$7,bddres_c_prod_type_aff,'SUIVI STOCKS PAR PAYSAN'!$F18,'BDD RESERVATIONS'!$B:$B,"&gt;"&amp;date_inventaire)</f>
        <v>0</v>
      </c>
      <c r="AH18" s="343">
        <f ca="1">SUMIFS(es_pieces,es_prod_type_affinage,'SUIVI STOCKS PAR PAYSAN'!$F18,es_date_entree,"&gt;"&amp;date_inventaire,es_taille,'SUIVI STOCKS PAR PAYSAN'!$AH$7)-SUMIFS(v_Pièces,v_Taille,'SUIVI STOCKS PAR PAYSAN'!$AH$7,v_conc_prod_tye_affinage,'SUIVI STOCKS PAR PAYSAN'!$F18,v_Date_commande,"&gt;"&amp;date_inventaire)</f>
        <v>0</v>
      </c>
      <c r="AI18" s="353">
        <f ca="1">SUMIFS(bddres_pieces,'BDD RESERVATIONS'!$G:$G,'SUIVI STOCKS PAR PAYSAN'!$AB$7,bddres_c_prod_type_aff,'SUIVI STOCKS PAR PAYSAN'!$F18,'BDD RESERVATIONS'!$B:$B,"&gt;"&amp;date_inventaire)</f>
        <v>0</v>
      </c>
      <c r="AJ18" s="352">
        <f ca="1">SUMIFS(es_poids,es_prod_type_affinage,'SUIVI STOCKS PAR PAYSAN'!$G18,es_date_entree,"&gt;"&amp;date_inventaire)-SUMIFS(v_Poids,v_conc_prod_tye_affinage,'SUIVI STOCKS PAR PAYSAN'!$G18,v_Date_commande,"&gt;"&amp;date_inventaire)</f>
        <v>0</v>
      </c>
      <c r="AK18" s="341">
        <f ca="1">SUMIFS(bddres_c_qte,bddres_c_prod_type_aff,'SUIVI STOCKS PAR PAYSAN'!G18,'BDD RESERVATIONS'!$B:$B,"&gt;"&amp;date_inventaire)</f>
        <v>0</v>
      </c>
      <c r="AL18" s="342">
        <f ca="1">SUMIFS(bddres_pieces,es_prod_type_affinage,'SUIVI STOCKS PAR PAYSAN'!$G18,es_date_entree,"&gt;"&amp;date_inventaire,es_taille,'SUIVI STOCKS PAR PAYSAN'!$AL$7)-SUMIFS(v_Pièces,v_Taille,'SUIVI STOCKS PAR PAYSAN'!$AL$7,v_conc_prod_tye_affinage,'SUIVI STOCKS PAR PAYSAN'!$G18,v_Date_commande,"&gt;"&amp;date_inventaire)</f>
        <v>0</v>
      </c>
      <c r="AM18" s="342">
        <f ca="1">SUMIFS(bddres_pieces,'BDD RESERVATIONS'!$G:$G,'SUIVI STOCKS PAR PAYSAN'!$AL$7,bddres_c_prod_type_aff,'SUIVI STOCKS PAR PAYSAN'!$G18,'BDD RESERVATIONS'!$B:$B,"&gt;"&amp;date_inventaire)</f>
        <v>0</v>
      </c>
      <c r="AN18" s="343">
        <f ca="1">SUMIFS(es_pieces,es_prod_type_affinage,'SUIVI STOCKS PAR PAYSAN'!$G18,es_date_entree,"&gt;"&amp;date_inventaire,es_taille,'SUIVI STOCKS PAR PAYSAN'!$AN$7)-SUMIFS(v_Pièces,v_Taille,'SUIVI STOCKS PAR PAYSAN'!$AN$7,v_conc_prod_tye_affinage,'SUIVI STOCKS PAR PAYSAN'!$G18,v_Date_commande,"&gt;"&amp;date_inventaire)</f>
        <v>0</v>
      </c>
      <c r="AO18" s="353">
        <f ca="1">SUMIFS(bddres_pieces,'BDD RESERVATIONS'!$G:$G,'SUIVI STOCKS PAR PAYSAN'!$AN$7,bddres_c_prod_type_aff,'SUIVI STOCKS PAR PAYSAN'!$G18,'BDD RESERVATIONS'!$B:$B,"&gt;"&amp;date_inventaire)</f>
        <v>0</v>
      </c>
      <c r="AP18" s="348">
        <f ca="1">SUMIFS(es_poids,es_prod_type_affinage,'SUIVI STOCKS PAR PAYSAN'!$H18,es_date_entree,"&gt;"&amp;date_inventaire)-SUMIFS(v_Poids,v_conc_prod_tye_affinage,'SUIVI STOCKS PAR PAYSAN'!$H18,v_Date_commande,"&gt;"&amp;date_inventaire)</f>
        <v>0</v>
      </c>
      <c r="AQ18" s="341">
        <f ca="1">SUMIFS(bddres_c_qte,bddres_c_prod_type_aff,'SUIVI STOCKS PAR PAYSAN'!H18,'BDD RESERVATIONS'!$B:$B,"&gt;"&amp;date_inventaire)</f>
        <v>0</v>
      </c>
      <c r="AR18" s="342">
        <f ca="1">SUMIFS(bddres_pieces,es_prod_type_affinage,'SUIVI STOCKS PAR PAYSAN'!$H18,es_date_entree,"&gt;"&amp;date_inventaire,es_taille,'SUIVI STOCKS PAR PAYSAN'!$AR$7)-SUMIFS(v_Pièces,v_Taille,'SUIVI STOCKS PAR PAYSAN'!$AR$7,v_conc_prod_tye_affinage,'SUIVI STOCKS PAR PAYSAN'!$H18,v_Date_commande,"&gt;"&amp;date_inventaire)</f>
        <v>0</v>
      </c>
      <c r="AS18" s="326">
        <f ca="1">SUMIFS(bddres_pieces,'BDD RESERVATIONS'!$G:$G,'SUIVI STOCKS PAR PAYSAN'!AR13,bddres_c_prod_type_aff,'SUIVI STOCKS PAR PAYSAN'!$H18,'BDD RESERVATIONS'!$B:$B,"&gt;"&amp;date_inventaire)</f>
        <v>0</v>
      </c>
      <c r="AT18" s="343">
        <f ca="1">SUMIFS(es_pieces,es_prod_type_affinage,'SUIVI STOCKS PAR PAYSAN'!$H18,es_date_entree,"&gt;"&amp;date_inventaire,es_taille,'SUIVI STOCKS PAR PAYSAN'!$AT$7)-SUMIFS(v_Pièces,v_Taille,'SUIVI STOCKS PAR PAYSAN'!$AT$7,v_conc_prod_tye_affinage,'SUIVI STOCKS PAR PAYSAN'!$H18,v_Date_commande,"&gt;"&amp;date_inventaire)</f>
        <v>0</v>
      </c>
      <c r="AU18" s="353">
        <f ca="1">SUMIFS(bddres_pieces,'BDD RESERVATIONS'!$G:$G,'SUIVI STOCKS PAR PAYSAN'!$AT$7,bddres_c_prod_type_aff,'SUIVI STOCKS PAR PAYSAN'!$H18,'BDD RESERVATIONS'!$B:$B,"&gt;"&amp;date_inventaire)</f>
        <v>0</v>
      </c>
      <c r="AV18" s="348">
        <f ca="1">SUMIFS(es_poids,es_prod_type_affinage,'SUIVI STOCKS PAR PAYSAN'!$I18,es_date_entree,"&gt;"&amp;date_inventaire)-SUMIFS(v_Poids,v_conc_prod_tye_affinage,'SUIVI STOCKS PAR PAYSAN'!$E18,v_Date_commande,"&gt;"&amp;date_inventaire)</f>
        <v>0</v>
      </c>
      <c r="AW18" s="313">
        <f ca="1">SUMIFS(bddres_c_qte,bddres_c_prod_type_aff,'SUIVI STOCKS PAR PAYSAN'!I18,'BDD RESERVATIONS'!$B:$B,"&gt;"&amp;date_inventaire)</f>
        <v>0</v>
      </c>
      <c r="AX18" s="342">
        <f ca="1">SUMIFS(bddres_pieces,es_prod_type_affinage,'SUIVI STOCKS PAR PAYSAN'!$I18,es_date_entree,"&gt;"&amp;date_inventaire,es_taille,'SUIVI STOCKS PAR PAYSAN'!$AX$7)-SUMIFS(v_Pièces,v_Taille,'SUIVI STOCKS PAR PAYSAN'!$AX$7,v_conc_prod_tye_affinage,'SUIVI STOCKS PAR PAYSAN'!$I18,v_Date_commande,"&gt;"&amp;date_inventaire)</f>
        <v>0</v>
      </c>
      <c r="AY18" s="342">
        <f ca="1">SUMIFS(bddres_pieces,'BDD RESERVATIONS'!$G:$G,'SUIVI STOCKS PAR PAYSAN'!$AX$7,bddres_c_prod_type_aff,'SUIVI STOCKS PAR PAYSAN'!$I18,'BDD RESERVATIONS'!$B:$B,"&gt;"&amp;date_inventaire)</f>
        <v>0</v>
      </c>
      <c r="AZ18" s="343">
        <f ca="1">SUMIFS(es_pieces,es_prod_type_affinage,'SUIVI STOCKS PAR PAYSAN'!$I18,es_date_entree,"&gt;"&amp;date_inventaire,es_taille,'SUIVI STOCKS PAR PAYSAN'!$AZ$7)-SUMIFS(v_Pièces,v_Taille,'SUIVI STOCKS PAR PAYSAN'!$AZ$7,v_conc_prod_tye_affinage,'SUIVI STOCKS PAR PAYSAN'!$I18,v_Date_commande,"&gt;"&amp;date_inventaire)</f>
        <v>0</v>
      </c>
      <c r="BA18" s="353">
        <f ca="1">SUMIFS(bddres_pieces,'BDD RESERVATIONS'!$G:$G,'SUIVI STOCKS PAR PAYSAN'!$AZ$7,bddres_c_prod_type_aff,'SUIVI STOCKS PAR PAYSAN'!$I18,'BDD RESERVATIONS'!$B:$B,"&gt;"&amp;date_inventaire)</f>
        <v>0</v>
      </c>
      <c r="BB18" s="348">
        <f ca="1">SUMIFS(es_poids,es_prod_type_affinage,'SUIVI STOCKS PAR PAYSAN'!$J18,es_date_entree,"&gt;"&amp;date_inventaire)-SUMIFS(v_Poids,v_conc_prod_tye_affinage,'SUIVI STOCKS PAR PAYSAN'!$J18,v_Date_commande,"&gt;"&amp;date_inventaire)</f>
        <v>0</v>
      </c>
      <c r="BC18" s="313">
        <f ca="1">SUMIFS(bddres_c_qte,bddres_c_prod_type_aff,'SUIVI STOCKS PAR PAYSAN'!J18,'BDD RESERVATIONS'!$B:$B,"&gt;"&amp;date_inventaire)</f>
        <v>0</v>
      </c>
      <c r="BD18" s="342">
        <f ca="1">SUMIFS(bddres_pieces,es_prod_type_affinage,'SUIVI STOCKS PAR PAYSAN'!$J18,es_date_entree,"&gt;"&amp;date_inventaire,es_taille,'SUIVI STOCKS PAR PAYSAN'!$BD$7)-SUMIFS(v_Pièces,v_Taille,'SUIVI STOCKS PAR PAYSAN'!$BD$7,v_conc_prod_tye_affinage,'SUIVI STOCKS PAR PAYSAN'!$J18,v_Date_commande,"&gt;"&amp;date_inventaire)</f>
        <v>0</v>
      </c>
      <c r="BE18" s="326">
        <f ca="1">SUMIFS(bddres_pieces,'BDD RESERVATIONS'!$G:$G,'SUIVI STOCKS PAR PAYSAN'!BD13,bddres_c_prod_type_aff,'SUIVI STOCKS PAR PAYSAN'!J18,'BDD RESERVATIONS'!$B:$B,"&gt;"&amp;date_inventaire)</f>
        <v>0</v>
      </c>
      <c r="BF18" s="343">
        <f ca="1">SUMIFS(es_pieces,es_prod_type_affinage,'SUIVI STOCKS PAR PAYSAN'!J18,es_date_entree,"&gt;"&amp;date_inventaire,es_taille,'SUIVI STOCKS PAR PAYSAN'!$BF$7)-SUMIFS(v_Pièces,v_Taille,'SUIVI STOCKS PAR PAYSAN'!$BF$7,v_conc_prod_tye_affinage,'SUIVI STOCKS PAR PAYSAN'!J18,v_Date_commande,"&gt;"&amp;date_inventaire)</f>
        <v>0</v>
      </c>
      <c r="BG18" s="353">
        <f ca="1">SUMIFS(bddres_pieces,'BDD RESERVATIONS'!$G:$G,'SUIVI STOCKS PAR PAYSAN'!$BF$7,bddres_c_prod_type_aff,'SUIVI STOCKS PAR PAYSAN'!J18,'BDD RESERVATIONS'!$B:$B,"&gt;"&amp;date_inventaire)</f>
        <v>0</v>
      </c>
    </row>
    <row r="19" spans="1:59" ht="18.75" customHeight="1" x14ac:dyDescent="0.25">
      <c r="A19" s="331" t="str">
        <f ca="1">OFFSET('BDD PAYSANS'!$B$1,B19,0,1,1)</f>
        <v>GAEC ORHI</v>
      </c>
      <c r="B19" s="325">
        <v>8</v>
      </c>
      <c r="C19" s="325" t="str">
        <f t="shared" ca="1" si="1"/>
        <v>GAEC ORHIFERMIER&lt;3 mois</v>
      </c>
      <c r="D19" s="325" t="str">
        <f t="shared" ca="1" si="1"/>
        <v>GAEC ORHIFERMIER3-6 mois</v>
      </c>
      <c r="E19" s="325" t="str">
        <f t="shared" ca="1" si="1"/>
        <v>GAEC ORHIFERMIER6-9 mois</v>
      </c>
      <c r="F19" s="325" t="str">
        <f t="shared" ca="1" si="1"/>
        <v>GAEC ORHIFERMIER&gt;9 mois</v>
      </c>
      <c r="G19" s="325" t="str">
        <f t="shared" ca="1" si="1"/>
        <v>GAEC ORHIESTIVE&lt;3 mois</v>
      </c>
      <c r="H19" s="325" t="str">
        <f t="shared" ca="1" si="1"/>
        <v>GAEC ORHIESTIVE3-6 mois</v>
      </c>
      <c r="I19" s="325" t="str">
        <f t="shared" ca="1" si="1"/>
        <v>GAEC ORHIESTIVE6-9 mois</v>
      </c>
      <c r="J19" s="325" t="str">
        <f t="shared" ca="1" si="1"/>
        <v>GAEC ORHIESTIVE&gt;9 mois</v>
      </c>
      <c r="K19" s="325"/>
      <c r="L19" s="352">
        <f ca="1">SUMIFS(es_poids,es_prod_type_affinage,'SUIVI STOCKS PAR PAYSAN'!$C19,es_date_entree,"&gt;"&amp;date_inventaire)-SUMIFS(v_Poids,v_conc_prod_tye_affinage,'SUIVI STOCKS PAR PAYSAN'!$C19,v_Date_commande,"&gt;"&amp;date_inventaire)</f>
        <v>0</v>
      </c>
      <c r="M19" s="341">
        <f ca="1">SUMIFS(bddres_c_qte,bddres_c_prod_type_aff,'SUIVI STOCKS PAR PAYSAN'!C19,'BDD RESERVATIONS'!$B:$B,"&gt;"&amp;date_inventaire)</f>
        <v>0</v>
      </c>
      <c r="N19" s="342">
        <f ca="1">SUMIFS(bddres_pieces,es_prod_type_affinage,'SUIVI STOCKS PAR PAYSAN'!$C19,es_date_entree,"&gt;"&amp;date_inventaire,es_taille,'SUIVI STOCKS PAR PAYSAN'!$N$7)-SUMIFS(v_Pièces,v_Taille,'SUIVI STOCKS PAR PAYSAN'!$N$7,v_conc_prod_tye_affinage,'SUIVI STOCKS PAR PAYSAN'!$C19,v_Date_commande,"&gt;"&amp;date_inventaire)</f>
        <v>0</v>
      </c>
      <c r="O19" s="342">
        <f ca="1">SUMIFS(bddres_pieces,'BDD RESERVATIONS'!$G:$G,'SUIVI STOCKS PAR PAYSAN'!$N$7,bddres_c_prod_type_aff,'SUIVI STOCKS PAR PAYSAN'!$C19,'BDD RESERVATIONS'!$B:$B,"&gt;"&amp;date_inventaire)</f>
        <v>0</v>
      </c>
      <c r="P19" s="343">
        <f ca="1">SUMIFS(es_pieces,es_prod_type_affinage,'SUIVI STOCKS PAR PAYSAN'!$C19,es_date_entree,"&gt;"&amp;date_inventaire,es_taille,'SUIVI STOCKS PAR PAYSAN'!$P$7)-SUMIFS(v_Pièces,v_Taille,'SUIVI STOCKS PAR PAYSAN'!$P$7,v_conc_prod_tye_affinage,'SUIVI STOCKS PAR PAYSAN'!$C19,v_Date_commande,"&gt;"&amp;date_inventaire)</f>
        <v>0</v>
      </c>
      <c r="Q19" s="353">
        <f ca="1">SUMIFS(bddres_pieces,'BDD RESERVATIONS'!$G:$G,'SUIVI STOCKS PAR PAYSAN'!$P$7,bddres_c_prod_type_aff,'SUIVI STOCKS PAR PAYSAN'!$C19,'BDD RESERVATIONS'!$B:$B,"&gt;"&amp;date_inventaire)</f>
        <v>0</v>
      </c>
      <c r="R19" s="348">
        <f ca="1">SUMIFS(es_poids,es_prod_type_affinage,'SUIVI STOCKS PAR PAYSAN'!$D19,es_date_entree,"&gt;"&amp;date_inventaire)-SUMIFS(v_Poids,v_conc_prod_tye_affinage,'SUIVI STOCKS PAR PAYSAN'!$D19,v_Date_commande,"&gt;"&amp;date_inventaire)</f>
        <v>0</v>
      </c>
      <c r="S19" s="341">
        <f ca="1">SUMIFS(bddres_c_qte,bddres_c_prod_type_aff,'SUIVI STOCKS PAR PAYSAN'!D19,'BDD RESERVATIONS'!$B:$B,"&gt;"&amp;date_inventaire)</f>
        <v>0</v>
      </c>
      <c r="T19" s="342">
        <f ca="1">SUMIFS(bddres_pieces,es_prod_type_affinage,'SUIVI STOCKS PAR PAYSAN'!$D19,es_date_entree,"&gt;"&amp;date_inventaire,es_taille,'SUIVI STOCKS PAR PAYSAN'!$T$7)-SUMIFS(v_Pièces,v_Taille,'SUIVI STOCKS PAR PAYSAN'!$T$7,v_conc_prod_tye_affinage,'SUIVI STOCKS PAR PAYSAN'!$D19,v_Date_commande,"&gt;"&amp;date_inventaire)</f>
        <v>0</v>
      </c>
      <c r="U19" s="342">
        <f ca="1">SUMIFS(bddres_pieces,'BDD RESERVATIONS'!$G:$G,'SUIVI STOCKS PAR PAYSAN'!$T$7,bddres_c_prod_type_aff,'SUIVI STOCKS PAR PAYSAN'!$D19,'BDD RESERVATIONS'!$B:$B,"&gt;"&amp;date_inventaire)</f>
        <v>0</v>
      </c>
      <c r="V19" s="343">
        <f ca="1">SUMIFS(es_pieces,es_prod_type_affinage,'SUIVI STOCKS PAR PAYSAN'!$D19,es_date_entree,"&gt;"&amp;date_inventaire,es_taille,'SUIVI STOCKS PAR PAYSAN'!$V$7)-SUMIFS(v_Pièces,v_Taille,'SUIVI STOCKS PAR PAYSAN'!$V$7,v_conc_prod_tye_affinage,'SUIVI STOCKS PAR PAYSAN'!$D19,v_Date_commande,"&gt;"&amp;date_inventaire)</f>
        <v>0</v>
      </c>
      <c r="W19" s="353">
        <f ca="1">SUMIFS(bddres_pieces,'BDD RESERVATIONS'!$G:$G,'SUIVI STOCKS PAR PAYSAN'!$V$7,bddres_c_prod_type_aff,'SUIVI STOCKS PAR PAYSAN'!$D19,'BDD RESERVATIONS'!$B:$B,"&gt;"&amp;date_inventaire)</f>
        <v>0</v>
      </c>
      <c r="X19" s="348">
        <f ca="1">SUMIFS(es_poids,es_prod_type_affinage,'SUIVI STOCKS PAR PAYSAN'!$E19,es_date_entree,"&gt;"&amp;date_inventaire)-SUMIFS(v_Poids,v_conc_prod_tye_affinage,'SUIVI STOCKS PAR PAYSAN'!$E19,v_Date_commande,"&gt;"&amp;date_inventaire)</f>
        <v>0</v>
      </c>
      <c r="Y19" s="341">
        <f ca="1">SUMIFS(bddres_c_qte,bddres_c_prod_type_aff,'SUIVI STOCKS PAR PAYSAN'!E19,'BDD RESERVATIONS'!$B:$B,"&gt;"&amp;date_inventaire)</f>
        <v>0</v>
      </c>
      <c r="Z19" s="342">
        <f ca="1">SUMIFS(bddres_pieces,es_prod_type_affinage,'SUIVI STOCKS PAR PAYSAN'!$E19,es_date_entree,"&gt;"&amp;date_inventaire,es_taille,'SUIVI STOCKS PAR PAYSAN'!$Z$7)-SUMIFS(v_Pièces,v_Taille,'SUIVI STOCKS PAR PAYSAN'!$Z$7,v_conc_prod_tye_affinage,'SUIVI STOCKS PAR PAYSAN'!$E19,v_Date_commande,"&gt;"&amp;date_inventaire)</f>
        <v>0</v>
      </c>
      <c r="AA19" s="342">
        <f ca="1">SUMIFS(bddres_pieces,'BDD RESERVATIONS'!$G:$G,'SUIVI STOCKS PAR PAYSAN'!$Z$7,bddres_c_prod_type_aff,'SUIVI STOCKS PAR PAYSAN'!$E19,'BDD RESERVATIONS'!$B:$B,"&gt;"&amp;date_inventaire)</f>
        <v>0</v>
      </c>
      <c r="AB19" s="343">
        <f ca="1">SUMIFS(es_pieces,es_prod_type_affinage,'SUIVI STOCKS PAR PAYSAN'!$E19,es_date_entree,"&gt;"&amp;date_inventaire,es_taille,'SUIVI STOCKS PAR PAYSAN'!$AB$7)-SUMIFS(v_Pièces,v_Taille,'SUIVI STOCKS PAR PAYSAN'!$AB$7,v_conc_prod_tye_affinage,'SUIVI STOCKS PAR PAYSAN'!$E19,v_Date_commande,"&gt;"&amp;date_inventaire)</f>
        <v>0</v>
      </c>
      <c r="AC19" s="353">
        <f ca="1">SUMIFS(bddres_pieces,'BDD RESERVATIONS'!$G:$G,'SUIVI STOCKS PAR PAYSAN'!$AB$7,bddres_c_prod_type_aff,'SUIVI STOCKS PAR PAYSAN'!$E19,'BDD RESERVATIONS'!$B:$B,"&gt;"&amp;date_inventaire)</f>
        <v>0</v>
      </c>
      <c r="AD19" s="348">
        <f ca="1">SUMIFS(es_poids,es_prod_type_affinage,'SUIVI STOCKS PAR PAYSAN'!$F19,es_date_entree,"&gt;"&amp;date_inventaire)-SUMIFS(v_Poids,v_conc_prod_tye_affinage,'SUIVI STOCKS PAR PAYSAN'!$F19,v_Date_commande,"&gt;"&amp;date_inventaire)</f>
        <v>0</v>
      </c>
      <c r="AE19" s="341">
        <f ca="1">SUMIFS(bddres_c_qte,bddres_c_prod_type_aff,'SUIVI STOCKS PAR PAYSAN'!F19,'BDD RESERVATIONS'!$B:$B,"&gt;"&amp;date_inventaire)</f>
        <v>0</v>
      </c>
      <c r="AF19" s="342">
        <f ca="1">SUMIFS(bddres_pieces,es_prod_type_affinage,'SUIVI STOCKS PAR PAYSAN'!$F19,es_date_entree,"&gt;"&amp;date_inventaire,es_taille,'SUIVI STOCKS PAR PAYSAN'!$Z$7)-SUMIFS(v_Pièces,v_Taille,'SUIVI STOCKS PAR PAYSAN'!$Z$7,v_conc_prod_tye_affinage,'SUIVI STOCKS PAR PAYSAN'!$F19,v_Date_commande,"&gt;"&amp;date_inventaire)</f>
        <v>0</v>
      </c>
      <c r="AG19" s="342">
        <f ca="1">SUMIFS(bddres_pieces,'BDD RESERVATIONS'!$G:$G,'SUIVI STOCKS PAR PAYSAN'!$Z$7,bddres_c_prod_type_aff,'SUIVI STOCKS PAR PAYSAN'!$F19,'BDD RESERVATIONS'!$B:$B,"&gt;"&amp;date_inventaire)</f>
        <v>0</v>
      </c>
      <c r="AH19" s="343">
        <f ca="1">SUMIFS(es_pieces,es_prod_type_affinage,'SUIVI STOCKS PAR PAYSAN'!$F19,es_date_entree,"&gt;"&amp;date_inventaire,es_taille,'SUIVI STOCKS PAR PAYSAN'!$AH$7)-SUMIFS(v_Pièces,v_Taille,'SUIVI STOCKS PAR PAYSAN'!$AH$7,v_conc_prod_tye_affinage,'SUIVI STOCKS PAR PAYSAN'!$F19,v_Date_commande,"&gt;"&amp;date_inventaire)</f>
        <v>0</v>
      </c>
      <c r="AI19" s="353">
        <f ca="1">SUMIFS(bddres_pieces,'BDD RESERVATIONS'!$G:$G,'SUIVI STOCKS PAR PAYSAN'!$AB$7,bddres_c_prod_type_aff,'SUIVI STOCKS PAR PAYSAN'!$F19,'BDD RESERVATIONS'!$B:$B,"&gt;"&amp;date_inventaire)</f>
        <v>0</v>
      </c>
      <c r="AJ19" s="352">
        <f ca="1">SUMIFS(es_poids,es_prod_type_affinage,'SUIVI STOCKS PAR PAYSAN'!$G19,es_date_entree,"&gt;"&amp;date_inventaire)-SUMIFS(v_Poids,v_conc_prod_tye_affinage,'SUIVI STOCKS PAR PAYSAN'!$G19,v_Date_commande,"&gt;"&amp;date_inventaire)</f>
        <v>0</v>
      </c>
      <c r="AK19" s="341">
        <f ca="1">SUMIFS(bddres_c_qte,bddres_c_prod_type_aff,'SUIVI STOCKS PAR PAYSAN'!G19,'BDD RESERVATIONS'!$B:$B,"&gt;"&amp;date_inventaire)</f>
        <v>0</v>
      </c>
      <c r="AL19" s="342">
        <f ca="1">SUMIFS(bddres_pieces,es_prod_type_affinage,'SUIVI STOCKS PAR PAYSAN'!$G19,es_date_entree,"&gt;"&amp;date_inventaire,es_taille,'SUIVI STOCKS PAR PAYSAN'!$AL$7)-SUMIFS(v_Pièces,v_Taille,'SUIVI STOCKS PAR PAYSAN'!$AL$7,v_conc_prod_tye_affinage,'SUIVI STOCKS PAR PAYSAN'!$G19,v_Date_commande,"&gt;"&amp;date_inventaire)</f>
        <v>0</v>
      </c>
      <c r="AM19" s="342">
        <f ca="1">SUMIFS(bddres_pieces,'BDD RESERVATIONS'!$G:$G,'SUIVI STOCKS PAR PAYSAN'!$AL$7,bddres_c_prod_type_aff,'SUIVI STOCKS PAR PAYSAN'!$G19,'BDD RESERVATIONS'!$B:$B,"&gt;"&amp;date_inventaire)</f>
        <v>0</v>
      </c>
      <c r="AN19" s="343">
        <f ca="1">SUMIFS(es_pieces,es_prod_type_affinage,'SUIVI STOCKS PAR PAYSAN'!$G19,es_date_entree,"&gt;"&amp;date_inventaire,es_taille,'SUIVI STOCKS PAR PAYSAN'!$AN$7)-SUMIFS(v_Pièces,v_Taille,'SUIVI STOCKS PAR PAYSAN'!$AN$7,v_conc_prod_tye_affinage,'SUIVI STOCKS PAR PAYSAN'!$G19,v_Date_commande,"&gt;"&amp;date_inventaire)</f>
        <v>0</v>
      </c>
      <c r="AO19" s="353">
        <f ca="1">SUMIFS(bddres_pieces,'BDD RESERVATIONS'!$G:$G,'SUIVI STOCKS PAR PAYSAN'!$AN$7,bddres_c_prod_type_aff,'SUIVI STOCKS PAR PAYSAN'!$G19,'BDD RESERVATIONS'!$B:$B,"&gt;"&amp;date_inventaire)</f>
        <v>0</v>
      </c>
      <c r="AP19" s="348">
        <f ca="1">SUMIFS(es_poids,es_prod_type_affinage,'SUIVI STOCKS PAR PAYSAN'!$H19,es_date_entree,"&gt;"&amp;date_inventaire)-SUMIFS(v_Poids,v_conc_prod_tye_affinage,'SUIVI STOCKS PAR PAYSAN'!$H19,v_Date_commande,"&gt;"&amp;date_inventaire)</f>
        <v>0</v>
      </c>
      <c r="AQ19" s="341">
        <f ca="1">SUMIFS(bddres_c_qte,bddres_c_prod_type_aff,'SUIVI STOCKS PAR PAYSAN'!H19,'BDD RESERVATIONS'!$B:$B,"&gt;"&amp;date_inventaire)</f>
        <v>0</v>
      </c>
      <c r="AR19" s="342">
        <f ca="1">SUMIFS(bddres_pieces,es_prod_type_affinage,'SUIVI STOCKS PAR PAYSAN'!$H19,es_date_entree,"&gt;"&amp;date_inventaire,es_taille,'SUIVI STOCKS PAR PAYSAN'!$AR$7)-SUMIFS(v_Pièces,v_Taille,'SUIVI STOCKS PAR PAYSAN'!$AR$7,v_conc_prod_tye_affinage,'SUIVI STOCKS PAR PAYSAN'!$H19,v_Date_commande,"&gt;"&amp;date_inventaire)</f>
        <v>0</v>
      </c>
      <c r="AS19" s="326">
        <f ca="1">SUMIFS(bddres_pieces,'BDD RESERVATIONS'!$G:$G,'SUIVI STOCKS PAR PAYSAN'!AR14,bddres_c_prod_type_aff,'SUIVI STOCKS PAR PAYSAN'!$H19,'BDD RESERVATIONS'!$B:$B,"&gt;"&amp;date_inventaire)</f>
        <v>0</v>
      </c>
      <c r="AT19" s="343">
        <f ca="1">SUMIFS(es_pieces,es_prod_type_affinage,'SUIVI STOCKS PAR PAYSAN'!$H19,es_date_entree,"&gt;"&amp;date_inventaire,es_taille,'SUIVI STOCKS PAR PAYSAN'!$AT$7)-SUMIFS(v_Pièces,v_Taille,'SUIVI STOCKS PAR PAYSAN'!$AT$7,v_conc_prod_tye_affinage,'SUIVI STOCKS PAR PAYSAN'!$H19,v_Date_commande,"&gt;"&amp;date_inventaire)</f>
        <v>0</v>
      </c>
      <c r="AU19" s="353">
        <f ca="1">SUMIFS(bddres_pieces,'BDD RESERVATIONS'!$G:$G,'SUIVI STOCKS PAR PAYSAN'!$AT$7,bddres_c_prod_type_aff,'SUIVI STOCKS PAR PAYSAN'!$H19,'BDD RESERVATIONS'!$B:$B,"&gt;"&amp;date_inventaire)</f>
        <v>0</v>
      </c>
      <c r="AV19" s="348">
        <f ca="1">SUMIFS(es_poids,es_prod_type_affinage,'SUIVI STOCKS PAR PAYSAN'!$I19,es_date_entree,"&gt;"&amp;date_inventaire)-SUMIFS(v_Poids,v_conc_prod_tye_affinage,'SUIVI STOCKS PAR PAYSAN'!$E19,v_Date_commande,"&gt;"&amp;date_inventaire)</f>
        <v>0</v>
      </c>
      <c r="AW19" s="313">
        <f ca="1">SUMIFS(bddres_c_qte,bddres_c_prod_type_aff,'SUIVI STOCKS PAR PAYSAN'!I19,'BDD RESERVATIONS'!$B:$B,"&gt;"&amp;date_inventaire)</f>
        <v>0</v>
      </c>
      <c r="AX19" s="342">
        <f ca="1">SUMIFS(bddres_pieces,es_prod_type_affinage,'SUIVI STOCKS PAR PAYSAN'!$I19,es_date_entree,"&gt;"&amp;date_inventaire,es_taille,'SUIVI STOCKS PAR PAYSAN'!$AX$7)-SUMIFS(v_Pièces,v_Taille,'SUIVI STOCKS PAR PAYSAN'!$AX$7,v_conc_prod_tye_affinage,'SUIVI STOCKS PAR PAYSAN'!$I19,v_Date_commande,"&gt;"&amp;date_inventaire)</f>
        <v>0</v>
      </c>
      <c r="AY19" s="342">
        <f ca="1">SUMIFS(bddres_pieces,'BDD RESERVATIONS'!$G:$G,'SUIVI STOCKS PAR PAYSAN'!$AX$7,bddres_c_prod_type_aff,'SUIVI STOCKS PAR PAYSAN'!$I19,'BDD RESERVATIONS'!$B:$B,"&gt;"&amp;date_inventaire)</f>
        <v>0</v>
      </c>
      <c r="AZ19" s="343">
        <f ca="1">SUMIFS(es_pieces,es_prod_type_affinage,'SUIVI STOCKS PAR PAYSAN'!$I19,es_date_entree,"&gt;"&amp;date_inventaire,es_taille,'SUIVI STOCKS PAR PAYSAN'!$AZ$7)-SUMIFS(v_Pièces,v_Taille,'SUIVI STOCKS PAR PAYSAN'!$AZ$7,v_conc_prod_tye_affinage,'SUIVI STOCKS PAR PAYSAN'!$I19,v_Date_commande,"&gt;"&amp;date_inventaire)</f>
        <v>0</v>
      </c>
      <c r="BA19" s="353">
        <f ca="1">SUMIFS(bddres_pieces,'BDD RESERVATIONS'!$G:$G,'SUIVI STOCKS PAR PAYSAN'!$AZ$7,bddres_c_prod_type_aff,'SUIVI STOCKS PAR PAYSAN'!$I19,'BDD RESERVATIONS'!$B:$B,"&gt;"&amp;date_inventaire)</f>
        <v>0</v>
      </c>
      <c r="BB19" s="348">
        <f ca="1">SUMIFS(es_poids,es_prod_type_affinage,'SUIVI STOCKS PAR PAYSAN'!$J19,es_date_entree,"&gt;"&amp;date_inventaire)-SUMIFS(v_Poids,v_conc_prod_tye_affinage,'SUIVI STOCKS PAR PAYSAN'!$J19,v_Date_commande,"&gt;"&amp;date_inventaire)</f>
        <v>0</v>
      </c>
      <c r="BC19" s="313">
        <f ca="1">SUMIFS(bddres_c_qte,bddres_c_prod_type_aff,'SUIVI STOCKS PAR PAYSAN'!J19,'BDD RESERVATIONS'!$B:$B,"&gt;"&amp;date_inventaire)</f>
        <v>0</v>
      </c>
      <c r="BD19" s="342">
        <f ca="1">SUMIFS(bddres_pieces,es_prod_type_affinage,'SUIVI STOCKS PAR PAYSAN'!$J19,es_date_entree,"&gt;"&amp;date_inventaire,es_taille,'SUIVI STOCKS PAR PAYSAN'!$BD$7)-SUMIFS(v_Pièces,v_Taille,'SUIVI STOCKS PAR PAYSAN'!$BD$7,v_conc_prod_tye_affinage,'SUIVI STOCKS PAR PAYSAN'!$J19,v_Date_commande,"&gt;"&amp;date_inventaire)</f>
        <v>0</v>
      </c>
      <c r="BE19" s="326">
        <f ca="1">SUMIFS(bddres_pieces,'BDD RESERVATIONS'!$G:$G,'SUIVI STOCKS PAR PAYSAN'!BD14,bddres_c_prod_type_aff,'SUIVI STOCKS PAR PAYSAN'!J19,'BDD RESERVATIONS'!$B:$B,"&gt;"&amp;date_inventaire)</f>
        <v>0</v>
      </c>
      <c r="BF19" s="343">
        <f ca="1">SUMIFS(es_pieces,es_prod_type_affinage,'SUIVI STOCKS PAR PAYSAN'!J19,es_date_entree,"&gt;"&amp;date_inventaire,es_taille,'SUIVI STOCKS PAR PAYSAN'!$BF$7)-SUMIFS(v_Pièces,v_Taille,'SUIVI STOCKS PAR PAYSAN'!$BF$7,v_conc_prod_tye_affinage,'SUIVI STOCKS PAR PAYSAN'!J19,v_Date_commande,"&gt;"&amp;date_inventaire)</f>
        <v>0</v>
      </c>
      <c r="BG19" s="353">
        <f ca="1">SUMIFS(bddres_pieces,'BDD RESERVATIONS'!$G:$G,'SUIVI STOCKS PAR PAYSAN'!$BF$7,bddres_c_prod_type_aff,'SUIVI STOCKS PAR PAYSAN'!J19,'BDD RESERVATIONS'!$B:$B,"&gt;"&amp;date_inventaire)</f>
        <v>0</v>
      </c>
    </row>
    <row r="20" spans="1:59" ht="18.75" customHeight="1" x14ac:dyDescent="0.25">
      <c r="A20" s="331" t="str">
        <f ca="1">OFFSET('BDD PAYSANS'!$B$1,B20,0,1,1)</f>
        <v>GAEC PARADIS</v>
      </c>
      <c r="B20" s="325">
        <v>9</v>
      </c>
      <c r="C20" s="325" t="str">
        <f t="shared" ca="1" si="1"/>
        <v>GAEC PARADISFERMIER&lt;3 mois</v>
      </c>
      <c r="D20" s="325" t="str">
        <f t="shared" ca="1" si="1"/>
        <v>GAEC PARADISFERMIER3-6 mois</v>
      </c>
      <c r="E20" s="325" t="str">
        <f t="shared" ca="1" si="1"/>
        <v>GAEC PARADISFERMIER6-9 mois</v>
      </c>
      <c r="F20" s="325" t="str">
        <f t="shared" ca="1" si="1"/>
        <v>GAEC PARADISFERMIER&gt;9 mois</v>
      </c>
      <c r="G20" s="325" t="str">
        <f t="shared" ca="1" si="1"/>
        <v>GAEC PARADISESTIVE&lt;3 mois</v>
      </c>
      <c r="H20" s="325" t="str">
        <f t="shared" ca="1" si="1"/>
        <v>GAEC PARADISESTIVE3-6 mois</v>
      </c>
      <c r="I20" s="325" t="str">
        <f t="shared" ca="1" si="1"/>
        <v>GAEC PARADISESTIVE6-9 mois</v>
      </c>
      <c r="J20" s="325" t="str">
        <f t="shared" ca="1" si="1"/>
        <v>GAEC PARADISESTIVE&gt;9 mois</v>
      </c>
      <c r="K20" s="325"/>
      <c r="L20" s="352">
        <f ca="1">SUMIFS(es_poids,es_prod_type_affinage,'SUIVI STOCKS PAR PAYSAN'!$C20,es_date_entree,"&gt;"&amp;date_inventaire)-SUMIFS(v_Poids,v_conc_prod_tye_affinage,'SUIVI STOCKS PAR PAYSAN'!$C20,v_Date_commande,"&gt;"&amp;date_inventaire)</f>
        <v>0</v>
      </c>
      <c r="M20" s="341">
        <f ca="1">SUMIFS(bddres_c_qte,bddres_c_prod_type_aff,'SUIVI STOCKS PAR PAYSAN'!C20,'BDD RESERVATIONS'!$B:$B,"&gt;"&amp;date_inventaire)</f>
        <v>0</v>
      </c>
      <c r="N20" s="342">
        <f ca="1">SUMIFS(bddres_pieces,es_prod_type_affinage,'SUIVI STOCKS PAR PAYSAN'!$C20,es_date_entree,"&gt;"&amp;date_inventaire,es_taille,'SUIVI STOCKS PAR PAYSAN'!$N$7)-SUMIFS(v_Pièces,v_Taille,'SUIVI STOCKS PAR PAYSAN'!$N$7,v_conc_prod_tye_affinage,'SUIVI STOCKS PAR PAYSAN'!$C20,v_Date_commande,"&gt;"&amp;date_inventaire)</f>
        <v>0</v>
      </c>
      <c r="O20" s="342">
        <f ca="1">SUMIFS(bddres_pieces,'BDD RESERVATIONS'!$G:$G,'SUIVI STOCKS PAR PAYSAN'!$N$7,bddres_c_prod_type_aff,'SUIVI STOCKS PAR PAYSAN'!$C20,'BDD RESERVATIONS'!$B:$B,"&gt;"&amp;date_inventaire)</f>
        <v>0</v>
      </c>
      <c r="P20" s="343">
        <f ca="1">SUMIFS(es_pieces,es_prod_type_affinage,'SUIVI STOCKS PAR PAYSAN'!$C20,es_date_entree,"&gt;"&amp;date_inventaire,es_taille,'SUIVI STOCKS PAR PAYSAN'!$P$7)-SUMIFS(v_Pièces,v_Taille,'SUIVI STOCKS PAR PAYSAN'!$P$7,v_conc_prod_tye_affinage,'SUIVI STOCKS PAR PAYSAN'!$C20,v_Date_commande,"&gt;"&amp;date_inventaire)</f>
        <v>0</v>
      </c>
      <c r="Q20" s="353">
        <f ca="1">SUMIFS(bddres_pieces,'BDD RESERVATIONS'!$G:$G,'SUIVI STOCKS PAR PAYSAN'!$P$7,bddres_c_prod_type_aff,'SUIVI STOCKS PAR PAYSAN'!$C20,'BDD RESERVATIONS'!$B:$B,"&gt;"&amp;date_inventaire)</f>
        <v>0</v>
      </c>
      <c r="R20" s="348">
        <f ca="1">SUMIFS(es_poids,es_prod_type_affinage,'SUIVI STOCKS PAR PAYSAN'!$D20,es_date_entree,"&gt;"&amp;date_inventaire)-SUMIFS(v_Poids,v_conc_prod_tye_affinage,'SUIVI STOCKS PAR PAYSAN'!$D20,v_Date_commande,"&gt;"&amp;date_inventaire)</f>
        <v>0</v>
      </c>
      <c r="S20" s="341">
        <f ca="1">SUMIFS(bddres_c_qte,bddres_c_prod_type_aff,'SUIVI STOCKS PAR PAYSAN'!D20,'BDD RESERVATIONS'!$B:$B,"&gt;"&amp;date_inventaire)</f>
        <v>0</v>
      </c>
      <c r="T20" s="342">
        <f ca="1">SUMIFS(bddres_pieces,es_prod_type_affinage,'SUIVI STOCKS PAR PAYSAN'!$D20,es_date_entree,"&gt;"&amp;date_inventaire,es_taille,'SUIVI STOCKS PAR PAYSAN'!$T$7)-SUMIFS(v_Pièces,v_Taille,'SUIVI STOCKS PAR PAYSAN'!$T$7,v_conc_prod_tye_affinage,'SUIVI STOCKS PAR PAYSAN'!$D20,v_Date_commande,"&gt;"&amp;date_inventaire)</f>
        <v>0</v>
      </c>
      <c r="U20" s="342">
        <f ca="1">SUMIFS(bddres_pieces,'BDD RESERVATIONS'!$G:$G,'SUIVI STOCKS PAR PAYSAN'!$T$7,bddres_c_prod_type_aff,'SUIVI STOCKS PAR PAYSAN'!$D20,'BDD RESERVATIONS'!$B:$B,"&gt;"&amp;date_inventaire)</f>
        <v>0</v>
      </c>
      <c r="V20" s="343">
        <f ca="1">SUMIFS(es_pieces,es_prod_type_affinage,'SUIVI STOCKS PAR PAYSAN'!$D20,es_date_entree,"&gt;"&amp;date_inventaire,es_taille,'SUIVI STOCKS PAR PAYSAN'!$V$7)-SUMIFS(v_Pièces,v_Taille,'SUIVI STOCKS PAR PAYSAN'!$V$7,v_conc_prod_tye_affinage,'SUIVI STOCKS PAR PAYSAN'!$D20,v_Date_commande,"&gt;"&amp;date_inventaire)</f>
        <v>0</v>
      </c>
      <c r="W20" s="353">
        <f ca="1">SUMIFS(bddres_pieces,'BDD RESERVATIONS'!$G:$G,'SUIVI STOCKS PAR PAYSAN'!$V$7,bddres_c_prod_type_aff,'SUIVI STOCKS PAR PAYSAN'!$D20,'BDD RESERVATIONS'!$B:$B,"&gt;"&amp;date_inventaire)</f>
        <v>0</v>
      </c>
      <c r="X20" s="348">
        <f ca="1">SUMIFS(es_poids,es_prod_type_affinage,'SUIVI STOCKS PAR PAYSAN'!$E20,es_date_entree,"&gt;"&amp;date_inventaire)-SUMIFS(v_Poids,v_conc_prod_tye_affinage,'SUIVI STOCKS PAR PAYSAN'!$E20,v_Date_commande,"&gt;"&amp;date_inventaire)</f>
        <v>0</v>
      </c>
      <c r="Y20" s="341">
        <f ca="1">SUMIFS(bddres_c_qte,bddres_c_prod_type_aff,'SUIVI STOCKS PAR PAYSAN'!E20,'BDD RESERVATIONS'!$B:$B,"&gt;"&amp;date_inventaire)</f>
        <v>0</v>
      </c>
      <c r="Z20" s="342">
        <f ca="1">SUMIFS(bddres_pieces,es_prod_type_affinage,'SUIVI STOCKS PAR PAYSAN'!$E20,es_date_entree,"&gt;"&amp;date_inventaire,es_taille,'SUIVI STOCKS PAR PAYSAN'!$Z$7)-SUMIFS(v_Pièces,v_Taille,'SUIVI STOCKS PAR PAYSAN'!$Z$7,v_conc_prod_tye_affinage,'SUIVI STOCKS PAR PAYSAN'!$E20,v_Date_commande,"&gt;"&amp;date_inventaire)</f>
        <v>0</v>
      </c>
      <c r="AA20" s="342">
        <f ca="1">SUMIFS(bddres_pieces,'BDD RESERVATIONS'!$G:$G,'SUIVI STOCKS PAR PAYSAN'!$Z$7,bddres_c_prod_type_aff,'SUIVI STOCKS PAR PAYSAN'!$E20,'BDD RESERVATIONS'!$B:$B,"&gt;"&amp;date_inventaire)</f>
        <v>0</v>
      </c>
      <c r="AB20" s="343">
        <f ca="1">SUMIFS(es_pieces,es_prod_type_affinage,'SUIVI STOCKS PAR PAYSAN'!$E20,es_date_entree,"&gt;"&amp;date_inventaire,es_taille,'SUIVI STOCKS PAR PAYSAN'!$AB$7)-SUMIFS(v_Pièces,v_Taille,'SUIVI STOCKS PAR PAYSAN'!$AB$7,v_conc_prod_tye_affinage,'SUIVI STOCKS PAR PAYSAN'!$E20,v_Date_commande,"&gt;"&amp;date_inventaire)</f>
        <v>0</v>
      </c>
      <c r="AC20" s="353">
        <f ca="1">SUMIFS(bddres_pieces,'BDD RESERVATIONS'!$G:$G,'SUIVI STOCKS PAR PAYSAN'!$AB$7,bddres_c_prod_type_aff,'SUIVI STOCKS PAR PAYSAN'!$E20,'BDD RESERVATIONS'!$B:$B,"&gt;"&amp;date_inventaire)</f>
        <v>0</v>
      </c>
      <c r="AD20" s="348">
        <f ca="1">SUMIFS(es_poids,es_prod_type_affinage,'SUIVI STOCKS PAR PAYSAN'!$F20,es_date_entree,"&gt;"&amp;date_inventaire)-SUMIFS(v_Poids,v_conc_prod_tye_affinage,'SUIVI STOCKS PAR PAYSAN'!$F20,v_Date_commande,"&gt;"&amp;date_inventaire)</f>
        <v>0</v>
      </c>
      <c r="AE20" s="341">
        <f ca="1">SUMIFS(bddres_c_qte,bddres_c_prod_type_aff,'SUIVI STOCKS PAR PAYSAN'!F20,'BDD RESERVATIONS'!$B:$B,"&gt;"&amp;date_inventaire)</f>
        <v>0</v>
      </c>
      <c r="AF20" s="342">
        <f ca="1">SUMIFS(bddres_pieces,es_prod_type_affinage,'SUIVI STOCKS PAR PAYSAN'!$F20,es_date_entree,"&gt;"&amp;date_inventaire,es_taille,'SUIVI STOCKS PAR PAYSAN'!$Z$7)-SUMIFS(v_Pièces,v_Taille,'SUIVI STOCKS PAR PAYSAN'!$Z$7,v_conc_prod_tye_affinage,'SUIVI STOCKS PAR PAYSAN'!$F20,v_Date_commande,"&gt;"&amp;date_inventaire)</f>
        <v>0</v>
      </c>
      <c r="AG20" s="342">
        <f ca="1">SUMIFS(bddres_pieces,'BDD RESERVATIONS'!$G:$G,'SUIVI STOCKS PAR PAYSAN'!$Z$7,bddres_c_prod_type_aff,'SUIVI STOCKS PAR PAYSAN'!$F20,'BDD RESERVATIONS'!$B:$B,"&gt;"&amp;date_inventaire)</f>
        <v>0</v>
      </c>
      <c r="AH20" s="343">
        <f ca="1">SUMIFS(es_pieces,es_prod_type_affinage,'SUIVI STOCKS PAR PAYSAN'!$F20,es_date_entree,"&gt;"&amp;date_inventaire,es_taille,'SUIVI STOCKS PAR PAYSAN'!$AH$7)-SUMIFS(v_Pièces,v_Taille,'SUIVI STOCKS PAR PAYSAN'!$AH$7,v_conc_prod_tye_affinage,'SUIVI STOCKS PAR PAYSAN'!$F20,v_Date_commande,"&gt;"&amp;date_inventaire)</f>
        <v>0</v>
      </c>
      <c r="AI20" s="353">
        <f ca="1">SUMIFS(bddres_pieces,'BDD RESERVATIONS'!$G:$G,'SUIVI STOCKS PAR PAYSAN'!$AB$7,bddres_c_prod_type_aff,'SUIVI STOCKS PAR PAYSAN'!$F20,'BDD RESERVATIONS'!$B:$B,"&gt;"&amp;date_inventaire)</f>
        <v>0</v>
      </c>
      <c r="AJ20" s="352">
        <f ca="1">SUMIFS(es_poids,es_prod_type_affinage,'SUIVI STOCKS PAR PAYSAN'!$G20,es_date_entree,"&gt;"&amp;date_inventaire)-SUMIFS(v_Poids,v_conc_prod_tye_affinage,'SUIVI STOCKS PAR PAYSAN'!$G20,v_Date_commande,"&gt;"&amp;date_inventaire)</f>
        <v>0</v>
      </c>
      <c r="AK20" s="341">
        <f ca="1">SUMIFS(bddres_c_qte,bddres_c_prod_type_aff,'SUIVI STOCKS PAR PAYSAN'!G20,'BDD RESERVATIONS'!$B:$B,"&gt;"&amp;date_inventaire)</f>
        <v>0</v>
      </c>
      <c r="AL20" s="342">
        <f ca="1">SUMIFS(bddres_pieces,es_prod_type_affinage,'SUIVI STOCKS PAR PAYSAN'!$G20,es_date_entree,"&gt;"&amp;date_inventaire,es_taille,'SUIVI STOCKS PAR PAYSAN'!$AL$7)-SUMIFS(v_Pièces,v_Taille,'SUIVI STOCKS PAR PAYSAN'!$AL$7,v_conc_prod_tye_affinage,'SUIVI STOCKS PAR PAYSAN'!$G20,v_Date_commande,"&gt;"&amp;date_inventaire)</f>
        <v>0</v>
      </c>
      <c r="AM20" s="342">
        <f ca="1">SUMIFS(bddres_pieces,'BDD RESERVATIONS'!$G:$G,'SUIVI STOCKS PAR PAYSAN'!$AL$7,bddres_c_prod_type_aff,'SUIVI STOCKS PAR PAYSAN'!$G20,'BDD RESERVATIONS'!$B:$B,"&gt;"&amp;date_inventaire)</f>
        <v>0</v>
      </c>
      <c r="AN20" s="343">
        <f ca="1">SUMIFS(es_pieces,es_prod_type_affinage,'SUIVI STOCKS PAR PAYSAN'!$G20,es_date_entree,"&gt;"&amp;date_inventaire,es_taille,'SUIVI STOCKS PAR PAYSAN'!$AN$7)-SUMIFS(v_Pièces,v_Taille,'SUIVI STOCKS PAR PAYSAN'!$AN$7,v_conc_prod_tye_affinage,'SUIVI STOCKS PAR PAYSAN'!$G20,v_Date_commande,"&gt;"&amp;date_inventaire)</f>
        <v>0</v>
      </c>
      <c r="AO20" s="353">
        <f ca="1">SUMIFS(bddres_pieces,'BDD RESERVATIONS'!$G:$G,'SUIVI STOCKS PAR PAYSAN'!$AN$7,bddres_c_prod_type_aff,'SUIVI STOCKS PAR PAYSAN'!$G20,'BDD RESERVATIONS'!$B:$B,"&gt;"&amp;date_inventaire)</f>
        <v>0</v>
      </c>
      <c r="AP20" s="348">
        <f ca="1">SUMIFS(es_poids,es_prod_type_affinage,'SUIVI STOCKS PAR PAYSAN'!$H20,es_date_entree,"&gt;"&amp;date_inventaire)-SUMIFS(v_Poids,v_conc_prod_tye_affinage,'SUIVI STOCKS PAR PAYSAN'!$H20,v_Date_commande,"&gt;"&amp;date_inventaire)</f>
        <v>0</v>
      </c>
      <c r="AQ20" s="341">
        <f ca="1">SUMIFS(bddres_c_qte,bddres_c_prod_type_aff,'SUIVI STOCKS PAR PAYSAN'!H20,'BDD RESERVATIONS'!$B:$B,"&gt;"&amp;date_inventaire)</f>
        <v>0</v>
      </c>
      <c r="AR20" s="342">
        <f ca="1">SUMIFS(bddres_pieces,es_prod_type_affinage,'SUIVI STOCKS PAR PAYSAN'!$H20,es_date_entree,"&gt;"&amp;date_inventaire,es_taille,'SUIVI STOCKS PAR PAYSAN'!$AR$7)-SUMIFS(v_Pièces,v_Taille,'SUIVI STOCKS PAR PAYSAN'!$AR$7,v_conc_prod_tye_affinage,'SUIVI STOCKS PAR PAYSAN'!$H20,v_Date_commande,"&gt;"&amp;date_inventaire)</f>
        <v>0</v>
      </c>
      <c r="AS20" s="326">
        <f ca="1">SUMIFS(bddres_pieces,'BDD RESERVATIONS'!$G:$G,'SUIVI STOCKS PAR PAYSAN'!AR15,bddres_c_prod_type_aff,'SUIVI STOCKS PAR PAYSAN'!$H20,'BDD RESERVATIONS'!$B:$B,"&gt;"&amp;date_inventaire)</f>
        <v>0</v>
      </c>
      <c r="AT20" s="343">
        <f ca="1">SUMIFS(es_pieces,es_prod_type_affinage,'SUIVI STOCKS PAR PAYSAN'!$H20,es_date_entree,"&gt;"&amp;date_inventaire,es_taille,'SUIVI STOCKS PAR PAYSAN'!$AT$7)-SUMIFS(v_Pièces,v_Taille,'SUIVI STOCKS PAR PAYSAN'!$AT$7,v_conc_prod_tye_affinage,'SUIVI STOCKS PAR PAYSAN'!$H20,v_Date_commande,"&gt;"&amp;date_inventaire)</f>
        <v>0</v>
      </c>
      <c r="AU20" s="353">
        <f ca="1">SUMIFS(bddres_pieces,'BDD RESERVATIONS'!$G:$G,'SUIVI STOCKS PAR PAYSAN'!$AT$7,bddres_c_prod_type_aff,'SUIVI STOCKS PAR PAYSAN'!$H20,'BDD RESERVATIONS'!$B:$B,"&gt;"&amp;date_inventaire)</f>
        <v>0</v>
      </c>
      <c r="AV20" s="348">
        <f ca="1">SUMIFS(es_poids,es_prod_type_affinage,'SUIVI STOCKS PAR PAYSAN'!$I20,es_date_entree,"&gt;"&amp;date_inventaire)-SUMIFS(v_Poids,v_conc_prod_tye_affinage,'SUIVI STOCKS PAR PAYSAN'!$E20,v_Date_commande,"&gt;"&amp;date_inventaire)</f>
        <v>0</v>
      </c>
      <c r="AW20" s="313">
        <f ca="1">SUMIFS(bddres_c_qte,bddres_c_prod_type_aff,'SUIVI STOCKS PAR PAYSAN'!I20,'BDD RESERVATIONS'!$B:$B,"&gt;"&amp;date_inventaire)</f>
        <v>0</v>
      </c>
      <c r="AX20" s="342">
        <f ca="1">SUMIFS(bddres_pieces,es_prod_type_affinage,'SUIVI STOCKS PAR PAYSAN'!$I20,es_date_entree,"&gt;"&amp;date_inventaire,es_taille,'SUIVI STOCKS PAR PAYSAN'!$AX$7)-SUMIFS(v_Pièces,v_Taille,'SUIVI STOCKS PAR PAYSAN'!$AX$7,v_conc_prod_tye_affinage,'SUIVI STOCKS PAR PAYSAN'!$I20,v_Date_commande,"&gt;"&amp;date_inventaire)</f>
        <v>0</v>
      </c>
      <c r="AY20" s="342">
        <f ca="1">SUMIFS(bddres_pieces,'BDD RESERVATIONS'!$G:$G,'SUIVI STOCKS PAR PAYSAN'!$AX$7,bddres_c_prod_type_aff,'SUIVI STOCKS PAR PAYSAN'!$I20,'BDD RESERVATIONS'!$B:$B,"&gt;"&amp;date_inventaire)</f>
        <v>0</v>
      </c>
      <c r="AZ20" s="343">
        <f ca="1">SUMIFS(es_pieces,es_prod_type_affinage,'SUIVI STOCKS PAR PAYSAN'!$I20,es_date_entree,"&gt;"&amp;date_inventaire,es_taille,'SUIVI STOCKS PAR PAYSAN'!$AZ$7)-SUMIFS(v_Pièces,v_Taille,'SUIVI STOCKS PAR PAYSAN'!$AZ$7,v_conc_prod_tye_affinage,'SUIVI STOCKS PAR PAYSAN'!$I20,v_Date_commande,"&gt;"&amp;date_inventaire)</f>
        <v>0</v>
      </c>
      <c r="BA20" s="353">
        <f ca="1">SUMIFS(bddres_pieces,'BDD RESERVATIONS'!$G:$G,'SUIVI STOCKS PAR PAYSAN'!$AZ$7,bddres_c_prod_type_aff,'SUIVI STOCKS PAR PAYSAN'!$I20,'BDD RESERVATIONS'!$B:$B,"&gt;"&amp;date_inventaire)</f>
        <v>0</v>
      </c>
      <c r="BB20" s="348">
        <f ca="1">SUMIFS(es_poids,es_prod_type_affinage,'SUIVI STOCKS PAR PAYSAN'!$J20,es_date_entree,"&gt;"&amp;date_inventaire)-SUMIFS(v_Poids,v_conc_prod_tye_affinage,'SUIVI STOCKS PAR PAYSAN'!$J20,v_Date_commande,"&gt;"&amp;date_inventaire)</f>
        <v>0</v>
      </c>
      <c r="BC20" s="313">
        <f ca="1">SUMIFS(bddres_c_qte,bddres_c_prod_type_aff,'SUIVI STOCKS PAR PAYSAN'!J20,'BDD RESERVATIONS'!$B:$B,"&gt;"&amp;date_inventaire)</f>
        <v>0</v>
      </c>
      <c r="BD20" s="342">
        <f ca="1">SUMIFS(bddres_pieces,es_prod_type_affinage,'SUIVI STOCKS PAR PAYSAN'!$J20,es_date_entree,"&gt;"&amp;date_inventaire,es_taille,'SUIVI STOCKS PAR PAYSAN'!$BD$7)-SUMIFS(v_Pièces,v_Taille,'SUIVI STOCKS PAR PAYSAN'!$BD$7,v_conc_prod_tye_affinage,'SUIVI STOCKS PAR PAYSAN'!$J20,v_Date_commande,"&gt;"&amp;date_inventaire)</f>
        <v>0</v>
      </c>
      <c r="BE20" s="326">
        <f ca="1">SUMIFS(bddres_pieces,'BDD RESERVATIONS'!$G:$G,'SUIVI STOCKS PAR PAYSAN'!BD15,bddres_c_prod_type_aff,'SUIVI STOCKS PAR PAYSAN'!J20,'BDD RESERVATIONS'!$B:$B,"&gt;"&amp;date_inventaire)</f>
        <v>0</v>
      </c>
      <c r="BF20" s="343">
        <f ca="1">SUMIFS(es_pieces,es_prod_type_affinage,'SUIVI STOCKS PAR PAYSAN'!J20,es_date_entree,"&gt;"&amp;date_inventaire,es_taille,'SUIVI STOCKS PAR PAYSAN'!$BF$7)-SUMIFS(v_Pièces,v_Taille,'SUIVI STOCKS PAR PAYSAN'!$BF$7,v_conc_prod_tye_affinage,'SUIVI STOCKS PAR PAYSAN'!J20,v_Date_commande,"&gt;"&amp;date_inventaire)</f>
        <v>0</v>
      </c>
      <c r="BG20" s="353">
        <f ca="1">SUMIFS(bddres_pieces,'BDD RESERVATIONS'!$G:$G,'SUIVI STOCKS PAR PAYSAN'!$BF$7,bddres_c_prod_type_aff,'SUIVI STOCKS PAR PAYSAN'!J20,'BDD RESERVATIONS'!$B:$B,"&gt;"&amp;date_inventaire)</f>
        <v>0</v>
      </c>
    </row>
    <row r="21" spans="1:59" ht="18.75" customHeight="1" x14ac:dyDescent="0.25">
      <c r="A21" s="331" t="str">
        <f ca="1">OFFSET('BDD PAYSANS'!$B$1,B21,0,1,1)</f>
        <v>IRITÇITY Allande</v>
      </c>
      <c r="B21" s="325">
        <v>10</v>
      </c>
      <c r="C21" s="325" t="str">
        <f t="shared" ca="1" si="1"/>
        <v>IRITÇITY AllandeFERMIER&lt;3 mois</v>
      </c>
      <c r="D21" s="325" t="str">
        <f t="shared" ca="1" si="1"/>
        <v>IRITÇITY AllandeFERMIER3-6 mois</v>
      </c>
      <c r="E21" s="325" t="str">
        <f t="shared" ca="1" si="1"/>
        <v>IRITÇITY AllandeFERMIER6-9 mois</v>
      </c>
      <c r="F21" s="325" t="str">
        <f t="shared" ca="1" si="1"/>
        <v>IRITÇITY AllandeFERMIER&gt;9 mois</v>
      </c>
      <c r="G21" s="325" t="str">
        <f t="shared" ca="1" si="1"/>
        <v>IRITÇITY AllandeESTIVE&lt;3 mois</v>
      </c>
      <c r="H21" s="325" t="str">
        <f t="shared" ca="1" si="1"/>
        <v>IRITÇITY AllandeESTIVE3-6 mois</v>
      </c>
      <c r="I21" s="325" t="str">
        <f t="shared" ca="1" si="1"/>
        <v>IRITÇITY AllandeESTIVE6-9 mois</v>
      </c>
      <c r="J21" s="325" t="str">
        <f t="shared" ca="1" si="1"/>
        <v>IRITÇITY AllandeESTIVE&gt;9 mois</v>
      </c>
      <c r="K21" s="325"/>
      <c r="L21" s="352">
        <f ca="1">SUMIFS(es_poids,es_prod_type_affinage,'SUIVI STOCKS PAR PAYSAN'!$C21,es_date_entree,"&gt;"&amp;date_inventaire)-SUMIFS(v_Poids,v_conc_prod_tye_affinage,'SUIVI STOCKS PAR PAYSAN'!$C21,v_Date_commande,"&gt;"&amp;date_inventaire)</f>
        <v>0</v>
      </c>
      <c r="M21" s="341">
        <f ca="1">SUMIFS(bddres_c_qte,bddres_c_prod_type_aff,'SUIVI STOCKS PAR PAYSAN'!C21,'BDD RESERVATIONS'!$B:$B,"&gt;"&amp;date_inventaire)</f>
        <v>0</v>
      </c>
      <c r="N21" s="342">
        <f ca="1">SUMIFS(bddres_pieces,es_prod_type_affinage,'SUIVI STOCKS PAR PAYSAN'!$C21,es_date_entree,"&gt;"&amp;date_inventaire,es_taille,'SUIVI STOCKS PAR PAYSAN'!$N$7)-SUMIFS(v_Pièces,v_Taille,'SUIVI STOCKS PAR PAYSAN'!$N$7,v_conc_prod_tye_affinage,'SUIVI STOCKS PAR PAYSAN'!$C21,v_Date_commande,"&gt;"&amp;date_inventaire)</f>
        <v>0</v>
      </c>
      <c r="O21" s="342">
        <f ca="1">SUMIFS(bddres_pieces,'BDD RESERVATIONS'!$G:$G,'SUIVI STOCKS PAR PAYSAN'!$N$7,bddres_c_prod_type_aff,'SUIVI STOCKS PAR PAYSAN'!$C21,'BDD RESERVATIONS'!$B:$B,"&gt;"&amp;date_inventaire)</f>
        <v>0</v>
      </c>
      <c r="P21" s="343">
        <f ca="1">SUMIFS(es_pieces,es_prod_type_affinage,'SUIVI STOCKS PAR PAYSAN'!$C21,es_date_entree,"&gt;"&amp;date_inventaire,es_taille,'SUIVI STOCKS PAR PAYSAN'!$P$7)-SUMIFS(v_Pièces,v_Taille,'SUIVI STOCKS PAR PAYSAN'!$P$7,v_conc_prod_tye_affinage,'SUIVI STOCKS PAR PAYSAN'!$C21,v_Date_commande,"&gt;"&amp;date_inventaire)</f>
        <v>0</v>
      </c>
      <c r="Q21" s="353">
        <f ca="1">SUMIFS(bddres_pieces,'BDD RESERVATIONS'!$G:$G,'SUIVI STOCKS PAR PAYSAN'!$P$7,bddres_c_prod_type_aff,'SUIVI STOCKS PAR PAYSAN'!$C21,'BDD RESERVATIONS'!$B:$B,"&gt;"&amp;date_inventaire)</f>
        <v>0</v>
      </c>
      <c r="R21" s="348">
        <f ca="1">SUMIFS(es_poids,es_prod_type_affinage,'SUIVI STOCKS PAR PAYSAN'!$D21,es_date_entree,"&gt;"&amp;date_inventaire)-SUMIFS(v_Poids,v_conc_prod_tye_affinage,'SUIVI STOCKS PAR PAYSAN'!$D21,v_Date_commande,"&gt;"&amp;date_inventaire)</f>
        <v>0</v>
      </c>
      <c r="S21" s="341">
        <f ca="1">SUMIFS(bddres_c_qte,bddres_c_prod_type_aff,'SUIVI STOCKS PAR PAYSAN'!D21,'BDD RESERVATIONS'!$B:$B,"&gt;"&amp;date_inventaire)</f>
        <v>0</v>
      </c>
      <c r="T21" s="342">
        <f ca="1">SUMIFS(bddres_pieces,es_prod_type_affinage,'SUIVI STOCKS PAR PAYSAN'!$D21,es_date_entree,"&gt;"&amp;date_inventaire,es_taille,'SUIVI STOCKS PAR PAYSAN'!$T$7)-SUMIFS(v_Pièces,v_Taille,'SUIVI STOCKS PAR PAYSAN'!$T$7,v_conc_prod_tye_affinage,'SUIVI STOCKS PAR PAYSAN'!$D21,v_Date_commande,"&gt;"&amp;date_inventaire)</f>
        <v>0</v>
      </c>
      <c r="U21" s="342">
        <f ca="1">SUMIFS(bddres_pieces,'BDD RESERVATIONS'!$G:$G,'SUIVI STOCKS PAR PAYSAN'!$T$7,bddres_c_prod_type_aff,'SUIVI STOCKS PAR PAYSAN'!$D21,'BDD RESERVATIONS'!$B:$B,"&gt;"&amp;date_inventaire)</f>
        <v>0</v>
      </c>
      <c r="V21" s="343">
        <f ca="1">SUMIFS(es_pieces,es_prod_type_affinage,'SUIVI STOCKS PAR PAYSAN'!$D21,es_date_entree,"&gt;"&amp;date_inventaire,es_taille,'SUIVI STOCKS PAR PAYSAN'!$V$7)-SUMIFS(v_Pièces,v_Taille,'SUIVI STOCKS PAR PAYSAN'!$V$7,v_conc_prod_tye_affinage,'SUIVI STOCKS PAR PAYSAN'!$D21,v_Date_commande,"&gt;"&amp;date_inventaire)</f>
        <v>0</v>
      </c>
      <c r="W21" s="353">
        <f ca="1">SUMIFS(bddres_pieces,'BDD RESERVATIONS'!$G:$G,'SUIVI STOCKS PAR PAYSAN'!$V$7,bddres_c_prod_type_aff,'SUIVI STOCKS PAR PAYSAN'!$D21,'BDD RESERVATIONS'!$B:$B,"&gt;"&amp;date_inventaire)</f>
        <v>0</v>
      </c>
      <c r="X21" s="348">
        <f ca="1">SUMIFS(es_poids,es_prod_type_affinage,'SUIVI STOCKS PAR PAYSAN'!$E21,es_date_entree,"&gt;"&amp;date_inventaire)-SUMIFS(v_Poids,v_conc_prod_tye_affinage,'SUIVI STOCKS PAR PAYSAN'!$E21,v_Date_commande,"&gt;"&amp;date_inventaire)</f>
        <v>0</v>
      </c>
      <c r="Y21" s="341">
        <f ca="1">SUMIFS(bddres_c_qte,bddres_c_prod_type_aff,'SUIVI STOCKS PAR PAYSAN'!E21,'BDD RESERVATIONS'!$B:$B,"&gt;"&amp;date_inventaire)</f>
        <v>0</v>
      </c>
      <c r="Z21" s="342">
        <f ca="1">SUMIFS(bddres_pieces,es_prod_type_affinage,'SUIVI STOCKS PAR PAYSAN'!$E21,es_date_entree,"&gt;"&amp;date_inventaire,es_taille,'SUIVI STOCKS PAR PAYSAN'!$Z$7)-SUMIFS(v_Pièces,v_Taille,'SUIVI STOCKS PAR PAYSAN'!$Z$7,v_conc_prod_tye_affinage,'SUIVI STOCKS PAR PAYSAN'!$E21,v_Date_commande,"&gt;"&amp;date_inventaire)</f>
        <v>0</v>
      </c>
      <c r="AA21" s="342">
        <f ca="1">SUMIFS(bddres_pieces,'BDD RESERVATIONS'!$G:$G,'SUIVI STOCKS PAR PAYSAN'!$Z$7,bddres_c_prod_type_aff,'SUIVI STOCKS PAR PAYSAN'!$E21,'BDD RESERVATIONS'!$B:$B,"&gt;"&amp;date_inventaire)</f>
        <v>0</v>
      </c>
      <c r="AB21" s="343">
        <f ca="1">SUMIFS(es_pieces,es_prod_type_affinage,'SUIVI STOCKS PAR PAYSAN'!$E21,es_date_entree,"&gt;"&amp;date_inventaire,es_taille,'SUIVI STOCKS PAR PAYSAN'!$AB$7)-SUMIFS(v_Pièces,v_Taille,'SUIVI STOCKS PAR PAYSAN'!$AB$7,v_conc_prod_tye_affinage,'SUIVI STOCKS PAR PAYSAN'!$E21,v_Date_commande,"&gt;"&amp;date_inventaire)</f>
        <v>0</v>
      </c>
      <c r="AC21" s="353">
        <f ca="1">SUMIFS(bddres_pieces,'BDD RESERVATIONS'!$G:$G,'SUIVI STOCKS PAR PAYSAN'!$AB$7,bddres_c_prod_type_aff,'SUIVI STOCKS PAR PAYSAN'!$E21,'BDD RESERVATIONS'!$B:$B,"&gt;"&amp;date_inventaire)</f>
        <v>0</v>
      </c>
      <c r="AD21" s="348">
        <f ca="1">SUMIFS(es_poids,es_prod_type_affinage,'SUIVI STOCKS PAR PAYSAN'!$F21,es_date_entree,"&gt;"&amp;date_inventaire)-SUMIFS(v_Poids,v_conc_prod_tye_affinage,'SUIVI STOCKS PAR PAYSAN'!$F21,v_Date_commande,"&gt;"&amp;date_inventaire)</f>
        <v>0</v>
      </c>
      <c r="AE21" s="341">
        <f ca="1">SUMIFS(bddres_c_qte,bddres_c_prod_type_aff,'SUIVI STOCKS PAR PAYSAN'!F21,'BDD RESERVATIONS'!$B:$B,"&gt;"&amp;date_inventaire)</f>
        <v>0</v>
      </c>
      <c r="AF21" s="342">
        <f ca="1">SUMIFS(bddres_pieces,es_prod_type_affinage,'SUIVI STOCKS PAR PAYSAN'!$F21,es_date_entree,"&gt;"&amp;date_inventaire,es_taille,'SUIVI STOCKS PAR PAYSAN'!$Z$7)-SUMIFS(v_Pièces,v_Taille,'SUIVI STOCKS PAR PAYSAN'!$Z$7,v_conc_prod_tye_affinage,'SUIVI STOCKS PAR PAYSAN'!$F21,v_Date_commande,"&gt;"&amp;date_inventaire)</f>
        <v>0</v>
      </c>
      <c r="AG21" s="342">
        <f ca="1">SUMIFS(bddres_pieces,'BDD RESERVATIONS'!$G:$G,'SUIVI STOCKS PAR PAYSAN'!$Z$7,bddres_c_prod_type_aff,'SUIVI STOCKS PAR PAYSAN'!$F21,'BDD RESERVATIONS'!$B:$B,"&gt;"&amp;date_inventaire)</f>
        <v>0</v>
      </c>
      <c r="AH21" s="343">
        <f ca="1">SUMIFS(es_pieces,es_prod_type_affinage,'SUIVI STOCKS PAR PAYSAN'!$F21,es_date_entree,"&gt;"&amp;date_inventaire,es_taille,'SUIVI STOCKS PAR PAYSAN'!$AH$7)-SUMIFS(v_Pièces,v_Taille,'SUIVI STOCKS PAR PAYSAN'!$AH$7,v_conc_prod_tye_affinage,'SUIVI STOCKS PAR PAYSAN'!$F21,v_Date_commande,"&gt;"&amp;date_inventaire)</f>
        <v>0</v>
      </c>
      <c r="AI21" s="353">
        <f ca="1">SUMIFS(bddres_pieces,'BDD RESERVATIONS'!$G:$G,'SUIVI STOCKS PAR PAYSAN'!$AB$7,bddres_c_prod_type_aff,'SUIVI STOCKS PAR PAYSAN'!$F21,'BDD RESERVATIONS'!$B:$B,"&gt;"&amp;date_inventaire)</f>
        <v>0</v>
      </c>
      <c r="AJ21" s="352">
        <f ca="1">SUMIFS(es_poids,es_prod_type_affinage,'SUIVI STOCKS PAR PAYSAN'!$G21,es_date_entree,"&gt;"&amp;date_inventaire)-SUMIFS(v_Poids,v_conc_prod_tye_affinage,'SUIVI STOCKS PAR PAYSAN'!$G21,v_Date_commande,"&gt;"&amp;date_inventaire)</f>
        <v>0</v>
      </c>
      <c r="AK21" s="341">
        <f ca="1">SUMIFS(bddres_c_qte,bddres_c_prod_type_aff,'SUIVI STOCKS PAR PAYSAN'!G21,'BDD RESERVATIONS'!$B:$B,"&gt;"&amp;date_inventaire)</f>
        <v>0</v>
      </c>
      <c r="AL21" s="342">
        <f ca="1">SUMIFS(bddres_pieces,es_prod_type_affinage,'SUIVI STOCKS PAR PAYSAN'!$G21,es_date_entree,"&gt;"&amp;date_inventaire,es_taille,'SUIVI STOCKS PAR PAYSAN'!$AL$7)-SUMIFS(v_Pièces,v_Taille,'SUIVI STOCKS PAR PAYSAN'!$AL$7,v_conc_prod_tye_affinage,'SUIVI STOCKS PAR PAYSAN'!$G21,v_Date_commande,"&gt;"&amp;date_inventaire)</f>
        <v>0</v>
      </c>
      <c r="AM21" s="342">
        <f ca="1">SUMIFS(bddres_pieces,'BDD RESERVATIONS'!$G:$G,'SUIVI STOCKS PAR PAYSAN'!$AL$7,bddres_c_prod_type_aff,'SUIVI STOCKS PAR PAYSAN'!$G21,'BDD RESERVATIONS'!$B:$B,"&gt;"&amp;date_inventaire)</f>
        <v>0</v>
      </c>
      <c r="AN21" s="343">
        <f ca="1">SUMIFS(es_pieces,es_prod_type_affinage,'SUIVI STOCKS PAR PAYSAN'!$G21,es_date_entree,"&gt;"&amp;date_inventaire,es_taille,'SUIVI STOCKS PAR PAYSAN'!$AN$7)-SUMIFS(v_Pièces,v_Taille,'SUIVI STOCKS PAR PAYSAN'!$AN$7,v_conc_prod_tye_affinage,'SUIVI STOCKS PAR PAYSAN'!$G21,v_Date_commande,"&gt;"&amp;date_inventaire)</f>
        <v>0</v>
      </c>
      <c r="AO21" s="353">
        <f ca="1">SUMIFS(bddres_pieces,'BDD RESERVATIONS'!$G:$G,'SUIVI STOCKS PAR PAYSAN'!$AN$7,bddres_c_prod_type_aff,'SUIVI STOCKS PAR PAYSAN'!$G21,'BDD RESERVATIONS'!$B:$B,"&gt;"&amp;date_inventaire)</f>
        <v>0</v>
      </c>
      <c r="AP21" s="348">
        <f ca="1">SUMIFS(es_poids,es_prod_type_affinage,'SUIVI STOCKS PAR PAYSAN'!$H21,es_date_entree,"&gt;"&amp;date_inventaire)-SUMIFS(v_Poids,v_conc_prod_tye_affinage,'SUIVI STOCKS PAR PAYSAN'!$H21,v_Date_commande,"&gt;"&amp;date_inventaire)</f>
        <v>0</v>
      </c>
      <c r="AQ21" s="341">
        <f ca="1">SUMIFS(bddres_c_qte,bddres_c_prod_type_aff,'SUIVI STOCKS PAR PAYSAN'!H21,'BDD RESERVATIONS'!$B:$B,"&gt;"&amp;date_inventaire)</f>
        <v>0</v>
      </c>
      <c r="AR21" s="342">
        <f ca="1">SUMIFS(bddres_pieces,es_prod_type_affinage,'SUIVI STOCKS PAR PAYSAN'!$H21,es_date_entree,"&gt;"&amp;date_inventaire,es_taille,'SUIVI STOCKS PAR PAYSAN'!$AR$7)-SUMIFS(v_Pièces,v_Taille,'SUIVI STOCKS PAR PAYSAN'!$AR$7,v_conc_prod_tye_affinage,'SUIVI STOCKS PAR PAYSAN'!$H21,v_Date_commande,"&gt;"&amp;date_inventaire)</f>
        <v>0</v>
      </c>
      <c r="AS21" s="326">
        <f ca="1">SUMIFS(bddres_pieces,'BDD RESERVATIONS'!$G:$G,'SUIVI STOCKS PAR PAYSAN'!AR16,bddres_c_prod_type_aff,'SUIVI STOCKS PAR PAYSAN'!$H21,'BDD RESERVATIONS'!$B:$B,"&gt;"&amp;date_inventaire)</f>
        <v>0</v>
      </c>
      <c r="AT21" s="343">
        <f ca="1">SUMIFS(es_pieces,es_prod_type_affinage,'SUIVI STOCKS PAR PAYSAN'!$H21,es_date_entree,"&gt;"&amp;date_inventaire,es_taille,'SUIVI STOCKS PAR PAYSAN'!$AT$7)-SUMIFS(v_Pièces,v_Taille,'SUIVI STOCKS PAR PAYSAN'!$AT$7,v_conc_prod_tye_affinage,'SUIVI STOCKS PAR PAYSAN'!$H21,v_Date_commande,"&gt;"&amp;date_inventaire)</f>
        <v>0</v>
      </c>
      <c r="AU21" s="353">
        <f ca="1">SUMIFS(bddres_pieces,'BDD RESERVATIONS'!$G:$G,'SUIVI STOCKS PAR PAYSAN'!$AT$7,bddres_c_prod_type_aff,'SUIVI STOCKS PAR PAYSAN'!$H21,'BDD RESERVATIONS'!$B:$B,"&gt;"&amp;date_inventaire)</f>
        <v>0</v>
      </c>
      <c r="AV21" s="348">
        <f ca="1">SUMIFS(es_poids,es_prod_type_affinage,'SUIVI STOCKS PAR PAYSAN'!$I21,es_date_entree,"&gt;"&amp;date_inventaire)-SUMIFS(v_Poids,v_conc_prod_tye_affinage,'SUIVI STOCKS PAR PAYSAN'!$E21,v_Date_commande,"&gt;"&amp;date_inventaire)</f>
        <v>0</v>
      </c>
      <c r="AW21" s="313">
        <f ca="1">SUMIFS(bddres_c_qte,bddres_c_prod_type_aff,'SUIVI STOCKS PAR PAYSAN'!I21,'BDD RESERVATIONS'!$B:$B,"&gt;"&amp;date_inventaire)</f>
        <v>0</v>
      </c>
      <c r="AX21" s="342">
        <f ca="1">SUMIFS(bddres_pieces,es_prod_type_affinage,'SUIVI STOCKS PAR PAYSAN'!$I21,es_date_entree,"&gt;"&amp;date_inventaire,es_taille,'SUIVI STOCKS PAR PAYSAN'!$AX$7)-SUMIFS(v_Pièces,v_Taille,'SUIVI STOCKS PAR PAYSAN'!$AX$7,v_conc_prod_tye_affinage,'SUIVI STOCKS PAR PAYSAN'!$I21,v_Date_commande,"&gt;"&amp;date_inventaire)</f>
        <v>0</v>
      </c>
      <c r="AY21" s="342">
        <f ca="1">SUMIFS(bddres_pieces,'BDD RESERVATIONS'!$G:$G,'SUIVI STOCKS PAR PAYSAN'!$AX$7,bddres_c_prod_type_aff,'SUIVI STOCKS PAR PAYSAN'!$I21,'BDD RESERVATIONS'!$B:$B,"&gt;"&amp;date_inventaire)</f>
        <v>0</v>
      </c>
      <c r="AZ21" s="343">
        <f ca="1">SUMIFS(es_pieces,es_prod_type_affinage,'SUIVI STOCKS PAR PAYSAN'!$I21,es_date_entree,"&gt;"&amp;date_inventaire,es_taille,'SUIVI STOCKS PAR PAYSAN'!$AZ$7)-SUMIFS(v_Pièces,v_Taille,'SUIVI STOCKS PAR PAYSAN'!$AZ$7,v_conc_prod_tye_affinage,'SUIVI STOCKS PAR PAYSAN'!$I21,v_Date_commande,"&gt;"&amp;date_inventaire)</f>
        <v>0</v>
      </c>
      <c r="BA21" s="353">
        <f ca="1">SUMIFS(bddres_pieces,'BDD RESERVATIONS'!$G:$G,'SUIVI STOCKS PAR PAYSAN'!$AZ$7,bddres_c_prod_type_aff,'SUIVI STOCKS PAR PAYSAN'!$I21,'BDD RESERVATIONS'!$B:$B,"&gt;"&amp;date_inventaire)</f>
        <v>0</v>
      </c>
      <c r="BB21" s="348">
        <f ca="1">SUMIFS(es_poids,es_prod_type_affinage,'SUIVI STOCKS PAR PAYSAN'!$J21,es_date_entree,"&gt;"&amp;date_inventaire)-SUMIFS(v_Poids,v_conc_prod_tye_affinage,'SUIVI STOCKS PAR PAYSAN'!$J21,v_Date_commande,"&gt;"&amp;date_inventaire)</f>
        <v>0</v>
      </c>
      <c r="BC21" s="313">
        <f ca="1">SUMIFS(bddres_c_qte,bddres_c_prod_type_aff,'SUIVI STOCKS PAR PAYSAN'!J21,'BDD RESERVATIONS'!$B:$B,"&gt;"&amp;date_inventaire)</f>
        <v>0</v>
      </c>
      <c r="BD21" s="342">
        <f ca="1">SUMIFS(bddres_pieces,es_prod_type_affinage,'SUIVI STOCKS PAR PAYSAN'!$J21,es_date_entree,"&gt;"&amp;date_inventaire,es_taille,'SUIVI STOCKS PAR PAYSAN'!$BD$7)-SUMIFS(v_Pièces,v_Taille,'SUIVI STOCKS PAR PAYSAN'!$BD$7,v_conc_prod_tye_affinage,'SUIVI STOCKS PAR PAYSAN'!$J21,v_Date_commande,"&gt;"&amp;date_inventaire)</f>
        <v>0</v>
      </c>
      <c r="BE21" s="326">
        <f ca="1">SUMIFS(bddres_pieces,'BDD RESERVATIONS'!$G:$G,'SUIVI STOCKS PAR PAYSAN'!BD16,bddres_c_prod_type_aff,'SUIVI STOCKS PAR PAYSAN'!J21,'BDD RESERVATIONS'!$B:$B,"&gt;"&amp;date_inventaire)</f>
        <v>0</v>
      </c>
      <c r="BF21" s="343">
        <f ca="1">SUMIFS(es_pieces,es_prod_type_affinage,'SUIVI STOCKS PAR PAYSAN'!J21,es_date_entree,"&gt;"&amp;date_inventaire,es_taille,'SUIVI STOCKS PAR PAYSAN'!$BF$7)-SUMIFS(v_Pièces,v_Taille,'SUIVI STOCKS PAR PAYSAN'!$BF$7,v_conc_prod_tye_affinage,'SUIVI STOCKS PAR PAYSAN'!J21,v_Date_commande,"&gt;"&amp;date_inventaire)</f>
        <v>0</v>
      </c>
      <c r="BG21" s="353">
        <f ca="1">SUMIFS(bddres_pieces,'BDD RESERVATIONS'!$G:$G,'SUIVI STOCKS PAR PAYSAN'!$BF$7,bddres_c_prod_type_aff,'SUIVI STOCKS PAR PAYSAN'!J21,'BDD RESERVATIONS'!$B:$B,"&gt;"&amp;date_inventaire)</f>
        <v>0</v>
      </c>
    </row>
    <row r="22" spans="1:59" ht="18.75" customHeight="1" x14ac:dyDescent="0.25">
      <c r="A22" s="331" t="str">
        <f ca="1">OFFSET('BDD PAYSANS'!$B$1,B22,0,1,1)</f>
        <v>JARAGOYHEN Jean</v>
      </c>
      <c r="B22" s="325">
        <v>11</v>
      </c>
      <c r="C22" s="325" t="str">
        <f t="shared" ca="1" si="1"/>
        <v>JARAGOYHEN JeanFERMIER&lt;3 mois</v>
      </c>
      <c r="D22" s="325" t="str">
        <f t="shared" ca="1" si="1"/>
        <v>JARAGOYHEN JeanFERMIER3-6 mois</v>
      </c>
      <c r="E22" s="325" t="str">
        <f t="shared" ca="1" si="1"/>
        <v>JARAGOYHEN JeanFERMIER6-9 mois</v>
      </c>
      <c r="F22" s="325" t="str">
        <f t="shared" ca="1" si="1"/>
        <v>JARAGOYHEN JeanFERMIER&gt;9 mois</v>
      </c>
      <c r="G22" s="325" t="str">
        <f t="shared" ca="1" si="1"/>
        <v>JARAGOYHEN JeanESTIVE&lt;3 mois</v>
      </c>
      <c r="H22" s="325" t="str">
        <f t="shared" ca="1" si="1"/>
        <v>JARAGOYHEN JeanESTIVE3-6 mois</v>
      </c>
      <c r="I22" s="325" t="str">
        <f t="shared" ca="1" si="1"/>
        <v>JARAGOYHEN JeanESTIVE6-9 mois</v>
      </c>
      <c r="J22" s="325" t="str">
        <f t="shared" ca="1" si="1"/>
        <v>JARAGOYHEN JeanESTIVE&gt;9 mois</v>
      </c>
      <c r="K22" s="325"/>
      <c r="L22" s="352">
        <f ca="1">SUMIFS(es_poids,es_prod_type_affinage,'SUIVI STOCKS PAR PAYSAN'!$C22,es_date_entree,"&gt;"&amp;date_inventaire)-SUMIFS(v_Poids,v_conc_prod_tye_affinage,'SUIVI STOCKS PAR PAYSAN'!$C22,v_Date_commande,"&gt;"&amp;date_inventaire)</f>
        <v>0</v>
      </c>
      <c r="M22" s="341">
        <f ca="1">SUMIFS(bddres_c_qte,bddres_c_prod_type_aff,'SUIVI STOCKS PAR PAYSAN'!C22,'BDD RESERVATIONS'!$B:$B,"&gt;"&amp;date_inventaire)</f>
        <v>0</v>
      </c>
      <c r="N22" s="342">
        <f ca="1">SUMIFS(bddres_pieces,es_prod_type_affinage,'SUIVI STOCKS PAR PAYSAN'!$C22,es_date_entree,"&gt;"&amp;date_inventaire,es_taille,'SUIVI STOCKS PAR PAYSAN'!$N$7)-SUMIFS(v_Pièces,v_Taille,'SUIVI STOCKS PAR PAYSAN'!$N$7,v_conc_prod_tye_affinage,'SUIVI STOCKS PAR PAYSAN'!$C22,v_Date_commande,"&gt;"&amp;date_inventaire)</f>
        <v>0</v>
      </c>
      <c r="O22" s="342">
        <f ca="1">SUMIFS(bddres_pieces,'BDD RESERVATIONS'!$G:$G,'SUIVI STOCKS PAR PAYSAN'!$N$7,bddres_c_prod_type_aff,'SUIVI STOCKS PAR PAYSAN'!$C22,'BDD RESERVATIONS'!$B:$B,"&gt;"&amp;date_inventaire)</f>
        <v>0</v>
      </c>
      <c r="P22" s="343">
        <f ca="1">SUMIFS(es_pieces,es_prod_type_affinage,'SUIVI STOCKS PAR PAYSAN'!$C22,es_date_entree,"&gt;"&amp;date_inventaire,es_taille,'SUIVI STOCKS PAR PAYSAN'!$P$7)-SUMIFS(v_Pièces,v_Taille,'SUIVI STOCKS PAR PAYSAN'!$P$7,v_conc_prod_tye_affinage,'SUIVI STOCKS PAR PAYSAN'!$C22,v_Date_commande,"&gt;"&amp;date_inventaire)</f>
        <v>0</v>
      </c>
      <c r="Q22" s="353">
        <f ca="1">SUMIFS(bddres_pieces,'BDD RESERVATIONS'!$G:$G,'SUIVI STOCKS PAR PAYSAN'!$P$7,bddres_c_prod_type_aff,'SUIVI STOCKS PAR PAYSAN'!$C22,'BDD RESERVATIONS'!$B:$B,"&gt;"&amp;date_inventaire)</f>
        <v>0</v>
      </c>
      <c r="R22" s="348">
        <f ca="1">SUMIFS(es_poids,es_prod_type_affinage,'SUIVI STOCKS PAR PAYSAN'!$D22,es_date_entree,"&gt;"&amp;date_inventaire)-SUMIFS(v_Poids,v_conc_prod_tye_affinage,'SUIVI STOCKS PAR PAYSAN'!$D22,v_Date_commande,"&gt;"&amp;date_inventaire)</f>
        <v>0</v>
      </c>
      <c r="S22" s="341">
        <f ca="1">SUMIFS(bddres_c_qte,bddres_c_prod_type_aff,'SUIVI STOCKS PAR PAYSAN'!D22,'BDD RESERVATIONS'!$B:$B,"&gt;"&amp;date_inventaire)</f>
        <v>0</v>
      </c>
      <c r="T22" s="342">
        <f ca="1">SUMIFS(bddres_pieces,es_prod_type_affinage,'SUIVI STOCKS PAR PAYSAN'!$D22,es_date_entree,"&gt;"&amp;date_inventaire,es_taille,'SUIVI STOCKS PAR PAYSAN'!$T$7)-SUMIFS(v_Pièces,v_Taille,'SUIVI STOCKS PAR PAYSAN'!$T$7,v_conc_prod_tye_affinage,'SUIVI STOCKS PAR PAYSAN'!$D22,v_Date_commande,"&gt;"&amp;date_inventaire)</f>
        <v>0</v>
      </c>
      <c r="U22" s="342">
        <f ca="1">SUMIFS(bddres_pieces,'BDD RESERVATIONS'!$G:$G,'SUIVI STOCKS PAR PAYSAN'!$T$7,bddres_c_prod_type_aff,'SUIVI STOCKS PAR PAYSAN'!$D22,'BDD RESERVATIONS'!$B:$B,"&gt;"&amp;date_inventaire)</f>
        <v>0</v>
      </c>
      <c r="V22" s="343">
        <f ca="1">SUMIFS(es_pieces,es_prod_type_affinage,'SUIVI STOCKS PAR PAYSAN'!$D22,es_date_entree,"&gt;"&amp;date_inventaire,es_taille,'SUIVI STOCKS PAR PAYSAN'!$V$7)-SUMIFS(v_Pièces,v_Taille,'SUIVI STOCKS PAR PAYSAN'!$V$7,v_conc_prod_tye_affinage,'SUIVI STOCKS PAR PAYSAN'!$D22,v_Date_commande,"&gt;"&amp;date_inventaire)</f>
        <v>0</v>
      </c>
      <c r="W22" s="353">
        <f ca="1">SUMIFS(bddres_pieces,'BDD RESERVATIONS'!$G:$G,'SUIVI STOCKS PAR PAYSAN'!$V$7,bddres_c_prod_type_aff,'SUIVI STOCKS PAR PAYSAN'!$D22,'BDD RESERVATIONS'!$B:$B,"&gt;"&amp;date_inventaire)</f>
        <v>0</v>
      </c>
      <c r="X22" s="348">
        <f ca="1">SUMIFS(es_poids,es_prod_type_affinage,'SUIVI STOCKS PAR PAYSAN'!$E22,es_date_entree,"&gt;"&amp;date_inventaire)-SUMIFS(v_Poids,v_conc_prod_tye_affinage,'SUIVI STOCKS PAR PAYSAN'!$E22,v_Date_commande,"&gt;"&amp;date_inventaire)</f>
        <v>0</v>
      </c>
      <c r="Y22" s="341">
        <f ca="1">SUMIFS(bddres_c_qte,bddres_c_prod_type_aff,'SUIVI STOCKS PAR PAYSAN'!E22,'BDD RESERVATIONS'!$B:$B,"&gt;"&amp;date_inventaire)</f>
        <v>0</v>
      </c>
      <c r="Z22" s="342">
        <f ca="1">SUMIFS(bddres_pieces,es_prod_type_affinage,'SUIVI STOCKS PAR PAYSAN'!$E22,es_date_entree,"&gt;"&amp;date_inventaire,es_taille,'SUIVI STOCKS PAR PAYSAN'!$Z$7)-SUMIFS(v_Pièces,v_Taille,'SUIVI STOCKS PAR PAYSAN'!$Z$7,v_conc_prod_tye_affinage,'SUIVI STOCKS PAR PAYSAN'!$E22,v_Date_commande,"&gt;"&amp;date_inventaire)</f>
        <v>0</v>
      </c>
      <c r="AA22" s="342">
        <f ca="1">SUMIFS(bddres_pieces,'BDD RESERVATIONS'!$G:$G,'SUIVI STOCKS PAR PAYSAN'!$Z$7,bddres_c_prod_type_aff,'SUIVI STOCKS PAR PAYSAN'!$E22,'BDD RESERVATIONS'!$B:$B,"&gt;"&amp;date_inventaire)</f>
        <v>0</v>
      </c>
      <c r="AB22" s="343">
        <f ca="1">SUMIFS(es_pieces,es_prod_type_affinage,'SUIVI STOCKS PAR PAYSAN'!$E22,es_date_entree,"&gt;"&amp;date_inventaire,es_taille,'SUIVI STOCKS PAR PAYSAN'!$AB$7)-SUMIFS(v_Pièces,v_Taille,'SUIVI STOCKS PAR PAYSAN'!$AB$7,v_conc_prod_tye_affinage,'SUIVI STOCKS PAR PAYSAN'!$E22,v_Date_commande,"&gt;"&amp;date_inventaire)</f>
        <v>0</v>
      </c>
      <c r="AC22" s="353">
        <f ca="1">SUMIFS(bddres_pieces,'BDD RESERVATIONS'!$G:$G,'SUIVI STOCKS PAR PAYSAN'!$AB$7,bddres_c_prod_type_aff,'SUIVI STOCKS PAR PAYSAN'!$E22,'BDD RESERVATIONS'!$B:$B,"&gt;"&amp;date_inventaire)</f>
        <v>0</v>
      </c>
      <c r="AD22" s="348">
        <f ca="1">SUMIFS(es_poids,es_prod_type_affinage,'SUIVI STOCKS PAR PAYSAN'!$F22,es_date_entree,"&gt;"&amp;date_inventaire)-SUMIFS(v_Poids,v_conc_prod_tye_affinage,'SUIVI STOCKS PAR PAYSAN'!$F22,v_Date_commande,"&gt;"&amp;date_inventaire)</f>
        <v>0</v>
      </c>
      <c r="AE22" s="341">
        <f ca="1">SUMIFS(bddres_c_qte,bddres_c_prod_type_aff,'SUIVI STOCKS PAR PAYSAN'!F22,'BDD RESERVATIONS'!$B:$B,"&gt;"&amp;date_inventaire)</f>
        <v>0</v>
      </c>
      <c r="AF22" s="342">
        <f ca="1">SUMIFS(bddres_pieces,es_prod_type_affinage,'SUIVI STOCKS PAR PAYSAN'!$F22,es_date_entree,"&gt;"&amp;date_inventaire,es_taille,'SUIVI STOCKS PAR PAYSAN'!$Z$7)-SUMIFS(v_Pièces,v_Taille,'SUIVI STOCKS PAR PAYSAN'!$Z$7,v_conc_prod_tye_affinage,'SUIVI STOCKS PAR PAYSAN'!$F22,v_Date_commande,"&gt;"&amp;date_inventaire)</f>
        <v>0</v>
      </c>
      <c r="AG22" s="342">
        <f ca="1">SUMIFS(bddres_pieces,'BDD RESERVATIONS'!$G:$G,'SUIVI STOCKS PAR PAYSAN'!$Z$7,bddres_c_prod_type_aff,'SUIVI STOCKS PAR PAYSAN'!$F22,'BDD RESERVATIONS'!$B:$B,"&gt;"&amp;date_inventaire)</f>
        <v>0</v>
      </c>
      <c r="AH22" s="343">
        <f ca="1">SUMIFS(es_pieces,es_prod_type_affinage,'SUIVI STOCKS PAR PAYSAN'!$F22,es_date_entree,"&gt;"&amp;date_inventaire,es_taille,'SUIVI STOCKS PAR PAYSAN'!$AH$7)-SUMIFS(v_Pièces,v_Taille,'SUIVI STOCKS PAR PAYSAN'!$AH$7,v_conc_prod_tye_affinage,'SUIVI STOCKS PAR PAYSAN'!$F22,v_Date_commande,"&gt;"&amp;date_inventaire)</f>
        <v>0</v>
      </c>
      <c r="AI22" s="353">
        <f ca="1">SUMIFS(bddres_pieces,'BDD RESERVATIONS'!$G:$G,'SUIVI STOCKS PAR PAYSAN'!$AB$7,bddres_c_prod_type_aff,'SUIVI STOCKS PAR PAYSAN'!$F22,'BDD RESERVATIONS'!$B:$B,"&gt;"&amp;date_inventaire)</f>
        <v>0</v>
      </c>
      <c r="AJ22" s="352">
        <f ca="1">SUMIFS(es_poids,es_prod_type_affinage,'SUIVI STOCKS PAR PAYSAN'!$G22,es_date_entree,"&gt;"&amp;date_inventaire)-SUMIFS(v_Poids,v_conc_prod_tye_affinage,'SUIVI STOCKS PAR PAYSAN'!$G22,v_Date_commande,"&gt;"&amp;date_inventaire)</f>
        <v>0</v>
      </c>
      <c r="AK22" s="341">
        <f ca="1">SUMIFS(bddres_c_qte,bddres_c_prod_type_aff,'SUIVI STOCKS PAR PAYSAN'!G22,'BDD RESERVATIONS'!$B:$B,"&gt;"&amp;date_inventaire)</f>
        <v>0</v>
      </c>
      <c r="AL22" s="342">
        <f ca="1">SUMIFS(bddres_pieces,es_prod_type_affinage,'SUIVI STOCKS PAR PAYSAN'!$G22,es_date_entree,"&gt;"&amp;date_inventaire,es_taille,'SUIVI STOCKS PAR PAYSAN'!$AL$7)-SUMIFS(v_Pièces,v_Taille,'SUIVI STOCKS PAR PAYSAN'!$AL$7,v_conc_prod_tye_affinage,'SUIVI STOCKS PAR PAYSAN'!$G22,v_Date_commande,"&gt;"&amp;date_inventaire)</f>
        <v>0</v>
      </c>
      <c r="AM22" s="342">
        <f ca="1">SUMIFS(bddres_pieces,'BDD RESERVATIONS'!$G:$G,'SUIVI STOCKS PAR PAYSAN'!$AL$7,bddres_c_prod_type_aff,'SUIVI STOCKS PAR PAYSAN'!$G22,'BDD RESERVATIONS'!$B:$B,"&gt;"&amp;date_inventaire)</f>
        <v>0</v>
      </c>
      <c r="AN22" s="343">
        <f ca="1">SUMIFS(es_pieces,es_prod_type_affinage,'SUIVI STOCKS PAR PAYSAN'!$G22,es_date_entree,"&gt;"&amp;date_inventaire,es_taille,'SUIVI STOCKS PAR PAYSAN'!$AN$7)-SUMIFS(v_Pièces,v_Taille,'SUIVI STOCKS PAR PAYSAN'!$AN$7,v_conc_prod_tye_affinage,'SUIVI STOCKS PAR PAYSAN'!$G22,v_Date_commande,"&gt;"&amp;date_inventaire)</f>
        <v>0</v>
      </c>
      <c r="AO22" s="353">
        <f ca="1">SUMIFS(bddres_pieces,'BDD RESERVATIONS'!$G:$G,'SUIVI STOCKS PAR PAYSAN'!$AN$7,bddres_c_prod_type_aff,'SUIVI STOCKS PAR PAYSAN'!$G22,'BDD RESERVATIONS'!$B:$B,"&gt;"&amp;date_inventaire)</f>
        <v>0</v>
      </c>
      <c r="AP22" s="348">
        <f ca="1">SUMIFS(es_poids,es_prod_type_affinage,'SUIVI STOCKS PAR PAYSAN'!$H22,es_date_entree,"&gt;"&amp;date_inventaire)-SUMIFS(v_Poids,v_conc_prod_tye_affinage,'SUIVI STOCKS PAR PAYSAN'!$H22,v_Date_commande,"&gt;"&amp;date_inventaire)</f>
        <v>0</v>
      </c>
      <c r="AQ22" s="341">
        <f ca="1">SUMIFS(bddres_c_qte,bddres_c_prod_type_aff,'SUIVI STOCKS PAR PAYSAN'!H22,'BDD RESERVATIONS'!$B:$B,"&gt;"&amp;date_inventaire)</f>
        <v>0</v>
      </c>
      <c r="AR22" s="342">
        <f ca="1">SUMIFS(bddres_pieces,es_prod_type_affinage,'SUIVI STOCKS PAR PAYSAN'!$H22,es_date_entree,"&gt;"&amp;date_inventaire,es_taille,'SUIVI STOCKS PAR PAYSAN'!$AR$7)-SUMIFS(v_Pièces,v_Taille,'SUIVI STOCKS PAR PAYSAN'!$AR$7,v_conc_prod_tye_affinage,'SUIVI STOCKS PAR PAYSAN'!$H22,v_Date_commande,"&gt;"&amp;date_inventaire)</f>
        <v>0</v>
      </c>
      <c r="AS22" s="326">
        <f ca="1">SUMIFS(bddres_pieces,'BDD RESERVATIONS'!$G:$G,'SUIVI STOCKS PAR PAYSAN'!AR17,bddres_c_prod_type_aff,'SUIVI STOCKS PAR PAYSAN'!$H22,'BDD RESERVATIONS'!$B:$B,"&gt;"&amp;date_inventaire)</f>
        <v>0</v>
      </c>
      <c r="AT22" s="343">
        <f ca="1">SUMIFS(es_pieces,es_prod_type_affinage,'SUIVI STOCKS PAR PAYSAN'!$H22,es_date_entree,"&gt;"&amp;date_inventaire,es_taille,'SUIVI STOCKS PAR PAYSAN'!$AT$7)-SUMIFS(v_Pièces,v_Taille,'SUIVI STOCKS PAR PAYSAN'!$AT$7,v_conc_prod_tye_affinage,'SUIVI STOCKS PAR PAYSAN'!$H22,v_Date_commande,"&gt;"&amp;date_inventaire)</f>
        <v>0</v>
      </c>
      <c r="AU22" s="353">
        <f ca="1">SUMIFS(bddres_pieces,'BDD RESERVATIONS'!$G:$G,'SUIVI STOCKS PAR PAYSAN'!$AT$7,bddres_c_prod_type_aff,'SUIVI STOCKS PAR PAYSAN'!$H22,'BDD RESERVATIONS'!$B:$B,"&gt;"&amp;date_inventaire)</f>
        <v>0</v>
      </c>
      <c r="AV22" s="348">
        <f ca="1">SUMIFS(es_poids,es_prod_type_affinage,'SUIVI STOCKS PAR PAYSAN'!$I22,es_date_entree,"&gt;"&amp;date_inventaire)-SUMIFS(v_Poids,v_conc_prod_tye_affinage,'SUIVI STOCKS PAR PAYSAN'!$E22,v_Date_commande,"&gt;"&amp;date_inventaire)</f>
        <v>0</v>
      </c>
      <c r="AW22" s="313">
        <f ca="1">SUMIFS(bddres_c_qte,bddres_c_prod_type_aff,'SUIVI STOCKS PAR PAYSAN'!I22,'BDD RESERVATIONS'!$B:$B,"&gt;"&amp;date_inventaire)</f>
        <v>0</v>
      </c>
      <c r="AX22" s="342">
        <f ca="1">SUMIFS(bddres_pieces,es_prod_type_affinage,'SUIVI STOCKS PAR PAYSAN'!$I22,es_date_entree,"&gt;"&amp;date_inventaire,es_taille,'SUIVI STOCKS PAR PAYSAN'!$AX$7)-SUMIFS(v_Pièces,v_Taille,'SUIVI STOCKS PAR PAYSAN'!$AX$7,v_conc_prod_tye_affinage,'SUIVI STOCKS PAR PAYSAN'!$I22,v_Date_commande,"&gt;"&amp;date_inventaire)</f>
        <v>0</v>
      </c>
      <c r="AY22" s="342">
        <f ca="1">SUMIFS(bddres_pieces,'BDD RESERVATIONS'!$G:$G,'SUIVI STOCKS PAR PAYSAN'!$AX$7,bddres_c_prod_type_aff,'SUIVI STOCKS PAR PAYSAN'!$I22,'BDD RESERVATIONS'!$B:$B,"&gt;"&amp;date_inventaire)</f>
        <v>0</v>
      </c>
      <c r="AZ22" s="343">
        <f ca="1">SUMIFS(es_pieces,es_prod_type_affinage,'SUIVI STOCKS PAR PAYSAN'!$I22,es_date_entree,"&gt;"&amp;date_inventaire,es_taille,'SUIVI STOCKS PAR PAYSAN'!$AZ$7)-SUMIFS(v_Pièces,v_Taille,'SUIVI STOCKS PAR PAYSAN'!$AZ$7,v_conc_prod_tye_affinage,'SUIVI STOCKS PAR PAYSAN'!$I22,v_Date_commande,"&gt;"&amp;date_inventaire)</f>
        <v>0</v>
      </c>
      <c r="BA22" s="353">
        <f ca="1">SUMIFS(bddres_pieces,'BDD RESERVATIONS'!$G:$G,'SUIVI STOCKS PAR PAYSAN'!$AZ$7,bddres_c_prod_type_aff,'SUIVI STOCKS PAR PAYSAN'!$I22,'BDD RESERVATIONS'!$B:$B,"&gt;"&amp;date_inventaire)</f>
        <v>0</v>
      </c>
      <c r="BB22" s="348">
        <f ca="1">SUMIFS(es_poids,es_prod_type_affinage,'SUIVI STOCKS PAR PAYSAN'!$J22,es_date_entree,"&gt;"&amp;date_inventaire)-SUMIFS(v_Poids,v_conc_prod_tye_affinage,'SUIVI STOCKS PAR PAYSAN'!$J22,v_Date_commande,"&gt;"&amp;date_inventaire)</f>
        <v>0</v>
      </c>
      <c r="BC22" s="313">
        <f ca="1">SUMIFS(bddres_c_qte,bddres_c_prod_type_aff,'SUIVI STOCKS PAR PAYSAN'!J22,'BDD RESERVATIONS'!$B:$B,"&gt;"&amp;date_inventaire)</f>
        <v>0</v>
      </c>
      <c r="BD22" s="342">
        <f ca="1">SUMIFS(bddres_pieces,es_prod_type_affinage,'SUIVI STOCKS PAR PAYSAN'!$J22,es_date_entree,"&gt;"&amp;date_inventaire,es_taille,'SUIVI STOCKS PAR PAYSAN'!$BD$7)-SUMIFS(v_Pièces,v_Taille,'SUIVI STOCKS PAR PAYSAN'!$BD$7,v_conc_prod_tye_affinage,'SUIVI STOCKS PAR PAYSAN'!$J22,v_Date_commande,"&gt;"&amp;date_inventaire)</f>
        <v>0</v>
      </c>
      <c r="BE22" s="326">
        <f ca="1">SUMIFS(bddres_pieces,'BDD RESERVATIONS'!$G:$G,'SUIVI STOCKS PAR PAYSAN'!BD17,bddres_c_prod_type_aff,'SUIVI STOCKS PAR PAYSAN'!J22,'BDD RESERVATIONS'!$B:$B,"&gt;"&amp;date_inventaire)</f>
        <v>0</v>
      </c>
      <c r="BF22" s="343">
        <f ca="1">SUMIFS(es_pieces,es_prod_type_affinage,'SUIVI STOCKS PAR PAYSAN'!J22,es_date_entree,"&gt;"&amp;date_inventaire,es_taille,'SUIVI STOCKS PAR PAYSAN'!$BF$7)-SUMIFS(v_Pièces,v_Taille,'SUIVI STOCKS PAR PAYSAN'!$BF$7,v_conc_prod_tye_affinage,'SUIVI STOCKS PAR PAYSAN'!J22,v_Date_commande,"&gt;"&amp;date_inventaire)</f>
        <v>0</v>
      </c>
      <c r="BG22" s="353">
        <f ca="1">SUMIFS(bddres_pieces,'BDD RESERVATIONS'!$G:$G,'SUIVI STOCKS PAR PAYSAN'!$BF$7,bddres_c_prod_type_aff,'SUIVI STOCKS PAR PAYSAN'!J22,'BDD RESERVATIONS'!$B:$B,"&gt;"&amp;date_inventaire)</f>
        <v>0</v>
      </c>
    </row>
    <row r="23" spans="1:59" ht="18.75" customHeight="1" x14ac:dyDescent="0.25">
      <c r="A23" s="331" t="str">
        <f ca="1">OFFSET('BDD PAYSANS'!$B$1,B23,0,1,1)</f>
        <v>JARAGOYHEN Pierre</v>
      </c>
      <c r="B23" s="325">
        <v>12</v>
      </c>
      <c r="C23" s="325" t="str">
        <f t="shared" ca="1" si="1"/>
        <v>JARAGOYHEN PierreFERMIER&lt;3 mois</v>
      </c>
      <c r="D23" s="325" t="str">
        <f t="shared" ca="1" si="1"/>
        <v>JARAGOYHEN PierreFERMIER3-6 mois</v>
      </c>
      <c r="E23" s="325" t="str">
        <f t="shared" ca="1" si="1"/>
        <v>JARAGOYHEN PierreFERMIER6-9 mois</v>
      </c>
      <c r="F23" s="325" t="str">
        <f t="shared" ca="1" si="1"/>
        <v>JARAGOYHEN PierreFERMIER&gt;9 mois</v>
      </c>
      <c r="G23" s="325" t="str">
        <f t="shared" ca="1" si="1"/>
        <v>JARAGOYHEN PierreESTIVE&lt;3 mois</v>
      </c>
      <c r="H23" s="325" t="str">
        <f t="shared" ca="1" si="1"/>
        <v>JARAGOYHEN PierreESTIVE3-6 mois</v>
      </c>
      <c r="I23" s="325" t="str">
        <f t="shared" ca="1" si="1"/>
        <v>JARAGOYHEN PierreESTIVE6-9 mois</v>
      </c>
      <c r="J23" s="325" t="str">
        <f t="shared" ca="1" si="1"/>
        <v>JARAGOYHEN PierreESTIVE&gt;9 mois</v>
      </c>
      <c r="K23" s="325"/>
      <c r="L23" s="352">
        <f ca="1">SUMIFS(es_poids,es_prod_type_affinage,'SUIVI STOCKS PAR PAYSAN'!$C23,es_date_entree,"&gt;"&amp;date_inventaire)-SUMIFS(v_Poids,v_conc_prod_tye_affinage,'SUIVI STOCKS PAR PAYSAN'!$C23,v_Date_commande,"&gt;"&amp;date_inventaire)</f>
        <v>0</v>
      </c>
      <c r="M23" s="341">
        <f ca="1">SUMIFS(bddres_c_qte,bddres_c_prod_type_aff,'SUIVI STOCKS PAR PAYSAN'!C23,'BDD RESERVATIONS'!$B:$B,"&gt;"&amp;date_inventaire)</f>
        <v>0</v>
      </c>
      <c r="N23" s="342">
        <f ca="1">SUMIFS(bddres_pieces,es_prod_type_affinage,'SUIVI STOCKS PAR PAYSAN'!$C23,es_date_entree,"&gt;"&amp;date_inventaire,es_taille,'SUIVI STOCKS PAR PAYSAN'!$N$7)-SUMIFS(v_Pièces,v_Taille,'SUIVI STOCKS PAR PAYSAN'!$N$7,v_conc_prod_tye_affinage,'SUIVI STOCKS PAR PAYSAN'!$C23,v_Date_commande,"&gt;"&amp;date_inventaire)</f>
        <v>0</v>
      </c>
      <c r="O23" s="342">
        <f ca="1">SUMIFS(bddres_pieces,'BDD RESERVATIONS'!$G:$G,'SUIVI STOCKS PAR PAYSAN'!$N$7,bddres_c_prod_type_aff,'SUIVI STOCKS PAR PAYSAN'!$C23,'BDD RESERVATIONS'!$B:$B,"&gt;"&amp;date_inventaire)</f>
        <v>0</v>
      </c>
      <c r="P23" s="343">
        <f ca="1">SUMIFS(es_pieces,es_prod_type_affinage,'SUIVI STOCKS PAR PAYSAN'!$C23,es_date_entree,"&gt;"&amp;date_inventaire,es_taille,'SUIVI STOCKS PAR PAYSAN'!$P$7)-SUMIFS(v_Pièces,v_Taille,'SUIVI STOCKS PAR PAYSAN'!$P$7,v_conc_prod_tye_affinage,'SUIVI STOCKS PAR PAYSAN'!$C23,v_Date_commande,"&gt;"&amp;date_inventaire)</f>
        <v>0</v>
      </c>
      <c r="Q23" s="353">
        <f ca="1">SUMIFS(bddres_pieces,'BDD RESERVATIONS'!$G:$G,'SUIVI STOCKS PAR PAYSAN'!$P$7,bddres_c_prod_type_aff,'SUIVI STOCKS PAR PAYSAN'!$C23,'BDD RESERVATIONS'!$B:$B,"&gt;"&amp;date_inventaire)</f>
        <v>0</v>
      </c>
      <c r="R23" s="348">
        <f ca="1">SUMIFS(es_poids,es_prod_type_affinage,'SUIVI STOCKS PAR PAYSAN'!$D23,es_date_entree,"&gt;"&amp;date_inventaire)-SUMIFS(v_Poids,v_conc_prod_tye_affinage,'SUIVI STOCKS PAR PAYSAN'!$D23,v_Date_commande,"&gt;"&amp;date_inventaire)</f>
        <v>0</v>
      </c>
      <c r="S23" s="341">
        <f ca="1">SUMIFS(bddres_c_qte,bddres_c_prod_type_aff,'SUIVI STOCKS PAR PAYSAN'!D23,'BDD RESERVATIONS'!$B:$B,"&gt;"&amp;date_inventaire)</f>
        <v>0</v>
      </c>
      <c r="T23" s="342">
        <f ca="1">SUMIFS(bddres_pieces,es_prod_type_affinage,'SUIVI STOCKS PAR PAYSAN'!$D23,es_date_entree,"&gt;"&amp;date_inventaire,es_taille,'SUIVI STOCKS PAR PAYSAN'!$T$7)-SUMIFS(v_Pièces,v_Taille,'SUIVI STOCKS PAR PAYSAN'!$T$7,v_conc_prod_tye_affinage,'SUIVI STOCKS PAR PAYSAN'!$D23,v_Date_commande,"&gt;"&amp;date_inventaire)</f>
        <v>0</v>
      </c>
      <c r="U23" s="342">
        <f ca="1">SUMIFS(bddres_pieces,'BDD RESERVATIONS'!$G:$G,'SUIVI STOCKS PAR PAYSAN'!$T$7,bddres_c_prod_type_aff,'SUIVI STOCKS PAR PAYSAN'!$D23,'BDD RESERVATIONS'!$B:$B,"&gt;"&amp;date_inventaire)</f>
        <v>0</v>
      </c>
      <c r="V23" s="343">
        <f ca="1">SUMIFS(es_pieces,es_prod_type_affinage,'SUIVI STOCKS PAR PAYSAN'!$D23,es_date_entree,"&gt;"&amp;date_inventaire,es_taille,'SUIVI STOCKS PAR PAYSAN'!$V$7)-SUMIFS(v_Pièces,v_Taille,'SUIVI STOCKS PAR PAYSAN'!$V$7,v_conc_prod_tye_affinage,'SUIVI STOCKS PAR PAYSAN'!$D23,v_Date_commande,"&gt;"&amp;date_inventaire)</f>
        <v>0</v>
      </c>
      <c r="W23" s="353">
        <f ca="1">SUMIFS(bddres_pieces,'BDD RESERVATIONS'!$G:$G,'SUIVI STOCKS PAR PAYSAN'!$V$7,bddres_c_prod_type_aff,'SUIVI STOCKS PAR PAYSAN'!$D23,'BDD RESERVATIONS'!$B:$B,"&gt;"&amp;date_inventaire)</f>
        <v>0</v>
      </c>
      <c r="X23" s="348">
        <f ca="1">SUMIFS(es_poids,es_prod_type_affinage,'SUIVI STOCKS PAR PAYSAN'!$E23,es_date_entree,"&gt;"&amp;date_inventaire)-SUMIFS(v_Poids,v_conc_prod_tye_affinage,'SUIVI STOCKS PAR PAYSAN'!$E23,v_Date_commande,"&gt;"&amp;date_inventaire)</f>
        <v>0</v>
      </c>
      <c r="Y23" s="341">
        <f ca="1">SUMIFS(bddres_c_qte,bddres_c_prod_type_aff,'SUIVI STOCKS PAR PAYSAN'!E23,'BDD RESERVATIONS'!$B:$B,"&gt;"&amp;date_inventaire)</f>
        <v>0</v>
      </c>
      <c r="Z23" s="342">
        <f ca="1">SUMIFS(bddres_pieces,es_prod_type_affinage,'SUIVI STOCKS PAR PAYSAN'!$E23,es_date_entree,"&gt;"&amp;date_inventaire,es_taille,'SUIVI STOCKS PAR PAYSAN'!$Z$7)-SUMIFS(v_Pièces,v_Taille,'SUIVI STOCKS PAR PAYSAN'!$Z$7,v_conc_prod_tye_affinage,'SUIVI STOCKS PAR PAYSAN'!$E23,v_Date_commande,"&gt;"&amp;date_inventaire)</f>
        <v>0</v>
      </c>
      <c r="AA23" s="342">
        <f ca="1">SUMIFS(bddres_pieces,'BDD RESERVATIONS'!$G:$G,'SUIVI STOCKS PAR PAYSAN'!$Z$7,bddres_c_prod_type_aff,'SUIVI STOCKS PAR PAYSAN'!$E23,'BDD RESERVATIONS'!$B:$B,"&gt;"&amp;date_inventaire)</f>
        <v>0</v>
      </c>
      <c r="AB23" s="343">
        <f ca="1">SUMIFS(es_pieces,es_prod_type_affinage,'SUIVI STOCKS PAR PAYSAN'!$E23,es_date_entree,"&gt;"&amp;date_inventaire,es_taille,'SUIVI STOCKS PAR PAYSAN'!$AB$7)-SUMIFS(v_Pièces,v_Taille,'SUIVI STOCKS PAR PAYSAN'!$AB$7,v_conc_prod_tye_affinage,'SUIVI STOCKS PAR PAYSAN'!$E23,v_Date_commande,"&gt;"&amp;date_inventaire)</f>
        <v>0</v>
      </c>
      <c r="AC23" s="353">
        <f ca="1">SUMIFS(bddres_pieces,'BDD RESERVATIONS'!$G:$G,'SUIVI STOCKS PAR PAYSAN'!$AB$7,bddres_c_prod_type_aff,'SUIVI STOCKS PAR PAYSAN'!$E23,'BDD RESERVATIONS'!$B:$B,"&gt;"&amp;date_inventaire)</f>
        <v>0</v>
      </c>
      <c r="AD23" s="348">
        <f ca="1">SUMIFS(es_poids,es_prod_type_affinage,'SUIVI STOCKS PAR PAYSAN'!$F23,es_date_entree,"&gt;"&amp;date_inventaire)-SUMIFS(v_Poids,v_conc_prod_tye_affinage,'SUIVI STOCKS PAR PAYSAN'!$F23,v_Date_commande,"&gt;"&amp;date_inventaire)</f>
        <v>0</v>
      </c>
      <c r="AE23" s="341">
        <f ca="1">SUMIFS(bddres_c_qte,bddres_c_prod_type_aff,'SUIVI STOCKS PAR PAYSAN'!F23,'BDD RESERVATIONS'!$B:$B,"&gt;"&amp;date_inventaire)</f>
        <v>0</v>
      </c>
      <c r="AF23" s="342">
        <f ca="1">SUMIFS(bddres_pieces,es_prod_type_affinage,'SUIVI STOCKS PAR PAYSAN'!$F23,es_date_entree,"&gt;"&amp;date_inventaire,es_taille,'SUIVI STOCKS PAR PAYSAN'!$Z$7)-SUMIFS(v_Pièces,v_Taille,'SUIVI STOCKS PAR PAYSAN'!$Z$7,v_conc_prod_tye_affinage,'SUIVI STOCKS PAR PAYSAN'!$F23,v_Date_commande,"&gt;"&amp;date_inventaire)</f>
        <v>0</v>
      </c>
      <c r="AG23" s="342">
        <f ca="1">SUMIFS(bddres_pieces,'BDD RESERVATIONS'!$G:$G,'SUIVI STOCKS PAR PAYSAN'!$Z$7,bddres_c_prod_type_aff,'SUIVI STOCKS PAR PAYSAN'!$F23,'BDD RESERVATIONS'!$B:$B,"&gt;"&amp;date_inventaire)</f>
        <v>0</v>
      </c>
      <c r="AH23" s="343">
        <f ca="1">SUMIFS(es_pieces,es_prod_type_affinage,'SUIVI STOCKS PAR PAYSAN'!$F23,es_date_entree,"&gt;"&amp;date_inventaire,es_taille,'SUIVI STOCKS PAR PAYSAN'!$AH$7)-SUMIFS(v_Pièces,v_Taille,'SUIVI STOCKS PAR PAYSAN'!$AH$7,v_conc_prod_tye_affinage,'SUIVI STOCKS PAR PAYSAN'!$F23,v_Date_commande,"&gt;"&amp;date_inventaire)</f>
        <v>0</v>
      </c>
      <c r="AI23" s="353">
        <f ca="1">SUMIFS(bddres_pieces,'BDD RESERVATIONS'!$G:$G,'SUIVI STOCKS PAR PAYSAN'!$AB$7,bddres_c_prod_type_aff,'SUIVI STOCKS PAR PAYSAN'!$F23,'BDD RESERVATIONS'!$B:$B,"&gt;"&amp;date_inventaire)</f>
        <v>0</v>
      </c>
      <c r="AJ23" s="352">
        <f ca="1">SUMIFS(es_poids,es_prod_type_affinage,'SUIVI STOCKS PAR PAYSAN'!$G23,es_date_entree,"&gt;"&amp;date_inventaire)-SUMIFS(v_Poids,v_conc_prod_tye_affinage,'SUIVI STOCKS PAR PAYSAN'!$G23,v_Date_commande,"&gt;"&amp;date_inventaire)</f>
        <v>0</v>
      </c>
      <c r="AK23" s="341">
        <f ca="1">SUMIFS(bddres_c_qte,bddres_c_prod_type_aff,'SUIVI STOCKS PAR PAYSAN'!G23,'BDD RESERVATIONS'!$B:$B,"&gt;"&amp;date_inventaire)</f>
        <v>0</v>
      </c>
      <c r="AL23" s="342">
        <f ca="1">SUMIFS(bddres_pieces,es_prod_type_affinage,'SUIVI STOCKS PAR PAYSAN'!$G23,es_date_entree,"&gt;"&amp;date_inventaire,es_taille,'SUIVI STOCKS PAR PAYSAN'!$AL$7)-SUMIFS(v_Pièces,v_Taille,'SUIVI STOCKS PAR PAYSAN'!$AL$7,v_conc_prod_tye_affinage,'SUIVI STOCKS PAR PAYSAN'!$G23,v_Date_commande,"&gt;"&amp;date_inventaire)</f>
        <v>0</v>
      </c>
      <c r="AM23" s="342">
        <f ca="1">SUMIFS(bddres_pieces,'BDD RESERVATIONS'!$G:$G,'SUIVI STOCKS PAR PAYSAN'!$AL$7,bddres_c_prod_type_aff,'SUIVI STOCKS PAR PAYSAN'!$G23,'BDD RESERVATIONS'!$B:$B,"&gt;"&amp;date_inventaire)</f>
        <v>0</v>
      </c>
      <c r="AN23" s="343">
        <f ca="1">SUMIFS(es_pieces,es_prod_type_affinage,'SUIVI STOCKS PAR PAYSAN'!$G23,es_date_entree,"&gt;"&amp;date_inventaire,es_taille,'SUIVI STOCKS PAR PAYSAN'!$AN$7)-SUMIFS(v_Pièces,v_Taille,'SUIVI STOCKS PAR PAYSAN'!$AN$7,v_conc_prod_tye_affinage,'SUIVI STOCKS PAR PAYSAN'!$G23,v_Date_commande,"&gt;"&amp;date_inventaire)</f>
        <v>0</v>
      </c>
      <c r="AO23" s="353">
        <f ca="1">SUMIFS(bddres_pieces,'BDD RESERVATIONS'!$G:$G,'SUIVI STOCKS PAR PAYSAN'!$AN$7,bddres_c_prod_type_aff,'SUIVI STOCKS PAR PAYSAN'!$G23,'BDD RESERVATIONS'!$B:$B,"&gt;"&amp;date_inventaire)</f>
        <v>0</v>
      </c>
      <c r="AP23" s="348">
        <f ca="1">SUMIFS(es_poids,es_prod_type_affinage,'SUIVI STOCKS PAR PAYSAN'!$H23,es_date_entree,"&gt;"&amp;date_inventaire)-SUMIFS(v_Poids,v_conc_prod_tye_affinage,'SUIVI STOCKS PAR PAYSAN'!$H23,v_Date_commande,"&gt;"&amp;date_inventaire)</f>
        <v>0</v>
      </c>
      <c r="AQ23" s="341">
        <f ca="1">SUMIFS(bddres_c_qte,bddres_c_prod_type_aff,'SUIVI STOCKS PAR PAYSAN'!H23,'BDD RESERVATIONS'!$B:$B,"&gt;"&amp;date_inventaire)</f>
        <v>0</v>
      </c>
      <c r="AR23" s="342">
        <f ca="1">SUMIFS(bddres_pieces,es_prod_type_affinage,'SUIVI STOCKS PAR PAYSAN'!$H23,es_date_entree,"&gt;"&amp;date_inventaire,es_taille,'SUIVI STOCKS PAR PAYSAN'!$AR$7)-SUMIFS(v_Pièces,v_Taille,'SUIVI STOCKS PAR PAYSAN'!$AR$7,v_conc_prod_tye_affinage,'SUIVI STOCKS PAR PAYSAN'!$H23,v_Date_commande,"&gt;"&amp;date_inventaire)</f>
        <v>0</v>
      </c>
      <c r="AS23" s="326">
        <f ca="1">SUMIFS(bddres_pieces,'BDD RESERVATIONS'!$G:$G,'SUIVI STOCKS PAR PAYSAN'!AR18,bddres_c_prod_type_aff,'SUIVI STOCKS PAR PAYSAN'!$H23,'BDD RESERVATIONS'!$B:$B,"&gt;"&amp;date_inventaire)</f>
        <v>0</v>
      </c>
      <c r="AT23" s="343">
        <f ca="1">SUMIFS(es_pieces,es_prod_type_affinage,'SUIVI STOCKS PAR PAYSAN'!$H23,es_date_entree,"&gt;"&amp;date_inventaire,es_taille,'SUIVI STOCKS PAR PAYSAN'!$AT$7)-SUMIFS(v_Pièces,v_Taille,'SUIVI STOCKS PAR PAYSAN'!$AT$7,v_conc_prod_tye_affinage,'SUIVI STOCKS PAR PAYSAN'!$H23,v_Date_commande,"&gt;"&amp;date_inventaire)</f>
        <v>0</v>
      </c>
      <c r="AU23" s="353">
        <f ca="1">SUMIFS(bddres_pieces,'BDD RESERVATIONS'!$G:$G,'SUIVI STOCKS PAR PAYSAN'!$AT$7,bddres_c_prod_type_aff,'SUIVI STOCKS PAR PAYSAN'!$H23,'BDD RESERVATIONS'!$B:$B,"&gt;"&amp;date_inventaire)</f>
        <v>0</v>
      </c>
      <c r="AV23" s="348">
        <f ca="1">SUMIFS(es_poids,es_prod_type_affinage,'SUIVI STOCKS PAR PAYSAN'!$I23,es_date_entree,"&gt;"&amp;date_inventaire)-SUMIFS(v_Poids,v_conc_prod_tye_affinage,'SUIVI STOCKS PAR PAYSAN'!$E23,v_Date_commande,"&gt;"&amp;date_inventaire)</f>
        <v>0</v>
      </c>
      <c r="AW23" s="313">
        <f ca="1">SUMIFS(bddres_c_qte,bddres_c_prod_type_aff,'SUIVI STOCKS PAR PAYSAN'!I23,'BDD RESERVATIONS'!$B:$B,"&gt;"&amp;date_inventaire)</f>
        <v>0</v>
      </c>
      <c r="AX23" s="342">
        <f ca="1">SUMIFS(bddres_pieces,es_prod_type_affinage,'SUIVI STOCKS PAR PAYSAN'!$I23,es_date_entree,"&gt;"&amp;date_inventaire,es_taille,'SUIVI STOCKS PAR PAYSAN'!$AX$7)-SUMIFS(v_Pièces,v_Taille,'SUIVI STOCKS PAR PAYSAN'!$AX$7,v_conc_prod_tye_affinage,'SUIVI STOCKS PAR PAYSAN'!$I23,v_Date_commande,"&gt;"&amp;date_inventaire)</f>
        <v>0</v>
      </c>
      <c r="AY23" s="342">
        <f ca="1">SUMIFS(bddres_pieces,'BDD RESERVATIONS'!$G:$G,'SUIVI STOCKS PAR PAYSAN'!$AX$7,bddres_c_prod_type_aff,'SUIVI STOCKS PAR PAYSAN'!$I23,'BDD RESERVATIONS'!$B:$B,"&gt;"&amp;date_inventaire)</f>
        <v>0</v>
      </c>
      <c r="AZ23" s="343">
        <f ca="1">SUMIFS(es_pieces,es_prod_type_affinage,'SUIVI STOCKS PAR PAYSAN'!$I23,es_date_entree,"&gt;"&amp;date_inventaire,es_taille,'SUIVI STOCKS PAR PAYSAN'!$AZ$7)-SUMIFS(v_Pièces,v_Taille,'SUIVI STOCKS PAR PAYSAN'!$AZ$7,v_conc_prod_tye_affinage,'SUIVI STOCKS PAR PAYSAN'!$I23,v_Date_commande,"&gt;"&amp;date_inventaire)</f>
        <v>0</v>
      </c>
      <c r="BA23" s="353">
        <f ca="1">SUMIFS(bddres_pieces,'BDD RESERVATIONS'!$G:$G,'SUIVI STOCKS PAR PAYSAN'!$AZ$7,bddres_c_prod_type_aff,'SUIVI STOCKS PAR PAYSAN'!$I23,'BDD RESERVATIONS'!$B:$B,"&gt;"&amp;date_inventaire)</f>
        <v>0</v>
      </c>
      <c r="BB23" s="348">
        <f ca="1">SUMIFS(es_poids,es_prod_type_affinage,'SUIVI STOCKS PAR PAYSAN'!$J23,es_date_entree,"&gt;"&amp;date_inventaire)-SUMIFS(v_Poids,v_conc_prod_tye_affinage,'SUIVI STOCKS PAR PAYSAN'!$J23,v_Date_commande,"&gt;"&amp;date_inventaire)</f>
        <v>0</v>
      </c>
      <c r="BC23" s="313">
        <f ca="1">SUMIFS(bddres_c_qte,bddres_c_prod_type_aff,'SUIVI STOCKS PAR PAYSAN'!J23,'BDD RESERVATIONS'!$B:$B,"&gt;"&amp;date_inventaire)</f>
        <v>0</v>
      </c>
      <c r="BD23" s="342">
        <f ca="1">SUMIFS(bddres_pieces,es_prod_type_affinage,'SUIVI STOCKS PAR PAYSAN'!$J23,es_date_entree,"&gt;"&amp;date_inventaire,es_taille,'SUIVI STOCKS PAR PAYSAN'!$BD$7)-SUMIFS(v_Pièces,v_Taille,'SUIVI STOCKS PAR PAYSAN'!$BD$7,v_conc_prod_tye_affinage,'SUIVI STOCKS PAR PAYSAN'!$J23,v_Date_commande,"&gt;"&amp;date_inventaire)</f>
        <v>0</v>
      </c>
      <c r="BE23" s="326">
        <f ca="1">SUMIFS(bddres_pieces,'BDD RESERVATIONS'!$G:$G,'SUIVI STOCKS PAR PAYSAN'!BD18,bddres_c_prod_type_aff,'SUIVI STOCKS PAR PAYSAN'!J23,'BDD RESERVATIONS'!$B:$B,"&gt;"&amp;date_inventaire)</f>
        <v>0</v>
      </c>
      <c r="BF23" s="343">
        <f ca="1">SUMIFS(es_pieces,es_prod_type_affinage,'SUIVI STOCKS PAR PAYSAN'!J23,es_date_entree,"&gt;"&amp;date_inventaire,es_taille,'SUIVI STOCKS PAR PAYSAN'!$BF$7)-SUMIFS(v_Pièces,v_Taille,'SUIVI STOCKS PAR PAYSAN'!$BF$7,v_conc_prod_tye_affinage,'SUIVI STOCKS PAR PAYSAN'!J23,v_Date_commande,"&gt;"&amp;date_inventaire)</f>
        <v>0</v>
      </c>
      <c r="BG23" s="353">
        <f ca="1">SUMIFS(bddres_pieces,'BDD RESERVATIONS'!$G:$G,'SUIVI STOCKS PAR PAYSAN'!$BF$7,bddres_c_prod_type_aff,'SUIVI STOCKS PAR PAYSAN'!J23,'BDD RESERVATIONS'!$B:$B,"&gt;"&amp;date_inventaire)</f>
        <v>0</v>
      </c>
    </row>
    <row r="24" spans="1:59" ht="18.75" customHeight="1" x14ac:dyDescent="0.25">
      <c r="A24" s="331" t="str">
        <f ca="1">OFFSET('BDD PAYSANS'!$B$1,B24,0,1,1)</f>
        <v>LASSERRE Alain</v>
      </c>
      <c r="B24" s="325">
        <v>13</v>
      </c>
      <c r="C24" s="325" t="str">
        <f t="shared" ca="1" si="1"/>
        <v>LASSERRE AlainFERMIER&lt;3 mois</v>
      </c>
      <c r="D24" s="325" t="str">
        <f t="shared" ca="1" si="1"/>
        <v>LASSERRE AlainFERMIER3-6 mois</v>
      </c>
      <c r="E24" s="325" t="str">
        <f t="shared" ca="1" si="1"/>
        <v>LASSERRE AlainFERMIER6-9 mois</v>
      </c>
      <c r="F24" s="325" t="str">
        <f t="shared" ca="1" si="1"/>
        <v>LASSERRE AlainFERMIER&gt;9 mois</v>
      </c>
      <c r="G24" s="325" t="str">
        <f t="shared" ca="1" si="1"/>
        <v>LASSERRE AlainESTIVE&lt;3 mois</v>
      </c>
      <c r="H24" s="325" t="str">
        <f t="shared" ca="1" si="1"/>
        <v>LASSERRE AlainESTIVE3-6 mois</v>
      </c>
      <c r="I24" s="325" t="str">
        <f t="shared" ca="1" si="1"/>
        <v>LASSERRE AlainESTIVE6-9 mois</v>
      </c>
      <c r="J24" s="325" t="str">
        <f t="shared" ca="1" si="1"/>
        <v>LASSERRE AlainESTIVE&gt;9 mois</v>
      </c>
      <c r="K24" s="325"/>
      <c r="L24" s="352">
        <f ca="1">SUMIFS(es_poids,es_prod_type_affinage,'SUIVI STOCKS PAR PAYSAN'!$C24,es_date_entree,"&gt;"&amp;date_inventaire)-SUMIFS(v_Poids,v_conc_prod_tye_affinage,'SUIVI STOCKS PAR PAYSAN'!$C24,v_Date_commande,"&gt;"&amp;date_inventaire)</f>
        <v>0</v>
      </c>
      <c r="M24" s="341">
        <f ca="1">SUMIFS(bddres_c_qte,bddres_c_prod_type_aff,'SUIVI STOCKS PAR PAYSAN'!C24,'BDD RESERVATIONS'!$B:$B,"&gt;"&amp;date_inventaire)</f>
        <v>0</v>
      </c>
      <c r="N24" s="342">
        <f ca="1">SUMIFS(bddres_pieces,es_prod_type_affinage,'SUIVI STOCKS PAR PAYSAN'!$C24,es_date_entree,"&gt;"&amp;date_inventaire,es_taille,'SUIVI STOCKS PAR PAYSAN'!$N$7)-SUMIFS(v_Pièces,v_Taille,'SUIVI STOCKS PAR PAYSAN'!$N$7,v_conc_prod_tye_affinage,'SUIVI STOCKS PAR PAYSAN'!$C24,v_Date_commande,"&gt;"&amp;date_inventaire)</f>
        <v>0</v>
      </c>
      <c r="O24" s="342">
        <f ca="1">SUMIFS(bddres_pieces,'BDD RESERVATIONS'!$G:$G,'SUIVI STOCKS PAR PAYSAN'!$N$7,bddres_c_prod_type_aff,'SUIVI STOCKS PAR PAYSAN'!$C24,'BDD RESERVATIONS'!$B:$B,"&gt;"&amp;date_inventaire)</f>
        <v>0</v>
      </c>
      <c r="P24" s="343">
        <f ca="1">SUMIFS(es_pieces,es_prod_type_affinage,'SUIVI STOCKS PAR PAYSAN'!$C24,es_date_entree,"&gt;"&amp;date_inventaire,es_taille,'SUIVI STOCKS PAR PAYSAN'!$P$7)-SUMIFS(v_Pièces,v_Taille,'SUIVI STOCKS PAR PAYSAN'!$P$7,v_conc_prod_tye_affinage,'SUIVI STOCKS PAR PAYSAN'!$C24,v_Date_commande,"&gt;"&amp;date_inventaire)</f>
        <v>0</v>
      </c>
      <c r="Q24" s="353">
        <f ca="1">SUMIFS(bddres_pieces,'BDD RESERVATIONS'!$G:$G,'SUIVI STOCKS PAR PAYSAN'!$P$7,bddres_c_prod_type_aff,'SUIVI STOCKS PAR PAYSAN'!$C24,'BDD RESERVATIONS'!$B:$B,"&gt;"&amp;date_inventaire)</f>
        <v>0</v>
      </c>
      <c r="R24" s="348">
        <f ca="1">SUMIFS(es_poids,es_prod_type_affinage,'SUIVI STOCKS PAR PAYSAN'!$D24,es_date_entree,"&gt;"&amp;date_inventaire)-SUMIFS(v_Poids,v_conc_prod_tye_affinage,'SUIVI STOCKS PAR PAYSAN'!$D24,v_Date_commande,"&gt;"&amp;date_inventaire)</f>
        <v>0</v>
      </c>
      <c r="S24" s="341">
        <f ca="1">SUMIFS(bddres_c_qte,bddres_c_prod_type_aff,'SUIVI STOCKS PAR PAYSAN'!D24,'BDD RESERVATIONS'!$B:$B,"&gt;"&amp;date_inventaire)</f>
        <v>0</v>
      </c>
      <c r="T24" s="342">
        <f ca="1">SUMIFS(bddres_pieces,es_prod_type_affinage,'SUIVI STOCKS PAR PAYSAN'!$D24,es_date_entree,"&gt;"&amp;date_inventaire,es_taille,'SUIVI STOCKS PAR PAYSAN'!$T$7)-SUMIFS(v_Pièces,v_Taille,'SUIVI STOCKS PAR PAYSAN'!$T$7,v_conc_prod_tye_affinage,'SUIVI STOCKS PAR PAYSAN'!$D24,v_Date_commande,"&gt;"&amp;date_inventaire)</f>
        <v>0</v>
      </c>
      <c r="U24" s="342">
        <f ca="1">SUMIFS(bddres_pieces,'BDD RESERVATIONS'!$G:$G,'SUIVI STOCKS PAR PAYSAN'!$T$7,bddres_c_prod_type_aff,'SUIVI STOCKS PAR PAYSAN'!$D24,'BDD RESERVATIONS'!$B:$B,"&gt;"&amp;date_inventaire)</f>
        <v>0</v>
      </c>
      <c r="V24" s="343">
        <f ca="1">SUMIFS(es_pieces,es_prod_type_affinage,'SUIVI STOCKS PAR PAYSAN'!$D24,es_date_entree,"&gt;"&amp;date_inventaire,es_taille,'SUIVI STOCKS PAR PAYSAN'!$V$7)-SUMIFS(v_Pièces,v_Taille,'SUIVI STOCKS PAR PAYSAN'!$V$7,v_conc_prod_tye_affinage,'SUIVI STOCKS PAR PAYSAN'!$D24,v_Date_commande,"&gt;"&amp;date_inventaire)</f>
        <v>0</v>
      </c>
      <c r="W24" s="353">
        <f ca="1">SUMIFS(bddres_pieces,'BDD RESERVATIONS'!$G:$G,'SUIVI STOCKS PAR PAYSAN'!$V$7,bddres_c_prod_type_aff,'SUIVI STOCKS PAR PAYSAN'!$D24,'BDD RESERVATIONS'!$B:$B,"&gt;"&amp;date_inventaire)</f>
        <v>0</v>
      </c>
      <c r="X24" s="348">
        <f ca="1">SUMIFS(es_poids,es_prod_type_affinage,'SUIVI STOCKS PAR PAYSAN'!$E24,es_date_entree,"&gt;"&amp;date_inventaire)-SUMIFS(v_Poids,v_conc_prod_tye_affinage,'SUIVI STOCKS PAR PAYSAN'!$E24,v_Date_commande,"&gt;"&amp;date_inventaire)</f>
        <v>0</v>
      </c>
      <c r="Y24" s="341">
        <f ca="1">SUMIFS(bddres_c_qte,bddres_c_prod_type_aff,'SUIVI STOCKS PAR PAYSAN'!E24,'BDD RESERVATIONS'!$B:$B,"&gt;"&amp;date_inventaire)</f>
        <v>0</v>
      </c>
      <c r="Z24" s="342">
        <f ca="1">SUMIFS(bddres_pieces,es_prod_type_affinage,'SUIVI STOCKS PAR PAYSAN'!$E24,es_date_entree,"&gt;"&amp;date_inventaire,es_taille,'SUIVI STOCKS PAR PAYSAN'!$Z$7)-SUMIFS(v_Pièces,v_Taille,'SUIVI STOCKS PAR PAYSAN'!$Z$7,v_conc_prod_tye_affinage,'SUIVI STOCKS PAR PAYSAN'!$E24,v_Date_commande,"&gt;"&amp;date_inventaire)</f>
        <v>0</v>
      </c>
      <c r="AA24" s="342">
        <f ca="1">SUMIFS(bddres_pieces,'BDD RESERVATIONS'!$G:$G,'SUIVI STOCKS PAR PAYSAN'!$Z$7,bddres_c_prod_type_aff,'SUIVI STOCKS PAR PAYSAN'!$E24,'BDD RESERVATIONS'!$B:$B,"&gt;"&amp;date_inventaire)</f>
        <v>0</v>
      </c>
      <c r="AB24" s="343">
        <f ca="1">SUMIFS(es_pieces,es_prod_type_affinage,'SUIVI STOCKS PAR PAYSAN'!$E24,es_date_entree,"&gt;"&amp;date_inventaire,es_taille,'SUIVI STOCKS PAR PAYSAN'!$AB$7)-SUMIFS(v_Pièces,v_Taille,'SUIVI STOCKS PAR PAYSAN'!$AB$7,v_conc_prod_tye_affinage,'SUIVI STOCKS PAR PAYSAN'!$E24,v_Date_commande,"&gt;"&amp;date_inventaire)</f>
        <v>0</v>
      </c>
      <c r="AC24" s="353">
        <f ca="1">SUMIFS(bddres_pieces,'BDD RESERVATIONS'!$G:$G,'SUIVI STOCKS PAR PAYSAN'!$AB$7,bddres_c_prod_type_aff,'SUIVI STOCKS PAR PAYSAN'!$E24,'BDD RESERVATIONS'!$B:$B,"&gt;"&amp;date_inventaire)</f>
        <v>0</v>
      </c>
      <c r="AD24" s="348">
        <f ca="1">SUMIFS(es_poids,es_prod_type_affinage,'SUIVI STOCKS PAR PAYSAN'!$F24,es_date_entree,"&gt;"&amp;date_inventaire)-SUMIFS(v_Poids,v_conc_prod_tye_affinage,'SUIVI STOCKS PAR PAYSAN'!$F24,v_Date_commande,"&gt;"&amp;date_inventaire)</f>
        <v>0</v>
      </c>
      <c r="AE24" s="341">
        <f ca="1">SUMIFS(bddres_c_qte,bddres_c_prod_type_aff,'SUIVI STOCKS PAR PAYSAN'!F24,'BDD RESERVATIONS'!$B:$B,"&gt;"&amp;date_inventaire)</f>
        <v>0</v>
      </c>
      <c r="AF24" s="342">
        <f ca="1">SUMIFS(bddres_pieces,es_prod_type_affinage,'SUIVI STOCKS PAR PAYSAN'!$F24,es_date_entree,"&gt;"&amp;date_inventaire,es_taille,'SUIVI STOCKS PAR PAYSAN'!$Z$7)-SUMIFS(v_Pièces,v_Taille,'SUIVI STOCKS PAR PAYSAN'!$Z$7,v_conc_prod_tye_affinage,'SUIVI STOCKS PAR PAYSAN'!$F24,v_Date_commande,"&gt;"&amp;date_inventaire)</f>
        <v>0</v>
      </c>
      <c r="AG24" s="342">
        <f ca="1">SUMIFS(bddres_pieces,'BDD RESERVATIONS'!$G:$G,'SUIVI STOCKS PAR PAYSAN'!$Z$7,bddres_c_prod_type_aff,'SUIVI STOCKS PAR PAYSAN'!$F24,'BDD RESERVATIONS'!$B:$B,"&gt;"&amp;date_inventaire)</f>
        <v>0</v>
      </c>
      <c r="AH24" s="343">
        <f ca="1">SUMIFS(es_pieces,es_prod_type_affinage,'SUIVI STOCKS PAR PAYSAN'!$F24,es_date_entree,"&gt;"&amp;date_inventaire,es_taille,'SUIVI STOCKS PAR PAYSAN'!$AH$7)-SUMIFS(v_Pièces,v_Taille,'SUIVI STOCKS PAR PAYSAN'!$AH$7,v_conc_prod_tye_affinage,'SUIVI STOCKS PAR PAYSAN'!$F24,v_Date_commande,"&gt;"&amp;date_inventaire)</f>
        <v>0</v>
      </c>
      <c r="AI24" s="353">
        <f ca="1">SUMIFS(bddres_pieces,'BDD RESERVATIONS'!$G:$G,'SUIVI STOCKS PAR PAYSAN'!$AB$7,bddres_c_prod_type_aff,'SUIVI STOCKS PAR PAYSAN'!$F24,'BDD RESERVATIONS'!$B:$B,"&gt;"&amp;date_inventaire)</f>
        <v>0</v>
      </c>
      <c r="AJ24" s="352">
        <f ca="1">SUMIFS(es_poids,es_prod_type_affinage,'SUIVI STOCKS PAR PAYSAN'!$G24,es_date_entree,"&gt;"&amp;date_inventaire)-SUMIFS(v_Poids,v_conc_prod_tye_affinage,'SUIVI STOCKS PAR PAYSAN'!$G24,v_Date_commande,"&gt;"&amp;date_inventaire)</f>
        <v>0</v>
      </c>
      <c r="AK24" s="341">
        <f ca="1">SUMIFS(bddres_c_qte,bddres_c_prod_type_aff,'SUIVI STOCKS PAR PAYSAN'!G24,'BDD RESERVATIONS'!$B:$B,"&gt;"&amp;date_inventaire)</f>
        <v>0</v>
      </c>
      <c r="AL24" s="342">
        <f ca="1">SUMIFS(bddres_pieces,es_prod_type_affinage,'SUIVI STOCKS PAR PAYSAN'!$G24,es_date_entree,"&gt;"&amp;date_inventaire,es_taille,'SUIVI STOCKS PAR PAYSAN'!$AL$7)-SUMIFS(v_Pièces,v_Taille,'SUIVI STOCKS PAR PAYSAN'!$AL$7,v_conc_prod_tye_affinage,'SUIVI STOCKS PAR PAYSAN'!$G24,v_Date_commande,"&gt;"&amp;date_inventaire)</f>
        <v>0</v>
      </c>
      <c r="AM24" s="342">
        <f ca="1">SUMIFS(bddres_pieces,'BDD RESERVATIONS'!$G:$G,'SUIVI STOCKS PAR PAYSAN'!$AL$7,bddres_c_prod_type_aff,'SUIVI STOCKS PAR PAYSAN'!$G24,'BDD RESERVATIONS'!$B:$B,"&gt;"&amp;date_inventaire)</f>
        <v>0</v>
      </c>
      <c r="AN24" s="343">
        <f ca="1">SUMIFS(es_pieces,es_prod_type_affinage,'SUIVI STOCKS PAR PAYSAN'!$G24,es_date_entree,"&gt;"&amp;date_inventaire,es_taille,'SUIVI STOCKS PAR PAYSAN'!$AN$7)-SUMIFS(v_Pièces,v_Taille,'SUIVI STOCKS PAR PAYSAN'!$AN$7,v_conc_prod_tye_affinage,'SUIVI STOCKS PAR PAYSAN'!$G24,v_Date_commande,"&gt;"&amp;date_inventaire)</f>
        <v>0</v>
      </c>
      <c r="AO24" s="353">
        <f ca="1">SUMIFS(bddres_pieces,'BDD RESERVATIONS'!$G:$G,'SUIVI STOCKS PAR PAYSAN'!$AN$7,bddres_c_prod_type_aff,'SUIVI STOCKS PAR PAYSAN'!$G24,'BDD RESERVATIONS'!$B:$B,"&gt;"&amp;date_inventaire)</f>
        <v>0</v>
      </c>
      <c r="AP24" s="348">
        <f ca="1">SUMIFS(es_poids,es_prod_type_affinage,'SUIVI STOCKS PAR PAYSAN'!$H24,es_date_entree,"&gt;"&amp;date_inventaire)-SUMIFS(v_Poids,v_conc_prod_tye_affinage,'SUIVI STOCKS PAR PAYSAN'!$H24,v_Date_commande,"&gt;"&amp;date_inventaire)</f>
        <v>0</v>
      </c>
      <c r="AQ24" s="341">
        <f ca="1">SUMIFS(bddres_c_qte,bddres_c_prod_type_aff,'SUIVI STOCKS PAR PAYSAN'!H24,'BDD RESERVATIONS'!$B:$B,"&gt;"&amp;date_inventaire)</f>
        <v>0</v>
      </c>
      <c r="AR24" s="342">
        <f ca="1">SUMIFS(bddres_pieces,es_prod_type_affinage,'SUIVI STOCKS PAR PAYSAN'!$H24,es_date_entree,"&gt;"&amp;date_inventaire,es_taille,'SUIVI STOCKS PAR PAYSAN'!$AR$7)-SUMIFS(v_Pièces,v_Taille,'SUIVI STOCKS PAR PAYSAN'!$AR$7,v_conc_prod_tye_affinage,'SUIVI STOCKS PAR PAYSAN'!$H24,v_Date_commande,"&gt;"&amp;date_inventaire)</f>
        <v>0</v>
      </c>
      <c r="AS24" s="326">
        <f ca="1">SUMIFS(bddres_pieces,'BDD RESERVATIONS'!$G:$G,'SUIVI STOCKS PAR PAYSAN'!AR19,bddres_c_prod_type_aff,'SUIVI STOCKS PAR PAYSAN'!$H24,'BDD RESERVATIONS'!$B:$B,"&gt;"&amp;date_inventaire)</f>
        <v>0</v>
      </c>
      <c r="AT24" s="343">
        <f ca="1">SUMIFS(es_pieces,es_prod_type_affinage,'SUIVI STOCKS PAR PAYSAN'!$H24,es_date_entree,"&gt;"&amp;date_inventaire,es_taille,'SUIVI STOCKS PAR PAYSAN'!$AT$7)-SUMIFS(v_Pièces,v_Taille,'SUIVI STOCKS PAR PAYSAN'!$AT$7,v_conc_prod_tye_affinage,'SUIVI STOCKS PAR PAYSAN'!$H24,v_Date_commande,"&gt;"&amp;date_inventaire)</f>
        <v>0</v>
      </c>
      <c r="AU24" s="353">
        <f ca="1">SUMIFS(bddres_pieces,'BDD RESERVATIONS'!$G:$G,'SUIVI STOCKS PAR PAYSAN'!$AT$7,bddres_c_prod_type_aff,'SUIVI STOCKS PAR PAYSAN'!$H24,'BDD RESERVATIONS'!$B:$B,"&gt;"&amp;date_inventaire)</f>
        <v>0</v>
      </c>
      <c r="AV24" s="348">
        <f ca="1">SUMIFS(es_poids,es_prod_type_affinage,'SUIVI STOCKS PAR PAYSAN'!$I24,es_date_entree,"&gt;"&amp;date_inventaire)-SUMIFS(v_Poids,v_conc_prod_tye_affinage,'SUIVI STOCKS PAR PAYSAN'!$E24,v_Date_commande,"&gt;"&amp;date_inventaire)</f>
        <v>0</v>
      </c>
      <c r="AW24" s="313">
        <f ca="1">SUMIFS(bddres_c_qte,bddres_c_prod_type_aff,'SUIVI STOCKS PAR PAYSAN'!I24,'BDD RESERVATIONS'!$B:$B,"&gt;"&amp;date_inventaire)</f>
        <v>0</v>
      </c>
      <c r="AX24" s="342">
        <f ca="1">SUMIFS(bddres_pieces,es_prod_type_affinage,'SUIVI STOCKS PAR PAYSAN'!$I24,es_date_entree,"&gt;"&amp;date_inventaire,es_taille,'SUIVI STOCKS PAR PAYSAN'!$AX$7)-SUMIFS(v_Pièces,v_Taille,'SUIVI STOCKS PAR PAYSAN'!$AX$7,v_conc_prod_tye_affinage,'SUIVI STOCKS PAR PAYSAN'!$I24,v_Date_commande,"&gt;"&amp;date_inventaire)</f>
        <v>0</v>
      </c>
      <c r="AY24" s="342">
        <f ca="1">SUMIFS(bddres_pieces,'BDD RESERVATIONS'!$G:$G,'SUIVI STOCKS PAR PAYSAN'!$AX$7,bddres_c_prod_type_aff,'SUIVI STOCKS PAR PAYSAN'!$I24,'BDD RESERVATIONS'!$B:$B,"&gt;"&amp;date_inventaire)</f>
        <v>0</v>
      </c>
      <c r="AZ24" s="343">
        <f ca="1">SUMIFS(es_pieces,es_prod_type_affinage,'SUIVI STOCKS PAR PAYSAN'!$I24,es_date_entree,"&gt;"&amp;date_inventaire,es_taille,'SUIVI STOCKS PAR PAYSAN'!$AZ$7)-SUMIFS(v_Pièces,v_Taille,'SUIVI STOCKS PAR PAYSAN'!$AZ$7,v_conc_prod_tye_affinage,'SUIVI STOCKS PAR PAYSAN'!$I24,v_Date_commande,"&gt;"&amp;date_inventaire)</f>
        <v>0</v>
      </c>
      <c r="BA24" s="353">
        <f ca="1">SUMIFS(bddres_pieces,'BDD RESERVATIONS'!$G:$G,'SUIVI STOCKS PAR PAYSAN'!$AZ$7,bddres_c_prod_type_aff,'SUIVI STOCKS PAR PAYSAN'!$I24,'BDD RESERVATIONS'!$B:$B,"&gt;"&amp;date_inventaire)</f>
        <v>0</v>
      </c>
      <c r="BB24" s="348">
        <f ca="1">SUMIFS(es_poids,es_prod_type_affinage,'SUIVI STOCKS PAR PAYSAN'!$J24,es_date_entree,"&gt;"&amp;date_inventaire)-SUMIFS(v_Poids,v_conc_prod_tye_affinage,'SUIVI STOCKS PAR PAYSAN'!$J24,v_Date_commande,"&gt;"&amp;date_inventaire)</f>
        <v>0</v>
      </c>
      <c r="BC24" s="313">
        <f ca="1">SUMIFS(bddres_c_qte,bddres_c_prod_type_aff,'SUIVI STOCKS PAR PAYSAN'!J24,'BDD RESERVATIONS'!$B:$B,"&gt;"&amp;date_inventaire)</f>
        <v>0</v>
      </c>
      <c r="BD24" s="342">
        <f ca="1">SUMIFS(bddres_pieces,es_prod_type_affinage,'SUIVI STOCKS PAR PAYSAN'!$J24,es_date_entree,"&gt;"&amp;date_inventaire,es_taille,'SUIVI STOCKS PAR PAYSAN'!$BD$7)-SUMIFS(v_Pièces,v_Taille,'SUIVI STOCKS PAR PAYSAN'!$BD$7,v_conc_prod_tye_affinage,'SUIVI STOCKS PAR PAYSAN'!$J24,v_Date_commande,"&gt;"&amp;date_inventaire)</f>
        <v>0</v>
      </c>
      <c r="BE24" s="326">
        <f ca="1">SUMIFS(bddres_pieces,'BDD RESERVATIONS'!$G:$G,'SUIVI STOCKS PAR PAYSAN'!BD19,bddres_c_prod_type_aff,'SUIVI STOCKS PAR PAYSAN'!J24,'BDD RESERVATIONS'!$B:$B,"&gt;"&amp;date_inventaire)</f>
        <v>0</v>
      </c>
      <c r="BF24" s="343">
        <f ca="1">SUMIFS(es_pieces,es_prod_type_affinage,'SUIVI STOCKS PAR PAYSAN'!J24,es_date_entree,"&gt;"&amp;date_inventaire,es_taille,'SUIVI STOCKS PAR PAYSAN'!$BF$7)-SUMIFS(v_Pièces,v_Taille,'SUIVI STOCKS PAR PAYSAN'!$BF$7,v_conc_prod_tye_affinage,'SUIVI STOCKS PAR PAYSAN'!J24,v_Date_commande,"&gt;"&amp;date_inventaire)</f>
        <v>0</v>
      </c>
      <c r="BG24" s="353">
        <f ca="1">SUMIFS(bddres_pieces,'BDD RESERVATIONS'!$G:$G,'SUIVI STOCKS PAR PAYSAN'!$BF$7,bddres_c_prod_type_aff,'SUIVI STOCKS PAR PAYSAN'!J24,'BDD RESERVATIONS'!$B:$B,"&gt;"&amp;date_inventaire)</f>
        <v>0</v>
      </c>
    </row>
    <row r="25" spans="1:59" ht="18.75" customHeight="1" x14ac:dyDescent="0.25">
      <c r="A25" s="331" t="str">
        <f ca="1">OFFSET('BDD PAYSANS'!$B$1,B25,0,1,1)</f>
        <v>LAUGA Grégoire</v>
      </c>
      <c r="B25" s="325">
        <v>14</v>
      </c>
      <c r="C25" s="325" t="str">
        <f t="shared" ca="1" si="1"/>
        <v>LAUGA GrégoireFERMIER&lt;3 mois</v>
      </c>
      <c r="D25" s="325" t="str">
        <f t="shared" ca="1" si="1"/>
        <v>LAUGA GrégoireFERMIER3-6 mois</v>
      </c>
      <c r="E25" s="325" t="str">
        <f t="shared" ca="1" si="1"/>
        <v>LAUGA GrégoireFERMIER6-9 mois</v>
      </c>
      <c r="F25" s="325" t="str">
        <f t="shared" ca="1" si="1"/>
        <v>LAUGA GrégoireFERMIER&gt;9 mois</v>
      </c>
      <c r="G25" s="325" t="str">
        <f t="shared" ca="1" si="1"/>
        <v>LAUGA GrégoireESTIVE&lt;3 mois</v>
      </c>
      <c r="H25" s="325" t="str">
        <f t="shared" ca="1" si="1"/>
        <v>LAUGA GrégoireESTIVE3-6 mois</v>
      </c>
      <c r="I25" s="325" t="str">
        <f t="shared" ca="1" si="1"/>
        <v>LAUGA GrégoireESTIVE6-9 mois</v>
      </c>
      <c r="J25" s="325" t="str">
        <f t="shared" ca="1" si="1"/>
        <v>LAUGA GrégoireESTIVE&gt;9 mois</v>
      </c>
      <c r="K25" s="325"/>
      <c r="L25" s="352">
        <f ca="1">SUMIFS(es_poids,es_prod_type_affinage,'SUIVI STOCKS PAR PAYSAN'!$C25,es_date_entree,"&gt;"&amp;date_inventaire)-SUMIFS(v_Poids,v_conc_prod_tye_affinage,'SUIVI STOCKS PAR PAYSAN'!$C25,v_Date_commande,"&gt;"&amp;date_inventaire)</f>
        <v>0</v>
      </c>
      <c r="M25" s="341">
        <f ca="1">SUMIFS(bddres_c_qte,bddres_c_prod_type_aff,'SUIVI STOCKS PAR PAYSAN'!C25,'BDD RESERVATIONS'!$B:$B,"&gt;"&amp;date_inventaire)</f>
        <v>0</v>
      </c>
      <c r="N25" s="342">
        <f ca="1">SUMIFS(bddres_pieces,es_prod_type_affinage,'SUIVI STOCKS PAR PAYSAN'!$C25,es_date_entree,"&gt;"&amp;date_inventaire,es_taille,'SUIVI STOCKS PAR PAYSAN'!$N$7)-SUMIFS(v_Pièces,v_Taille,'SUIVI STOCKS PAR PAYSAN'!$N$7,v_conc_prod_tye_affinage,'SUIVI STOCKS PAR PAYSAN'!$C25,v_Date_commande,"&gt;"&amp;date_inventaire)</f>
        <v>0</v>
      </c>
      <c r="O25" s="342">
        <f ca="1">SUMIFS(bddres_pieces,'BDD RESERVATIONS'!$G:$G,'SUIVI STOCKS PAR PAYSAN'!$N$7,bddres_c_prod_type_aff,'SUIVI STOCKS PAR PAYSAN'!$C25,'BDD RESERVATIONS'!$B:$B,"&gt;"&amp;date_inventaire)</f>
        <v>0</v>
      </c>
      <c r="P25" s="343">
        <f ca="1">SUMIFS(es_pieces,es_prod_type_affinage,'SUIVI STOCKS PAR PAYSAN'!$C25,es_date_entree,"&gt;"&amp;date_inventaire,es_taille,'SUIVI STOCKS PAR PAYSAN'!$P$7)-SUMIFS(v_Pièces,v_Taille,'SUIVI STOCKS PAR PAYSAN'!$P$7,v_conc_prod_tye_affinage,'SUIVI STOCKS PAR PAYSAN'!$C25,v_Date_commande,"&gt;"&amp;date_inventaire)</f>
        <v>0</v>
      </c>
      <c r="Q25" s="353">
        <f ca="1">SUMIFS(bddres_pieces,'BDD RESERVATIONS'!$G:$G,'SUIVI STOCKS PAR PAYSAN'!$P$7,bddres_c_prod_type_aff,'SUIVI STOCKS PAR PAYSAN'!$C25,'BDD RESERVATIONS'!$B:$B,"&gt;"&amp;date_inventaire)</f>
        <v>0</v>
      </c>
      <c r="R25" s="348">
        <f ca="1">SUMIFS(es_poids,es_prod_type_affinage,'SUIVI STOCKS PAR PAYSAN'!$D25,es_date_entree,"&gt;"&amp;date_inventaire)-SUMIFS(v_Poids,v_conc_prod_tye_affinage,'SUIVI STOCKS PAR PAYSAN'!$D25,v_Date_commande,"&gt;"&amp;date_inventaire)</f>
        <v>0</v>
      </c>
      <c r="S25" s="341">
        <f ca="1">SUMIFS(bddres_c_qte,bddres_c_prod_type_aff,'SUIVI STOCKS PAR PAYSAN'!D25,'BDD RESERVATIONS'!$B:$B,"&gt;"&amp;date_inventaire)</f>
        <v>0</v>
      </c>
      <c r="T25" s="342">
        <f ca="1">SUMIFS(bddres_pieces,es_prod_type_affinage,'SUIVI STOCKS PAR PAYSAN'!$D25,es_date_entree,"&gt;"&amp;date_inventaire,es_taille,'SUIVI STOCKS PAR PAYSAN'!$T$7)-SUMIFS(v_Pièces,v_Taille,'SUIVI STOCKS PAR PAYSAN'!$T$7,v_conc_prod_tye_affinage,'SUIVI STOCKS PAR PAYSAN'!$D25,v_Date_commande,"&gt;"&amp;date_inventaire)</f>
        <v>0</v>
      </c>
      <c r="U25" s="342">
        <f ca="1">SUMIFS(bddres_pieces,'BDD RESERVATIONS'!$G:$G,'SUIVI STOCKS PAR PAYSAN'!$T$7,bddres_c_prod_type_aff,'SUIVI STOCKS PAR PAYSAN'!$D25,'BDD RESERVATIONS'!$B:$B,"&gt;"&amp;date_inventaire)</f>
        <v>0</v>
      </c>
      <c r="V25" s="343">
        <f ca="1">SUMIFS(es_pieces,es_prod_type_affinage,'SUIVI STOCKS PAR PAYSAN'!$D25,es_date_entree,"&gt;"&amp;date_inventaire,es_taille,'SUIVI STOCKS PAR PAYSAN'!$V$7)-SUMIFS(v_Pièces,v_Taille,'SUIVI STOCKS PAR PAYSAN'!$V$7,v_conc_prod_tye_affinage,'SUIVI STOCKS PAR PAYSAN'!$D25,v_Date_commande,"&gt;"&amp;date_inventaire)</f>
        <v>0</v>
      </c>
      <c r="W25" s="353">
        <f ca="1">SUMIFS(bddres_pieces,'BDD RESERVATIONS'!$G:$G,'SUIVI STOCKS PAR PAYSAN'!$V$7,bddres_c_prod_type_aff,'SUIVI STOCKS PAR PAYSAN'!$D25,'BDD RESERVATIONS'!$B:$B,"&gt;"&amp;date_inventaire)</f>
        <v>0</v>
      </c>
      <c r="X25" s="348">
        <f ca="1">SUMIFS(es_poids,es_prod_type_affinage,'SUIVI STOCKS PAR PAYSAN'!$E25,es_date_entree,"&gt;"&amp;date_inventaire)-SUMIFS(v_Poids,v_conc_prod_tye_affinage,'SUIVI STOCKS PAR PAYSAN'!$E25,v_Date_commande,"&gt;"&amp;date_inventaire)</f>
        <v>0</v>
      </c>
      <c r="Y25" s="341">
        <f ca="1">SUMIFS(bddres_c_qte,bddres_c_prod_type_aff,'SUIVI STOCKS PAR PAYSAN'!E25,'BDD RESERVATIONS'!$B:$B,"&gt;"&amp;date_inventaire)</f>
        <v>0</v>
      </c>
      <c r="Z25" s="342">
        <f ca="1">SUMIFS(bddres_pieces,es_prod_type_affinage,'SUIVI STOCKS PAR PAYSAN'!$E25,es_date_entree,"&gt;"&amp;date_inventaire,es_taille,'SUIVI STOCKS PAR PAYSAN'!$Z$7)-SUMIFS(v_Pièces,v_Taille,'SUIVI STOCKS PAR PAYSAN'!$Z$7,v_conc_prod_tye_affinage,'SUIVI STOCKS PAR PAYSAN'!$E25,v_Date_commande,"&gt;"&amp;date_inventaire)</f>
        <v>0</v>
      </c>
      <c r="AA25" s="342">
        <f ca="1">SUMIFS(bddres_pieces,'BDD RESERVATIONS'!$G:$G,'SUIVI STOCKS PAR PAYSAN'!$Z$7,bddres_c_prod_type_aff,'SUIVI STOCKS PAR PAYSAN'!$E25,'BDD RESERVATIONS'!$B:$B,"&gt;"&amp;date_inventaire)</f>
        <v>0</v>
      </c>
      <c r="AB25" s="343">
        <f ca="1">SUMIFS(es_pieces,es_prod_type_affinage,'SUIVI STOCKS PAR PAYSAN'!$E25,es_date_entree,"&gt;"&amp;date_inventaire,es_taille,'SUIVI STOCKS PAR PAYSAN'!$AB$7)-SUMIFS(v_Pièces,v_Taille,'SUIVI STOCKS PAR PAYSAN'!$AB$7,v_conc_prod_tye_affinage,'SUIVI STOCKS PAR PAYSAN'!$E25,v_Date_commande,"&gt;"&amp;date_inventaire)</f>
        <v>0</v>
      </c>
      <c r="AC25" s="353">
        <f ca="1">SUMIFS(bddres_pieces,'BDD RESERVATIONS'!$G:$G,'SUIVI STOCKS PAR PAYSAN'!$AB$7,bddres_c_prod_type_aff,'SUIVI STOCKS PAR PAYSAN'!$E25,'BDD RESERVATIONS'!$B:$B,"&gt;"&amp;date_inventaire)</f>
        <v>0</v>
      </c>
      <c r="AD25" s="348">
        <f ca="1">SUMIFS(es_poids,es_prod_type_affinage,'SUIVI STOCKS PAR PAYSAN'!$F25,es_date_entree,"&gt;"&amp;date_inventaire)-SUMIFS(v_Poids,v_conc_prod_tye_affinage,'SUIVI STOCKS PAR PAYSAN'!$F25,v_Date_commande,"&gt;"&amp;date_inventaire)</f>
        <v>-24</v>
      </c>
      <c r="AE25" s="341">
        <f ca="1">SUMIFS(bddres_c_qte,bddres_c_prod_type_aff,'SUIVI STOCKS PAR PAYSAN'!F25,'BDD RESERVATIONS'!$B:$B,"&gt;"&amp;date_inventaire)</f>
        <v>0</v>
      </c>
      <c r="AF25" s="342">
        <f ca="1">SUMIFS(bddres_pieces,es_prod_type_affinage,'SUIVI STOCKS PAR PAYSAN'!$F25,es_date_entree,"&gt;"&amp;date_inventaire,es_taille,'SUIVI STOCKS PAR PAYSAN'!$Z$7)-SUMIFS(v_Pièces,v_Taille,'SUIVI STOCKS PAR PAYSAN'!$Z$7,v_conc_prod_tye_affinage,'SUIVI STOCKS PAR PAYSAN'!$F25,v_Date_commande,"&gt;"&amp;date_inventaire)</f>
        <v>-12</v>
      </c>
      <c r="AG25" s="342">
        <f ca="1">SUMIFS(bddres_pieces,'BDD RESERVATIONS'!$G:$G,'SUIVI STOCKS PAR PAYSAN'!$Z$7,bddres_c_prod_type_aff,'SUIVI STOCKS PAR PAYSAN'!$F25,'BDD RESERVATIONS'!$B:$B,"&gt;"&amp;date_inventaire)</f>
        <v>0</v>
      </c>
      <c r="AH25" s="343">
        <f ca="1">SUMIFS(es_pieces,es_prod_type_affinage,'SUIVI STOCKS PAR PAYSAN'!$F25,es_date_entree,"&gt;"&amp;date_inventaire,es_taille,'SUIVI STOCKS PAR PAYSAN'!$AH$7)-SUMIFS(v_Pièces,v_Taille,'SUIVI STOCKS PAR PAYSAN'!$AH$7,v_conc_prod_tye_affinage,'SUIVI STOCKS PAR PAYSAN'!$F25,v_Date_commande,"&gt;"&amp;date_inventaire)</f>
        <v>0</v>
      </c>
      <c r="AI25" s="353">
        <f ca="1">SUMIFS(bddres_pieces,'BDD RESERVATIONS'!$G:$G,'SUIVI STOCKS PAR PAYSAN'!$AB$7,bddres_c_prod_type_aff,'SUIVI STOCKS PAR PAYSAN'!$F25,'BDD RESERVATIONS'!$B:$B,"&gt;"&amp;date_inventaire)</f>
        <v>0</v>
      </c>
      <c r="AJ25" s="352">
        <f ca="1">SUMIFS(es_poids,es_prod_type_affinage,'SUIVI STOCKS PAR PAYSAN'!$G25,es_date_entree,"&gt;"&amp;date_inventaire)-SUMIFS(v_Poids,v_conc_prod_tye_affinage,'SUIVI STOCKS PAR PAYSAN'!$G25,v_Date_commande,"&gt;"&amp;date_inventaire)</f>
        <v>0</v>
      </c>
      <c r="AK25" s="341">
        <f ca="1">SUMIFS(bddres_c_qte,bddres_c_prod_type_aff,'SUIVI STOCKS PAR PAYSAN'!G25,'BDD RESERVATIONS'!$B:$B,"&gt;"&amp;date_inventaire)</f>
        <v>0</v>
      </c>
      <c r="AL25" s="342">
        <f ca="1">SUMIFS(bddres_pieces,es_prod_type_affinage,'SUIVI STOCKS PAR PAYSAN'!$G25,es_date_entree,"&gt;"&amp;date_inventaire,es_taille,'SUIVI STOCKS PAR PAYSAN'!$AL$7)-SUMIFS(v_Pièces,v_Taille,'SUIVI STOCKS PAR PAYSAN'!$AL$7,v_conc_prod_tye_affinage,'SUIVI STOCKS PAR PAYSAN'!$G25,v_Date_commande,"&gt;"&amp;date_inventaire)</f>
        <v>0</v>
      </c>
      <c r="AM25" s="342">
        <f ca="1">SUMIFS(bddres_pieces,'BDD RESERVATIONS'!$G:$G,'SUIVI STOCKS PAR PAYSAN'!$AL$7,bddres_c_prod_type_aff,'SUIVI STOCKS PAR PAYSAN'!$G25,'BDD RESERVATIONS'!$B:$B,"&gt;"&amp;date_inventaire)</f>
        <v>0</v>
      </c>
      <c r="AN25" s="343">
        <f ca="1">SUMIFS(es_pieces,es_prod_type_affinage,'SUIVI STOCKS PAR PAYSAN'!$G25,es_date_entree,"&gt;"&amp;date_inventaire,es_taille,'SUIVI STOCKS PAR PAYSAN'!$AN$7)-SUMIFS(v_Pièces,v_Taille,'SUIVI STOCKS PAR PAYSAN'!$AN$7,v_conc_prod_tye_affinage,'SUIVI STOCKS PAR PAYSAN'!$G25,v_Date_commande,"&gt;"&amp;date_inventaire)</f>
        <v>0</v>
      </c>
      <c r="AO25" s="353">
        <f ca="1">SUMIFS(bddres_pieces,'BDD RESERVATIONS'!$G:$G,'SUIVI STOCKS PAR PAYSAN'!$AN$7,bddres_c_prod_type_aff,'SUIVI STOCKS PAR PAYSAN'!$G25,'BDD RESERVATIONS'!$B:$B,"&gt;"&amp;date_inventaire)</f>
        <v>0</v>
      </c>
      <c r="AP25" s="348">
        <f ca="1">SUMIFS(es_poids,es_prod_type_affinage,'SUIVI STOCKS PAR PAYSAN'!$H25,es_date_entree,"&gt;"&amp;date_inventaire)-SUMIFS(v_Poids,v_conc_prod_tye_affinage,'SUIVI STOCKS PAR PAYSAN'!$H25,v_Date_commande,"&gt;"&amp;date_inventaire)</f>
        <v>0</v>
      </c>
      <c r="AQ25" s="341">
        <f ca="1">SUMIFS(bddres_c_qte,bddres_c_prod_type_aff,'SUIVI STOCKS PAR PAYSAN'!H25,'BDD RESERVATIONS'!$B:$B,"&gt;"&amp;date_inventaire)</f>
        <v>0</v>
      </c>
      <c r="AR25" s="342">
        <f ca="1">SUMIFS(bddres_pieces,es_prod_type_affinage,'SUIVI STOCKS PAR PAYSAN'!$H25,es_date_entree,"&gt;"&amp;date_inventaire,es_taille,'SUIVI STOCKS PAR PAYSAN'!$AR$7)-SUMIFS(v_Pièces,v_Taille,'SUIVI STOCKS PAR PAYSAN'!$AR$7,v_conc_prod_tye_affinage,'SUIVI STOCKS PAR PAYSAN'!$H25,v_Date_commande,"&gt;"&amp;date_inventaire)</f>
        <v>0</v>
      </c>
      <c r="AS25" s="326">
        <f ca="1">SUMIFS(bddres_pieces,'BDD RESERVATIONS'!$G:$G,'SUIVI STOCKS PAR PAYSAN'!AR20,bddres_c_prod_type_aff,'SUIVI STOCKS PAR PAYSAN'!$H25,'BDD RESERVATIONS'!$B:$B,"&gt;"&amp;date_inventaire)</f>
        <v>0</v>
      </c>
      <c r="AT25" s="343">
        <f ca="1">SUMIFS(es_pieces,es_prod_type_affinage,'SUIVI STOCKS PAR PAYSAN'!$H25,es_date_entree,"&gt;"&amp;date_inventaire,es_taille,'SUIVI STOCKS PAR PAYSAN'!$AT$7)-SUMIFS(v_Pièces,v_Taille,'SUIVI STOCKS PAR PAYSAN'!$AT$7,v_conc_prod_tye_affinage,'SUIVI STOCKS PAR PAYSAN'!$H25,v_Date_commande,"&gt;"&amp;date_inventaire)</f>
        <v>0</v>
      </c>
      <c r="AU25" s="353">
        <f ca="1">SUMIFS(bddres_pieces,'BDD RESERVATIONS'!$G:$G,'SUIVI STOCKS PAR PAYSAN'!$AT$7,bddres_c_prod_type_aff,'SUIVI STOCKS PAR PAYSAN'!$H25,'BDD RESERVATIONS'!$B:$B,"&gt;"&amp;date_inventaire)</f>
        <v>0</v>
      </c>
      <c r="AV25" s="348">
        <f ca="1">SUMIFS(es_poids,es_prod_type_affinage,'SUIVI STOCKS PAR PAYSAN'!$I25,es_date_entree,"&gt;"&amp;date_inventaire)-SUMIFS(v_Poids,v_conc_prod_tye_affinage,'SUIVI STOCKS PAR PAYSAN'!$E25,v_Date_commande,"&gt;"&amp;date_inventaire)</f>
        <v>0</v>
      </c>
      <c r="AW25" s="313">
        <f ca="1">SUMIFS(bddres_c_qte,bddres_c_prod_type_aff,'SUIVI STOCKS PAR PAYSAN'!I25,'BDD RESERVATIONS'!$B:$B,"&gt;"&amp;date_inventaire)</f>
        <v>0</v>
      </c>
      <c r="AX25" s="342">
        <f ca="1">SUMIFS(bddres_pieces,es_prod_type_affinage,'SUIVI STOCKS PAR PAYSAN'!$I25,es_date_entree,"&gt;"&amp;date_inventaire,es_taille,'SUIVI STOCKS PAR PAYSAN'!$AX$7)-SUMIFS(v_Pièces,v_Taille,'SUIVI STOCKS PAR PAYSAN'!$AX$7,v_conc_prod_tye_affinage,'SUIVI STOCKS PAR PAYSAN'!$I25,v_Date_commande,"&gt;"&amp;date_inventaire)</f>
        <v>0</v>
      </c>
      <c r="AY25" s="342">
        <f ca="1">SUMIFS(bddres_pieces,'BDD RESERVATIONS'!$G:$G,'SUIVI STOCKS PAR PAYSAN'!$AX$7,bddres_c_prod_type_aff,'SUIVI STOCKS PAR PAYSAN'!$I25,'BDD RESERVATIONS'!$B:$B,"&gt;"&amp;date_inventaire)</f>
        <v>0</v>
      </c>
      <c r="AZ25" s="343">
        <f ca="1">SUMIFS(es_pieces,es_prod_type_affinage,'SUIVI STOCKS PAR PAYSAN'!$I25,es_date_entree,"&gt;"&amp;date_inventaire,es_taille,'SUIVI STOCKS PAR PAYSAN'!$AZ$7)-SUMIFS(v_Pièces,v_Taille,'SUIVI STOCKS PAR PAYSAN'!$AZ$7,v_conc_prod_tye_affinage,'SUIVI STOCKS PAR PAYSAN'!$I25,v_Date_commande,"&gt;"&amp;date_inventaire)</f>
        <v>0</v>
      </c>
      <c r="BA25" s="353">
        <f ca="1">SUMIFS(bddres_pieces,'BDD RESERVATIONS'!$G:$G,'SUIVI STOCKS PAR PAYSAN'!$AZ$7,bddres_c_prod_type_aff,'SUIVI STOCKS PAR PAYSAN'!$I25,'BDD RESERVATIONS'!$B:$B,"&gt;"&amp;date_inventaire)</f>
        <v>0</v>
      </c>
      <c r="BB25" s="348">
        <f ca="1">SUMIFS(es_poids,es_prod_type_affinage,'SUIVI STOCKS PAR PAYSAN'!$J25,es_date_entree,"&gt;"&amp;date_inventaire)-SUMIFS(v_Poids,v_conc_prod_tye_affinage,'SUIVI STOCKS PAR PAYSAN'!$J25,v_Date_commande,"&gt;"&amp;date_inventaire)</f>
        <v>0</v>
      </c>
      <c r="BC25" s="313">
        <f ca="1">SUMIFS(bddres_c_qte,bddres_c_prod_type_aff,'SUIVI STOCKS PAR PAYSAN'!J25,'BDD RESERVATIONS'!$B:$B,"&gt;"&amp;date_inventaire)</f>
        <v>0</v>
      </c>
      <c r="BD25" s="342">
        <f ca="1">SUMIFS(bddres_pieces,es_prod_type_affinage,'SUIVI STOCKS PAR PAYSAN'!$J25,es_date_entree,"&gt;"&amp;date_inventaire,es_taille,'SUIVI STOCKS PAR PAYSAN'!$BD$7)-SUMIFS(v_Pièces,v_Taille,'SUIVI STOCKS PAR PAYSAN'!$BD$7,v_conc_prod_tye_affinage,'SUIVI STOCKS PAR PAYSAN'!$J25,v_Date_commande,"&gt;"&amp;date_inventaire)</f>
        <v>0</v>
      </c>
      <c r="BE25" s="326">
        <f ca="1">SUMIFS(bddres_pieces,'BDD RESERVATIONS'!$G:$G,'SUIVI STOCKS PAR PAYSAN'!BD20,bddres_c_prod_type_aff,'SUIVI STOCKS PAR PAYSAN'!J25,'BDD RESERVATIONS'!$B:$B,"&gt;"&amp;date_inventaire)</f>
        <v>0</v>
      </c>
      <c r="BF25" s="343">
        <f ca="1">SUMIFS(es_pieces,es_prod_type_affinage,'SUIVI STOCKS PAR PAYSAN'!J25,es_date_entree,"&gt;"&amp;date_inventaire,es_taille,'SUIVI STOCKS PAR PAYSAN'!$BF$7)-SUMIFS(v_Pièces,v_Taille,'SUIVI STOCKS PAR PAYSAN'!$BF$7,v_conc_prod_tye_affinage,'SUIVI STOCKS PAR PAYSAN'!J25,v_Date_commande,"&gt;"&amp;date_inventaire)</f>
        <v>0</v>
      </c>
      <c r="BG25" s="353">
        <f ca="1">SUMIFS(bddres_pieces,'BDD RESERVATIONS'!$G:$G,'SUIVI STOCKS PAR PAYSAN'!$BF$7,bddres_c_prod_type_aff,'SUIVI STOCKS PAR PAYSAN'!J25,'BDD RESERVATIONS'!$B:$B,"&gt;"&amp;date_inventaire)</f>
        <v>0</v>
      </c>
    </row>
    <row r="26" spans="1:59" ht="18.75" customHeight="1" x14ac:dyDescent="0.25">
      <c r="A26" s="331" t="str">
        <f ca="1">OFFSET('BDD PAYSANS'!$B$1,B26,0,1,1)</f>
        <v>MAINHAGUIET Jean Bernard</v>
      </c>
      <c r="B26" s="325">
        <v>15</v>
      </c>
      <c r="C26" s="325" t="str">
        <f t="shared" ca="1" si="1"/>
        <v>MAINHAGUIET Jean BernardFERMIER&lt;3 mois</v>
      </c>
      <c r="D26" s="325" t="str">
        <f t="shared" ca="1" si="1"/>
        <v>MAINHAGUIET Jean BernardFERMIER3-6 mois</v>
      </c>
      <c r="E26" s="325" t="str">
        <f t="shared" ca="1" si="1"/>
        <v>MAINHAGUIET Jean BernardFERMIER6-9 mois</v>
      </c>
      <c r="F26" s="325" t="str">
        <f t="shared" ca="1" si="1"/>
        <v>MAINHAGUIET Jean BernardFERMIER&gt;9 mois</v>
      </c>
      <c r="G26" s="325" t="str">
        <f t="shared" ca="1" si="1"/>
        <v>MAINHAGUIET Jean BernardESTIVE&lt;3 mois</v>
      </c>
      <c r="H26" s="325" t="str">
        <f t="shared" ca="1" si="1"/>
        <v>MAINHAGUIET Jean BernardESTIVE3-6 mois</v>
      </c>
      <c r="I26" s="325" t="str">
        <f t="shared" ca="1" si="1"/>
        <v>MAINHAGUIET Jean BernardESTIVE6-9 mois</v>
      </c>
      <c r="J26" s="325" t="str">
        <f t="shared" ca="1" si="1"/>
        <v>MAINHAGUIET Jean BernardESTIVE&gt;9 mois</v>
      </c>
      <c r="K26" s="325"/>
      <c r="L26" s="352">
        <f ca="1">SUMIFS(es_poids,es_prod_type_affinage,'SUIVI STOCKS PAR PAYSAN'!$C26,es_date_entree,"&gt;"&amp;date_inventaire)-SUMIFS(v_Poids,v_conc_prod_tye_affinage,'SUIVI STOCKS PAR PAYSAN'!$C26,v_Date_commande,"&gt;"&amp;date_inventaire)</f>
        <v>0</v>
      </c>
      <c r="M26" s="341">
        <f ca="1">SUMIFS(bddres_c_qte,bddres_c_prod_type_aff,'SUIVI STOCKS PAR PAYSAN'!C26,'BDD RESERVATIONS'!$B:$B,"&gt;"&amp;date_inventaire)</f>
        <v>0</v>
      </c>
      <c r="N26" s="342">
        <f ca="1">SUMIFS(bddres_pieces,es_prod_type_affinage,'SUIVI STOCKS PAR PAYSAN'!$C26,es_date_entree,"&gt;"&amp;date_inventaire,es_taille,'SUIVI STOCKS PAR PAYSAN'!$N$7)-SUMIFS(v_Pièces,v_Taille,'SUIVI STOCKS PAR PAYSAN'!$N$7,v_conc_prod_tye_affinage,'SUIVI STOCKS PAR PAYSAN'!$C26,v_Date_commande,"&gt;"&amp;date_inventaire)</f>
        <v>0</v>
      </c>
      <c r="O26" s="342">
        <f ca="1">SUMIFS(bddres_pieces,'BDD RESERVATIONS'!$G:$G,'SUIVI STOCKS PAR PAYSAN'!$N$7,bddres_c_prod_type_aff,'SUIVI STOCKS PAR PAYSAN'!$C26,'BDD RESERVATIONS'!$B:$B,"&gt;"&amp;date_inventaire)</f>
        <v>0</v>
      </c>
      <c r="P26" s="343">
        <f ca="1">SUMIFS(es_pieces,es_prod_type_affinage,'SUIVI STOCKS PAR PAYSAN'!$C26,es_date_entree,"&gt;"&amp;date_inventaire,es_taille,'SUIVI STOCKS PAR PAYSAN'!$P$7)-SUMIFS(v_Pièces,v_Taille,'SUIVI STOCKS PAR PAYSAN'!$P$7,v_conc_prod_tye_affinage,'SUIVI STOCKS PAR PAYSAN'!$C26,v_Date_commande,"&gt;"&amp;date_inventaire)</f>
        <v>0</v>
      </c>
      <c r="Q26" s="353">
        <f ca="1">SUMIFS(bddres_pieces,'BDD RESERVATIONS'!$G:$G,'SUIVI STOCKS PAR PAYSAN'!$P$7,bddres_c_prod_type_aff,'SUIVI STOCKS PAR PAYSAN'!$C26,'BDD RESERVATIONS'!$B:$B,"&gt;"&amp;date_inventaire)</f>
        <v>0</v>
      </c>
      <c r="R26" s="348">
        <f ca="1">SUMIFS(es_poids,es_prod_type_affinage,'SUIVI STOCKS PAR PAYSAN'!$D26,es_date_entree,"&gt;"&amp;date_inventaire)-SUMIFS(v_Poids,v_conc_prod_tye_affinage,'SUIVI STOCKS PAR PAYSAN'!$D26,v_Date_commande,"&gt;"&amp;date_inventaire)</f>
        <v>0</v>
      </c>
      <c r="S26" s="341">
        <f ca="1">SUMIFS(bddres_c_qte,bddres_c_prod_type_aff,'SUIVI STOCKS PAR PAYSAN'!D26,'BDD RESERVATIONS'!$B:$B,"&gt;"&amp;date_inventaire)</f>
        <v>0</v>
      </c>
      <c r="T26" s="342">
        <f ca="1">SUMIFS(bddres_pieces,es_prod_type_affinage,'SUIVI STOCKS PAR PAYSAN'!$D26,es_date_entree,"&gt;"&amp;date_inventaire,es_taille,'SUIVI STOCKS PAR PAYSAN'!$T$7)-SUMIFS(v_Pièces,v_Taille,'SUIVI STOCKS PAR PAYSAN'!$T$7,v_conc_prod_tye_affinage,'SUIVI STOCKS PAR PAYSAN'!$D26,v_Date_commande,"&gt;"&amp;date_inventaire)</f>
        <v>0</v>
      </c>
      <c r="U26" s="342">
        <f ca="1">SUMIFS(bddres_pieces,'BDD RESERVATIONS'!$G:$G,'SUIVI STOCKS PAR PAYSAN'!$T$7,bddres_c_prod_type_aff,'SUIVI STOCKS PAR PAYSAN'!$D26,'BDD RESERVATIONS'!$B:$B,"&gt;"&amp;date_inventaire)</f>
        <v>0</v>
      </c>
      <c r="V26" s="343">
        <f ca="1">SUMIFS(es_pieces,es_prod_type_affinage,'SUIVI STOCKS PAR PAYSAN'!$D26,es_date_entree,"&gt;"&amp;date_inventaire,es_taille,'SUIVI STOCKS PAR PAYSAN'!$V$7)-SUMIFS(v_Pièces,v_Taille,'SUIVI STOCKS PAR PAYSAN'!$V$7,v_conc_prod_tye_affinage,'SUIVI STOCKS PAR PAYSAN'!$D26,v_Date_commande,"&gt;"&amp;date_inventaire)</f>
        <v>0</v>
      </c>
      <c r="W26" s="353">
        <f ca="1">SUMIFS(bddres_pieces,'BDD RESERVATIONS'!$G:$G,'SUIVI STOCKS PAR PAYSAN'!$V$7,bddres_c_prod_type_aff,'SUIVI STOCKS PAR PAYSAN'!$D26,'BDD RESERVATIONS'!$B:$B,"&gt;"&amp;date_inventaire)</f>
        <v>0</v>
      </c>
      <c r="X26" s="348">
        <f ca="1">SUMIFS(es_poids,es_prod_type_affinage,'SUIVI STOCKS PAR PAYSAN'!$E26,es_date_entree,"&gt;"&amp;date_inventaire)-SUMIFS(v_Poids,v_conc_prod_tye_affinage,'SUIVI STOCKS PAR PAYSAN'!$E26,v_Date_commande,"&gt;"&amp;date_inventaire)</f>
        <v>0</v>
      </c>
      <c r="Y26" s="341">
        <f ca="1">SUMIFS(bddres_c_qte,bddres_c_prod_type_aff,'SUIVI STOCKS PAR PAYSAN'!E26,'BDD RESERVATIONS'!$B:$B,"&gt;"&amp;date_inventaire)</f>
        <v>0</v>
      </c>
      <c r="Z26" s="342">
        <f ca="1">SUMIFS(bddres_pieces,es_prod_type_affinage,'SUIVI STOCKS PAR PAYSAN'!$E26,es_date_entree,"&gt;"&amp;date_inventaire,es_taille,'SUIVI STOCKS PAR PAYSAN'!$Z$7)-SUMIFS(v_Pièces,v_Taille,'SUIVI STOCKS PAR PAYSAN'!$Z$7,v_conc_prod_tye_affinage,'SUIVI STOCKS PAR PAYSAN'!$E26,v_Date_commande,"&gt;"&amp;date_inventaire)</f>
        <v>0</v>
      </c>
      <c r="AA26" s="342">
        <f ca="1">SUMIFS(bddres_pieces,'BDD RESERVATIONS'!$G:$G,'SUIVI STOCKS PAR PAYSAN'!$Z$7,bddres_c_prod_type_aff,'SUIVI STOCKS PAR PAYSAN'!$E26,'BDD RESERVATIONS'!$B:$B,"&gt;"&amp;date_inventaire)</f>
        <v>0</v>
      </c>
      <c r="AB26" s="343">
        <f ca="1">SUMIFS(es_pieces,es_prod_type_affinage,'SUIVI STOCKS PAR PAYSAN'!$E26,es_date_entree,"&gt;"&amp;date_inventaire,es_taille,'SUIVI STOCKS PAR PAYSAN'!$AB$7)-SUMIFS(v_Pièces,v_Taille,'SUIVI STOCKS PAR PAYSAN'!$AB$7,v_conc_prod_tye_affinage,'SUIVI STOCKS PAR PAYSAN'!$E26,v_Date_commande,"&gt;"&amp;date_inventaire)</f>
        <v>0</v>
      </c>
      <c r="AC26" s="353">
        <f ca="1">SUMIFS(bddres_pieces,'BDD RESERVATIONS'!$G:$G,'SUIVI STOCKS PAR PAYSAN'!$AB$7,bddres_c_prod_type_aff,'SUIVI STOCKS PAR PAYSAN'!$E26,'BDD RESERVATIONS'!$B:$B,"&gt;"&amp;date_inventaire)</f>
        <v>0</v>
      </c>
      <c r="AD26" s="348">
        <f ca="1">SUMIFS(es_poids,es_prod_type_affinage,'SUIVI STOCKS PAR PAYSAN'!$F26,es_date_entree,"&gt;"&amp;date_inventaire)-SUMIFS(v_Poids,v_conc_prod_tye_affinage,'SUIVI STOCKS PAR PAYSAN'!$F26,v_Date_commande,"&gt;"&amp;date_inventaire)</f>
        <v>0</v>
      </c>
      <c r="AE26" s="341">
        <f ca="1">SUMIFS(bddres_c_qte,bddres_c_prod_type_aff,'SUIVI STOCKS PAR PAYSAN'!F26,'BDD RESERVATIONS'!$B:$B,"&gt;"&amp;date_inventaire)</f>
        <v>0</v>
      </c>
      <c r="AF26" s="342">
        <f ca="1">SUMIFS(bddres_pieces,es_prod_type_affinage,'SUIVI STOCKS PAR PAYSAN'!$F26,es_date_entree,"&gt;"&amp;date_inventaire,es_taille,'SUIVI STOCKS PAR PAYSAN'!$Z$7)-SUMIFS(v_Pièces,v_Taille,'SUIVI STOCKS PAR PAYSAN'!$Z$7,v_conc_prod_tye_affinage,'SUIVI STOCKS PAR PAYSAN'!$F26,v_Date_commande,"&gt;"&amp;date_inventaire)</f>
        <v>0</v>
      </c>
      <c r="AG26" s="342">
        <f ca="1">SUMIFS(bddres_pieces,'BDD RESERVATIONS'!$G:$G,'SUIVI STOCKS PAR PAYSAN'!$Z$7,bddres_c_prod_type_aff,'SUIVI STOCKS PAR PAYSAN'!$F26,'BDD RESERVATIONS'!$B:$B,"&gt;"&amp;date_inventaire)</f>
        <v>0</v>
      </c>
      <c r="AH26" s="343">
        <f ca="1">SUMIFS(es_pieces,es_prod_type_affinage,'SUIVI STOCKS PAR PAYSAN'!$F26,es_date_entree,"&gt;"&amp;date_inventaire,es_taille,'SUIVI STOCKS PAR PAYSAN'!$AH$7)-SUMIFS(v_Pièces,v_Taille,'SUIVI STOCKS PAR PAYSAN'!$AH$7,v_conc_prod_tye_affinage,'SUIVI STOCKS PAR PAYSAN'!$F26,v_Date_commande,"&gt;"&amp;date_inventaire)</f>
        <v>0</v>
      </c>
      <c r="AI26" s="353">
        <f ca="1">SUMIFS(bddres_pieces,'BDD RESERVATIONS'!$G:$G,'SUIVI STOCKS PAR PAYSAN'!$AB$7,bddres_c_prod_type_aff,'SUIVI STOCKS PAR PAYSAN'!$F26,'BDD RESERVATIONS'!$B:$B,"&gt;"&amp;date_inventaire)</f>
        <v>0</v>
      </c>
      <c r="AJ26" s="352">
        <f ca="1">SUMIFS(es_poids,es_prod_type_affinage,'SUIVI STOCKS PAR PAYSAN'!$G26,es_date_entree,"&gt;"&amp;date_inventaire)-SUMIFS(v_Poids,v_conc_prod_tye_affinage,'SUIVI STOCKS PAR PAYSAN'!$G26,v_Date_commande,"&gt;"&amp;date_inventaire)</f>
        <v>0</v>
      </c>
      <c r="AK26" s="341">
        <f ca="1">SUMIFS(bddres_c_qte,bddres_c_prod_type_aff,'SUIVI STOCKS PAR PAYSAN'!G26,'BDD RESERVATIONS'!$B:$B,"&gt;"&amp;date_inventaire)</f>
        <v>0</v>
      </c>
      <c r="AL26" s="342">
        <f ca="1">SUMIFS(bddres_pieces,es_prod_type_affinage,'SUIVI STOCKS PAR PAYSAN'!$G26,es_date_entree,"&gt;"&amp;date_inventaire,es_taille,'SUIVI STOCKS PAR PAYSAN'!$AL$7)-SUMIFS(v_Pièces,v_Taille,'SUIVI STOCKS PAR PAYSAN'!$AL$7,v_conc_prod_tye_affinage,'SUIVI STOCKS PAR PAYSAN'!$G26,v_Date_commande,"&gt;"&amp;date_inventaire)</f>
        <v>0</v>
      </c>
      <c r="AM26" s="342">
        <f ca="1">SUMIFS(bddres_pieces,'BDD RESERVATIONS'!$G:$G,'SUIVI STOCKS PAR PAYSAN'!$AL$7,bddres_c_prod_type_aff,'SUIVI STOCKS PAR PAYSAN'!$G26,'BDD RESERVATIONS'!$B:$B,"&gt;"&amp;date_inventaire)</f>
        <v>0</v>
      </c>
      <c r="AN26" s="343">
        <f ca="1">SUMIFS(es_pieces,es_prod_type_affinage,'SUIVI STOCKS PAR PAYSAN'!$G26,es_date_entree,"&gt;"&amp;date_inventaire,es_taille,'SUIVI STOCKS PAR PAYSAN'!$AN$7)-SUMIFS(v_Pièces,v_Taille,'SUIVI STOCKS PAR PAYSAN'!$AN$7,v_conc_prod_tye_affinage,'SUIVI STOCKS PAR PAYSAN'!$G26,v_Date_commande,"&gt;"&amp;date_inventaire)</f>
        <v>0</v>
      </c>
      <c r="AO26" s="353">
        <f ca="1">SUMIFS(bddres_pieces,'BDD RESERVATIONS'!$G:$G,'SUIVI STOCKS PAR PAYSAN'!$AN$7,bddres_c_prod_type_aff,'SUIVI STOCKS PAR PAYSAN'!$G26,'BDD RESERVATIONS'!$B:$B,"&gt;"&amp;date_inventaire)</f>
        <v>0</v>
      </c>
      <c r="AP26" s="348">
        <f ca="1">SUMIFS(es_poids,es_prod_type_affinage,'SUIVI STOCKS PAR PAYSAN'!$H26,es_date_entree,"&gt;"&amp;date_inventaire)-SUMIFS(v_Poids,v_conc_prod_tye_affinage,'SUIVI STOCKS PAR PAYSAN'!$H26,v_Date_commande,"&gt;"&amp;date_inventaire)</f>
        <v>0</v>
      </c>
      <c r="AQ26" s="341">
        <f ca="1">SUMIFS(bddres_c_qte,bddres_c_prod_type_aff,'SUIVI STOCKS PAR PAYSAN'!H26,'BDD RESERVATIONS'!$B:$B,"&gt;"&amp;date_inventaire)</f>
        <v>0</v>
      </c>
      <c r="AR26" s="342">
        <f ca="1">SUMIFS(bddres_pieces,es_prod_type_affinage,'SUIVI STOCKS PAR PAYSAN'!$H26,es_date_entree,"&gt;"&amp;date_inventaire,es_taille,'SUIVI STOCKS PAR PAYSAN'!$AR$7)-SUMIFS(v_Pièces,v_Taille,'SUIVI STOCKS PAR PAYSAN'!$AR$7,v_conc_prod_tye_affinage,'SUIVI STOCKS PAR PAYSAN'!$H26,v_Date_commande,"&gt;"&amp;date_inventaire)</f>
        <v>0</v>
      </c>
      <c r="AS26" s="326">
        <f ca="1">SUMIFS(bddres_pieces,'BDD RESERVATIONS'!$G:$G,'SUIVI STOCKS PAR PAYSAN'!AR21,bddres_c_prod_type_aff,'SUIVI STOCKS PAR PAYSAN'!$H26,'BDD RESERVATIONS'!$B:$B,"&gt;"&amp;date_inventaire)</f>
        <v>0</v>
      </c>
      <c r="AT26" s="343">
        <f ca="1">SUMIFS(es_pieces,es_prod_type_affinage,'SUIVI STOCKS PAR PAYSAN'!$H26,es_date_entree,"&gt;"&amp;date_inventaire,es_taille,'SUIVI STOCKS PAR PAYSAN'!$AT$7)-SUMIFS(v_Pièces,v_Taille,'SUIVI STOCKS PAR PAYSAN'!$AT$7,v_conc_prod_tye_affinage,'SUIVI STOCKS PAR PAYSAN'!$H26,v_Date_commande,"&gt;"&amp;date_inventaire)</f>
        <v>0</v>
      </c>
      <c r="AU26" s="353">
        <f ca="1">SUMIFS(bddres_pieces,'BDD RESERVATIONS'!$G:$G,'SUIVI STOCKS PAR PAYSAN'!$AT$7,bddres_c_prod_type_aff,'SUIVI STOCKS PAR PAYSAN'!$H26,'BDD RESERVATIONS'!$B:$B,"&gt;"&amp;date_inventaire)</f>
        <v>0</v>
      </c>
      <c r="AV26" s="348">
        <f ca="1">SUMIFS(es_poids,es_prod_type_affinage,'SUIVI STOCKS PAR PAYSAN'!$I26,es_date_entree,"&gt;"&amp;date_inventaire)-SUMIFS(v_Poids,v_conc_prod_tye_affinage,'SUIVI STOCKS PAR PAYSAN'!$E26,v_Date_commande,"&gt;"&amp;date_inventaire)</f>
        <v>0</v>
      </c>
      <c r="AW26" s="313">
        <f ca="1">SUMIFS(bddres_c_qte,bddres_c_prod_type_aff,'SUIVI STOCKS PAR PAYSAN'!I26,'BDD RESERVATIONS'!$B:$B,"&gt;"&amp;date_inventaire)</f>
        <v>0</v>
      </c>
      <c r="AX26" s="342">
        <f ca="1">SUMIFS(bddres_pieces,es_prod_type_affinage,'SUIVI STOCKS PAR PAYSAN'!$I26,es_date_entree,"&gt;"&amp;date_inventaire,es_taille,'SUIVI STOCKS PAR PAYSAN'!$AX$7)-SUMIFS(v_Pièces,v_Taille,'SUIVI STOCKS PAR PAYSAN'!$AX$7,v_conc_prod_tye_affinage,'SUIVI STOCKS PAR PAYSAN'!$I26,v_Date_commande,"&gt;"&amp;date_inventaire)</f>
        <v>0</v>
      </c>
      <c r="AY26" s="342">
        <f ca="1">SUMIFS(bddres_pieces,'BDD RESERVATIONS'!$G:$G,'SUIVI STOCKS PAR PAYSAN'!$AX$7,bddres_c_prod_type_aff,'SUIVI STOCKS PAR PAYSAN'!$I26,'BDD RESERVATIONS'!$B:$B,"&gt;"&amp;date_inventaire)</f>
        <v>0</v>
      </c>
      <c r="AZ26" s="343">
        <f ca="1">SUMIFS(es_pieces,es_prod_type_affinage,'SUIVI STOCKS PAR PAYSAN'!$I26,es_date_entree,"&gt;"&amp;date_inventaire,es_taille,'SUIVI STOCKS PAR PAYSAN'!$AZ$7)-SUMIFS(v_Pièces,v_Taille,'SUIVI STOCKS PAR PAYSAN'!$AZ$7,v_conc_prod_tye_affinage,'SUIVI STOCKS PAR PAYSAN'!$I26,v_Date_commande,"&gt;"&amp;date_inventaire)</f>
        <v>0</v>
      </c>
      <c r="BA26" s="353">
        <f ca="1">SUMIFS(bddres_pieces,'BDD RESERVATIONS'!$G:$G,'SUIVI STOCKS PAR PAYSAN'!$AZ$7,bddres_c_prod_type_aff,'SUIVI STOCKS PAR PAYSAN'!$I26,'BDD RESERVATIONS'!$B:$B,"&gt;"&amp;date_inventaire)</f>
        <v>0</v>
      </c>
      <c r="BB26" s="348">
        <f ca="1">SUMIFS(es_poids,es_prod_type_affinage,'SUIVI STOCKS PAR PAYSAN'!$J26,es_date_entree,"&gt;"&amp;date_inventaire)-SUMIFS(v_Poids,v_conc_prod_tye_affinage,'SUIVI STOCKS PAR PAYSAN'!$J26,v_Date_commande,"&gt;"&amp;date_inventaire)</f>
        <v>0</v>
      </c>
      <c r="BC26" s="313">
        <f ca="1">SUMIFS(bddres_c_qte,bddres_c_prod_type_aff,'SUIVI STOCKS PAR PAYSAN'!J26,'BDD RESERVATIONS'!$B:$B,"&gt;"&amp;date_inventaire)</f>
        <v>0</v>
      </c>
      <c r="BD26" s="342">
        <f ca="1">SUMIFS(bddres_pieces,es_prod_type_affinage,'SUIVI STOCKS PAR PAYSAN'!$J26,es_date_entree,"&gt;"&amp;date_inventaire,es_taille,'SUIVI STOCKS PAR PAYSAN'!$BD$7)-SUMIFS(v_Pièces,v_Taille,'SUIVI STOCKS PAR PAYSAN'!$BD$7,v_conc_prod_tye_affinage,'SUIVI STOCKS PAR PAYSAN'!$J26,v_Date_commande,"&gt;"&amp;date_inventaire)</f>
        <v>0</v>
      </c>
      <c r="BE26" s="326">
        <f ca="1">SUMIFS(bddres_pieces,'BDD RESERVATIONS'!$G:$G,'SUIVI STOCKS PAR PAYSAN'!BD21,bddres_c_prod_type_aff,'SUIVI STOCKS PAR PAYSAN'!J26,'BDD RESERVATIONS'!$B:$B,"&gt;"&amp;date_inventaire)</f>
        <v>0</v>
      </c>
      <c r="BF26" s="343">
        <f ca="1">SUMIFS(es_pieces,es_prod_type_affinage,'SUIVI STOCKS PAR PAYSAN'!J26,es_date_entree,"&gt;"&amp;date_inventaire,es_taille,'SUIVI STOCKS PAR PAYSAN'!$BF$7)-SUMIFS(v_Pièces,v_Taille,'SUIVI STOCKS PAR PAYSAN'!$BF$7,v_conc_prod_tye_affinage,'SUIVI STOCKS PAR PAYSAN'!J26,v_Date_commande,"&gt;"&amp;date_inventaire)</f>
        <v>0</v>
      </c>
      <c r="BG26" s="353">
        <f ca="1">SUMIFS(bddres_pieces,'BDD RESERVATIONS'!$G:$G,'SUIVI STOCKS PAR PAYSAN'!$BF$7,bddres_c_prod_type_aff,'SUIVI STOCKS PAR PAYSAN'!J26,'BDD RESERVATIONS'!$B:$B,"&gt;"&amp;date_inventaire)</f>
        <v>0</v>
      </c>
    </row>
    <row r="27" spans="1:59" ht="18.75" customHeight="1" x14ac:dyDescent="0.25">
      <c r="A27" s="331" t="str">
        <f ca="1">OFFSET('BDD PAYSANS'!$B$1,B27,0,1,1)</f>
        <v>ORDOQUIHANDY Patrice</v>
      </c>
      <c r="B27" s="325">
        <v>16</v>
      </c>
      <c r="C27" s="325" t="str">
        <f t="shared" ca="1" si="1"/>
        <v>ORDOQUIHANDY PatriceFERMIER&lt;3 mois</v>
      </c>
      <c r="D27" s="325" t="str">
        <f t="shared" ca="1" si="1"/>
        <v>ORDOQUIHANDY PatriceFERMIER3-6 mois</v>
      </c>
      <c r="E27" s="325" t="str">
        <f t="shared" ca="1" si="1"/>
        <v>ORDOQUIHANDY PatriceFERMIER6-9 mois</v>
      </c>
      <c r="F27" s="325" t="str">
        <f t="shared" ca="1" si="1"/>
        <v>ORDOQUIHANDY PatriceFERMIER&gt;9 mois</v>
      </c>
      <c r="G27" s="325" t="str">
        <f t="shared" ca="1" si="1"/>
        <v>ORDOQUIHANDY PatriceESTIVE&lt;3 mois</v>
      </c>
      <c r="H27" s="325" t="str">
        <f t="shared" ca="1" si="1"/>
        <v>ORDOQUIHANDY PatriceESTIVE3-6 mois</v>
      </c>
      <c r="I27" s="325" t="str">
        <f t="shared" ca="1" si="1"/>
        <v>ORDOQUIHANDY PatriceESTIVE6-9 mois</v>
      </c>
      <c r="J27" s="325" t="str">
        <f t="shared" ca="1" si="1"/>
        <v>ORDOQUIHANDY PatriceESTIVE&gt;9 mois</v>
      </c>
      <c r="K27" s="325"/>
      <c r="L27" s="352">
        <f ca="1">SUMIFS(es_poids,es_prod_type_affinage,'SUIVI STOCKS PAR PAYSAN'!$C27,es_date_entree,"&gt;"&amp;date_inventaire)-SUMIFS(v_Poids,v_conc_prod_tye_affinage,'SUIVI STOCKS PAR PAYSAN'!$C27,v_Date_commande,"&gt;"&amp;date_inventaire)</f>
        <v>0</v>
      </c>
      <c r="M27" s="341">
        <f ca="1">SUMIFS(bddres_c_qte,bddres_c_prod_type_aff,'SUIVI STOCKS PAR PAYSAN'!C27,'BDD RESERVATIONS'!$B:$B,"&gt;"&amp;date_inventaire)</f>
        <v>0</v>
      </c>
      <c r="N27" s="342">
        <f ca="1">SUMIFS(bddres_pieces,es_prod_type_affinage,'SUIVI STOCKS PAR PAYSAN'!$C27,es_date_entree,"&gt;"&amp;date_inventaire,es_taille,'SUIVI STOCKS PAR PAYSAN'!$N$7)-SUMIFS(v_Pièces,v_Taille,'SUIVI STOCKS PAR PAYSAN'!$N$7,v_conc_prod_tye_affinage,'SUIVI STOCKS PAR PAYSAN'!$C27,v_Date_commande,"&gt;"&amp;date_inventaire)</f>
        <v>0</v>
      </c>
      <c r="O27" s="342">
        <f ca="1">SUMIFS(bddres_pieces,'BDD RESERVATIONS'!$G:$G,'SUIVI STOCKS PAR PAYSAN'!$N$7,bddres_c_prod_type_aff,'SUIVI STOCKS PAR PAYSAN'!$C27,'BDD RESERVATIONS'!$B:$B,"&gt;"&amp;date_inventaire)</f>
        <v>0</v>
      </c>
      <c r="P27" s="343">
        <f ca="1">SUMIFS(es_pieces,es_prod_type_affinage,'SUIVI STOCKS PAR PAYSAN'!$C27,es_date_entree,"&gt;"&amp;date_inventaire,es_taille,'SUIVI STOCKS PAR PAYSAN'!$P$7)-SUMIFS(v_Pièces,v_Taille,'SUIVI STOCKS PAR PAYSAN'!$P$7,v_conc_prod_tye_affinage,'SUIVI STOCKS PAR PAYSAN'!$C27,v_Date_commande,"&gt;"&amp;date_inventaire)</f>
        <v>0</v>
      </c>
      <c r="Q27" s="353">
        <f ca="1">SUMIFS(bddres_pieces,'BDD RESERVATIONS'!$G:$G,'SUIVI STOCKS PAR PAYSAN'!$P$7,bddres_c_prod_type_aff,'SUIVI STOCKS PAR PAYSAN'!$C27,'BDD RESERVATIONS'!$B:$B,"&gt;"&amp;date_inventaire)</f>
        <v>0</v>
      </c>
      <c r="R27" s="348">
        <f ca="1">SUMIFS(es_poids,es_prod_type_affinage,'SUIVI STOCKS PAR PAYSAN'!$D27,es_date_entree,"&gt;"&amp;date_inventaire)-SUMIFS(v_Poids,v_conc_prod_tye_affinage,'SUIVI STOCKS PAR PAYSAN'!$D27,v_Date_commande,"&gt;"&amp;date_inventaire)</f>
        <v>0</v>
      </c>
      <c r="S27" s="341">
        <f ca="1">SUMIFS(bddres_c_qte,bddres_c_prod_type_aff,'SUIVI STOCKS PAR PAYSAN'!D27,'BDD RESERVATIONS'!$B:$B,"&gt;"&amp;date_inventaire)</f>
        <v>0</v>
      </c>
      <c r="T27" s="342">
        <f ca="1">SUMIFS(bddres_pieces,es_prod_type_affinage,'SUIVI STOCKS PAR PAYSAN'!$D27,es_date_entree,"&gt;"&amp;date_inventaire,es_taille,'SUIVI STOCKS PAR PAYSAN'!$T$7)-SUMIFS(v_Pièces,v_Taille,'SUIVI STOCKS PAR PAYSAN'!$T$7,v_conc_prod_tye_affinage,'SUIVI STOCKS PAR PAYSAN'!$D27,v_Date_commande,"&gt;"&amp;date_inventaire)</f>
        <v>0</v>
      </c>
      <c r="U27" s="342">
        <f ca="1">SUMIFS(bddres_pieces,'BDD RESERVATIONS'!$G:$G,'SUIVI STOCKS PAR PAYSAN'!$T$7,bddres_c_prod_type_aff,'SUIVI STOCKS PAR PAYSAN'!$D27,'BDD RESERVATIONS'!$B:$B,"&gt;"&amp;date_inventaire)</f>
        <v>0</v>
      </c>
      <c r="V27" s="343">
        <f ca="1">SUMIFS(es_pieces,es_prod_type_affinage,'SUIVI STOCKS PAR PAYSAN'!$D27,es_date_entree,"&gt;"&amp;date_inventaire,es_taille,'SUIVI STOCKS PAR PAYSAN'!$V$7)-SUMIFS(v_Pièces,v_Taille,'SUIVI STOCKS PAR PAYSAN'!$V$7,v_conc_prod_tye_affinage,'SUIVI STOCKS PAR PAYSAN'!$D27,v_Date_commande,"&gt;"&amp;date_inventaire)</f>
        <v>0</v>
      </c>
      <c r="W27" s="353">
        <f ca="1">SUMIFS(bddres_pieces,'BDD RESERVATIONS'!$G:$G,'SUIVI STOCKS PAR PAYSAN'!$V$7,bddres_c_prod_type_aff,'SUIVI STOCKS PAR PAYSAN'!$D27,'BDD RESERVATIONS'!$B:$B,"&gt;"&amp;date_inventaire)</f>
        <v>0</v>
      </c>
      <c r="X27" s="348">
        <f ca="1">SUMIFS(es_poids,es_prod_type_affinage,'SUIVI STOCKS PAR PAYSAN'!$E27,es_date_entree,"&gt;"&amp;date_inventaire)-SUMIFS(v_Poids,v_conc_prod_tye_affinage,'SUIVI STOCKS PAR PAYSAN'!$E27,v_Date_commande,"&gt;"&amp;date_inventaire)</f>
        <v>0</v>
      </c>
      <c r="Y27" s="341">
        <f ca="1">SUMIFS(bddres_c_qte,bddres_c_prod_type_aff,'SUIVI STOCKS PAR PAYSAN'!E27,'BDD RESERVATIONS'!$B:$B,"&gt;"&amp;date_inventaire)</f>
        <v>0</v>
      </c>
      <c r="Z27" s="342">
        <f ca="1">SUMIFS(bddres_pieces,es_prod_type_affinage,'SUIVI STOCKS PAR PAYSAN'!$E27,es_date_entree,"&gt;"&amp;date_inventaire,es_taille,'SUIVI STOCKS PAR PAYSAN'!$Z$7)-SUMIFS(v_Pièces,v_Taille,'SUIVI STOCKS PAR PAYSAN'!$Z$7,v_conc_prod_tye_affinage,'SUIVI STOCKS PAR PAYSAN'!$E27,v_Date_commande,"&gt;"&amp;date_inventaire)</f>
        <v>0</v>
      </c>
      <c r="AA27" s="342">
        <f ca="1">SUMIFS(bddres_pieces,'BDD RESERVATIONS'!$G:$G,'SUIVI STOCKS PAR PAYSAN'!$Z$7,bddres_c_prod_type_aff,'SUIVI STOCKS PAR PAYSAN'!$E27,'BDD RESERVATIONS'!$B:$B,"&gt;"&amp;date_inventaire)</f>
        <v>0</v>
      </c>
      <c r="AB27" s="343">
        <f ca="1">SUMIFS(es_pieces,es_prod_type_affinage,'SUIVI STOCKS PAR PAYSAN'!$E27,es_date_entree,"&gt;"&amp;date_inventaire,es_taille,'SUIVI STOCKS PAR PAYSAN'!$AB$7)-SUMIFS(v_Pièces,v_Taille,'SUIVI STOCKS PAR PAYSAN'!$AB$7,v_conc_prod_tye_affinage,'SUIVI STOCKS PAR PAYSAN'!$E27,v_Date_commande,"&gt;"&amp;date_inventaire)</f>
        <v>0</v>
      </c>
      <c r="AC27" s="353">
        <f ca="1">SUMIFS(bddres_pieces,'BDD RESERVATIONS'!$G:$G,'SUIVI STOCKS PAR PAYSAN'!$AB$7,bddres_c_prod_type_aff,'SUIVI STOCKS PAR PAYSAN'!$E27,'BDD RESERVATIONS'!$B:$B,"&gt;"&amp;date_inventaire)</f>
        <v>0</v>
      </c>
      <c r="AD27" s="348">
        <f ca="1">SUMIFS(es_poids,es_prod_type_affinage,'SUIVI STOCKS PAR PAYSAN'!$F27,es_date_entree,"&gt;"&amp;date_inventaire)-SUMIFS(v_Poids,v_conc_prod_tye_affinage,'SUIVI STOCKS PAR PAYSAN'!$F27,v_Date_commande,"&gt;"&amp;date_inventaire)</f>
        <v>0</v>
      </c>
      <c r="AE27" s="341">
        <f ca="1">SUMIFS(bddres_c_qte,bddres_c_prod_type_aff,'SUIVI STOCKS PAR PAYSAN'!F27,'BDD RESERVATIONS'!$B:$B,"&gt;"&amp;date_inventaire)</f>
        <v>0</v>
      </c>
      <c r="AF27" s="342">
        <f ca="1">SUMIFS(bddres_pieces,es_prod_type_affinage,'SUIVI STOCKS PAR PAYSAN'!$F27,es_date_entree,"&gt;"&amp;date_inventaire,es_taille,'SUIVI STOCKS PAR PAYSAN'!$Z$7)-SUMIFS(v_Pièces,v_Taille,'SUIVI STOCKS PAR PAYSAN'!$Z$7,v_conc_prod_tye_affinage,'SUIVI STOCKS PAR PAYSAN'!$F27,v_Date_commande,"&gt;"&amp;date_inventaire)</f>
        <v>0</v>
      </c>
      <c r="AG27" s="342">
        <f ca="1">SUMIFS(bddres_pieces,'BDD RESERVATIONS'!$G:$G,'SUIVI STOCKS PAR PAYSAN'!$Z$7,bddres_c_prod_type_aff,'SUIVI STOCKS PAR PAYSAN'!$F27,'BDD RESERVATIONS'!$B:$B,"&gt;"&amp;date_inventaire)</f>
        <v>0</v>
      </c>
      <c r="AH27" s="343">
        <f ca="1">SUMIFS(es_pieces,es_prod_type_affinage,'SUIVI STOCKS PAR PAYSAN'!$F27,es_date_entree,"&gt;"&amp;date_inventaire,es_taille,'SUIVI STOCKS PAR PAYSAN'!$AH$7)-SUMIFS(v_Pièces,v_Taille,'SUIVI STOCKS PAR PAYSAN'!$AH$7,v_conc_prod_tye_affinage,'SUIVI STOCKS PAR PAYSAN'!$F27,v_Date_commande,"&gt;"&amp;date_inventaire)</f>
        <v>0</v>
      </c>
      <c r="AI27" s="353">
        <f ca="1">SUMIFS(bddres_pieces,'BDD RESERVATIONS'!$G:$G,'SUIVI STOCKS PAR PAYSAN'!$AB$7,bddres_c_prod_type_aff,'SUIVI STOCKS PAR PAYSAN'!$F27,'BDD RESERVATIONS'!$B:$B,"&gt;"&amp;date_inventaire)</f>
        <v>0</v>
      </c>
      <c r="AJ27" s="352">
        <f ca="1">SUMIFS(es_poids,es_prod_type_affinage,'SUIVI STOCKS PAR PAYSAN'!$G27,es_date_entree,"&gt;"&amp;date_inventaire)-SUMIFS(v_Poids,v_conc_prod_tye_affinage,'SUIVI STOCKS PAR PAYSAN'!$G27,v_Date_commande,"&gt;"&amp;date_inventaire)</f>
        <v>0</v>
      </c>
      <c r="AK27" s="341">
        <f ca="1">SUMIFS(bddres_c_qte,bddres_c_prod_type_aff,'SUIVI STOCKS PAR PAYSAN'!G27,'BDD RESERVATIONS'!$B:$B,"&gt;"&amp;date_inventaire)</f>
        <v>0</v>
      </c>
      <c r="AL27" s="342">
        <f ca="1">SUMIFS(bddres_pieces,es_prod_type_affinage,'SUIVI STOCKS PAR PAYSAN'!$G27,es_date_entree,"&gt;"&amp;date_inventaire,es_taille,'SUIVI STOCKS PAR PAYSAN'!$AL$7)-SUMIFS(v_Pièces,v_Taille,'SUIVI STOCKS PAR PAYSAN'!$AL$7,v_conc_prod_tye_affinage,'SUIVI STOCKS PAR PAYSAN'!$G27,v_Date_commande,"&gt;"&amp;date_inventaire)</f>
        <v>0</v>
      </c>
      <c r="AM27" s="342">
        <f ca="1">SUMIFS(bddres_pieces,'BDD RESERVATIONS'!$G:$G,'SUIVI STOCKS PAR PAYSAN'!$AL$7,bddres_c_prod_type_aff,'SUIVI STOCKS PAR PAYSAN'!$G27,'BDD RESERVATIONS'!$B:$B,"&gt;"&amp;date_inventaire)</f>
        <v>0</v>
      </c>
      <c r="AN27" s="343">
        <f ca="1">SUMIFS(es_pieces,es_prod_type_affinage,'SUIVI STOCKS PAR PAYSAN'!$G27,es_date_entree,"&gt;"&amp;date_inventaire,es_taille,'SUIVI STOCKS PAR PAYSAN'!$AN$7)-SUMIFS(v_Pièces,v_Taille,'SUIVI STOCKS PAR PAYSAN'!$AN$7,v_conc_prod_tye_affinage,'SUIVI STOCKS PAR PAYSAN'!$G27,v_Date_commande,"&gt;"&amp;date_inventaire)</f>
        <v>0</v>
      </c>
      <c r="AO27" s="353">
        <f ca="1">SUMIFS(bddres_pieces,'BDD RESERVATIONS'!$G:$G,'SUIVI STOCKS PAR PAYSAN'!$AN$7,bddres_c_prod_type_aff,'SUIVI STOCKS PAR PAYSAN'!$G27,'BDD RESERVATIONS'!$B:$B,"&gt;"&amp;date_inventaire)</f>
        <v>0</v>
      </c>
      <c r="AP27" s="348">
        <f ca="1">SUMIFS(es_poids,es_prod_type_affinage,'SUIVI STOCKS PAR PAYSAN'!$H27,es_date_entree,"&gt;"&amp;date_inventaire)-SUMIFS(v_Poids,v_conc_prod_tye_affinage,'SUIVI STOCKS PAR PAYSAN'!$H27,v_Date_commande,"&gt;"&amp;date_inventaire)</f>
        <v>0</v>
      </c>
      <c r="AQ27" s="341">
        <f ca="1">SUMIFS(bddres_c_qte,bddres_c_prod_type_aff,'SUIVI STOCKS PAR PAYSAN'!H27,'BDD RESERVATIONS'!$B:$B,"&gt;"&amp;date_inventaire)</f>
        <v>0</v>
      </c>
      <c r="AR27" s="342">
        <f ca="1">SUMIFS(bddres_pieces,es_prod_type_affinage,'SUIVI STOCKS PAR PAYSAN'!$H27,es_date_entree,"&gt;"&amp;date_inventaire,es_taille,'SUIVI STOCKS PAR PAYSAN'!$AR$7)-SUMIFS(v_Pièces,v_Taille,'SUIVI STOCKS PAR PAYSAN'!$AR$7,v_conc_prod_tye_affinage,'SUIVI STOCKS PAR PAYSAN'!$H27,v_Date_commande,"&gt;"&amp;date_inventaire)</f>
        <v>0</v>
      </c>
      <c r="AS27" s="326">
        <f ca="1">SUMIFS(bddres_pieces,'BDD RESERVATIONS'!$G:$G,'SUIVI STOCKS PAR PAYSAN'!AR22,bddres_c_prod_type_aff,'SUIVI STOCKS PAR PAYSAN'!$H27,'BDD RESERVATIONS'!$B:$B,"&gt;"&amp;date_inventaire)</f>
        <v>0</v>
      </c>
      <c r="AT27" s="343">
        <f ca="1">SUMIFS(es_pieces,es_prod_type_affinage,'SUIVI STOCKS PAR PAYSAN'!$H27,es_date_entree,"&gt;"&amp;date_inventaire,es_taille,'SUIVI STOCKS PAR PAYSAN'!$AT$7)-SUMIFS(v_Pièces,v_Taille,'SUIVI STOCKS PAR PAYSAN'!$AT$7,v_conc_prod_tye_affinage,'SUIVI STOCKS PAR PAYSAN'!$H27,v_Date_commande,"&gt;"&amp;date_inventaire)</f>
        <v>0</v>
      </c>
      <c r="AU27" s="353">
        <f ca="1">SUMIFS(bddres_pieces,'BDD RESERVATIONS'!$G:$G,'SUIVI STOCKS PAR PAYSAN'!$AT$7,bddres_c_prod_type_aff,'SUIVI STOCKS PAR PAYSAN'!$H27,'BDD RESERVATIONS'!$B:$B,"&gt;"&amp;date_inventaire)</f>
        <v>0</v>
      </c>
      <c r="AV27" s="348">
        <f ca="1">SUMIFS(es_poids,es_prod_type_affinage,'SUIVI STOCKS PAR PAYSAN'!$I27,es_date_entree,"&gt;"&amp;date_inventaire)-SUMIFS(v_Poids,v_conc_prod_tye_affinage,'SUIVI STOCKS PAR PAYSAN'!$E27,v_Date_commande,"&gt;"&amp;date_inventaire)</f>
        <v>0</v>
      </c>
      <c r="AW27" s="313">
        <f ca="1">SUMIFS(bddres_c_qte,bddres_c_prod_type_aff,'SUIVI STOCKS PAR PAYSAN'!I27,'BDD RESERVATIONS'!$B:$B,"&gt;"&amp;date_inventaire)</f>
        <v>0</v>
      </c>
      <c r="AX27" s="342">
        <f ca="1">SUMIFS(bddres_pieces,es_prod_type_affinage,'SUIVI STOCKS PAR PAYSAN'!$I27,es_date_entree,"&gt;"&amp;date_inventaire,es_taille,'SUIVI STOCKS PAR PAYSAN'!$AX$7)-SUMIFS(v_Pièces,v_Taille,'SUIVI STOCKS PAR PAYSAN'!$AX$7,v_conc_prod_tye_affinage,'SUIVI STOCKS PAR PAYSAN'!$I27,v_Date_commande,"&gt;"&amp;date_inventaire)</f>
        <v>0</v>
      </c>
      <c r="AY27" s="342">
        <f ca="1">SUMIFS(bddres_pieces,'BDD RESERVATIONS'!$G:$G,'SUIVI STOCKS PAR PAYSAN'!$AX$7,bddres_c_prod_type_aff,'SUIVI STOCKS PAR PAYSAN'!$I27,'BDD RESERVATIONS'!$B:$B,"&gt;"&amp;date_inventaire)</f>
        <v>0</v>
      </c>
      <c r="AZ27" s="343">
        <f ca="1">SUMIFS(es_pieces,es_prod_type_affinage,'SUIVI STOCKS PAR PAYSAN'!$I27,es_date_entree,"&gt;"&amp;date_inventaire,es_taille,'SUIVI STOCKS PAR PAYSAN'!$AZ$7)-SUMIFS(v_Pièces,v_Taille,'SUIVI STOCKS PAR PAYSAN'!$AZ$7,v_conc_prod_tye_affinage,'SUIVI STOCKS PAR PAYSAN'!$I27,v_Date_commande,"&gt;"&amp;date_inventaire)</f>
        <v>0</v>
      </c>
      <c r="BA27" s="353">
        <f ca="1">SUMIFS(bddres_pieces,'BDD RESERVATIONS'!$G:$G,'SUIVI STOCKS PAR PAYSAN'!$AZ$7,bddres_c_prod_type_aff,'SUIVI STOCKS PAR PAYSAN'!$I27,'BDD RESERVATIONS'!$B:$B,"&gt;"&amp;date_inventaire)</f>
        <v>0</v>
      </c>
      <c r="BB27" s="348">
        <f ca="1">SUMIFS(es_poids,es_prod_type_affinage,'SUIVI STOCKS PAR PAYSAN'!$J27,es_date_entree,"&gt;"&amp;date_inventaire)-SUMIFS(v_Poids,v_conc_prod_tye_affinage,'SUIVI STOCKS PAR PAYSAN'!$J27,v_Date_commande,"&gt;"&amp;date_inventaire)</f>
        <v>0</v>
      </c>
      <c r="BC27" s="313">
        <f ca="1">SUMIFS(bddres_c_qte,bddres_c_prod_type_aff,'SUIVI STOCKS PAR PAYSAN'!J27,'BDD RESERVATIONS'!$B:$B,"&gt;"&amp;date_inventaire)</f>
        <v>0</v>
      </c>
      <c r="BD27" s="342">
        <f ca="1">SUMIFS(bddres_pieces,es_prod_type_affinage,'SUIVI STOCKS PAR PAYSAN'!$J27,es_date_entree,"&gt;"&amp;date_inventaire,es_taille,'SUIVI STOCKS PAR PAYSAN'!$BD$7)-SUMIFS(v_Pièces,v_Taille,'SUIVI STOCKS PAR PAYSAN'!$BD$7,v_conc_prod_tye_affinage,'SUIVI STOCKS PAR PAYSAN'!$J27,v_Date_commande,"&gt;"&amp;date_inventaire)</f>
        <v>0</v>
      </c>
      <c r="BE27" s="326">
        <f ca="1">SUMIFS(bddres_pieces,'BDD RESERVATIONS'!$G:$G,'SUIVI STOCKS PAR PAYSAN'!BD22,bddres_c_prod_type_aff,'SUIVI STOCKS PAR PAYSAN'!J27,'BDD RESERVATIONS'!$B:$B,"&gt;"&amp;date_inventaire)</f>
        <v>0</v>
      </c>
      <c r="BF27" s="343">
        <f ca="1">SUMIFS(es_pieces,es_prod_type_affinage,'SUIVI STOCKS PAR PAYSAN'!J27,es_date_entree,"&gt;"&amp;date_inventaire,es_taille,'SUIVI STOCKS PAR PAYSAN'!$BF$7)-SUMIFS(v_Pièces,v_Taille,'SUIVI STOCKS PAR PAYSAN'!$BF$7,v_conc_prod_tye_affinage,'SUIVI STOCKS PAR PAYSAN'!J27,v_Date_commande,"&gt;"&amp;date_inventaire)</f>
        <v>0</v>
      </c>
      <c r="BG27" s="353">
        <f ca="1">SUMIFS(bddres_pieces,'BDD RESERVATIONS'!$G:$G,'SUIVI STOCKS PAR PAYSAN'!$BF$7,bddres_c_prod_type_aff,'SUIVI STOCKS PAR PAYSAN'!J27,'BDD RESERVATIONS'!$B:$B,"&gt;"&amp;date_inventaire)</f>
        <v>0</v>
      </c>
    </row>
    <row r="28" spans="1:59" ht="18.75" customHeight="1" x14ac:dyDescent="0.25">
      <c r="A28" s="331" t="str">
        <f ca="1">OFFSET('BDD PAYSANS'!$B$1,B28,0,1,1)</f>
        <v>POINEAU Francis</v>
      </c>
      <c r="B28" s="325">
        <v>17</v>
      </c>
      <c r="C28" s="325" t="str">
        <f t="shared" ref="C28:J59" ca="1" si="2">CONCATENATE($A28,C$9,C$8)</f>
        <v>POINEAU FrancisFERMIER&lt;3 mois</v>
      </c>
      <c r="D28" s="325" t="str">
        <f t="shared" ca="1" si="2"/>
        <v>POINEAU FrancisFERMIER3-6 mois</v>
      </c>
      <c r="E28" s="325" t="str">
        <f t="shared" ca="1" si="2"/>
        <v>POINEAU FrancisFERMIER6-9 mois</v>
      </c>
      <c r="F28" s="325" t="str">
        <f t="shared" ca="1" si="2"/>
        <v>POINEAU FrancisFERMIER&gt;9 mois</v>
      </c>
      <c r="G28" s="325" t="str">
        <f t="shared" ca="1" si="2"/>
        <v>POINEAU FrancisESTIVE&lt;3 mois</v>
      </c>
      <c r="H28" s="325" t="str">
        <f t="shared" ca="1" si="2"/>
        <v>POINEAU FrancisESTIVE3-6 mois</v>
      </c>
      <c r="I28" s="325" t="str">
        <f t="shared" ca="1" si="2"/>
        <v>POINEAU FrancisESTIVE6-9 mois</v>
      </c>
      <c r="J28" s="325" t="str">
        <f t="shared" ca="1" si="2"/>
        <v>POINEAU FrancisESTIVE&gt;9 mois</v>
      </c>
      <c r="K28" s="325"/>
      <c r="L28" s="352">
        <f ca="1">SUMIFS(es_poids,es_prod_type_affinage,'SUIVI STOCKS PAR PAYSAN'!$C28,es_date_entree,"&gt;"&amp;date_inventaire)-SUMIFS(v_Poids,v_conc_prod_tye_affinage,'SUIVI STOCKS PAR PAYSAN'!$C28,v_Date_commande,"&gt;"&amp;date_inventaire)</f>
        <v>0</v>
      </c>
      <c r="M28" s="341">
        <f ca="1">SUMIFS(bddres_c_qte,bddres_c_prod_type_aff,'SUIVI STOCKS PAR PAYSAN'!C28,'BDD RESERVATIONS'!$B:$B,"&gt;"&amp;date_inventaire)</f>
        <v>0</v>
      </c>
      <c r="N28" s="342">
        <f ca="1">SUMIFS(bddres_pieces,es_prod_type_affinage,'SUIVI STOCKS PAR PAYSAN'!$C28,es_date_entree,"&gt;"&amp;date_inventaire,es_taille,'SUIVI STOCKS PAR PAYSAN'!$N$7)-SUMIFS(v_Pièces,v_Taille,'SUIVI STOCKS PAR PAYSAN'!$N$7,v_conc_prod_tye_affinage,'SUIVI STOCKS PAR PAYSAN'!$C28,v_Date_commande,"&gt;"&amp;date_inventaire)</f>
        <v>0</v>
      </c>
      <c r="O28" s="342">
        <f ca="1">SUMIFS(bddres_pieces,'BDD RESERVATIONS'!$G:$G,'SUIVI STOCKS PAR PAYSAN'!$N$7,bddres_c_prod_type_aff,'SUIVI STOCKS PAR PAYSAN'!$C28,'BDD RESERVATIONS'!$B:$B,"&gt;"&amp;date_inventaire)</f>
        <v>0</v>
      </c>
      <c r="P28" s="343">
        <f ca="1">SUMIFS(es_pieces,es_prod_type_affinage,'SUIVI STOCKS PAR PAYSAN'!$C28,es_date_entree,"&gt;"&amp;date_inventaire,es_taille,'SUIVI STOCKS PAR PAYSAN'!$P$7)-SUMIFS(v_Pièces,v_Taille,'SUIVI STOCKS PAR PAYSAN'!$P$7,v_conc_prod_tye_affinage,'SUIVI STOCKS PAR PAYSAN'!$C28,v_Date_commande,"&gt;"&amp;date_inventaire)</f>
        <v>0</v>
      </c>
      <c r="Q28" s="353">
        <f ca="1">SUMIFS(bddres_pieces,'BDD RESERVATIONS'!$G:$G,'SUIVI STOCKS PAR PAYSAN'!$P$7,bddres_c_prod_type_aff,'SUIVI STOCKS PAR PAYSAN'!$C28,'BDD RESERVATIONS'!$B:$B,"&gt;"&amp;date_inventaire)</f>
        <v>0</v>
      </c>
      <c r="R28" s="348">
        <f ca="1">SUMIFS(es_poids,es_prod_type_affinage,'SUIVI STOCKS PAR PAYSAN'!$D28,es_date_entree,"&gt;"&amp;date_inventaire)-SUMIFS(v_Poids,v_conc_prod_tye_affinage,'SUIVI STOCKS PAR PAYSAN'!$D28,v_Date_commande,"&gt;"&amp;date_inventaire)</f>
        <v>0</v>
      </c>
      <c r="S28" s="341">
        <f ca="1">SUMIFS(bddres_c_qte,bddres_c_prod_type_aff,'SUIVI STOCKS PAR PAYSAN'!D28,'BDD RESERVATIONS'!$B:$B,"&gt;"&amp;date_inventaire)</f>
        <v>0</v>
      </c>
      <c r="T28" s="342">
        <f ca="1">SUMIFS(bddres_pieces,es_prod_type_affinage,'SUIVI STOCKS PAR PAYSAN'!$D28,es_date_entree,"&gt;"&amp;date_inventaire,es_taille,'SUIVI STOCKS PAR PAYSAN'!$T$7)-SUMIFS(v_Pièces,v_Taille,'SUIVI STOCKS PAR PAYSAN'!$T$7,v_conc_prod_tye_affinage,'SUIVI STOCKS PAR PAYSAN'!$D28,v_Date_commande,"&gt;"&amp;date_inventaire)</f>
        <v>0</v>
      </c>
      <c r="U28" s="342">
        <f ca="1">SUMIFS(bddres_pieces,'BDD RESERVATIONS'!$G:$G,'SUIVI STOCKS PAR PAYSAN'!$T$7,bddres_c_prod_type_aff,'SUIVI STOCKS PAR PAYSAN'!$D28,'BDD RESERVATIONS'!$B:$B,"&gt;"&amp;date_inventaire)</f>
        <v>0</v>
      </c>
      <c r="V28" s="343">
        <f ca="1">SUMIFS(es_pieces,es_prod_type_affinage,'SUIVI STOCKS PAR PAYSAN'!$D28,es_date_entree,"&gt;"&amp;date_inventaire,es_taille,'SUIVI STOCKS PAR PAYSAN'!$V$7)-SUMIFS(v_Pièces,v_Taille,'SUIVI STOCKS PAR PAYSAN'!$V$7,v_conc_prod_tye_affinage,'SUIVI STOCKS PAR PAYSAN'!$D28,v_Date_commande,"&gt;"&amp;date_inventaire)</f>
        <v>0</v>
      </c>
      <c r="W28" s="353">
        <f ca="1">SUMIFS(bddres_pieces,'BDD RESERVATIONS'!$G:$G,'SUIVI STOCKS PAR PAYSAN'!$V$7,bddres_c_prod_type_aff,'SUIVI STOCKS PAR PAYSAN'!$D28,'BDD RESERVATIONS'!$B:$B,"&gt;"&amp;date_inventaire)</f>
        <v>0</v>
      </c>
      <c r="X28" s="348">
        <f ca="1">SUMIFS(es_poids,es_prod_type_affinage,'SUIVI STOCKS PAR PAYSAN'!$E28,es_date_entree,"&gt;"&amp;date_inventaire)-SUMIFS(v_Poids,v_conc_prod_tye_affinage,'SUIVI STOCKS PAR PAYSAN'!$E28,v_Date_commande,"&gt;"&amp;date_inventaire)</f>
        <v>0</v>
      </c>
      <c r="Y28" s="341">
        <f ca="1">SUMIFS(bddres_c_qte,bddres_c_prod_type_aff,'SUIVI STOCKS PAR PAYSAN'!E28,'BDD RESERVATIONS'!$B:$B,"&gt;"&amp;date_inventaire)</f>
        <v>0</v>
      </c>
      <c r="Z28" s="342">
        <f ca="1">SUMIFS(bddres_pieces,es_prod_type_affinage,'SUIVI STOCKS PAR PAYSAN'!$E28,es_date_entree,"&gt;"&amp;date_inventaire,es_taille,'SUIVI STOCKS PAR PAYSAN'!$Z$7)-SUMIFS(v_Pièces,v_Taille,'SUIVI STOCKS PAR PAYSAN'!$Z$7,v_conc_prod_tye_affinage,'SUIVI STOCKS PAR PAYSAN'!$E28,v_Date_commande,"&gt;"&amp;date_inventaire)</f>
        <v>0</v>
      </c>
      <c r="AA28" s="342">
        <f ca="1">SUMIFS(bddres_pieces,'BDD RESERVATIONS'!$G:$G,'SUIVI STOCKS PAR PAYSAN'!$Z$7,bddres_c_prod_type_aff,'SUIVI STOCKS PAR PAYSAN'!$E28,'BDD RESERVATIONS'!$B:$B,"&gt;"&amp;date_inventaire)</f>
        <v>0</v>
      </c>
      <c r="AB28" s="343">
        <f ca="1">SUMIFS(es_pieces,es_prod_type_affinage,'SUIVI STOCKS PAR PAYSAN'!$E28,es_date_entree,"&gt;"&amp;date_inventaire,es_taille,'SUIVI STOCKS PAR PAYSAN'!$AB$7)-SUMIFS(v_Pièces,v_Taille,'SUIVI STOCKS PAR PAYSAN'!$AB$7,v_conc_prod_tye_affinage,'SUIVI STOCKS PAR PAYSAN'!$E28,v_Date_commande,"&gt;"&amp;date_inventaire)</f>
        <v>0</v>
      </c>
      <c r="AC28" s="353">
        <f ca="1">SUMIFS(bddres_pieces,'BDD RESERVATIONS'!$G:$G,'SUIVI STOCKS PAR PAYSAN'!$AB$7,bddres_c_prod_type_aff,'SUIVI STOCKS PAR PAYSAN'!$E28,'BDD RESERVATIONS'!$B:$B,"&gt;"&amp;date_inventaire)</f>
        <v>0</v>
      </c>
      <c r="AD28" s="348">
        <f ca="1">SUMIFS(es_poids,es_prod_type_affinage,'SUIVI STOCKS PAR PAYSAN'!$F28,es_date_entree,"&gt;"&amp;date_inventaire)-SUMIFS(v_Poids,v_conc_prod_tye_affinage,'SUIVI STOCKS PAR PAYSAN'!$F28,v_Date_commande,"&gt;"&amp;date_inventaire)</f>
        <v>0</v>
      </c>
      <c r="AE28" s="341">
        <f ca="1">SUMIFS(bddres_c_qte,bddres_c_prod_type_aff,'SUIVI STOCKS PAR PAYSAN'!F28,'BDD RESERVATIONS'!$B:$B,"&gt;"&amp;date_inventaire)</f>
        <v>0</v>
      </c>
      <c r="AF28" s="342">
        <f ca="1">SUMIFS(bddres_pieces,es_prod_type_affinage,'SUIVI STOCKS PAR PAYSAN'!$F28,es_date_entree,"&gt;"&amp;date_inventaire,es_taille,'SUIVI STOCKS PAR PAYSAN'!$Z$7)-SUMIFS(v_Pièces,v_Taille,'SUIVI STOCKS PAR PAYSAN'!$Z$7,v_conc_prod_tye_affinage,'SUIVI STOCKS PAR PAYSAN'!$F28,v_Date_commande,"&gt;"&amp;date_inventaire)</f>
        <v>0</v>
      </c>
      <c r="AG28" s="342">
        <f ca="1">SUMIFS(bddres_pieces,'BDD RESERVATIONS'!$G:$G,'SUIVI STOCKS PAR PAYSAN'!$Z$7,bddres_c_prod_type_aff,'SUIVI STOCKS PAR PAYSAN'!$F28,'BDD RESERVATIONS'!$B:$B,"&gt;"&amp;date_inventaire)</f>
        <v>0</v>
      </c>
      <c r="AH28" s="343">
        <f ca="1">SUMIFS(es_pieces,es_prod_type_affinage,'SUIVI STOCKS PAR PAYSAN'!$F28,es_date_entree,"&gt;"&amp;date_inventaire,es_taille,'SUIVI STOCKS PAR PAYSAN'!$AH$7)-SUMIFS(v_Pièces,v_Taille,'SUIVI STOCKS PAR PAYSAN'!$AH$7,v_conc_prod_tye_affinage,'SUIVI STOCKS PAR PAYSAN'!$F28,v_Date_commande,"&gt;"&amp;date_inventaire)</f>
        <v>0</v>
      </c>
      <c r="AI28" s="353">
        <f ca="1">SUMIFS(bddres_pieces,'BDD RESERVATIONS'!$G:$G,'SUIVI STOCKS PAR PAYSAN'!$AB$7,bddres_c_prod_type_aff,'SUIVI STOCKS PAR PAYSAN'!$F28,'BDD RESERVATIONS'!$B:$B,"&gt;"&amp;date_inventaire)</f>
        <v>0</v>
      </c>
      <c r="AJ28" s="352">
        <f ca="1">SUMIFS(es_poids,es_prod_type_affinage,'SUIVI STOCKS PAR PAYSAN'!$G28,es_date_entree,"&gt;"&amp;date_inventaire)-SUMIFS(v_Poids,v_conc_prod_tye_affinage,'SUIVI STOCKS PAR PAYSAN'!$G28,v_Date_commande,"&gt;"&amp;date_inventaire)</f>
        <v>0</v>
      </c>
      <c r="AK28" s="341">
        <f ca="1">SUMIFS(bddres_c_qte,bddres_c_prod_type_aff,'SUIVI STOCKS PAR PAYSAN'!G28,'BDD RESERVATIONS'!$B:$B,"&gt;"&amp;date_inventaire)</f>
        <v>0</v>
      </c>
      <c r="AL28" s="342">
        <f ca="1">SUMIFS(bddres_pieces,es_prod_type_affinage,'SUIVI STOCKS PAR PAYSAN'!$G28,es_date_entree,"&gt;"&amp;date_inventaire,es_taille,'SUIVI STOCKS PAR PAYSAN'!$AL$7)-SUMIFS(v_Pièces,v_Taille,'SUIVI STOCKS PAR PAYSAN'!$AL$7,v_conc_prod_tye_affinage,'SUIVI STOCKS PAR PAYSAN'!$G28,v_Date_commande,"&gt;"&amp;date_inventaire)</f>
        <v>0</v>
      </c>
      <c r="AM28" s="342">
        <f ca="1">SUMIFS(bddres_pieces,'BDD RESERVATIONS'!$G:$G,'SUIVI STOCKS PAR PAYSAN'!$AL$7,bddres_c_prod_type_aff,'SUIVI STOCKS PAR PAYSAN'!$G28,'BDD RESERVATIONS'!$B:$B,"&gt;"&amp;date_inventaire)</f>
        <v>0</v>
      </c>
      <c r="AN28" s="343">
        <f ca="1">SUMIFS(es_pieces,es_prod_type_affinage,'SUIVI STOCKS PAR PAYSAN'!$G28,es_date_entree,"&gt;"&amp;date_inventaire,es_taille,'SUIVI STOCKS PAR PAYSAN'!$AN$7)-SUMIFS(v_Pièces,v_Taille,'SUIVI STOCKS PAR PAYSAN'!$AN$7,v_conc_prod_tye_affinage,'SUIVI STOCKS PAR PAYSAN'!$G28,v_Date_commande,"&gt;"&amp;date_inventaire)</f>
        <v>0</v>
      </c>
      <c r="AO28" s="353">
        <f ca="1">SUMIFS(bddres_pieces,'BDD RESERVATIONS'!$G:$G,'SUIVI STOCKS PAR PAYSAN'!$AN$7,bddres_c_prod_type_aff,'SUIVI STOCKS PAR PAYSAN'!$G28,'BDD RESERVATIONS'!$B:$B,"&gt;"&amp;date_inventaire)</f>
        <v>0</v>
      </c>
      <c r="AP28" s="348">
        <f ca="1">SUMIFS(es_poids,es_prod_type_affinage,'SUIVI STOCKS PAR PAYSAN'!$H28,es_date_entree,"&gt;"&amp;date_inventaire)-SUMIFS(v_Poids,v_conc_prod_tye_affinage,'SUIVI STOCKS PAR PAYSAN'!$H28,v_Date_commande,"&gt;"&amp;date_inventaire)</f>
        <v>0</v>
      </c>
      <c r="AQ28" s="341">
        <f ca="1">SUMIFS(bddres_c_qte,bddres_c_prod_type_aff,'SUIVI STOCKS PAR PAYSAN'!H28,'BDD RESERVATIONS'!$B:$B,"&gt;"&amp;date_inventaire)</f>
        <v>0</v>
      </c>
      <c r="AR28" s="342">
        <f ca="1">SUMIFS(bddres_pieces,es_prod_type_affinage,'SUIVI STOCKS PAR PAYSAN'!$H28,es_date_entree,"&gt;"&amp;date_inventaire,es_taille,'SUIVI STOCKS PAR PAYSAN'!$AR$7)-SUMIFS(v_Pièces,v_Taille,'SUIVI STOCKS PAR PAYSAN'!$AR$7,v_conc_prod_tye_affinage,'SUIVI STOCKS PAR PAYSAN'!$H28,v_Date_commande,"&gt;"&amp;date_inventaire)</f>
        <v>0</v>
      </c>
      <c r="AS28" s="326">
        <f ca="1">SUMIFS(bddres_pieces,'BDD RESERVATIONS'!$G:$G,'SUIVI STOCKS PAR PAYSAN'!AR23,bddres_c_prod_type_aff,'SUIVI STOCKS PAR PAYSAN'!$H28,'BDD RESERVATIONS'!$B:$B,"&gt;"&amp;date_inventaire)</f>
        <v>0</v>
      </c>
      <c r="AT28" s="343">
        <f ca="1">SUMIFS(es_pieces,es_prod_type_affinage,'SUIVI STOCKS PAR PAYSAN'!$H28,es_date_entree,"&gt;"&amp;date_inventaire,es_taille,'SUIVI STOCKS PAR PAYSAN'!$AT$7)-SUMIFS(v_Pièces,v_Taille,'SUIVI STOCKS PAR PAYSAN'!$AT$7,v_conc_prod_tye_affinage,'SUIVI STOCKS PAR PAYSAN'!$H28,v_Date_commande,"&gt;"&amp;date_inventaire)</f>
        <v>0</v>
      </c>
      <c r="AU28" s="353">
        <f ca="1">SUMIFS(bddres_pieces,'BDD RESERVATIONS'!$G:$G,'SUIVI STOCKS PAR PAYSAN'!$AT$7,bddres_c_prod_type_aff,'SUIVI STOCKS PAR PAYSAN'!$H28,'BDD RESERVATIONS'!$B:$B,"&gt;"&amp;date_inventaire)</f>
        <v>0</v>
      </c>
      <c r="AV28" s="348">
        <f ca="1">SUMIFS(es_poids,es_prod_type_affinage,'SUIVI STOCKS PAR PAYSAN'!$I28,es_date_entree,"&gt;"&amp;date_inventaire)-SUMIFS(v_Poids,v_conc_prod_tye_affinage,'SUIVI STOCKS PAR PAYSAN'!$E28,v_Date_commande,"&gt;"&amp;date_inventaire)</f>
        <v>0</v>
      </c>
      <c r="AW28" s="313">
        <f ca="1">SUMIFS(bddres_c_qte,bddres_c_prod_type_aff,'SUIVI STOCKS PAR PAYSAN'!I28,'BDD RESERVATIONS'!$B:$B,"&gt;"&amp;date_inventaire)</f>
        <v>0</v>
      </c>
      <c r="AX28" s="342">
        <f ca="1">SUMIFS(bddres_pieces,es_prod_type_affinage,'SUIVI STOCKS PAR PAYSAN'!$I28,es_date_entree,"&gt;"&amp;date_inventaire,es_taille,'SUIVI STOCKS PAR PAYSAN'!$AX$7)-SUMIFS(v_Pièces,v_Taille,'SUIVI STOCKS PAR PAYSAN'!$AX$7,v_conc_prod_tye_affinage,'SUIVI STOCKS PAR PAYSAN'!$I28,v_Date_commande,"&gt;"&amp;date_inventaire)</f>
        <v>0</v>
      </c>
      <c r="AY28" s="342">
        <f ca="1">SUMIFS(bddres_pieces,'BDD RESERVATIONS'!$G:$G,'SUIVI STOCKS PAR PAYSAN'!$AX$7,bddres_c_prod_type_aff,'SUIVI STOCKS PAR PAYSAN'!$I28,'BDD RESERVATIONS'!$B:$B,"&gt;"&amp;date_inventaire)</f>
        <v>0</v>
      </c>
      <c r="AZ28" s="343">
        <f ca="1">SUMIFS(es_pieces,es_prod_type_affinage,'SUIVI STOCKS PAR PAYSAN'!$I28,es_date_entree,"&gt;"&amp;date_inventaire,es_taille,'SUIVI STOCKS PAR PAYSAN'!$AZ$7)-SUMIFS(v_Pièces,v_Taille,'SUIVI STOCKS PAR PAYSAN'!$AZ$7,v_conc_prod_tye_affinage,'SUIVI STOCKS PAR PAYSAN'!$I28,v_Date_commande,"&gt;"&amp;date_inventaire)</f>
        <v>0</v>
      </c>
      <c r="BA28" s="353">
        <f ca="1">SUMIFS(bddres_pieces,'BDD RESERVATIONS'!$G:$G,'SUIVI STOCKS PAR PAYSAN'!$AZ$7,bddres_c_prod_type_aff,'SUIVI STOCKS PAR PAYSAN'!$I28,'BDD RESERVATIONS'!$B:$B,"&gt;"&amp;date_inventaire)</f>
        <v>0</v>
      </c>
      <c r="BB28" s="348">
        <f ca="1">SUMIFS(es_poids,es_prod_type_affinage,'SUIVI STOCKS PAR PAYSAN'!$J28,es_date_entree,"&gt;"&amp;date_inventaire)-SUMIFS(v_Poids,v_conc_prod_tye_affinage,'SUIVI STOCKS PAR PAYSAN'!$J28,v_Date_commande,"&gt;"&amp;date_inventaire)</f>
        <v>0</v>
      </c>
      <c r="BC28" s="313">
        <f ca="1">SUMIFS(bddres_c_qte,bddres_c_prod_type_aff,'SUIVI STOCKS PAR PAYSAN'!J28,'BDD RESERVATIONS'!$B:$B,"&gt;"&amp;date_inventaire)</f>
        <v>0</v>
      </c>
      <c r="BD28" s="342">
        <f ca="1">SUMIFS(bddres_pieces,es_prod_type_affinage,'SUIVI STOCKS PAR PAYSAN'!$J28,es_date_entree,"&gt;"&amp;date_inventaire,es_taille,'SUIVI STOCKS PAR PAYSAN'!$BD$7)-SUMIFS(v_Pièces,v_Taille,'SUIVI STOCKS PAR PAYSAN'!$BD$7,v_conc_prod_tye_affinage,'SUIVI STOCKS PAR PAYSAN'!$J28,v_Date_commande,"&gt;"&amp;date_inventaire)</f>
        <v>0</v>
      </c>
      <c r="BE28" s="326">
        <f ca="1">SUMIFS(bddres_pieces,'BDD RESERVATIONS'!$G:$G,'SUIVI STOCKS PAR PAYSAN'!BD23,bddres_c_prod_type_aff,'SUIVI STOCKS PAR PAYSAN'!J28,'BDD RESERVATIONS'!$B:$B,"&gt;"&amp;date_inventaire)</f>
        <v>0</v>
      </c>
      <c r="BF28" s="343">
        <f ca="1">SUMIFS(es_pieces,es_prod_type_affinage,'SUIVI STOCKS PAR PAYSAN'!J28,es_date_entree,"&gt;"&amp;date_inventaire,es_taille,'SUIVI STOCKS PAR PAYSAN'!$BF$7)-SUMIFS(v_Pièces,v_Taille,'SUIVI STOCKS PAR PAYSAN'!$BF$7,v_conc_prod_tye_affinage,'SUIVI STOCKS PAR PAYSAN'!J28,v_Date_commande,"&gt;"&amp;date_inventaire)</f>
        <v>0</v>
      </c>
      <c r="BG28" s="353">
        <f ca="1">SUMIFS(bddres_pieces,'BDD RESERVATIONS'!$G:$G,'SUIVI STOCKS PAR PAYSAN'!$BF$7,bddres_c_prod_type_aff,'SUIVI STOCKS PAR PAYSAN'!J28,'BDD RESERVATIONS'!$B:$B,"&gt;"&amp;date_inventaire)</f>
        <v>0</v>
      </c>
    </row>
    <row r="29" spans="1:59" ht="18.75" customHeight="1" x14ac:dyDescent="0.25">
      <c r="A29" s="331" t="str">
        <f ca="1">OFFSET('BDD PAYSANS'!$B$1,B29,0,1,1)</f>
        <v>SAÜT Monique</v>
      </c>
      <c r="B29" s="325">
        <v>18</v>
      </c>
      <c r="C29" s="325" t="str">
        <f t="shared" ca="1" si="2"/>
        <v>SAÜT MoniqueFERMIER&lt;3 mois</v>
      </c>
      <c r="D29" s="325" t="str">
        <f t="shared" ca="1" si="2"/>
        <v>SAÜT MoniqueFERMIER3-6 mois</v>
      </c>
      <c r="E29" s="325" t="str">
        <f t="shared" ca="1" si="2"/>
        <v>SAÜT MoniqueFERMIER6-9 mois</v>
      </c>
      <c r="F29" s="325" t="str">
        <f t="shared" ca="1" si="2"/>
        <v>SAÜT MoniqueFERMIER&gt;9 mois</v>
      </c>
      <c r="G29" s="325" t="str">
        <f t="shared" ca="1" si="2"/>
        <v>SAÜT MoniqueESTIVE&lt;3 mois</v>
      </c>
      <c r="H29" s="325" t="str">
        <f t="shared" ca="1" si="2"/>
        <v>SAÜT MoniqueESTIVE3-6 mois</v>
      </c>
      <c r="I29" s="325" t="str">
        <f t="shared" ca="1" si="2"/>
        <v>SAÜT MoniqueESTIVE6-9 mois</v>
      </c>
      <c r="J29" s="325" t="str">
        <f t="shared" ca="1" si="2"/>
        <v>SAÜT MoniqueESTIVE&gt;9 mois</v>
      </c>
      <c r="K29" s="325"/>
      <c r="L29" s="352">
        <f ca="1">SUMIFS(es_poids,es_prod_type_affinage,'SUIVI STOCKS PAR PAYSAN'!$C29,es_date_entree,"&gt;"&amp;date_inventaire)-SUMIFS(v_Poids,v_conc_prod_tye_affinage,'SUIVI STOCKS PAR PAYSAN'!$C29,v_Date_commande,"&gt;"&amp;date_inventaire)</f>
        <v>0</v>
      </c>
      <c r="M29" s="341">
        <f ca="1">SUMIFS(bddres_c_qte,bddres_c_prod_type_aff,'SUIVI STOCKS PAR PAYSAN'!C29,'BDD RESERVATIONS'!$B:$B,"&gt;"&amp;date_inventaire)</f>
        <v>0</v>
      </c>
      <c r="N29" s="342">
        <f ca="1">SUMIFS(bddres_pieces,es_prod_type_affinage,'SUIVI STOCKS PAR PAYSAN'!$C29,es_date_entree,"&gt;"&amp;date_inventaire,es_taille,'SUIVI STOCKS PAR PAYSAN'!$N$7)-SUMIFS(v_Pièces,v_Taille,'SUIVI STOCKS PAR PAYSAN'!$N$7,v_conc_prod_tye_affinage,'SUIVI STOCKS PAR PAYSAN'!$C29,v_Date_commande,"&gt;"&amp;date_inventaire)</f>
        <v>0</v>
      </c>
      <c r="O29" s="342">
        <f ca="1">SUMIFS(bddres_pieces,'BDD RESERVATIONS'!$G:$G,'SUIVI STOCKS PAR PAYSAN'!$N$7,bddres_c_prod_type_aff,'SUIVI STOCKS PAR PAYSAN'!$C29,'BDD RESERVATIONS'!$B:$B,"&gt;"&amp;date_inventaire)</f>
        <v>0</v>
      </c>
      <c r="P29" s="343">
        <f ca="1">SUMIFS(es_pieces,es_prod_type_affinage,'SUIVI STOCKS PAR PAYSAN'!$C29,es_date_entree,"&gt;"&amp;date_inventaire,es_taille,'SUIVI STOCKS PAR PAYSAN'!$P$7)-SUMIFS(v_Pièces,v_Taille,'SUIVI STOCKS PAR PAYSAN'!$P$7,v_conc_prod_tye_affinage,'SUIVI STOCKS PAR PAYSAN'!$C29,v_Date_commande,"&gt;"&amp;date_inventaire)</f>
        <v>0</v>
      </c>
      <c r="Q29" s="353">
        <f ca="1">SUMIFS(bddres_pieces,'BDD RESERVATIONS'!$G:$G,'SUIVI STOCKS PAR PAYSAN'!$P$7,bddres_c_prod_type_aff,'SUIVI STOCKS PAR PAYSAN'!$C29,'BDD RESERVATIONS'!$B:$B,"&gt;"&amp;date_inventaire)</f>
        <v>0</v>
      </c>
      <c r="R29" s="348">
        <f ca="1">SUMIFS(es_poids,es_prod_type_affinage,'SUIVI STOCKS PAR PAYSAN'!$D29,es_date_entree,"&gt;"&amp;date_inventaire)-SUMIFS(v_Poids,v_conc_prod_tye_affinage,'SUIVI STOCKS PAR PAYSAN'!$D29,v_Date_commande,"&gt;"&amp;date_inventaire)</f>
        <v>0</v>
      </c>
      <c r="S29" s="341">
        <f ca="1">SUMIFS(bddres_c_qte,bddres_c_prod_type_aff,'SUIVI STOCKS PAR PAYSAN'!D29,'BDD RESERVATIONS'!$B:$B,"&gt;"&amp;date_inventaire)</f>
        <v>0</v>
      </c>
      <c r="T29" s="342">
        <f ca="1">SUMIFS(bddres_pieces,es_prod_type_affinage,'SUIVI STOCKS PAR PAYSAN'!$D29,es_date_entree,"&gt;"&amp;date_inventaire,es_taille,'SUIVI STOCKS PAR PAYSAN'!$T$7)-SUMIFS(v_Pièces,v_Taille,'SUIVI STOCKS PAR PAYSAN'!$T$7,v_conc_prod_tye_affinage,'SUIVI STOCKS PAR PAYSAN'!$D29,v_Date_commande,"&gt;"&amp;date_inventaire)</f>
        <v>0</v>
      </c>
      <c r="U29" s="342">
        <f ca="1">SUMIFS(bddres_pieces,'BDD RESERVATIONS'!$G:$G,'SUIVI STOCKS PAR PAYSAN'!$T$7,bddres_c_prod_type_aff,'SUIVI STOCKS PAR PAYSAN'!$D29,'BDD RESERVATIONS'!$B:$B,"&gt;"&amp;date_inventaire)</f>
        <v>0</v>
      </c>
      <c r="V29" s="343">
        <f ca="1">SUMIFS(es_pieces,es_prod_type_affinage,'SUIVI STOCKS PAR PAYSAN'!$D29,es_date_entree,"&gt;"&amp;date_inventaire,es_taille,'SUIVI STOCKS PAR PAYSAN'!$V$7)-SUMIFS(v_Pièces,v_Taille,'SUIVI STOCKS PAR PAYSAN'!$V$7,v_conc_prod_tye_affinage,'SUIVI STOCKS PAR PAYSAN'!$D29,v_Date_commande,"&gt;"&amp;date_inventaire)</f>
        <v>0</v>
      </c>
      <c r="W29" s="353">
        <f ca="1">SUMIFS(bddres_pieces,'BDD RESERVATIONS'!$G:$G,'SUIVI STOCKS PAR PAYSAN'!$V$7,bddres_c_prod_type_aff,'SUIVI STOCKS PAR PAYSAN'!$D29,'BDD RESERVATIONS'!$B:$B,"&gt;"&amp;date_inventaire)</f>
        <v>0</v>
      </c>
      <c r="X29" s="348">
        <f ca="1">SUMIFS(es_poids,es_prod_type_affinage,'SUIVI STOCKS PAR PAYSAN'!$E29,es_date_entree,"&gt;"&amp;date_inventaire)-SUMIFS(v_Poids,v_conc_prod_tye_affinage,'SUIVI STOCKS PAR PAYSAN'!$E29,v_Date_commande,"&gt;"&amp;date_inventaire)</f>
        <v>0</v>
      </c>
      <c r="Y29" s="341">
        <f ca="1">SUMIFS(bddres_c_qte,bddres_c_prod_type_aff,'SUIVI STOCKS PAR PAYSAN'!E29,'BDD RESERVATIONS'!$B:$B,"&gt;"&amp;date_inventaire)</f>
        <v>0</v>
      </c>
      <c r="Z29" s="342">
        <f ca="1">SUMIFS(bddres_pieces,es_prod_type_affinage,'SUIVI STOCKS PAR PAYSAN'!$E29,es_date_entree,"&gt;"&amp;date_inventaire,es_taille,'SUIVI STOCKS PAR PAYSAN'!$Z$7)-SUMIFS(v_Pièces,v_Taille,'SUIVI STOCKS PAR PAYSAN'!$Z$7,v_conc_prod_tye_affinage,'SUIVI STOCKS PAR PAYSAN'!$E29,v_Date_commande,"&gt;"&amp;date_inventaire)</f>
        <v>0</v>
      </c>
      <c r="AA29" s="342">
        <f ca="1">SUMIFS(bddres_pieces,'BDD RESERVATIONS'!$G:$G,'SUIVI STOCKS PAR PAYSAN'!$Z$7,bddres_c_prod_type_aff,'SUIVI STOCKS PAR PAYSAN'!$E29,'BDD RESERVATIONS'!$B:$B,"&gt;"&amp;date_inventaire)</f>
        <v>0</v>
      </c>
      <c r="AB29" s="343">
        <f ca="1">SUMIFS(es_pieces,es_prod_type_affinage,'SUIVI STOCKS PAR PAYSAN'!$E29,es_date_entree,"&gt;"&amp;date_inventaire,es_taille,'SUIVI STOCKS PAR PAYSAN'!$AB$7)-SUMIFS(v_Pièces,v_Taille,'SUIVI STOCKS PAR PAYSAN'!$AB$7,v_conc_prod_tye_affinage,'SUIVI STOCKS PAR PAYSAN'!$E29,v_Date_commande,"&gt;"&amp;date_inventaire)</f>
        <v>0</v>
      </c>
      <c r="AC29" s="353">
        <f ca="1">SUMIFS(bddres_pieces,'BDD RESERVATIONS'!$G:$G,'SUIVI STOCKS PAR PAYSAN'!$AB$7,bddres_c_prod_type_aff,'SUIVI STOCKS PAR PAYSAN'!$E29,'BDD RESERVATIONS'!$B:$B,"&gt;"&amp;date_inventaire)</f>
        <v>0</v>
      </c>
      <c r="AD29" s="348">
        <f ca="1">SUMIFS(es_poids,es_prod_type_affinage,'SUIVI STOCKS PAR PAYSAN'!$F29,es_date_entree,"&gt;"&amp;date_inventaire)-SUMIFS(v_Poids,v_conc_prod_tye_affinage,'SUIVI STOCKS PAR PAYSAN'!$F29,v_Date_commande,"&gt;"&amp;date_inventaire)</f>
        <v>0</v>
      </c>
      <c r="AE29" s="341">
        <f ca="1">SUMIFS(bddres_c_qte,bddres_c_prod_type_aff,'SUIVI STOCKS PAR PAYSAN'!F29,'BDD RESERVATIONS'!$B:$B,"&gt;"&amp;date_inventaire)</f>
        <v>0</v>
      </c>
      <c r="AF29" s="342">
        <f ca="1">SUMIFS(bddres_pieces,es_prod_type_affinage,'SUIVI STOCKS PAR PAYSAN'!$F29,es_date_entree,"&gt;"&amp;date_inventaire,es_taille,'SUIVI STOCKS PAR PAYSAN'!$Z$7)-SUMIFS(v_Pièces,v_Taille,'SUIVI STOCKS PAR PAYSAN'!$Z$7,v_conc_prod_tye_affinage,'SUIVI STOCKS PAR PAYSAN'!$F29,v_Date_commande,"&gt;"&amp;date_inventaire)</f>
        <v>0</v>
      </c>
      <c r="AG29" s="342">
        <f ca="1">SUMIFS(bddres_pieces,'BDD RESERVATIONS'!$G:$G,'SUIVI STOCKS PAR PAYSAN'!$Z$7,bddres_c_prod_type_aff,'SUIVI STOCKS PAR PAYSAN'!$F29,'BDD RESERVATIONS'!$B:$B,"&gt;"&amp;date_inventaire)</f>
        <v>0</v>
      </c>
      <c r="AH29" s="343">
        <f ca="1">SUMIFS(es_pieces,es_prod_type_affinage,'SUIVI STOCKS PAR PAYSAN'!$F29,es_date_entree,"&gt;"&amp;date_inventaire,es_taille,'SUIVI STOCKS PAR PAYSAN'!$AH$7)-SUMIFS(v_Pièces,v_Taille,'SUIVI STOCKS PAR PAYSAN'!$AH$7,v_conc_prod_tye_affinage,'SUIVI STOCKS PAR PAYSAN'!$F29,v_Date_commande,"&gt;"&amp;date_inventaire)</f>
        <v>0</v>
      </c>
      <c r="AI29" s="353">
        <f ca="1">SUMIFS(bddres_pieces,'BDD RESERVATIONS'!$G:$G,'SUIVI STOCKS PAR PAYSAN'!$AB$7,bddres_c_prod_type_aff,'SUIVI STOCKS PAR PAYSAN'!$F29,'BDD RESERVATIONS'!$B:$B,"&gt;"&amp;date_inventaire)</f>
        <v>0</v>
      </c>
      <c r="AJ29" s="352">
        <f ca="1">SUMIFS(es_poids,es_prod_type_affinage,'SUIVI STOCKS PAR PAYSAN'!$G29,es_date_entree,"&gt;"&amp;date_inventaire)-SUMIFS(v_Poids,v_conc_prod_tye_affinage,'SUIVI STOCKS PAR PAYSAN'!$G29,v_Date_commande,"&gt;"&amp;date_inventaire)</f>
        <v>0</v>
      </c>
      <c r="AK29" s="341">
        <f ca="1">SUMIFS(bddres_c_qte,bddres_c_prod_type_aff,'SUIVI STOCKS PAR PAYSAN'!G29,'BDD RESERVATIONS'!$B:$B,"&gt;"&amp;date_inventaire)</f>
        <v>0</v>
      </c>
      <c r="AL29" s="342">
        <f ca="1">SUMIFS(bddres_pieces,es_prod_type_affinage,'SUIVI STOCKS PAR PAYSAN'!$G29,es_date_entree,"&gt;"&amp;date_inventaire,es_taille,'SUIVI STOCKS PAR PAYSAN'!$AL$7)-SUMIFS(v_Pièces,v_Taille,'SUIVI STOCKS PAR PAYSAN'!$AL$7,v_conc_prod_tye_affinage,'SUIVI STOCKS PAR PAYSAN'!$G29,v_Date_commande,"&gt;"&amp;date_inventaire)</f>
        <v>0</v>
      </c>
      <c r="AM29" s="342">
        <f ca="1">SUMIFS(bddres_pieces,'BDD RESERVATIONS'!$G:$G,'SUIVI STOCKS PAR PAYSAN'!$AL$7,bddres_c_prod_type_aff,'SUIVI STOCKS PAR PAYSAN'!$G29,'BDD RESERVATIONS'!$B:$B,"&gt;"&amp;date_inventaire)</f>
        <v>0</v>
      </c>
      <c r="AN29" s="343">
        <f ca="1">SUMIFS(es_pieces,es_prod_type_affinage,'SUIVI STOCKS PAR PAYSAN'!$G29,es_date_entree,"&gt;"&amp;date_inventaire,es_taille,'SUIVI STOCKS PAR PAYSAN'!$AN$7)-SUMIFS(v_Pièces,v_Taille,'SUIVI STOCKS PAR PAYSAN'!$AN$7,v_conc_prod_tye_affinage,'SUIVI STOCKS PAR PAYSAN'!$G29,v_Date_commande,"&gt;"&amp;date_inventaire)</f>
        <v>0</v>
      </c>
      <c r="AO29" s="353">
        <f ca="1">SUMIFS(bddres_pieces,'BDD RESERVATIONS'!$G:$G,'SUIVI STOCKS PAR PAYSAN'!$AN$7,bddres_c_prod_type_aff,'SUIVI STOCKS PAR PAYSAN'!$G29,'BDD RESERVATIONS'!$B:$B,"&gt;"&amp;date_inventaire)</f>
        <v>0</v>
      </c>
      <c r="AP29" s="348">
        <f ca="1">SUMIFS(es_poids,es_prod_type_affinage,'SUIVI STOCKS PAR PAYSAN'!$H29,es_date_entree,"&gt;"&amp;date_inventaire)-SUMIFS(v_Poids,v_conc_prod_tye_affinage,'SUIVI STOCKS PAR PAYSAN'!$H29,v_Date_commande,"&gt;"&amp;date_inventaire)</f>
        <v>0</v>
      </c>
      <c r="AQ29" s="341">
        <f ca="1">SUMIFS(bddres_c_qte,bddres_c_prod_type_aff,'SUIVI STOCKS PAR PAYSAN'!H29,'BDD RESERVATIONS'!$B:$B,"&gt;"&amp;date_inventaire)</f>
        <v>0</v>
      </c>
      <c r="AR29" s="342">
        <f ca="1">SUMIFS(bddres_pieces,es_prod_type_affinage,'SUIVI STOCKS PAR PAYSAN'!$H29,es_date_entree,"&gt;"&amp;date_inventaire,es_taille,'SUIVI STOCKS PAR PAYSAN'!$AR$7)-SUMIFS(v_Pièces,v_Taille,'SUIVI STOCKS PAR PAYSAN'!$AR$7,v_conc_prod_tye_affinage,'SUIVI STOCKS PAR PAYSAN'!$H29,v_Date_commande,"&gt;"&amp;date_inventaire)</f>
        <v>0</v>
      </c>
      <c r="AS29" s="326">
        <f ca="1">SUMIFS(bddres_pieces,'BDD RESERVATIONS'!$G:$G,'SUIVI STOCKS PAR PAYSAN'!AR24,bddres_c_prod_type_aff,'SUIVI STOCKS PAR PAYSAN'!$H29,'BDD RESERVATIONS'!$B:$B,"&gt;"&amp;date_inventaire)</f>
        <v>0</v>
      </c>
      <c r="AT29" s="343">
        <f ca="1">SUMIFS(es_pieces,es_prod_type_affinage,'SUIVI STOCKS PAR PAYSAN'!$H29,es_date_entree,"&gt;"&amp;date_inventaire,es_taille,'SUIVI STOCKS PAR PAYSAN'!$AT$7)-SUMIFS(v_Pièces,v_Taille,'SUIVI STOCKS PAR PAYSAN'!$AT$7,v_conc_prod_tye_affinage,'SUIVI STOCKS PAR PAYSAN'!$H29,v_Date_commande,"&gt;"&amp;date_inventaire)</f>
        <v>0</v>
      </c>
      <c r="AU29" s="353">
        <f ca="1">SUMIFS(bddres_pieces,'BDD RESERVATIONS'!$G:$G,'SUIVI STOCKS PAR PAYSAN'!$AT$7,bddres_c_prod_type_aff,'SUIVI STOCKS PAR PAYSAN'!$H29,'BDD RESERVATIONS'!$B:$B,"&gt;"&amp;date_inventaire)</f>
        <v>0</v>
      </c>
      <c r="AV29" s="348">
        <f ca="1">SUMIFS(es_poids,es_prod_type_affinage,'SUIVI STOCKS PAR PAYSAN'!$I29,es_date_entree,"&gt;"&amp;date_inventaire)-SUMIFS(v_Poids,v_conc_prod_tye_affinage,'SUIVI STOCKS PAR PAYSAN'!$E29,v_Date_commande,"&gt;"&amp;date_inventaire)</f>
        <v>0</v>
      </c>
      <c r="AW29" s="313">
        <f ca="1">SUMIFS(bddres_c_qte,bddres_c_prod_type_aff,'SUIVI STOCKS PAR PAYSAN'!I29,'BDD RESERVATIONS'!$B:$B,"&gt;"&amp;date_inventaire)</f>
        <v>0</v>
      </c>
      <c r="AX29" s="342">
        <f ca="1">SUMIFS(bddres_pieces,es_prod_type_affinage,'SUIVI STOCKS PAR PAYSAN'!$I29,es_date_entree,"&gt;"&amp;date_inventaire,es_taille,'SUIVI STOCKS PAR PAYSAN'!$AX$7)-SUMIFS(v_Pièces,v_Taille,'SUIVI STOCKS PAR PAYSAN'!$AX$7,v_conc_prod_tye_affinage,'SUIVI STOCKS PAR PAYSAN'!$I29,v_Date_commande,"&gt;"&amp;date_inventaire)</f>
        <v>0</v>
      </c>
      <c r="AY29" s="342">
        <f ca="1">SUMIFS(bddres_pieces,'BDD RESERVATIONS'!$G:$G,'SUIVI STOCKS PAR PAYSAN'!$AX$7,bddres_c_prod_type_aff,'SUIVI STOCKS PAR PAYSAN'!$I29,'BDD RESERVATIONS'!$B:$B,"&gt;"&amp;date_inventaire)</f>
        <v>0</v>
      </c>
      <c r="AZ29" s="343">
        <f ca="1">SUMIFS(es_pieces,es_prod_type_affinage,'SUIVI STOCKS PAR PAYSAN'!$I29,es_date_entree,"&gt;"&amp;date_inventaire,es_taille,'SUIVI STOCKS PAR PAYSAN'!$AZ$7)-SUMIFS(v_Pièces,v_Taille,'SUIVI STOCKS PAR PAYSAN'!$AZ$7,v_conc_prod_tye_affinage,'SUIVI STOCKS PAR PAYSAN'!$I29,v_Date_commande,"&gt;"&amp;date_inventaire)</f>
        <v>-56</v>
      </c>
      <c r="BA29" s="353">
        <f ca="1">SUMIFS(bddres_pieces,'BDD RESERVATIONS'!$G:$G,'SUIVI STOCKS PAR PAYSAN'!$AZ$7,bddres_c_prod_type_aff,'SUIVI STOCKS PAR PAYSAN'!$I29,'BDD RESERVATIONS'!$B:$B,"&gt;"&amp;date_inventaire)</f>
        <v>0</v>
      </c>
      <c r="BB29" s="348">
        <f ca="1">SUMIFS(es_poids,es_prod_type_affinage,'SUIVI STOCKS PAR PAYSAN'!$J29,es_date_entree,"&gt;"&amp;date_inventaire)-SUMIFS(v_Poids,v_conc_prod_tye_affinage,'SUIVI STOCKS PAR PAYSAN'!$J29,v_Date_commande,"&gt;"&amp;date_inventaire)</f>
        <v>0</v>
      </c>
      <c r="BC29" s="313">
        <f ca="1">SUMIFS(bddres_c_qte,bddres_c_prod_type_aff,'SUIVI STOCKS PAR PAYSAN'!J29,'BDD RESERVATIONS'!$B:$B,"&gt;"&amp;date_inventaire)</f>
        <v>0</v>
      </c>
      <c r="BD29" s="342">
        <f ca="1">SUMIFS(bddres_pieces,es_prod_type_affinage,'SUIVI STOCKS PAR PAYSAN'!$J29,es_date_entree,"&gt;"&amp;date_inventaire,es_taille,'SUIVI STOCKS PAR PAYSAN'!$BD$7)-SUMIFS(v_Pièces,v_Taille,'SUIVI STOCKS PAR PAYSAN'!$BD$7,v_conc_prod_tye_affinage,'SUIVI STOCKS PAR PAYSAN'!$J29,v_Date_commande,"&gt;"&amp;date_inventaire)</f>
        <v>0</v>
      </c>
      <c r="BE29" s="326">
        <f ca="1">SUMIFS(bddres_pieces,'BDD RESERVATIONS'!$G:$G,'SUIVI STOCKS PAR PAYSAN'!BD24,bddres_c_prod_type_aff,'SUIVI STOCKS PAR PAYSAN'!J29,'BDD RESERVATIONS'!$B:$B,"&gt;"&amp;date_inventaire)</f>
        <v>0</v>
      </c>
      <c r="BF29" s="343">
        <f ca="1">SUMIFS(es_pieces,es_prod_type_affinage,'SUIVI STOCKS PAR PAYSAN'!J29,es_date_entree,"&gt;"&amp;date_inventaire,es_taille,'SUIVI STOCKS PAR PAYSAN'!$BF$7)-SUMIFS(v_Pièces,v_Taille,'SUIVI STOCKS PAR PAYSAN'!$BF$7,v_conc_prod_tye_affinage,'SUIVI STOCKS PAR PAYSAN'!J29,v_Date_commande,"&gt;"&amp;date_inventaire)</f>
        <v>0</v>
      </c>
      <c r="BG29" s="353">
        <f ca="1">SUMIFS(bddres_pieces,'BDD RESERVATIONS'!$G:$G,'SUIVI STOCKS PAR PAYSAN'!$BF$7,bddres_c_prod_type_aff,'SUIVI STOCKS PAR PAYSAN'!J29,'BDD RESERVATIONS'!$B:$B,"&gt;"&amp;date_inventaire)</f>
        <v>0</v>
      </c>
    </row>
    <row r="30" spans="1:59" ht="18.75" customHeight="1" thickBot="1" x14ac:dyDescent="0.3">
      <c r="A30" s="331" t="str">
        <f ca="1">OFFSET('BDD PAYSANS'!$B$1,B30,0,1,1)</f>
        <v>VAUGON Ian</v>
      </c>
      <c r="B30" s="325">
        <v>19</v>
      </c>
      <c r="C30" s="325" t="str">
        <f t="shared" ca="1" si="2"/>
        <v>VAUGON IanFERMIER&lt;3 mois</v>
      </c>
      <c r="D30" s="325" t="str">
        <f t="shared" ca="1" si="2"/>
        <v>VAUGON IanFERMIER3-6 mois</v>
      </c>
      <c r="E30" s="325" t="str">
        <f t="shared" ca="1" si="2"/>
        <v>VAUGON IanFERMIER6-9 mois</v>
      </c>
      <c r="F30" s="325" t="str">
        <f t="shared" ca="1" si="2"/>
        <v>VAUGON IanFERMIER&gt;9 mois</v>
      </c>
      <c r="G30" s="325" t="str">
        <f t="shared" ca="1" si="2"/>
        <v>VAUGON IanESTIVE&lt;3 mois</v>
      </c>
      <c r="H30" s="325" t="str">
        <f t="shared" ca="1" si="2"/>
        <v>VAUGON IanESTIVE3-6 mois</v>
      </c>
      <c r="I30" s="325" t="str">
        <f t="shared" ca="1" si="2"/>
        <v>VAUGON IanESTIVE6-9 mois</v>
      </c>
      <c r="J30" s="325" t="str">
        <f t="shared" ca="1" si="2"/>
        <v>VAUGON IanESTIVE&gt;9 mois</v>
      </c>
      <c r="K30" s="325"/>
      <c r="L30" s="352">
        <f ca="1">SUMIFS(es_poids,es_prod_type_affinage,'SUIVI STOCKS PAR PAYSAN'!$C30,es_date_entree,"&gt;"&amp;date_inventaire)-SUMIFS(v_Poids,v_conc_prod_tye_affinage,'SUIVI STOCKS PAR PAYSAN'!$C30,v_Date_commande,"&gt;"&amp;date_inventaire)</f>
        <v>0</v>
      </c>
      <c r="M30" s="341">
        <f ca="1">SUMIFS(bddres_c_qte,bddres_c_prod_type_aff,'SUIVI STOCKS PAR PAYSAN'!C30,'BDD RESERVATIONS'!$B:$B,"&gt;"&amp;date_inventaire)</f>
        <v>0</v>
      </c>
      <c r="N30" s="342">
        <f ca="1">SUMIFS(bddres_pieces,es_prod_type_affinage,'SUIVI STOCKS PAR PAYSAN'!$C30,es_date_entree,"&gt;"&amp;date_inventaire,es_taille,'SUIVI STOCKS PAR PAYSAN'!$N$7)-SUMIFS(v_Pièces,v_Taille,'SUIVI STOCKS PAR PAYSAN'!$N$7,v_conc_prod_tye_affinage,'SUIVI STOCKS PAR PAYSAN'!$C30,v_Date_commande,"&gt;"&amp;date_inventaire)</f>
        <v>0</v>
      </c>
      <c r="O30" s="342">
        <f ca="1">SUMIFS(bddres_pieces,'BDD RESERVATIONS'!$G:$G,'SUIVI STOCKS PAR PAYSAN'!$N$7,bddres_c_prod_type_aff,'SUIVI STOCKS PAR PAYSAN'!$C30,'BDD RESERVATIONS'!$B:$B,"&gt;"&amp;date_inventaire)</f>
        <v>0</v>
      </c>
      <c r="P30" s="343">
        <f ca="1">SUMIFS(es_pieces,es_prod_type_affinage,'SUIVI STOCKS PAR PAYSAN'!$C30,es_date_entree,"&gt;"&amp;date_inventaire,es_taille,'SUIVI STOCKS PAR PAYSAN'!$P$7)-SUMIFS(v_Pièces,v_Taille,'SUIVI STOCKS PAR PAYSAN'!$P$7,v_conc_prod_tye_affinage,'SUIVI STOCKS PAR PAYSAN'!$C30,v_Date_commande,"&gt;"&amp;date_inventaire)</f>
        <v>0</v>
      </c>
      <c r="Q30" s="353">
        <f ca="1">SUMIFS(bddres_pieces,'BDD RESERVATIONS'!$G:$G,'SUIVI STOCKS PAR PAYSAN'!$P$7,bddres_c_prod_type_aff,'SUIVI STOCKS PAR PAYSAN'!$C30,'BDD RESERVATIONS'!$B:$B,"&gt;"&amp;date_inventaire)</f>
        <v>0</v>
      </c>
      <c r="R30" s="349">
        <f ca="1">SUMIFS(es_poids,es_prod_type_affinage,'SUIVI STOCKS PAR PAYSAN'!$D30,es_date_entree,"&gt;"&amp;date_inventaire)-SUMIFS(v_Poids,v_conc_prod_tye_affinage,'SUIVI STOCKS PAR PAYSAN'!$D30,v_Date_commande,"&gt;"&amp;date_inventaire)</f>
        <v>0</v>
      </c>
      <c r="S30" s="341">
        <f ca="1">SUMIFS(bddres_c_qte,bddres_c_prod_type_aff,'SUIVI STOCKS PAR PAYSAN'!D30,'BDD RESERVATIONS'!$B:$B,"&gt;"&amp;date_inventaire)</f>
        <v>0</v>
      </c>
      <c r="T30" s="342">
        <f ca="1">SUMIFS(bddres_pieces,es_prod_type_affinage,'SUIVI STOCKS PAR PAYSAN'!$D30,es_date_entree,"&gt;"&amp;date_inventaire,es_taille,'SUIVI STOCKS PAR PAYSAN'!$T$7)-SUMIFS(v_Pièces,v_Taille,'SUIVI STOCKS PAR PAYSAN'!$T$7,v_conc_prod_tye_affinage,'SUIVI STOCKS PAR PAYSAN'!$D30,v_Date_commande,"&gt;"&amp;date_inventaire)</f>
        <v>0</v>
      </c>
      <c r="U30" s="342">
        <f ca="1">SUMIFS(bddres_pieces,'BDD RESERVATIONS'!$G:$G,'SUIVI STOCKS PAR PAYSAN'!$T$7,bddres_c_prod_type_aff,'SUIVI STOCKS PAR PAYSAN'!$D30,'BDD RESERVATIONS'!$B:$B,"&gt;"&amp;date_inventaire)</f>
        <v>0</v>
      </c>
      <c r="V30" s="343">
        <f ca="1">SUMIFS(es_pieces,es_prod_type_affinage,'SUIVI STOCKS PAR PAYSAN'!$D30,es_date_entree,"&gt;"&amp;date_inventaire,es_taille,'SUIVI STOCKS PAR PAYSAN'!$V$7)-SUMIFS(v_Pièces,v_Taille,'SUIVI STOCKS PAR PAYSAN'!$V$7,v_conc_prod_tye_affinage,'SUIVI STOCKS PAR PAYSAN'!$D30,v_Date_commande,"&gt;"&amp;date_inventaire)</f>
        <v>0</v>
      </c>
      <c r="W30" s="353">
        <f ca="1">SUMIFS(bddres_pieces,'BDD RESERVATIONS'!$G:$G,'SUIVI STOCKS PAR PAYSAN'!$V$7,bddres_c_prod_type_aff,'SUIVI STOCKS PAR PAYSAN'!$D30,'BDD RESERVATIONS'!$B:$B,"&gt;"&amp;date_inventaire)</f>
        <v>0</v>
      </c>
      <c r="X30" s="349">
        <f ca="1">SUMIFS(es_poids,es_prod_type_affinage,'SUIVI STOCKS PAR PAYSAN'!$E30,es_date_entree,"&gt;"&amp;date_inventaire)-SUMIFS(v_Poids,v_conc_prod_tye_affinage,'SUIVI STOCKS PAR PAYSAN'!$E30,v_Date_commande,"&gt;"&amp;date_inventaire)</f>
        <v>0</v>
      </c>
      <c r="Y30" s="341">
        <f ca="1">SUMIFS(bddres_c_qte,bddres_c_prod_type_aff,'SUIVI STOCKS PAR PAYSAN'!E30,'BDD RESERVATIONS'!$B:$B,"&gt;"&amp;date_inventaire)</f>
        <v>0</v>
      </c>
      <c r="Z30" s="342">
        <f ca="1">SUMIFS(bddres_pieces,es_prod_type_affinage,'SUIVI STOCKS PAR PAYSAN'!$E30,es_date_entree,"&gt;"&amp;date_inventaire,es_taille,'SUIVI STOCKS PAR PAYSAN'!$Z$7)-SUMIFS(v_Pièces,v_Taille,'SUIVI STOCKS PAR PAYSAN'!$Z$7,v_conc_prod_tye_affinage,'SUIVI STOCKS PAR PAYSAN'!$E30,v_Date_commande,"&gt;"&amp;date_inventaire)</f>
        <v>0</v>
      </c>
      <c r="AA30" s="342">
        <f ca="1">SUMIFS(bddres_pieces,'BDD RESERVATIONS'!$G:$G,'SUIVI STOCKS PAR PAYSAN'!$Z$7,bddres_c_prod_type_aff,'SUIVI STOCKS PAR PAYSAN'!$E30,'BDD RESERVATIONS'!$B:$B,"&gt;"&amp;date_inventaire)</f>
        <v>0</v>
      </c>
      <c r="AB30" s="343">
        <f ca="1">SUMIFS(es_pieces,es_prod_type_affinage,'SUIVI STOCKS PAR PAYSAN'!$E30,es_date_entree,"&gt;"&amp;date_inventaire,es_taille,'SUIVI STOCKS PAR PAYSAN'!$AB$7)-SUMIFS(v_Pièces,v_Taille,'SUIVI STOCKS PAR PAYSAN'!$AB$7,v_conc_prod_tye_affinage,'SUIVI STOCKS PAR PAYSAN'!$E30,v_Date_commande,"&gt;"&amp;date_inventaire)</f>
        <v>0</v>
      </c>
      <c r="AC30" s="353">
        <f ca="1">SUMIFS(bddres_pieces,'BDD RESERVATIONS'!$G:$G,'SUIVI STOCKS PAR PAYSAN'!$AB$7,bddres_c_prod_type_aff,'SUIVI STOCKS PAR PAYSAN'!$E30,'BDD RESERVATIONS'!$B:$B,"&gt;"&amp;date_inventaire)</f>
        <v>0</v>
      </c>
      <c r="AD30" s="349">
        <f ca="1">SUMIFS(es_poids,es_prod_type_affinage,'SUIVI STOCKS PAR PAYSAN'!$F30,es_date_entree,"&gt;"&amp;date_inventaire)-SUMIFS(v_Poids,v_conc_prod_tye_affinage,'SUIVI STOCKS PAR PAYSAN'!$F30,v_Date_commande,"&gt;"&amp;date_inventaire)</f>
        <v>0</v>
      </c>
      <c r="AE30" s="341">
        <f ca="1">SUMIFS(bddres_c_qte,bddres_c_prod_type_aff,'SUIVI STOCKS PAR PAYSAN'!F30,'BDD RESERVATIONS'!$B:$B,"&gt;"&amp;date_inventaire)</f>
        <v>0</v>
      </c>
      <c r="AF30" s="342">
        <f ca="1">SUMIFS(bddres_pieces,es_prod_type_affinage,'SUIVI STOCKS PAR PAYSAN'!$F30,es_date_entree,"&gt;"&amp;date_inventaire,es_taille,'SUIVI STOCKS PAR PAYSAN'!$Z$7)-SUMIFS(v_Pièces,v_Taille,'SUIVI STOCKS PAR PAYSAN'!$Z$7,v_conc_prod_tye_affinage,'SUIVI STOCKS PAR PAYSAN'!$F30,v_Date_commande,"&gt;"&amp;date_inventaire)</f>
        <v>0</v>
      </c>
      <c r="AG30" s="342">
        <f ca="1">SUMIFS(bddres_pieces,'BDD RESERVATIONS'!$G:$G,'SUIVI STOCKS PAR PAYSAN'!$Z$7,bddres_c_prod_type_aff,'SUIVI STOCKS PAR PAYSAN'!$F30,'BDD RESERVATIONS'!$B:$B,"&gt;"&amp;date_inventaire)</f>
        <v>0</v>
      </c>
      <c r="AH30" s="343">
        <f ca="1">SUMIFS(es_pieces,es_prod_type_affinage,'SUIVI STOCKS PAR PAYSAN'!$F30,es_date_entree,"&gt;"&amp;date_inventaire,es_taille,'SUIVI STOCKS PAR PAYSAN'!$AH$7)-SUMIFS(v_Pièces,v_Taille,'SUIVI STOCKS PAR PAYSAN'!$AH$7,v_conc_prod_tye_affinage,'SUIVI STOCKS PAR PAYSAN'!$F30,v_Date_commande,"&gt;"&amp;date_inventaire)</f>
        <v>0</v>
      </c>
      <c r="AI30" s="353">
        <f ca="1">SUMIFS(bddres_pieces,'BDD RESERVATIONS'!$G:$G,'SUIVI STOCKS PAR PAYSAN'!$AB$7,bddres_c_prod_type_aff,'SUIVI STOCKS PAR PAYSAN'!$F30,'BDD RESERVATIONS'!$B:$B,"&gt;"&amp;date_inventaire)</f>
        <v>0</v>
      </c>
      <c r="AJ30" s="352">
        <f ca="1">SUMIFS(es_poids,es_prod_type_affinage,'SUIVI STOCKS PAR PAYSAN'!$G30,es_date_entree,"&gt;"&amp;date_inventaire)-SUMIFS(v_Poids,v_conc_prod_tye_affinage,'SUIVI STOCKS PAR PAYSAN'!$G30,v_Date_commande,"&gt;"&amp;date_inventaire)</f>
        <v>0</v>
      </c>
      <c r="AK30" s="341">
        <f ca="1">SUMIFS(bddres_c_qte,bddres_c_prod_type_aff,'SUIVI STOCKS PAR PAYSAN'!G30,'BDD RESERVATIONS'!$B:$B,"&gt;"&amp;date_inventaire)</f>
        <v>0</v>
      </c>
      <c r="AL30" s="342">
        <f ca="1">SUMIFS(bddres_pieces,es_prod_type_affinage,'SUIVI STOCKS PAR PAYSAN'!$G30,es_date_entree,"&gt;"&amp;date_inventaire,es_taille,'SUIVI STOCKS PAR PAYSAN'!$AL$7)-SUMIFS(v_Pièces,v_Taille,'SUIVI STOCKS PAR PAYSAN'!$AL$7,v_conc_prod_tye_affinage,'SUIVI STOCKS PAR PAYSAN'!$G30,v_Date_commande,"&gt;"&amp;date_inventaire)</f>
        <v>0</v>
      </c>
      <c r="AM30" s="342">
        <f ca="1">SUMIFS(bddres_pieces,'BDD RESERVATIONS'!$G:$G,'SUIVI STOCKS PAR PAYSAN'!$AL$7,bddres_c_prod_type_aff,'SUIVI STOCKS PAR PAYSAN'!$G30,'BDD RESERVATIONS'!$B:$B,"&gt;"&amp;date_inventaire)</f>
        <v>0</v>
      </c>
      <c r="AN30" s="343">
        <f ca="1">SUMIFS(es_pieces,es_prod_type_affinage,'SUIVI STOCKS PAR PAYSAN'!$G30,es_date_entree,"&gt;"&amp;date_inventaire,es_taille,'SUIVI STOCKS PAR PAYSAN'!$AN$7)-SUMIFS(v_Pièces,v_Taille,'SUIVI STOCKS PAR PAYSAN'!$AN$7,v_conc_prod_tye_affinage,'SUIVI STOCKS PAR PAYSAN'!$G30,v_Date_commande,"&gt;"&amp;date_inventaire)</f>
        <v>0</v>
      </c>
      <c r="AO30" s="353">
        <f ca="1">SUMIFS(bddres_pieces,'BDD RESERVATIONS'!$G:$G,'SUIVI STOCKS PAR PAYSAN'!$AN$7,bddres_c_prod_type_aff,'SUIVI STOCKS PAR PAYSAN'!$G30,'BDD RESERVATIONS'!$B:$B,"&gt;"&amp;date_inventaire)</f>
        <v>0</v>
      </c>
      <c r="AP30" s="349">
        <f ca="1">SUMIFS(es_poids,es_prod_type_affinage,'SUIVI STOCKS PAR PAYSAN'!$H30,es_date_entree,"&gt;"&amp;date_inventaire)-SUMIFS(v_Poids,v_conc_prod_tye_affinage,'SUIVI STOCKS PAR PAYSAN'!$H30,v_Date_commande,"&gt;"&amp;date_inventaire)</f>
        <v>0</v>
      </c>
      <c r="AQ30" s="341">
        <f ca="1">SUMIFS(bddres_c_qte,bddres_c_prod_type_aff,'SUIVI STOCKS PAR PAYSAN'!H30,'BDD RESERVATIONS'!$B:$B,"&gt;"&amp;date_inventaire)</f>
        <v>0</v>
      </c>
      <c r="AR30" s="342">
        <f ca="1">SUMIFS(bddres_pieces,es_prod_type_affinage,'SUIVI STOCKS PAR PAYSAN'!$H30,es_date_entree,"&gt;"&amp;date_inventaire,es_taille,'SUIVI STOCKS PAR PAYSAN'!$AR$7)-SUMIFS(v_Pièces,v_Taille,'SUIVI STOCKS PAR PAYSAN'!$AR$7,v_conc_prod_tye_affinage,'SUIVI STOCKS PAR PAYSAN'!$H30,v_Date_commande,"&gt;"&amp;date_inventaire)</f>
        <v>0</v>
      </c>
      <c r="AS30" s="351">
        <f ca="1">SUMIFS(bddres_pieces,'BDD RESERVATIONS'!$G:$G,'SUIVI STOCKS PAR PAYSAN'!AR25,bddres_c_prod_type_aff,'SUIVI STOCKS PAR PAYSAN'!$H30,'BDD RESERVATIONS'!$B:$B,"&gt;"&amp;date_inventaire)</f>
        <v>0</v>
      </c>
      <c r="AT30" s="343">
        <f ca="1">SUMIFS(es_pieces,es_prod_type_affinage,'SUIVI STOCKS PAR PAYSAN'!$H30,es_date_entree,"&gt;"&amp;date_inventaire,es_taille,'SUIVI STOCKS PAR PAYSAN'!$AT$7)-SUMIFS(v_Pièces,v_Taille,'SUIVI STOCKS PAR PAYSAN'!$AT$7,v_conc_prod_tye_affinage,'SUIVI STOCKS PAR PAYSAN'!$H30,v_Date_commande,"&gt;"&amp;date_inventaire)</f>
        <v>0</v>
      </c>
      <c r="AU30" s="353">
        <f ca="1">SUMIFS(bddres_pieces,'BDD RESERVATIONS'!$G:$G,'SUIVI STOCKS PAR PAYSAN'!$AT$7,bddres_c_prod_type_aff,'SUIVI STOCKS PAR PAYSAN'!$H30,'BDD RESERVATIONS'!$B:$B,"&gt;"&amp;date_inventaire)</f>
        <v>0</v>
      </c>
      <c r="AV30" s="349">
        <f ca="1">SUMIFS(es_poids,es_prod_type_affinage,'SUIVI STOCKS PAR PAYSAN'!$I30,es_date_entree,"&gt;"&amp;date_inventaire)-SUMIFS(v_Poids,v_conc_prod_tye_affinage,'SUIVI STOCKS PAR PAYSAN'!$E30,v_Date_commande,"&gt;"&amp;date_inventaire)</f>
        <v>0</v>
      </c>
      <c r="AW30" s="350">
        <f ca="1">SUMIFS(bddres_c_qte,bddres_c_prod_type_aff,'SUIVI STOCKS PAR PAYSAN'!I30,'BDD RESERVATIONS'!$B:$B,"&gt;"&amp;date_inventaire)</f>
        <v>0</v>
      </c>
      <c r="AX30" s="342">
        <f ca="1">SUMIFS(bddres_pieces,es_prod_type_affinage,'SUIVI STOCKS PAR PAYSAN'!$I30,es_date_entree,"&gt;"&amp;date_inventaire,es_taille,'SUIVI STOCKS PAR PAYSAN'!$AX$7)-SUMIFS(v_Pièces,v_Taille,'SUIVI STOCKS PAR PAYSAN'!$AX$7,v_conc_prod_tye_affinage,'SUIVI STOCKS PAR PAYSAN'!$I30,v_Date_commande,"&gt;"&amp;date_inventaire)</f>
        <v>0</v>
      </c>
      <c r="AY30" s="342">
        <f ca="1">SUMIFS(bddres_pieces,'BDD RESERVATIONS'!$G:$G,'SUIVI STOCKS PAR PAYSAN'!$AX$7,bddres_c_prod_type_aff,'SUIVI STOCKS PAR PAYSAN'!$I30,'BDD RESERVATIONS'!$B:$B,"&gt;"&amp;date_inventaire)</f>
        <v>0</v>
      </c>
      <c r="AZ30" s="343">
        <f ca="1">SUMIFS(es_pieces,es_prod_type_affinage,'SUIVI STOCKS PAR PAYSAN'!$I30,es_date_entree,"&gt;"&amp;date_inventaire,es_taille,'SUIVI STOCKS PAR PAYSAN'!$AZ$7)-SUMIFS(v_Pièces,v_Taille,'SUIVI STOCKS PAR PAYSAN'!$AZ$7,v_conc_prod_tye_affinage,'SUIVI STOCKS PAR PAYSAN'!$I30,v_Date_commande,"&gt;"&amp;date_inventaire)</f>
        <v>0</v>
      </c>
      <c r="BA30" s="353">
        <f ca="1">SUMIFS(bddres_pieces,'BDD RESERVATIONS'!$G:$G,'SUIVI STOCKS PAR PAYSAN'!$AZ$7,bddres_c_prod_type_aff,'SUIVI STOCKS PAR PAYSAN'!$I30,'BDD RESERVATIONS'!$B:$B,"&gt;"&amp;date_inventaire)</f>
        <v>0</v>
      </c>
      <c r="BB30" s="349">
        <f ca="1">SUMIFS(es_poids,es_prod_type_affinage,'SUIVI STOCKS PAR PAYSAN'!$J30,es_date_entree,"&gt;"&amp;date_inventaire)-SUMIFS(v_Poids,v_conc_prod_tye_affinage,'SUIVI STOCKS PAR PAYSAN'!$J30,v_Date_commande,"&gt;"&amp;date_inventaire)</f>
        <v>0</v>
      </c>
      <c r="BC30" s="350">
        <f ca="1">SUMIFS(bddres_c_qte,bddres_c_prod_type_aff,'SUIVI STOCKS PAR PAYSAN'!J30,'BDD RESERVATIONS'!$B:$B,"&gt;"&amp;date_inventaire)</f>
        <v>0</v>
      </c>
      <c r="BD30" s="342">
        <f ca="1">SUMIFS(bddres_pieces,es_prod_type_affinage,'SUIVI STOCKS PAR PAYSAN'!$J30,es_date_entree,"&gt;"&amp;date_inventaire,es_taille,'SUIVI STOCKS PAR PAYSAN'!$BD$7)-SUMIFS(v_Pièces,v_Taille,'SUIVI STOCKS PAR PAYSAN'!$BD$7,v_conc_prod_tye_affinage,'SUIVI STOCKS PAR PAYSAN'!$J30,v_Date_commande,"&gt;"&amp;date_inventaire)</f>
        <v>0</v>
      </c>
      <c r="BE30" s="351">
        <f ca="1">SUMIFS(bddres_pieces,'BDD RESERVATIONS'!$G:$G,'SUIVI STOCKS PAR PAYSAN'!BD25,bddres_c_prod_type_aff,'SUIVI STOCKS PAR PAYSAN'!J30,'BDD RESERVATIONS'!$B:$B,"&gt;"&amp;date_inventaire)</f>
        <v>0</v>
      </c>
      <c r="BF30" s="343">
        <f ca="1">SUMIFS(es_pieces,es_prod_type_affinage,'SUIVI STOCKS PAR PAYSAN'!J30,es_date_entree,"&gt;"&amp;date_inventaire,es_taille,'SUIVI STOCKS PAR PAYSAN'!$BF$7)-SUMIFS(v_Pièces,v_Taille,'SUIVI STOCKS PAR PAYSAN'!$BF$7,v_conc_prod_tye_affinage,'SUIVI STOCKS PAR PAYSAN'!J30,v_Date_commande,"&gt;"&amp;date_inventaire)</f>
        <v>0</v>
      </c>
      <c r="BG30" s="353">
        <f ca="1">SUMIFS(bddres_pieces,'BDD RESERVATIONS'!$G:$G,'SUIVI STOCKS PAR PAYSAN'!$BF$7,bddres_c_prod_type_aff,'SUIVI STOCKS PAR PAYSAN'!J30,'BDD RESERVATIONS'!$B:$B,"&gt;"&amp;date_inventaire)</f>
        <v>0</v>
      </c>
    </row>
    <row r="31" spans="1:59" ht="18.75" customHeight="1" x14ac:dyDescent="0.25">
      <c r="A31" s="331">
        <f ca="1">OFFSET('BDD PAYSANS'!$B$1,B31,0,1,1)</f>
        <v>0</v>
      </c>
      <c r="B31" s="325">
        <v>20</v>
      </c>
      <c r="C31" s="325" t="str">
        <f t="shared" ca="1" si="2"/>
        <v>0FERMIER&lt;3 mois</v>
      </c>
      <c r="D31" s="325" t="str">
        <f t="shared" ca="1" si="2"/>
        <v>0FERMIER3-6 mois</v>
      </c>
      <c r="E31" s="325" t="str">
        <f t="shared" ca="1" si="2"/>
        <v>0FERMIER6-9 mois</v>
      </c>
      <c r="F31" s="325" t="str">
        <f t="shared" ca="1" si="2"/>
        <v>0FERMIER&gt;9 mois</v>
      </c>
      <c r="G31" s="325" t="str">
        <f t="shared" ca="1" si="2"/>
        <v>0ESTIVE&lt;3 mois</v>
      </c>
      <c r="H31" s="325" t="str">
        <f t="shared" ca="1" si="2"/>
        <v>0ESTIVE3-6 mois</v>
      </c>
      <c r="I31" s="325" t="str">
        <f t="shared" ca="1" si="2"/>
        <v>0ESTIVE6-9 mois</v>
      </c>
      <c r="J31" s="325" t="str">
        <f t="shared" ca="1" si="2"/>
        <v>0ESTIVE&gt;9 mois</v>
      </c>
      <c r="K31" s="325"/>
      <c r="L31" s="352">
        <f ca="1">SUMIFS(es_poids,es_prod_type_affinage,'SUIVI STOCKS PAR PAYSAN'!$C31,es_date_entree,"&gt;"&amp;date_inventaire)-SUMIFS(v_Poids,v_conc_prod_tye_affinage,'SUIVI STOCKS PAR PAYSAN'!$C31,v_Date_commande,"&gt;"&amp;date_inventaire)</f>
        <v>0</v>
      </c>
      <c r="M31" s="341">
        <f ca="1">SUMIFS(bddres_c_qte,bddres_c_prod_type_aff,'SUIVI STOCKS PAR PAYSAN'!C31,'BDD RESERVATIONS'!$B:$B,"&gt;"&amp;date_inventaire)</f>
        <v>0</v>
      </c>
      <c r="N31" s="342">
        <f ca="1">SUMIFS(bddres_pieces,es_prod_type_affinage,'SUIVI STOCKS PAR PAYSAN'!$C31,es_date_entree,"&gt;"&amp;date_inventaire,es_taille,'SUIVI STOCKS PAR PAYSAN'!$N$7)-SUMIFS(v_Pièces,v_Taille,'SUIVI STOCKS PAR PAYSAN'!$N$7,v_conc_prod_tye_affinage,'SUIVI STOCKS PAR PAYSAN'!$C31,v_Date_commande,"&gt;"&amp;date_inventaire)</f>
        <v>0</v>
      </c>
      <c r="O31" s="342">
        <f ca="1">SUMIFS(bddres_pieces,'BDD RESERVATIONS'!$G:$G,'SUIVI STOCKS PAR PAYSAN'!$N$7,bddres_c_prod_type_aff,'SUIVI STOCKS PAR PAYSAN'!$C31,'BDD RESERVATIONS'!$B:$B,"&gt;"&amp;date_inventaire)</f>
        <v>0</v>
      </c>
      <c r="P31" s="343">
        <f ca="1">SUMIFS(es_pieces,es_prod_type_affinage,'SUIVI STOCKS PAR PAYSAN'!$C31,es_date_entree,"&gt;"&amp;date_inventaire,es_taille,'SUIVI STOCKS PAR PAYSAN'!$P$7)-SUMIFS(v_Pièces,v_Taille,'SUIVI STOCKS PAR PAYSAN'!$P$7,v_conc_prod_tye_affinage,'SUIVI STOCKS PAR PAYSAN'!$C31,v_Date_commande,"&gt;"&amp;date_inventaire)</f>
        <v>0</v>
      </c>
      <c r="Q31" s="353">
        <f ca="1">SUMIFS(bddres_pieces,'BDD RESERVATIONS'!$G:$G,'SUIVI STOCKS PAR PAYSAN'!$P$7,bddres_c_prod_type_aff,'SUIVI STOCKS PAR PAYSAN'!$C31,'BDD RESERVATIONS'!$B:$B,"&gt;"&amp;date_inventaire)</f>
        <v>0</v>
      </c>
      <c r="R31" s="362">
        <f ca="1">SUMIFS(es_poids,es_prod_type_affinage,'SUIVI STOCKS PAR PAYSAN'!$D31,es_date_entree,"&gt;"&amp;date_inventaire)-SUMIFS(v_Poids,v_conc_prod_tye_affinage,'SUIVI STOCKS PAR PAYSAN'!$D31,v_Date_commande,"&gt;"&amp;date_inventaire)</f>
        <v>0</v>
      </c>
      <c r="S31" s="341">
        <f ca="1">SUMIFS(bddres_c_qte,bddres_c_prod_type_aff,'SUIVI STOCKS PAR PAYSAN'!D31,'BDD RESERVATIONS'!$B:$B,"&gt;"&amp;date_inventaire)</f>
        <v>0</v>
      </c>
      <c r="T31" s="342">
        <f ca="1">SUMIFS(bddres_pieces,es_prod_type_affinage,'SUIVI STOCKS PAR PAYSAN'!$D31,es_date_entree,"&gt;"&amp;date_inventaire,es_taille,'SUIVI STOCKS PAR PAYSAN'!$T$7)-SUMIFS(v_Pièces,v_Taille,'SUIVI STOCKS PAR PAYSAN'!$T$7,v_conc_prod_tye_affinage,'SUIVI STOCKS PAR PAYSAN'!$D31,v_Date_commande,"&gt;"&amp;date_inventaire)</f>
        <v>0</v>
      </c>
      <c r="U31" s="342">
        <f ca="1">SUMIFS(bddres_pieces,'BDD RESERVATIONS'!$G:$G,'SUIVI STOCKS PAR PAYSAN'!$T$7,bddres_c_prod_type_aff,'SUIVI STOCKS PAR PAYSAN'!$D31,'BDD RESERVATIONS'!$B:$B,"&gt;"&amp;date_inventaire)</f>
        <v>0</v>
      </c>
      <c r="V31" s="343">
        <f ca="1">SUMIFS(es_pieces,es_prod_type_affinage,'SUIVI STOCKS PAR PAYSAN'!$D31,es_date_entree,"&gt;"&amp;date_inventaire,es_taille,'SUIVI STOCKS PAR PAYSAN'!$V$7)-SUMIFS(v_Pièces,v_Taille,'SUIVI STOCKS PAR PAYSAN'!$V$7,v_conc_prod_tye_affinage,'SUIVI STOCKS PAR PAYSAN'!$D31,v_Date_commande,"&gt;"&amp;date_inventaire)</f>
        <v>0</v>
      </c>
      <c r="W31" s="353">
        <f ca="1">SUMIFS(bddres_pieces,'BDD RESERVATIONS'!$G:$G,'SUIVI STOCKS PAR PAYSAN'!$V$7,bddres_c_prod_type_aff,'SUIVI STOCKS PAR PAYSAN'!$D31,'BDD RESERVATIONS'!$B:$B,"&gt;"&amp;date_inventaire)</f>
        <v>0</v>
      </c>
      <c r="X31" s="313">
        <f ca="1">SUMIFS(es_poids,es_prod_type_affinage,'SUIVI STOCKS PAR PAYSAN'!$E31,es_date_entree,"&gt;"&amp;date_inventaire)-SUMIFS(v_Poids,v_conc_prod_tye_affinage,'SUIVI STOCKS PAR PAYSAN'!$E31,v_Date_commande,"&gt;"&amp;date_inventaire)</f>
        <v>0</v>
      </c>
      <c r="Y31" s="341">
        <f ca="1">SUMIFS(bddres_c_qte,bddres_c_prod_type_aff,'SUIVI STOCKS PAR PAYSAN'!E31,'BDD RESERVATIONS'!$B:$B,"&gt;"&amp;date_inventaire)</f>
        <v>0</v>
      </c>
      <c r="Z31" s="342">
        <f ca="1">SUMIFS(bddres_pieces,es_prod_type_affinage,'SUIVI STOCKS PAR PAYSAN'!$E31,es_date_entree,"&gt;"&amp;date_inventaire,es_taille,'SUIVI STOCKS PAR PAYSAN'!$Z$7)-SUMIFS(v_Pièces,v_Taille,'SUIVI STOCKS PAR PAYSAN'!$Z$7,v_conc_prod_tye_affinage,'SUIVI STOCKS PAR PAYSAN'!$E31,v_Date_commande,"&gt;"&amp;date_inventaire)</f>
        <v>0</v>
      </c>
      <c r="AA31" s="342">
        <f ca="1">SUMIFS(bddres_pieces,'BDD RESERVATIONS'!$G:$G,'SUIVI STOCKS PAR PAYSAN'!$Z$7,bddres_c_prod_type_aff,'SUIVI STOCKS PAR PAYSAN'!$E31,'BDD RESERVATIONS'!$B:$B,"&gt;"&amp;date_inventaire)</f>
        <v>0</v>
      </c>
      <c r="AB31" s="343">
        <f ca="1">SUMIFS(es_pieces,es_prod_type_affinage,'SUIVI STOCKS PAR PAYSAN'!$E31,es_date_entree,"&gt;"&amp;date_inventaire,es_taille,'SUIVI STOCKS PAR PAYSAN'!$AB$7)-SUMIFS(v_Pièces,v_Taille,'SUIVI STOCKS PAR PAYSAN'!$AB$7,v_conc_prod_tye_affinage,'SUIVI STOCKS PAR PAYSAN'!$E31,v_Date_commande,"&gt;"&amp;date_inventaire)</f>
        <v>0</v>
      </c>
      <c r="AC31" s="353">
        <f ca="1">SUMIFS(bddres_pieces,'BDD RESERVATIONS'!$G:$G,'SUIVI STOCKS PAR PAYSAN'!$AB$7,bddres_c_prod_type_aff,'SUIVI STOCKS PAR PAYSAN'!$E31,'BDD RESERVATIONS'!$B:$B,"&gt;"&amp;date_inventaire)</f>
        <v>0</v>
      </c>
      <c r="AD31" s="313">
        <f ca="1">SUMIFS(es_poids,es_prod_type_affinage,'SUIVI STOCKS PAR PAYSAN'!$F31,es_date_entree,"&gt;"&amp;date_inventaire)-SUMIFS(v_Poids,v_conc_prod_tye_affinage,'SUIVI STOCKS PAR PAYSAN'!$F31,v_Date_commande,"&gt;"&amp;date_inventaire)</f>
        <v>0</v>
      </c>
      <c r="AE31" s="341">
        <f ca="1">SUMIFS(bddres_c_qte,bddres_c_prod_type_aff,'SUIVI STOCKS PAR PAYSAN'!F31,'BDD RESERVATIONS'!$B:$B,"&gt;"&amp;date_inventaire)</f>
        <v>0</v>
      </c>
      <c r="AF31" s="342">
        <f ca="1">SUMIFS(bddres_pieces,es_prod_type_affinage,'SUIVI STOCKS PAR PAYSAN'!$F31,es_date_entree,"&gt;"&amp;date_inventaire,es_taille,'SUIVI STOCKS PAR PAYSAN'!$Z$7)-SUMIFS(v_Pièces,v_Taille,'SUIVI STOCKS PAR PAYSAN'!$Z$7,v_conc_prod_tye_affinage,'SUIVI STOCKS PAR PAYSAN'!$F31,v_Date_commande,"&gt;"&amp;date_inventaire)</f>
        <v>0</v>
      </c>
      <c r="AG31" s="342">
        <f ca="1">SUMIFS(bddres_pieces,'BDD RESERVATIONS'!$G:$G,'SUIVI STOCKS PAR PAYSAN'!$Z$7,bddres_c_prod_type_aff,'SUIVI STOCKS PAR PAYSAN'!$F31,'BDD RESERVATIONS'!$B:$B,"&gt;"&amp;date_inventaire)</f>
        <v>0</v>
      </c>
      <c r="AH31" s="343">
        <f ca="1">SUMIFS(es_pieces,es_prod_type_affinage,'SUIVI STOCKS PAR PAYSAN'!$F31,es_date_entree,"&gt;"&amp;date_inventaire,es_taille,'SUIVI STOCKS PAR PAYSAN'!$AH$7)-SUMIFS(v_Pièces,v_Taille,'SUIVI STOCKS PAR PAYSAN'!$AH$7,v_conc_prod_tye_affinage,'SUIVI STOCKS PAR PAYSAN'!$F31,v_Date_commande,"&gt;"&amp;date_inventaire)</f>
        <v>0</v>
      </c>
      <c r="AI31" s="353">
        <f ca="1">SUMIFS(bddres_pieces,'BDD RESERVATIONS'!$G:$G,'SUIVI STOCKS PAR PAYSAN'!$AB$7,bddres_c_prod_type_aff,'SUIVI STOCKS PAR PAYSAN'!$F31,'BDD RESERVATIONS'!$B:$B,"&gt;"&amp;date_inventaire)</f>
        <v>0</v>
      </c>
      <c r="AJ31" s="352">
        <f ca="1">SUMIFS(es_poids,es_prod_type_affinage,'SUIVI STOCKS PAR PAYSAN'!$G31,es_date_entree,"&gt;"&amp;date_inventaire)-SUMIFS(v_Poids,v_conc_prod_tye_affinage,'SUIVI STOCKS PAR PAYSAN'!$G31,v_Date_commande,"&gt;"&amp;date_inventaire)</f>
        <v>0</v>
      </c>
      <c r="AK31" s="341">
        <f ca="1">SUMIFS(bddres_c_qte,bddres_c_prod_type_aff,'SUIVI STOCKS PAR PAYSAN'!G31,'BDD RESERVATIONS'!$B:$B,"&gt;"&amp;date_inventaire)</f>
        <v>0</v>
      </c>
      <c r="AL31" s="342">
        <f ca="1">SUMIFS(bddres_pieces,es_prod_type_affinage,'SUIVI STOCKS PAR PAYSAN'!$G31,es_date_entree,"&gt;"&amp;date_inventaire,es_taille,'SUIVI STOCKS PAR PAYSAN'!$AL$7)-SUMIFS(v_Pièces,v_Taille,'SUIVI STOCKS PAR PAYSAN'!$AL$7,v_conc_prod_tye_affinage,'SUIVI STOCKS PAR PAYSAN'!$G31,v_Date_commande,"&gt;"&amp;date_inventaire)</f>
        <v>0</v>
      </c>
      <c r="AM31" s="342">
        <f ca="1">SUMIFS(bddres_pieces,'BDD RESERVATIONS'!$G:$G,'SUIVI STOCKS PAR PAYSAN'!$AL$7,bddres_c_prod_type_aff,'SUIVI STOCKS PAR PAYSAN'!$G31,'BDD RESERVATIONS'!$B:$B,"&gt;"&amp;date_inventaire)</f>
        <v>0</v>
      </c>
      <c r="AN31" s="343">
        <f ca="1">SUMIFS(es_pieces,es_prod_type_affinage,'SUIVI STOCKS PAR PAYSAN'!$G31,es_date_entree,"&gt;"&amp;date_inventaire,es_taille,'SUIVI STOCKS PAR PAYSAN'!$AN$7)-SUMIFS(v_Pièces,v_Taille,'SUIVI STOCKS PAR PAYSAN'!$AN$7,v_conc_prod_tye_affinage,'SUIVI STOCKS PAR PAYSAN'!$G31,v_Date_commande,"&gt;"&amp;date_inventaire)</f>
        <v>0</v>
      </c>
      <c r="AO31" s="353">
        <f ca="1">SUMIFS(bddres_pieces,'BDD RESERVATIONS'!$G:$G,'SUIVI STOCKS PAR PAYSAN'!$AN$7,bddres_c_prod_type_aff,'SUIVI STOCKS PAR PAYSAN'!$G31,'BDD RESERVATIONS'!$B:$B,"&gt;"&amp;date_inventaire)</f>
        <v>0</v>
      </c>
      <c r="AP31" s="313">
        <f ca="1">SUMIFS(es_poids,es_prod_type_affinage,'SUIVI STOCKS PAR PAYSAN'!$H31,es_date_entree,"&gt;"&amp;date_inventaire)-SUMIFS(v_Poids,v_conc_prod_tye_affinage,'SUIVI STOCKS PAR PAYSAN'!$H31,v_Date_commande,"&gt;"&amp;date_inventaire)</f>
        <v>0</v>
      </c>
      <c r="AQ31" s="341">
        <f ca="1">SUMIFS(bddres_c_qte,bddres_c_prod_type_aff,'SUIVI STOCKS PAR PAYSAN'!H31,'BDD RESERVATIONS'!$B:$B,"&gt;"&amp;date_inventaire)</f>
        <v>0</v>
      </c>
      <c r="AR31" s="342">
        <f ca="1">SUMIFS(bddres_pieces,es_prod_type_affinage,'SUIVI STOCKS PAR PAYSAN'!$H31,es_date_entree,"&gt;"&amp;date_inventaire,es_taille,'SUIVI STOCKS PAR PAYSAN'!$AR$7)-SUMIFS(v_Pièces,v_Taille,'SUIVI STOCKS PAR PAYSAN'!$AR$7,v_conc_prod_tye_affinage,'SUIVI STOCKS PAR PAYSAN'!$H31,v_Date_commande,"&gt;"&amp;date_inventaire)</f>
        <v>0</v>
      </c>
      <c r="AS31" s="326">
        <f ca="1">SUMIFS(bddres_pieces,'BDD RESERVATIONS'!$G:$G,'SUIVI STOCKS PAR PAYSAN'!AR26,bddres_c_prod_type_aff,'SUIVI STOCKS PAR PAYSAN'!$H31,'BDD RESERVATIONS'!$B:$B,"&gt;"&amp;date_inventaire)</f>
        <v>0</v>
      </c>
      <c r="AT31" s="343">
        <f ca="1">SUMIFS(es_pieces,es_prod_type_affinage,'SUIVI STOCKS PAR PAYSAN'!$H31,es_date_entree,"&gt;"&amp;date_inventaire,es_taille,'SUIVI STOCKS PAR PAYSAN'!$AT$7)-SUMIFS(v_Pièces,v_Taille,'SUIVI STOCKS PAR PAYSAN'!$AT$7,v_conc_prod_tye_affinage,'SUIVI STOCKS PAR PAYSAN'!$H31,v_Date_commande,"&gt;"&amp;date_inventaire)</f>
        <v>0</v>
      </c>
      <c r="AU31" s="353">
        <f ca="1">SUMIFS(bddres_pieces,'BDD RESERVATIONS'!$G:$G,'SUIVI STOCKS PAR PAYSAN'!$AT$7,bddres_c_prod_type_aff,'SUIVI STOCKS PAR PAYSAN'!$H31,'BDD RESERVATIONS'!$B:$B,"&gt;"&amp;date_inventaire)</f>
        <v>0</v>
      </c>
      <c r="AV31" s="313">
        <f ca="1">SUMIFS(es_poids,es_prod_type_affinage,'SUIVI STOCKS PAR PAYSAN'!$I31,es_date_entree,"&gt;"&amp;date_inventaire)-SUMIFS(v_Poids,v_conc_prod_tye_affinage,'SUIVI STOCKS PAR PAYSAN'!$E31,v_Date_commande,"&gt;"&amp;date_inventaire)</f>
        <v>0</v>
      </c>
      <c r="AW31" s="313">
        <f ca="1">SUMIFS(bddres_c_qte,bddres_c_prod_type_aff,'SUIVI STOCKS PAR PAYSAN'!I31,'BDD RESERVATIONS'!$B:$B,"&gt;"&amp;date_inventaire)</f>
        <v>0</v>
      </c>
      <c r="AX31" s="342">
        <f ca="1">SUMIFS(bddres_pieces,es_prod_type_affinage,'SUIVI STOCKS PAR PAYSAN'!$I31,es_date_entree,"&gt;"&amp;date_inventaire,es_taille,'SUIVI STOCKS PAR PAYSAN'!$AX$7)-SUMIFS(v_Pièces,v_Taille,'SUIVI STOCKS PAR PAYSAN'!$AX$7,v_conc_prod_tye_affinage,'SUIVI STOCKS PAR PAYSAN'!$I31,v_Date_commande,"&gt;"&amp;date_inventaire)</f>
        <v>0</v>
      </c>
      <c r="AY31" s="342">
        <f ca="1">SUMIFS(bddres_pieces,'BDD RESERVATIONS'!$G:$G,'SUIVI STOCKS PAR PAYSAN'!$AX$7,bddres_c_prod_type_aff,'SUIVI STOCKS PAR PAYSAN'!$I31,'BDD RESERVATIONS'!$B:$B,"&gt;"&amp;date_inventaire)</f>
        <v>0</v>
      </c>
      <c r="AZ31" s="343">
        <f ca="1">SUMIFS(es_pieces,es_prod_type_affinage,'SUIVI STOCKS PAR PAYSAN'!$I31,es_date_entree,"&gt;"&amp;date_inventaire,es_taille,'SUIVI STOCKS PAR PAYSAN'!$AZ$7)-SUMIFS(v_Pièces,v_Taille,'SUIVI STOCKS PAR PAYSAN'!$AZ$7,v_conc_prod_tye_affinage,'SUIVI STOCKS PAR PAYSAN'!$I31,v_Date_commande,"&gt;"&amp;date_inventaire)</f>
        <v>0</v>
      </c>
      <c r="BA31" s="353">
        <f ca="1">SUMIFS(bddres_pieces,'BDD RESERVATIONS'!$G:$G,'SUIVI STOCKS PAR PAYSAN'!$AZ$7,bddres_c_prod_type_aff,'SUIVI STOCKS PAR PAYSAN'!$I31,'BDD RESERVATIONS'!$B:$B,"&gt;"&amp;date_inventaire)</f>
        <v>0</v>
      </c>
      <c r="BB31" s="313">
        <f ca="1">SUMIFS(es_poids,es_prod_type_affinage,'SUIVI STOCKS PAR PAYSAN'!$J31,es_date_entree,"&gt;"&amp;date_inventaire)-SUMIFS(v_Poids,v_conc_prod_tye_affinage,'SUIVI STOCKS PAR PAYSAN'!$J31,v_Date_commande,"&gt;"&amp;date_inventaire)</f>
        <v>0</v>
      </c>
      <c r="BC31" s="313">
        <f ca="1">SUMIFS(bddres_c_qte,bddres_c_prod_type_aff,'SUIVI STOCKS PAR PAYSAN'!J31,'BDD RESERVATIONS'!$B:$B,"&gt;"&amp;date_inventaire)</f>
        <v>0</v>
      </c>
      <c r="BD31" s="342">
        <f ca="1">SUMIFS(bddres_pieces,es_prod_type_affinage,'SUIVI STOCKS PAR PAYSAN'!$J31,es_date_entree,"&gt;"&amp;date_inventaire,es_taille,'SUIVI STOCKS PAR PAYSAN'!$BD$7)-SUMIFS(v_Pièces,v_Taille,'SUIVI STOCKS PAR PAYSAN'!$BD$7,v_conc_prod_tye_affinage,'SUIVI STOCKS PAR PAYSAN'!$J31,v_Date_commande,"&gt;"&amp;date_inventaire)</f>
        <v>0</v>
      </c>
      <c r="BE31" s="326">
        <f ca="1">SUMIFS(bddres_pieces,'BDD RESERVATIONS'!$G:$G,'SUIVI STOCKS PAR PAYSAN'!BD26,bddres_c_prod_type_aff,'SUIVI STOCKS PAR PAYSAN'!J31,'BDD RESERVATIONS'!$B:$B,"&gt;"&amp;date_inventaire)</f>
        <v>0</v>
      </c>
      <c r="BF31" s="343">
        <f ca="1">SUMIFS(es_pieces,es_prod_type_affinage,'SUIVI STOCKS PAR PAYSAN'!J31,es_date_entree,"&gt;"&amp;date_inventaire,es_taille,'SUIVI STOCKS PAR PAYSAN'!$BF$7)-SUMIFS(v_Pièces,v_Taille,'SUIVI STOCKS PAR PAYSAN'!$BF$7,v_conc_prod_tye_affinage,'SUIVI STOCKS PAR PAYSAN'!J31,v_Date_commande,"&gt;"&amp;date_inventaire)</f>
        <v>0</v>
      </c>
      <c r="BG31" s="353">
        <f ca="1">SUMIFS(bddres_pieces,'BDD RESERVATIONS'!$G:$G,'SUIVI STOCKS PAR PAYSAN'!$BF$7,bddres_c_prod_type_aff,'SUIVI STOCKS PAR PAYSAN'!J31,'BDD RESERVATIONS'!$B:$B,"&gt;"&amp;date_inventaire)</f>
        <v>0</v>
      </c>
    </row>
    <row r="32" spans="1:59" ht="18.75" customHeight="1" x14ac:dyDescent="0.25">
      <c r="A32" s="331">
        <f ca="1">OFFSET('BDD PAYSANS'!$B$1,B32,0,1,1)</f>
        <v>0</v>
      </c>
      <c r="B32" s="325">
        <v>21</v>
      </c>
      <c r="C32" s="325" t="str">
        <f t="shared" ca="1" si="2"/>
        <v>0FERMIER&lt;3 mois</v>
      </c>
      <c r="D32" s="325" t="str">
        <f t="shared" ca="1" si="2"/>
        <v>0FERMIER3-6 mois</v>
      </c>
      <c r="E32" s="325" t="str">
        <f t="shared" ca="1" si="2"/>
        <v>0FERMIER6-9 mois</v>
      </c>
      <c r="F32" s="325" t="str">
        <f t="shared" ca="1" si="2"/>
        <v>0FERMIER&gt;9 mois</v>
      </c>
      <c r="G32" s="325" t="str">
        <f t="shared" ca="1" si="2"/>
        <v>0ESTIVE&lt;3 mois</v>
      </c>
      <c r="H32" s="325" t="str">
        <f t="shared" ca="1" si="2"/>
        <v>0ESTIVE3-6 mois</v>
      </c>
      <c r="I32" s="325" t="str">
        <f t="shared" ca="1" si="2"/>
        <v>0ESTIVE6-9 mois</v>
      </c>
      <c r="J32" s="325" t="str">
        <f t="shared" ca="1" si="2"/>
        <v>0ESTIVE&gt;9 mois</v>
      </c>
      <c r="K32" s="325"/>
      <c r="L32" s="352">
        <f ca="1">SUMIFS(es_poids,es_prod_type_affinage,'SUIVI STOCKS PAR PAYSAN'!$C32,es_date_entree,"&gt;"&amp;date_inventaire)-SUMIFS(v_Poids,v_conc_prod_tye_affinage,'SUIVI STOCKS PAR PAYSAN'!$C32,v_Date_commande,"&gt;"&amp;date_inventaire)</f>
        <v>0</v>
      </c>
      <c r="M32" s="341">
        <f ca="1">SUMIFS(bddres_c_qte,bddres_c_prod_type_aff,'SUIVI STOCKS PAR PAYSAN'!C32,'BDD RESERVATIONS'!$B:$B,"&gt;"&amp;date_inventaire)</f>
        <v>0</v>
      </c>
      <c r="N32" s="342">
        <f ca="1">SUMIFS(bddres_pieces,es_prod_type_affinage,'SUIVI STOCKS PAR PAYSAN'!$C32,es_date_entree,"&gt;"&amp;date_inventaire,es_taille,'SUIVI STOCKS PAR PAYSAN'!$N$7)-SUMIFS(v_Pièces,v_Taille,'SUIVI STOCKS PAR PAYSAN'!$N$7,v_conc_prod_tye_affinage,'SUIVI STOCKS PAR PAYSAN'!$C32,v_Date_commande,"&gt;"&amp;date_inventaire)</f>
        <v>0</v>
      </c>
      <c r="O32" s="342">
        <f ca="1">SUMIFS(bddres_pieces,'BDD RESERVATIONS'!$G:$G,'SUIVI STOCKS PAR PAYSAN'!$N$7,bddres_c_prod_type_aff,'SUIVI STOCKS PAR PAYSAN'!$C32,'BDD RESERVATIONS'!$B:$B,"&gt;"&amp;date_inventaire)</f>
        <v>0</v>
      </c>
      <c r="P32" s="343">
        <f ca="1">SUMIFS(es_pieces,es_prod_type_affinage,'SUIVI STOCKS PAR PAYSAN'!$C32,es_date_entree,"&gt;"&amp;date_inventaire,es_taille,'SUIVI STOCKS PAR PAYSAN'!$P$7)-SUMIFS(v_Pièces,v_Taille,'SUIVI STOCKS PAR PAYSAN'!$P$7,v_conc_prod_tye_affinage,'SUIVI STOCKS PAR PAYSAN'!$C32,v_Date_commande,"&gt;"&amp;date_inventaire)</f>
        <v>0</v>
      </c>
      <c r="Q32" s="353">
        <f ca="1">SUMIFS(bddres_pieces,'BDD RESERVATIONS'!$G:$G,'SUIVI STOCKS PAR PAYSAN'!$P$7,bddres_c_prod_type_aff,'SUIVI STOCKS PAR PAYSAN'!$C32,'BDD RESERVATIONS'!$B:$B,"&gt;"&amp;date_inventaire)</f>
        <v>0</v>
      </c>
      <c r="R32" s="340">
        <f ca="1">SUMIFS(es_poids,es_prod_type_affinage,'SUIVI STOCKS PAR PAYSAN'!$D32,es_date_entree,"&gt;"&amp;date_inventaire)-SUMIFS(v_Poids,v_conc_prod_tye_affinage,'SUIVI STOCKS PAR PAYSAN'!$D32,v_Date_commande,"&gt;"&amp;date_inventaire)</f>
        <v>0</v>
      </c>
      <c r="S32" s="341">
        <f ca="1">SUMIFS(bddres_c_qte,bddres_c_prod_type_aff,'SUIVI STOCKS PAR PAYSAN'!D32,'BDD RESERVATIONS'!$B:$B,"&gt;"&amp;date_inventaire)</f>
        <v>0</v>
      </c>
      <c r="T32" s="342">
        <f ca="1">SUMIFS(bddres_pieces,es_prod_type_affinage,'SUIVI STOCKS PAR PAYSAN'!$D32,es_date_entree,"&gt;"&amp;date_inventaire,es_taille,'SUIVI STOCKS PAR PAYSAN'!$T$7)-SUMIFS(v_Pièces,v_Taille,'SUIVI STOCKS PAR PAYSAN'!$T$7,v_conc_prod_tye_affinage,'SUIVI STOCKS PAR PAYSAN'!$D32,v_Date_commande,"&gt;"&amp;date_inventaire)</f>
        <v>0</v>
      </c>
      <c r="U32" s="342">
        <f ca="1">SUMIFS(bddres_pieces,'BDD RESERVATIONS'!$G:$G,'SUIVI STOCKS PAR PAYSAN'!$T$7,bddres_c_prod_type_aff,'SUIVI STOCKS PAR PAYSAN'!$D32,'BDD RESERVATIONS'!$B:$B,"&gt;"&amp;date_inventaire)</f>
        <v>0</v>
      </c>
      <c r="V32" s="343">
        <f ca="1">SUMIFS(es_pieces,es_prod_type_affinage,'SUIVI STOCKS PAR PAYSAN'!$D32,es_date_entree,"&gt;"&amp;date_inventaire,es_taille,'SUIVI STOCKS PAR PAYSAN'!$V$7)-SUMIFS(v_Pièces,v_Taille,'SUIVI STOCKS PAR PAYSAN'!$V$7,v_conc_prod_tye_affinage,'SUIVI STOCKS PAR PAYSAN'!$D32,v_Date_commande,"&gt;"&amp;date_inventaire)</f>
        <v>0</v>
      </c>
      <c r="W32" s="353">
        <f ca="1">SUMIFS(bddres_pieces,'BDD RESERVATIONS'!$G:$G,'SUIVI STOCKS PAR PAYSAN'!$V$7,bddres_c_prod_type_aff,'SUIVI STOCKS PAR PAYSAN'!$D32,'BDD RESERVATIONS'!$B:$B,"&gt;"&amp;date_inventaire)</f>
        <v>0</v>
      </c>
      <c r="X32" s="313">
        <f ca="1">SUMIFS(es_poids,es_prod_type_affinage,'SUIVI STOCKS PAR PAYSAN'!$E32,es_date_entree,"&gt;"&amp;date_inventaire)-SUMIFS(v_Poids,v_conc_prod_tye_affinage,'SUIVI STOCKS PAR PAYSAN'!$E32,v_Date_commande,"&gt;"&amp;date_inventaire)</f>
        <v>0</v>
      </c>
      <c r="Y32" s="341">
        <f ca="1">SUMIFS(bddres_c_qte,bddres_c_prod_type_aff,'SUIVI STOCKS PAR PAYSAN'!E32,'BDD RESERVATIONS'!$B:$B,"&gt;"&amp;date_inventaire)</f>
        <v>0</v>
      </c>
      <c r="Z32" s="342">
        <f ca="1">SUMIFS(bddres_pieces,es_prod_type_affinage,'SUIVI STOCKS PAR PAYSAN'!$E32,es_date_entree,"&gt;"&amp;date_inventaire,es_taille,'SUIVI STOCKS PAR PAYSAN'!$Z$7)-SUMIFS(v_Pièces,v_Taille,'SUIVI STOCKS PAR PAYSAN'!$Z$7,v_conc_prod_tye_affinage,'SUIVI STOCKS PAR PAYSAN'!$E32,v_Date_commande,"&gt;"&amp;date_inventaire)</f>
        <v>0</v>
      </c>
      <c r="AA32" s="342">
        <f ca="1">SUMIFS(bddres_pieces,'BDD RESERVATIONS'!$G:$G,'SUIVI STOCKS PAR PAYSAN'!$Z$7,bddres_c_prod_type_aff,'SUIVI STOCKS PAR PAYSAN'!$E32,'BDD RESERVATIONS'!$B:$B,"&gt;"&amp;date_inventaire)</f>
        <v>0</v>
      </c>
      <c r="AB32" s="343">
        <f ca="1">SUMIFS(es_pieces,es_prod_type_affinage,'SUIVI STOCKS PAR PAYSAN'!$E32,es_date_entree,"&gt;"&amp;date_inventaire,es_taille,'SUIVI STOCKS PAR PAYSAN'!$AB$7)-SUMIFS(v_Pièces,v_Taille,'SUIVI STOCKS PAR PAYSAN'!$AB$7,v_conc_prod_tye_affinage,'SUIVI STOCKS PAR PAYSAN'!$E32,v_Date_commande,"&gt;"&amp;date_inventaire)</f>
        <v>0</v>
      </c>
      <c r="AC32" s="353">
        <f ca="1">SUMIFS(bddres_pieces,'BDD RESERVATIONS'!$G:$G,'SUIVI STOCKS PAR PAYSAN'!$AB$7,bddres_c_prod_type_aff,'SUIVI STOCKS PAR PAYSAN'!$E32,'BDD RESERVATIONS'!$B:$B,"&gt;"&amp;date_inventaire)</f>
        <v>0</v>
      </c>
      <c r="AD32" s="313">
        <f ca="1">SUMIFS(es_poids,es_prod_type_affinage,'SUIVI STOCKS PAR PAYSAN'!$F32,es_date_entree,"&gt;"&amp;date_inventaire)-SUMIFS(v_Poids,v_conc_prod_tye_affinage,'SUIVI STOCKS PAR PAYSAN'!$F32,v_Date_commande,"&gt;"&amp;date_inventaire)</f>
        <v>0</v>
      </c>
      <c r="AE32" s="341">
        <f ca="1">SUMIFS(bddres_c_qte,bddres_c_prod_type_aff,'SUIVI STOCKS PAR PAYSAN'!F32,'BDD RESERVATIONS'!$B:$B,"&gt;"&amp;date_inventaire)</f>
        <v>0</v>
      </c>
      <c r="AF32" s="342">
        <f ca="1">SUMIFS(bddres_pieces,es_prod_type_affinage,'SUIVI STOCKS PAR PAYSAN'!$F32,es_date_entree,"&gt;"&amp;date_inventaire,es_taille,'SUIVI STOCKS PAR PAYSAN'!$Z$7)-SUMIFS(v_Pièces,v_Taille,'SUIVI STOCKS PAR PAYSAN'!$Z$7,v_conc_prod_tye_affinage,'SUIVI STOCKS PAR PAYSAN'!$F32,v_Date_commande,"&gt;"&amp;date_inventaire)</f>
        <v>0</v>
      </c>
      <c r="AG32" s="342">
        <f ca="1">SUMIFS(bddres_pieces,'BDD RESERVATIONS'!$G:$G,'SUIVI STOCKS PAR PAYSAN'!$Z$7,bddres_c_prod_type_aff,'SUIVI STOCKS PAR PAYSAN'!$F32,'BDD RESERVATIONS'!$B:$B,"&gt;"&amp;date_inventaire)</f>
        <v>0</v>
      </c>
      <c r="AH32" s="343">
        <f ca="1">SUMIFS(es_pieces,es_prod_type_affinage,'SUIVI STOCKS PAR PAYSAN'!$F32,es_date_entree,"&gt;"&amp;date_inventaire,es_taille,'SUIVI STOCKS PAR PAYSAN'!$AH$7)-SUMIFS(v_Pièces,v_Taille,'SUIVI STOCKS PAR PAYSAN'!$AH$7,v_conc_prod_tye_affinage,'SUIVI STOCKS PAR PAYSAN'!$F32,v_Date_commande,"&gt;"&amp;date_inventaire)</f>
        <v>0</v>
      </c>
      <c r="AI32" s="353">
        <f ca="1">SUMIFS(bddres_pieces,'BDD RESERVATIONS'!$G:$G,'SUIVI STOCKS PAR PAYSAN'!$AB$7,bddres_c_prod_type_aff,'SUIVI STOCKS PAR PAYSAN'!$F32,'BDD RESERVATIONS'!$B:$B,"&gt;"&amp;date_inventaire)</f>
        <v>0</v>
      </c>
      <c r="AJ32" s="352">
        <f ca="1">SUMIFS(es_poids,es_prod_type_affinage,'SUIVI STOCKS PAR PAYSAN'!$G32,es_date_entree,"&gt;"&amp;date_inventaire)-SUMIFS(v_Poids,v_conc_prod_tye_affinage,'SUIVI STOCKS PAR PAYSAN'!$G32,v_Date_commande,"&gt;"&amp;date_inventaire)</f>
        <v>0</v>
      </c>
      <c r="AK32" s="341">
        <f ca="1">SUMIFS(bddres_c_qte,bddres_c_prod_type_aff,'SUIVI STOCKS PAR PAYSAN'!G32,'BDD RESERVATIONS'!$B:$B,"&gt;"&amp;date_inventaire)</f>
        <v>0</v>
      </c>
      <c r="AL32" s="342">
        <f ca="1">SUMIFS(bddres_pieces,es_prod_type_affinage,'SUIVI STOCKS PAR PAYSAN'!$G32,es_date_entree,"&gt;"&amp;date_inventaire,es_taille,'SUIVI STOCKS PAR PAYSAN'!$AL$7)-SUMIFS(v_Pièces,v_Taille,'SUIVI STOCKS PAR PAYSAN'!$AL$7,v_conc_prod_tye_affinage,'SUIVI STOCKS PAR PAYSAN'!$G32,v_Date_commande,"&gt;"&amp;date_inventaire)</f>
        <v>0</v>
      </c>
      <c r="AM32" s="342">
        <f ca="1">SUMIFS(bddres_pieces,'BDD RESERVATIONS'!$G:$G,'SUIVI STOCKS PAR PAYSAN'!$AL$7,bddres_c_prod_type_aff,'SUIVI STOCKS PAR PAYSAN'!$G32,'BDD RESERVATIONS'!$B:$B,"&gt;"&amp;date_inventaire)</f>
        <v>0</v>
      </c>
      <c r="AN32" s="343">
        <f ca="1">SUMIFS(es_pieces,es_prod_type_affinage,'SUIVI STOCKS PAR PAYSAN'!$G32,es_date_entree,"&gt;"&amp;date_inventaire,es_taille,'SUIVI STOCKS PAR PAYSAN'!$AN$7)-SUMIFS(v_Pièces,v_Taille,'SUIVI STOCKS PAR PAYSAN'!$AN$7,v_conc_prod_tye_affinage,'SUIVI STOCKS PAR PAYSAN'!$G32,v_Date_commande,"&gt;"&amp;date_inventaire)</f>
        <v>0</v>
      </c>
      <c r="AO32" s="353">
        <f ca="1">SUMIFS(bddres_pieces,'BDD RESERVATIONS'!$G:$G,'SUIVI STOCKS PAR PAYSAN'!$AN$7,bddres_c_prod_type_aff,'SUIVI STOCKS PAR PAYSAN'!$G32,'BDD RESERVATIONS'!$B:$B,"&gt;"&amp;date_inventaire)</f>
        <v>0</v>
      </c>
      <c r="AP32" s="313">
        <f ca="1">SUMIFS(es_poids,es_prod_type_affinage,'SUIVI STOCKS PAR PAYSAN'!$H32,es_date_entree,"&gt;"&amp;date_inventaire)-SUMIFS(v_Poids,v_conc_prod_tye_affinage,'SUIVI STOCKS PAR PAYSAN'!$H32,v_Date_commande,"&gt;"&amp;date_inventaire)</f>
        <v>0</v>
      </c>
      <c r="AQ32" s="341">
        <f ca="1">SUMIFS(bddres_c_qte,bddres_c_prod_type_aff,'SUIVI STOCKS PAR PAYSAN'!H32,'BDD RESERVATIONS'!$B:$B,"&gt;"&amp;date_inventaire)</f>
        <v>0</v>
      </c>
      <c r="AR32" s="342">
        <f ca="1">SUMIFS(bddres_pieces,es_prod_type_affinage,'SUIVI STOCKS PAR PAYSAN'!$H32,es_date_entree,"&gt;"&amp;date_inventaire,es_taille,'SUIVI STOCKS PAR PAYSAN'!$AR$7)-SUMIFS(v_Pièces,v_Taille,'SUIVI STOCKS PAR PAYSAN'!$AR$7,v_conc_prod_tye_affinage,'SUIVI STOCKS PAR PAYSAN'!$H32,v_Date_commande,"&gt;"&amp;date_inventaire)</f>
        <v>0</v>
      </c>
      <c r="AS32" s="326">
        <f ca="1">SUMIFS(bddres_pieces,'BDD RESERVATIONS'!$G:$G,'SUIVI STOCKS PAR PAYSAN'!AR27,bddres_c_prod_type_aff,'SUIVI STOCKS PAR PAYSAN'!$H32,'BDD RESERVATIONS'!$B:$B,"&gt;"&amp;date_inventaire)</f>
        <v>0</v>
      </c>
      <c r="AT32" s="343">
        <f ca="1">SUMIFS(es_pieces,es_prod_type_affinage,'SUIVI STOCKS PAR PAYSAN'!$H32,es_date_entree,"&gt;"&amp;date_inventaire,es_taille,'SUIVI STOCKS PAR PAYSAN'!$AT$7)-SUMIFS(v_Pièces,v_Taille,'SUIVI STOCKS PAR PAYSAN'!$AT$7,v_conc_prod_tye_affinage,'SUIVI STOCKS PAR PAYSAN'!$H32,v_Date_commande,"&gt;"&amp;date_inventaire)</f>
        <v>0</v>
      </c>
      <c r="AU32" s="353">
        <f ca="1">SUMIFS(bddres_pieces,'BDD RESERVATIONS'!$G:$G,'SUIVI STOCKS PAR PAYSAN'!$AT$7,bddres_c_prod_type_aff,'SUIVI STOCKS PAR PAYSAN'!$H32,'BDD RESERVATIONS'!$B:$B,"&gt;"&amp;date_inventaire)</f>
        <v>0</v>
      </c>
      <c r="AV32" s="313">
        <f ca="1">SUMIFS(es_poids,es_prod_type_affinage,'SUIVI STOCKS PAR PAYSAN'!$I32,es_date_entree,"&gt;"&amp;date_inventaire)-SUMIFS(v_Poids,v_conc_prod_tye_affinage,'SUIVI STOCKS PAR PAYSAN'!$E32,v_Date_commande,"&gt;"&amp;date_inventaire)</f>
        <v>0</v>
      </c>
      <c r="AW32" s="313">
        <f ca="1">SUMIFS(bddres_c_qte,bddres_c_prod_type_aff,'SUIVI STOCKS PAR PAYSAN'!I32,'BDD RESERVATIONS'!$B:$B,"&gt;"&amp;date_inventaire)</f>
        <v>0</v>
      </c>
      <c r="AX32" s="342">
        <f ca="1">SUMIFS(bddres_pieces,es_prod_type_affinage,'SUIVI STOCKS PAR PAYSAN'!$I32,es_date_entree,"&gt;"&amp;date_inventaire,es_taille,'SUIVI STOCKS PAR PAYSAN'!$AX$7)-SUMIFS(v_Pièces,v_Taille,'SUIVI STOCKS PAR PAYSAN'!$AX$7,v_conc_prod_tye_affinage,'SUIVI STOCKS PAR PAYSAN'!$I32,v_Date_commande,"&gt;"&amp;date_inventaire)</f>
        <v>0</v>
      </c>
      <c r="AY32" s="342">
        <f ca="1">SUMIFS(bddres_pieces,'BDD RESERVATIONS'!$G:$G,'SUIVI STOCKS PAR PAYSAN'!$AX$7,bddres_c_prod_type_aff,'SUIVI STOCKS PAR PAYSAN'!$I32,'BDD RESERVATIONS'!$B:$B,"&gt;"&amp;date_inventaire)</f>
        <v>0</v>
      </c>
      <c r="AZ32" s="343">
        <f ca="1">SUMIFS(es_pieces,es_prod_type_affinage,'SUIVI STOCKS PAR PAYSAN'!$I32,es_date_entree,"&gt;"&amp;date_inventaire,es_taille,'SUIVI STOCKS PAR PAYSAN'!$AZ$7)-SUMIFS(v_Pièces,v_Taille,'SUIVI STOCKS PAR PAYSAN'!$AZ$7,v_conc_prod_tye_affinage,'SUIVI STOCKS PAR PAYSAN'!$I32,v_Date_commande,"&gt;"&amp;date_inventaire)</f>
        <v>0</v>
      </c>
      <c r="BA32" s="353">
        <f ca="1">SUMIFS(bddres_pieces,'BDD RESERVATIONS'!$G:$G,'SUIVI STOCKS PAR PAYSAN'!$AZ$7,bddres_c_prod_type_aff,'SUIVI STOCKS PAR PAYSAN'!$I32,'BDD RESERVATIONS'!$B:$B,"&gt;"&amp;date_inventaire)</f>
        <v>0</v>
      </c>
      <c r="BB32" s="313">
        <f ca="1">SUMIFS(es_poids,es_prod_type_affinage,'SUIVI STOCKS PAR PAYSAN'!$J32,es_date_entree,"&gt;"&amp;date_inventaire)-SUMIFS(v_Poids,v_conc_prod_tye_affinage,'SUIVI STOCKS PAR PAYSAN'!$J32,v_Date_commande,"&gt;"&amp;date_inventaire)</f>
        <v>0</v>
      </c>
      <c r="BC32" s="313">
        <f ca="1">SUMIFS(bddres_c_qte,bddres_c_prod_type_aff,'SUIVI STOCKS PAR PAYSAN'!J32,'BDD RESERVATIONS'!$B:$B,"&gt;"&amp;date_inventaire)</f>
        <v>0</v>
      </c>
      <c r="BD32" s="342">
        <f ca="1">SUMIFS(bddres_pieces,es_prod_type_affinage,'SUIVI STOCKS PAR PAYSAN'!$J32,es_date_entree,"&gt;"&amp;date_inventaire,es_taille,'SUIVI STOCKS PAR PAYSAN'!$BD$7)-SUMIFS(v_Pièces,v_Taille,'SUIVI STOCKS PAR PAYSAN'!$BD$7,v_conc_prod_tye_affinage,'SUIVI STOCKS PAR PAYSAN'!$J32,v_Date_commande,"&gt;"&amp;date_inventaire)</f>
        <v>0</v>
      </c>
      <c r="BE32" s="326">
        <f ca="1">SUMIFS(bddres_pieces,'BDD RESERVATIONS'!$G:$G,'SUIVI STOCKS PAR PAYSAN'!BD27,bddres_c_prod_type_aff,'SUIVI STOCKS PAR PAYSAN'!J32,'BDD RESERVATIONS'!$B:$B,"&gt;"&amp;date_inventaire)</f>
        <v>0</v>
      </c>
      <c r="BF32" s="343">
        <f ca="1">SUMIFS(es_pieces,es_prod_type_affinage,'SUIVI STOCKS PAR PAYSAN'!J32,es_date_entree,"&gt;"&amp;date_inventaire,es_taille,'SUIVI STOCKS PAR PAYSAN'!$BF$7)-SUMIFS(v_Pièces,v_Taille,'SUIVI STOCKS PAR PAYSAN'!$BF$7,v_conc_prod_tye_affinage,'SUIVI STOCKS PAR PAYSAN'!J32,v_Date_commande,"&gt;"&amp;date_inventaire)</f>
        <v>0</v>
      </c>
      <c r="BG32" s="353">
        <f ca="1">SUMIFS(bddres_pieces,'BDD RESERVATIONS'!$G:$G,'SUIVI STOCKS PAR PAYSAN'!$BF$7,bddres_c_prod_type_aff,'SUIVI STOCKS PAR PAYSAN'!J32,'BDD RESERVATIONS'!$B:$B,"&gt;"&amp;date_inventaire)</f>
        <v>0</v>
      </c>
    </row>
    <row r="33" spans="1:59" ht="18.75" customHeight="1" x14ac:dyDescent="0.25">
      <c r="A33" s="331">
        <f ca="1">OFFSET('BDD PAYSANS'!$B$1,B33,0,1,1)</f>
        <v>0</v>
      </c>
      <c r="B33" s="325">
        <v>22</v>
      </c>
      <c r="C33" s="325" t="str">
        <f t="shared" ca="1" si="2"/>
        <v>0FERMIER&lt;3 mois</v>
      </c>
      <c r="D33" s="325" t="str">
        <f t="shared" ca="1" si="2"/>
        <v>0FERMIER3-6 mois</v>
      </c>
      <c r="E33" s="325" t="str">
        <f t="shared" ca="1" si="2"/>
        <v>0FERMIER6-9 mois</v>
      </c>
      <c r="F33" s="325" t="str">
        <f t="shared" ca="1" si="2"/>
        <v>0FERMIER&gt;9 mois</v>
      </c>
      <c r="G33" s="325" t="str">
        <f t="shared" ca="1" si="2"/>
        <v>0ESTIVE&lt;3 mois</v>
      </c>
      <c r="H33" s="325" t="str">
        <f t="shared" ca="1" si="2"/>
        <v>0ESTIVE3-6 mois</v>
      </c>
      <c r="I33" s="325" t="str">
        <f t="shared" ca="1" si="2"/>
        <v>0ESTIVE6-9 mois</v>
      </c>
      <c r="J33" s="325" t="str">
        <f t="shared" ca="1" si="2"/>
        <v>0ESTIVE&gt;9 mois</v>
      </c>
      <c r="K33" s="325"/>
      <c r="L33" s="352">
        <f ca="1">SUMIFS(es_poids,es_prod_type_affinage,'SUIVI STOCKS PAR PAYSAN'!$C33,es_date_entree,"&gt;"&amp;date_inventaire)-SUMIFS(v_Poids,v_conc_prod_tye_affinage,'SUIVI STOCKS PAR PAYSAN'!$C33,v_Date_commande,"&gt;"&amp;date_inventaire)</f>
        <v>0</v>
      </c>
      <c r="M33" s="341">
        <f ca="1">SUMIFS(bddres_c_qte,bddres_c_prod_type_aff,'SUIVI STOCKS PAR PAYSAN'!C33,'BDD RESERVATIONS'!$B:$B,"&gt;"&amp;date_inventaire)</f>
        <v>0</v>
      </c>
      <c r="N33" s="342">
        <f ca="1">SUMIFS(bddres_pieces,es_prod_type_affinage,'SUIVI STOCKS PAR PAYSAN'!$C33,es_date_entree,"&gt;"&amp;date_inventaire,es_taille,'SUIVI STOCKS PAR PAYSAN'!$N$7)-SUMIFS(v_Pièces,v_Taille,'SUIVI STOCKS PAR PAYSAN'!$N$7,v_conc_prod_tye_affinage,'SUIVI STOCKS PAR PAYSAN'!$C33,v_Date_commande,"&gt;"&amp;date_inventaire)</f>
        <v>0</v>
      </c>
      <c r="O33" s="342">
        <f ca="1">SUMIFS(bddres_pieces,'BDD RESERVATIONS'!$G:$G,'SUIVI STOCKS PAR PAYSAN'!$N$7,bddres_c_prod_type_aff,'SUIVI STOCKS PAR PAYSAN'!$C33,'BDD RESERVATIONS'!$B:$B,"&gt;"&amp;date_inventaire)</f>
        <v>0</v>
      </c>
      <c r="P33" s="343">
        <f ca="1">SUMIFS(es_pieces,es_prod_type_affinage,'SUIVI STOCKS PAR PAYSAN'!$C33,es_date_entree,"&gt;"&amp;date_inventaire,es_taille,'SUIVI STOCKS PAR PAYSAN'!$P$7)-SUMIFS(v_Pièces,v_Taille,'SUIVI STOCKS PAR PAYSAN'!$P$7,v_conc_prod_tye_affinage,'SUIVI STOCKS PAR PAYSAN'!$C33,v_Date_commande,"&gt;"&amp;date_inventaire)</f>
        <v>0</v>
      </c>
      <c r="Q33" s="353">
        <f ca="1">SUMIFS(bddres_pieces,'BDD RESERVATIONS'!$G:$G,'SUIVI STOCKS PAR PAYSAN'!$P$7,bddres_c_prod_type_aff,'SUIVI STOCKS PAR PAYSAN'!$C33,'BDD RESERVATIONS'!$B:$B,"&gt;"&amp;date_inventaire)</f>
        <v>0</v>
      </c>
      <c r="R33" s="340">
        <f ca="1">SUMIFS(es_poids,es_prod_type_affinage,'SUIVI STOCKS PAR PAYSAN'!$D33,es_date_entree,"&gt;"&amp;date_inventaire)-SUMIFS(v_Poids,v_conc_prod_tye_affinage,'SUIVI STOCKS PAR PAYSAN'!$D33,v_Date_commande,"&gt;"&amp;date_inventaire)</f>
        <v>0</v>
      </c>
      <c r="S33" s="341">
        <f ca="1">SUMIFS(bddres_c_qte,bddres_c_prod_type_aff,'SUIVI STOCKS PAR PAYSAN'!D33,'BDD RESERVATIONS'!$B:$B,"&gt;"&amp;date_inventaire)</f>
        <v>0</v>
      </c>
      <c r="T33" s="342">
        <f ca="1">SUMIFS(bddres_pieces,es_prod_type_affinage,'SUIVI STOCKS PAR PAYSAN'!$D33,es_date_entree,"&gt;"&amp;date_inventaire,es_taille,'SUIVI STOCKS PAR PAYSAN'!$T$7)-SUMIFS(v_Pièces,v_Taille,'SUIVI STOCKS PAR PAYSAN'!$T$7,v_conc_prod_tye_affinage,'SUIVI STOCKS PAR PAYSAN'!$D33,v_Date_commande,"&gt;"&amp;date_inventaire)</f>
        <v>0</v>
      </c>
      <c r="U33" s="342">
        <f ca="1">SUMIFS(bddres_pieces,'BDD RESERVATIONS'!$G:$G,'SUIVI STOCKS PAR PAYSAN'!$T$7,bddres_c_prod_type_aff,'SUIVI STOCKS PAR PAYSAN'!$D33,'BDD RESERVATIONS'!$B:$B,"&gt;"&amp;date_inventaire)</f>
        <v>0</v>
      </c>
      <c r="V33" s="343">
        <f ca="1">SUMIFS(es_pieces,es_prod_type_affinage,'SUIVI STOCKS PAR PAYSAN'!$D33,es_date_entree,"&gt;"&amp;date_inventaire,es_taille,'SUIVI STOCKS PAR PAYSAN'!$V$7)-SUMIFS(v_Pièces,v_Taille,'SUIVI STOCKS PAR PAYSAN'!$V$7,v_conc_prod_tye_affinage,'SUIVI STOCKS PAR PAYSAN'!$D33,v_Date_commande,"&gt;"&amp;date_inventaire)</f>
        <v>0</v>
      </c>
      <c r="W33" s="353">
        <f ca="1">SUMIFS(bddres_pieces,'BDD RESERVATIONS'!$G:$G,'SUIVI STOCKS PAR PAYSAN'!$V$7,bddres_c_prod_type_aff,'SUIVI STOCKS PAR PAYSAN'!$D33,'BDD RESERVATIONS'!$B:$B,"&gt;"&amp;date_inventaire)</f>
        <v>0</v>
      </c>
      <c r="X33" s="313">
        <f ca="1">SUMIFS(es_poids,es_prod_type_affinage,'SUIVI STOCKS PAR PAYSAN'!$E33,es_date_entree,"&gt;"&amp;date_inventaire)-SUMIFS(v_Poids,v_conc_prod_tye_affinage,'SUIVI STOCKS PAR PAYSAN'!$E33,v_Date_commande,"&gt;"&amp;date_inventaire)</f>
        <v>0</v>
      </c>
      <c r="Y33" s="341">
        <f ca="1">SUMIFS(bddres_c_qte,bddres_c_prod_type_aff,'SUIVI STOCKS PAR PAYSAN'!E33,'BDD RESERVATIONS'!$B:$B,"&gt;"&amp;date_inventaire)</f>
        <v>0</v>
      </c>
      <c r="Z33" s="342">
        <f ca="1">SUMIFS(bddres_pieces,es_prod_type_affinage,'SUIVI STOCKS PAR PAYSAN'!$E33,es_date_entree,"&gt;"&amp;date_inventaire,es_taille,'SUIVI STOCKS PAR PAYSAN'!$Z$7)-SUMIFS(v_Pièces,v_Taille,'SUIVI STOCKS PAR PAYSAN'!$Z$7,v_conc_prod_tye_affinage,'SUIVI STOCKS PAR PAYSAN'!$E33,v_Date_commande,"&gt;"&amp;date_inventaire)</f>
        <v>0</v>
      </c>
      <c r="AA33" s="342">
        <f ca="1">SUMIFS(bddres_pieces,'BDD RESERVATIONS'!$G:$G,'SUIVI STOCKS PAR PAYSAN'!$Z$7,bddres_c_prod_type_aff,'SUIVI STOCKS PAR PAYSAN'!$E33,'BDD RESERVATIONS'!$B:$B,"&gt;"&amp;date_inventaire)</f>
        <v>0</v>
      </c>
      <c r="AB33" s="343">
        <f ca="1">SUMIFS(es_pieces,es_prod_type_affinage,'SUIVI STOCKS PAR PAYSAN'!$E33,es_date_entree,"&gt;"&amp;date_inventaire,es_taille,'SUIVI STOCKS PAR PAYSAN'!$AB$7)-SUMIFS(v_Pièces,v_Taille,'SUIVI STOCKS PAR PAYSAN'!$AB$7,v_conc_prod_tye_affinage,'SUIVI STOCKS PAR PAYSAN'!$E33,v_Date_commande,"&gt;"&amp;date_inventaire)</f>
        <v>0</v>
      </c>
      <c r="AC33" s="353">
        <f ca="1">SUMIFS(bddres_pieces,'BDD RESERVATIONS'!$G:$G,'SUIVI STOCKS PAR PAYSAN'!$AB$7,bddres_c_prod_type_aff,'SUIVI STOCKS PAR PAYSAN'!$E33,'BDD RESERVATIONS'!$B:$B,"&gt;"&amp;date_inventaire)</f>
        <v>0</v>
      </c>
      <c r="AD33" s="313">
        <f ca="1">SUMIFS(es_poids,es_prod_type_affinage,'SUIVI STOCKS PAR PAYSAN'!$F33,es_date_entree,"&gt;"&amp;date_inventaire)-SUMIFS(v_Poids,v_conc_prod_tye_affinage,'SUIVI STOCKS PAR PAYSAN'!$F33,v_Date_commande,"&gt;"&amp;date_inventaire)</f>
        <v>0</v>
      </c>
      <c r="AE33" s="341">
        <f ca="1">SUMIFS(bddres_c_qte,bddres_c_prod_type_aff,'SUIVI STOCKS PAR PAYSAN'!F33,'BDD RESERVATIONS'!$B:$B,"&gt;"&amp;date_inventaire)</f>
        <v>0</v>
      </c>
      <c r="AF33" s="342">
        <f ca="1">SUMIFS(bddres_pieces,es_prod_type_affinage,'SUIVI STOCKS PAR PAYSAN'!$F33,es_date_entree,"&gt;"&amp;date_inventaire,es_taille,'SUIVI STOCKS PAR PAYSAN'!$Z$7)-SUMIFS(v_Pièces,v_Taille,'SUIVI STOCKS PAR PAYSAN'!$Z$7,v_conc_prod_tye_affinage,'SUIVI STOCKS PAR PAYSAN'!$F33,v_Date_commande,"&gt;"&amp;date_inventaire)</f>
        <v>0</v>
      </c>
      <c r="AG33" s="342">
        <f ca="1">SUMIFS(bddres_pieces,'BDD RESERVATIONS'!$G:$G,'SUIVI STOCKS PAR PAYSAN'!$Z$7,bddres_c_prod_type_aff,'SUIVI STOCKS PAR PAYSAN'!$F33,'BDD RESERVATIONS'!$B:$B,"&gt;"&amp;date_inventaire)</f>
        <v>0</v>
      </c>
      <c r="AH33" s="343">
        <f ca="1">SUMIFS(es_pieces,es_prod_type_affinage,'SUIVI STOCKS PAR PAYSAN'!$F33,es_date_entree,"&gt;"&amp;date_inventaire,es_taille,'SUIVI STOCKS PAR PAYSAN'!$AH$7)-SUMIFS(v_Pièces,v_Taille,'SUIVI STOCKS PAR PAYSAN'!$AH$7,v_conc_prod_tye_affinage,'SUIVI STOCKS PAR PAYSAN'!$F33,v_Date_commande,"&gt;"&amp;date_inventaire)</f>
        <v>0</v>
      </c>
      <c r="AI33" s="353">
        <f ca="1">SUMIFS(bddres_pieces,'BDD RESERVATIONS'!$G:$G,'SUIVI STOCKS PAR PAYSAN'!$AB$7,bddres_c_prod_type_aff,'SUIVI STOCKS PAR PAYSAN'!$F33,'BDD RESERVATIONS'!$B:$B,"&gt;"&amp;date_inventaire)</f>
        <v>0</v>
      </c>
      <c r="AJ33" s="352">
        <f ca="1">SUMIFS(es_poids,es_prod_type_affinage,'SUIVI STOCKS PAR PAYSAN'!$G33,es_date_entree,"&gt;"&amp;date_inventaire)-SUMIFS(v_Poids,v_conc_prod_tye_affinage,'SUIVI STOCKS PAR PAYSAN'!$G33,v_Date_commande,"&gt;"&amp;date_inventaire)</f>
        <v>0</v>
      </c>
      <c r="AK33" s="341">
        <f ca="1">SUMIFS(bddres_c_qte,bddres_c_prod_type_aff,'SUIVI STOCKS PAR PAYSAN'!G33,'BDD RESERVATIONS'!$B:$B,"&gt;"&amp;date_inventaire)</f>
        <v>0</v>
      </c>
      <c r="AL33" s="342">
        <f ca="1">SUMIFS(bddres_pieces,es_prod_type_affinage,'SUIVI STOCKS PAR PAYSAN'!$G33,es_date_entree,"&gt;"&amp;date_inventaire,es_taille,'SUIVI STOCKS PAR PAYSAN'!$AL$7)-SUMIFS(v_Pièces,v_Taille,'SUIVI STOCKS PAR PAYSAN'!$AL$7,v_conc_prod_tye_affinage,'SUIVI STOCKS PAR PAYSAN'!$G33,v_Date_commande,"&gt;"&amp;date_inventaire)</f>
        <v>0</v>
      </c>
      <c r="AM33" s="342">
        <f ca="1">SUMIFS(bddres_pieces,'BDD RESERVATIONS'!$G:$G,'SUIVI STOCKS PAR PAYSAN'!$AL$7,bddres_c_prod_type_aff,'SUIVI STOCKS PAR PAYSAN'!$G33,'BDD RESERVATIONS'!$B:$B,"&gt;"&amp;date_inventaire)</f>
        <v>0</v>
      </c>
      <c r="AN33" s="343">
        <f ca="1">SUMIFS(es_pieces,es_prod_type_affinage,'SUIVI STOCKS PAR PAYSAN'!$G33,es_date_entree,"&gt;"&amp;date_inventaire,es_taille,'SUIVI STOCKS PAR PAYSAN'!$AN$7)-SUMIFS(v_Pièces,v_Taille,'SUIVI STOCKS PAR PAYSAN'!$AN$7,v_conc_prod_tye_affinage,'SUIVI STOCKS PAR PAYSAN'!$G33,v_Date_commande,"&gt;"&amp;date_inventaire)</f>
        <v>0</v>
      </c>
      <c r="AO33" s="353">
        <f ca="1">SUMIFS(bddres_pieces,'BDD RESERVATIONS'!$G:$G,'SUIVI STOCKS PAR PAYSAN'!$AN$7,bddres_c_prod_type_aff,'SUIVI STOCKS PAR PAYSAN'!$G33,'BDD RESERVATIONS'!$B:$B,"&gt;"&amp;date_inventaire)</f>
        <v>0</v>
      </c>
      <c r="AP33" s="313">
        <f ca="1">SUMIFS(es_poids,es_prod_type_affinage,'SUIVI STOCKS PAR PAYSAN'!$H33,es_date_entree,"&gt;"&amp;date_inventaire)-SUMIFS(v_Poids,v_conc_prod_tye_affinage,'SUIVI STOCKS PAR PAYSAN'!$H33,v_Date_commande,"&gt;"&amp;date_inventaire)</f>
        <v>0</v>
      </c>
      <c r="AQ33" s="341">
        <f ca="1">SUMIFS(bddres_c_qte,bddres_c_prod_type_aff,'SUIVI STOCKS PAR PAYSAN'!H33,'BDD RESERVATIONS'!$B:$B,"&gt;"&amp;date_inventaire)</f>
        <v>0</v>
      </c>
      <c r="AR33" s="342">
        <f ca="1">SUMIFS(bddres_pieces,es_prod_type_affinage,'SUIVI STOCKS PAR PAYSAN'!$H33,es_date_entree,"&gt;"&amp;date_inventaire,es_taille,'SUIVI STOCKS PAR PAYSAN'!$AR$7)-SUMIFS(v_Pièces,v_Taille,'SUIVI STOCKS PAR PAYSAN'!$AR$7,v_conc_prod_tye_affinage,'SUIVI STOCKS PAR PAYSAN'!$H33,v_Date_commande,"&gt;"&amp;date_inventaire)</f>
        <v>0</v>
      </c>
      <c r="AS33" s="326">
        <f ca="1">SUMIFS(bddres_pieces,'BDD RESERVATIONS'!$G:$G,'SUIVI STOCKS PAR PAYSAN'!AR28,bddres_c_prod_type_aff,'SUIVI STOCKS PAR PAYSAN'!$H33,'BDD RESERVATIONS'!$B:$B,"&gt;"&amp;date_inventaire)</f>
        <v>0</v>
      </c>
      <c r="AT33" s="343">
        <f ca="1">SUMIFS(es_pieces,es_prod_type_affinage,'SUIVI STOCKS PAR PAYSAN'!$H33,es_date_entree,"&gt;"&amp;date_inventaire,es_taille,'SUIVI STOCKS PAR PAYSAN'!$AT$7)-SUMIFS(v_Pièces,v_Taille,'SUIVI STOCKS PAR PAYSAN'!$AT$7,v_conc_prod_tye_affinage,'SUIVI STOCKS PAR PAYSAN'!$H33,v_Date_commande,"&gt;"&amp;date_inventaire)</f>
        <v>0</v>
      </c>
      <c r="AU33" s="353">
        <f ca="1">SUMIFS(bddres_pieces,'BDD RESERVATIONS'!$G:$G,'SUIVI STOCKS PAR PAYSAN'!$AT$7,bddres_c_prod_type_aff,'SUIVI STOCKS PAR PAYSAN'!$H33,'BDD RESERVATIONS'!$B:$B,"&gt;"&amp;date_inventaire)</f>
        <v>0</v>
      </c>
      <c r="AV33" s="313">
        <f ca="1">SUMIFS(es_poids,es_prod_type_affinage,'SUIVI STOCKS PAR PAYSAN'!$I33,es_date_entree,"&gt;"&amp;date_inventaire)-SUMIFS(v_Poids,v_conc_prod_tye_affinage,'SUIVI STOCKS PAR PAYSAN'!$E33,v_Date_commande,"&gt;"&amp;date_inventaire)</f>
        <v>0</v>
      </c>
      <c r="AW33" s="313">
        <f ca="1">SUMIFS(bddres_c_qte,bddres_c_prod_type_aff,'SUIVI STOCKS PAR PAYSAN'!I33,'BDD RESERVATIONS'!$B:$B,"&gt;"&amp;date_inventaire)</f>
        <v>0</v>
      </c>
      <c r="AX33" s="342">
        <f ca="1">SUMIFS(bddres_pieces,es_prod_type_affinage,'SUIVI STOCKS PAR PAYSAN'!$I33,es_date_entree,"&gt;"&amp;date_inventaire,es_taille,'SUIVI STOCKS PAR PAYSAN'!$AX$7)-SUMIFS(v_Pièces,v_Taille,'SUIVI STOCKS PAR PAYSAN'!$AX$7,v_conc_prod_tye_affinage,'SUIVI STOCKS PAR PAYSAN'!$I33,v_Date_commande,"&gt;"&amp;date_inventaire)</f>
        <v>0</v>
      </c>
      <c r="AY33" s="342">
        <f ca="1">SUMIFS(bddres_pieces,'BDD RESERVATIONS'!$G:$G,'SUIVI STOCKS PAR PAYSAN'!$AX$7,bddres_c_prod_type_aff,'SUIVI STOCKS PAR PAYSAN'!$I33,'BDD RESERVATIONS'!$B:$B,"&gt;"&amp;date_inventaire)</f>
        <v>0</v>
      </c>
      <c r="AZ33" s="343">
        <f ca="1">SUMIFS(es_pieces,es_prod_type_affinage,'SUIVI STOCKS PAR PAYSAN'!$I33,es_date_entree,"&gt;"&amp;date_inventaire,es_taille,'SUIVI STOCKS PAR PAYSAN'!$AZ$7)-SUMIFS(v_Pièces,v_Taille,'SUIVI STOCKS PAR PAYSAN'!$AZ$7,v_conc_prod_tye_affinage,'SUIVI STOCKS PAR PAYSAN'!$I33,v_Date_commande,"&gt;"&amp;date_inventaire)</f>
        <v>0</v>
      </c>
      <c r="BA33" s="353">
        <f ca="1">SUMIFS(bddres_pieces,'BDD RESERVATIONS'!$G:$G,'SUIVI STOCKS PAR PAYSAN'!$AZ$7,bddres_c_prod_type_aff,'SUIVI STOCKS PAR PAYSAN'!$I33,'BDD RESERVATIONS'!$B:$B,"&gt;"&amp;date_inventaire)</f>
        <v>0</v>
      </c>
      <c r="BB33" s="313">
        <f ca="1">SUMIFS(es_poids,es_prod_type_affinage,'SUIVI STOCKS PAR PAYSAN'!$J33,es_date_entree,"&gt;"&amp;date_inventaire)-SUMIFS(v_Poids,v_conc_prod_tye_affinage,'SUIVI STOCKS PAR PAYSAN'!$J33,v_Date_commande,"&gt;"&amp;date_inventaire)</f>
        <v>0</v>
      </c>
      <c r="BC33" s="313">
        <f ca="1">SUMIFS(bddres_c_qte,bddres_c_prod_type_aff,'SUIVI STOCKS PAR PAYSAN'!J33,'BDD RESERVATIONS'!$B:$B,"&gt;"&amp;date_inventaire)</f>
        <v>0</v>
      </c>
      <c r="BD33" s="342">
        <f ca="1">SUMIFS(bddres_pieces,es_prod_type_affinage,'SUIVI STOCKS PAR PAYSAN'!$J33,es_date_entree,"&gt;"&amp;date_inventaire,es_taille,'SUIVI STOCKS PAR PAYSAN'!$BD$7)-SUMIFS(v_Pièces,v_Taille,'SUIVI STOCKS PAR PAYSAN'!$BD$7,v_conc_prod_tye_affinage,'SUIVI STOCKS PAR PAYSAN'!$J33,v_Date_commande,"&gt;"&amp;date_inventaire)</f>
        <v>0</v>
      </c>
      <c r="BE33" s="326">
        <f ca="1">SUMIFS(bddres_pieces,'BDD RESERVATIONS'!$G:$G,'SUIVI STOCKS PAR PAYSAN'!BD28,bddres_c_prod_type_aff,'SUIVI STOCKS PAR PAYSAN'!J33,'BDD RESERVATIONS'!$B:$B,"&gt;"&amp;date_inventaire)</f>
        <v>0</v>
      </c>
      <c r="BF33" s="343">
        <f ca="1">SUMIFS(es_pieces,es_prod_type_affinage,'SUIVI STOCKS PAR PAYSAN'!J33,es_date_entree,"&gt;"&amp;date_inventaire,es_taille,'SUIVI STOCKS PAR PAYSAN'!$BF$7)-SUMIFS(v_Pièces,v_Taille,'SUIVI STOCKS PAR PAYSAN'!$BF$7,v_conc_prod_tye_affinage,'SUIVI STOCKS PAR PAYSAN'!J33,v_Date_commande,"&gt;"&amp;date_inventaire)</f>
        <v>0</v>
      </c>
      <c r="BG33" s="353">
        <f ca="1">SUMIFS(bddres_pieces,'BDD RESERVATIONS'!$G:$G,'SUIVI STOCKS PAR PAYSAN'!$BF$7,bddres_c_prod_type_aff,'SUIVI STOCKS PAR PAYSAN'!J33,'BDD RESERVATIONS'!$B:$B,"&gt;"&amp;date_inventaire)</f>
        <v>0</v>
      </c>
    </row>
    <row r="34" spans="1:59" ht="18.75" customHeight="1" x14ac:dyDescent="0.25">
      <c r="A34" s="331">
        <f ca="1">OFFSET('BDD PAYSANS'!$B$1,B34,0,1,1)</f>
        <v>0</v>
      </c>
      <c r="B34" s="325">
        <v>23</v>
      </c>
      <c r="C34" s="325" t="str">
        <f t="shared" ca="1" si="2"/>
        <v>0FERMIER&lt;3 mois</v>
      </c>
      <c r="D34" s="325" t="str">
        <f t="shared" ca="1" si="2"/>
        <v>0FERMIER3-6 mois</v>
      </c>
      <c r="E34" s="325" t="str">
        <f t="shared" ca="1" si="2"/>
        <v>0FERMIER6-9 mois</v>
      </c>
      <c r="F34" s="325" t="str">
        <f t="shared" ca="1" si="2"/>
        <v>0FERMIER&gt;9 mois</v>
      </c>
      <c r="G34" s="325" t="str">
        <f t="shared" ca="1" si="2"/>
        <v>0ESTIVE&lt;3 mois</v>
      </c>
      <c r="H34" s="325" t="str">
        <f t="shared" ca="1" si="2"/>
        <v>0ESTIVE3-6 mois</v>
      </c>
      <c r="I34" s="325" t="str">
        <f t="shared" ca="1" si="2"/>
        <v>0ESTIVE6-9 mois</v>
      </c>
      <c r="J34" s="325" t="str">
        <f t="shared" ca="1" si="2"/>
        <v>0ESTIVE&gt;9 mois</v>
      </c>
      <c r="K34" s="325"/>
      <c r="L34" s="352">
        <f ca="1">SUMIFS(es_poids,es_prod_type_affinage,'SUIVI STOCKS PAR PAYSAN'!$C34,es_date_entree,"&gt;"&amp;date_inventaire)-SUMIFS(v_Poids,v_conc_prod_tye_affinage,'SUIVI STOCKS PAR PAYSAN'!$C34,v_Date_commande,"&gt;"&amp;date_inventaire)</f>
        <v>0</v>
      </c>
      <c r="M34" s="341">
        <f ca="1">SUMIFS(bddres_c_qte,bddres_c_prod_type_aff,'SUIVI STOCKS PAR PAYSAN'!C34,'BDD RESERVATIONS'!$B:$B,"&gt;"&amp;date_inventaire)</f>
        <v>0</v>
      </c>
      <c r="N34" s="342">
        <f ca="1">SUMIFS(bddres_pieces,es_prod_type_affinage,'SUIVI STOCKS PAR PAYSAN'!$C34,es_date_entree,"&gt;"&amp;date_inventaire,es_taille,'SUIVI STOCKS PAR PAYSAN'!$N$7)-SUMIFS(v_Pièces,v_Taille,'SUIVI STOCKS PAR PAYSAN'!$N$7,v_conc_prod_tye_affinage,'SUIVI STOCKS PAR PAYSAN'!$C34,v_Date_commande,"&gt;"&amp;date_inventaire)</f>
        <v>0</v>
      </c>
      <c r="O34" s="342">
        <f ca="1">SUMIFS(bddres_pieces,'BDD RESERVATIONS'!$G:$G,'SUIVI STOCKS PAR PAYSAN'!$N$7,bddres_c_prod_type_aff,'SUIVI STOCKS PAR PAYSAN'!$C34,'BDD RESERVATIONS'!$B:$B,"&gt;"&amp;date_inventaire)</f>
        <v>0</v>
      </c>
      <c r="P34" s="343">
        <f ca="1">SUMIFS(es_pieces,es_prod_type_affinage,'SUIVI STOCKS PAR PAYSAN'!$C34,es_date_entree,"&gt;"&amp;date_inventaire,es_taille,'SUIVI STOCKS PAR PAYSAN'!$P$7)-SUMIFS(v_Pièces,v_Taille,'SUIVI STOCKS PAR PAYSAN'!$P$7,v_conc_prod_tye_affinage,'SUIVI STOCKS PAR PAYSAN'!$C34,v_Date_commande,"&gt;"&amp;date_inventaire)</f>
        <v>0</v>
      </c>
      <c r="Q34" s="353">
        <f ca="1">SUMIFS(bddres_pieces,'BDD RESERVATIONS'!$G:$G,'SUIVI STOCKS PAR PAYSAN'!$P$7,bddres_c_prod_type_aff,'SUIVI STOCKS PAR PAYSAN'!$C34,'BDD RESERVATIONS'!$B:$B,"&gt;"&amp;date_inventaire)</f>
        <v>0</v>
      </c>
      <c r="R34" s="340">
        <f ca="1">SUMIFS(es_poids,es_prod_type_affinage,'SUIVI STOCKS PAR PAYSAN'!$D34,es_date_entree,"&gt;"&amp;date_inventaire)-SUMIFS(v_Poids,v_conc_prod_tye_affinage,'SUIVI STOCKS PAR PAYSAN'!$D34,v_Date_commande,"&gt;"&amp;date_inventaire)</f>
        <v>0</v>
      </c>
      <c r="S34" s="341">
        <f ca="1">SUMIFS(bddres_c_qte,bddres_c_prod_type_aff,'SUIVI STOCKS PAR PAYSAN'!D34,'BDD RESERVATIONS'!$B:$B,"&gt;"&amp;date_inventaire)</f>
        <v>0</v>
      </c>
      <c r="T34" s="342">
        <f ca="1">SUMIFS(bddres_pieces,es_prod_type_affinage,'SUIVI STOCKS PAR PAYSAN'!$D34,es_date_entree,"&gt;"&amp;date_inventaire,es_taille,'SUIVI STOCKS PAR PAYSAN'!$T$7)-SUMIFS(v_Pièces,v_Taille,'SUIVI STOCKS PAR PAYSAN'!$T$7,v_conc_prod_tye_affinage,'SUIVI STOCKS PAR PAYSAN'!$D34,v_Date_commande,"&gt;"&amp;date_inventaire)</f>
        <v>0</v>
      </c>
      <c r="U34" s="342">
        <f ca="1">SUMIFS(bddres_pieces,'BDD RESERVATIONS'!$G:$G,'SUIVI STOCKS PAR PAYSAN'!$T$7,bddres_c_prod_type_aff,'SUIVI STOCKS PAR PAYSAN'!$D34,'BDD RESERVATIONS'!$B:$B,"&gt;"&amp;date_inventaire)</f>
        <v>0</v>
      </c>
      <c r="V34" s="343">
        <f ca="1">SUMIFS(es_pieces,es_prod_type_affinage,'SUIVI STOCKS PAR PAYSAN'!$D34,es_date_entree,"&gt;"&amp;date_inventaire,es_taille,'SUIVI STOCKS PAR PAYSAN'!$V$7)-SUMIFS(v_Pièces,v_Taille,'SUIVI STOCKS PAR PAYSAN'!$V$7,v_conc_prod_tye_affinage,'SUIVI STOCKS PAR PAYSAN'!$D34,v_Date_commande,"&gt;"&amp;date_inventaire)</f>
        <v>0</v>
      </c>
      <c r="W34" s="353">
        <f ca="1">SUMIFS(bddres_pieces,'BDD RESERVATIONS'!$G:$G,'SUIVI STOCKS PAR PAYSAN'!$V$7,bddres_c_prod_type_aff,'SUIVI STOCKS PAR PAYSAN'!$D34,'BDD RESERVATIONS'!$B:$B,"&gt;"&amp;date_inventaire)</f>
        <v>0</v>
      </c>
      <c r="X34" s="313">
        <f ca="1">SUMIFS(es_poids,es_prod_type_affinage,'SUIVI STOCKS PAR PAYSAN'!$E34,es_date_entree,"&gt;"&amp;date_inventaire)-SUMIFS(v_Poids,v_conc_prod_tye_affinage,'SUIVI STOCKS PAR PAYSAN'!$E34,v_Date_commande,"&gt;"&amp;date_inventaire)</f>
        <v>0</v>
      </c>
      <c r="Y34" s="341">
        <f ca="1">SUMIFS(bddres_c_qte,bddres_c_prod_type_aff,'SUIVI STOCKS PAR PAYSAN'!E34,'BDD RESERVATIONS'!$B:$B,"&gt;"&amp;date_inventaire)</f>
        <v>0</v>
      </c>
      <c r="Z34" s="342">
        <f ca="1">SUMIFS(bddres_pieces,es_prod_type_affinage,'SUIVI STOCKS PAR PAYSAN'!$E34,es_date_entree,"&gt;"&amp;date_inventaire,es_taille,'SUIVI STOCKS PAR PAYSAN'!$Z$7)-SUMIFS(v_Pièces,v_Taille,'SUIVI STOCKS PAR PAYSAN'!$Z$7,v_conc_prod_tye_affinage,'SUIVI STOCKS PAR PAYSAN'!$E34,v_Date_commande,"&gt;"&amp;date_inventaire)</f>
        <v>0</v>
      </c>
      <c r="AA34" s="342">
        <f ca="1">SUMIFS(bddres_pieces,'BDD RESERVATIONS'!$G:$G,'SUIVI STOCKS PAR PAYSAN'!$Z$7,bddres_c_prod_type_aff,'SUIVI STOCKS PAR PAYSAN'!$E34,'BDD RESERVATIONS'!$B:$B,"&gt;"&amp;date_inventaire)</f>
        <v>0</v>
      </c>
      <c r="AB34" s="343">
        <f ca="1">SUMIFS(es_pieces,es_prod_type_affinage,'SUIVI STOCKS PAR PAYSAN'!$E34,es_date_entree,"&gt;"&amp;date_inventaire,es_taille,'SUIVI STOCKS PAR PAYSAN'!$AB$7)-SUMIFS(v_Pièces,v_Taille,'SUIVI STOCKS PAR PAYSAN'!$AB$7,v_conc_prod_tye_affinage,'SUIVI STOCKS PAR PAYSAN'!$E34,v_Date_commande,"&gt;"&amp;date_inventaire)</f>
        <v>0</v>
      </c>
      <c r="AC34" s="353">
        <f ca="1">SUMIFS(bddres_pieces,'BDD RESERVATIONS'!$G:$G,'SUIVI STOCKS PAR PAYSAN'!$AB$7,bddres_c_prod_type_aff,'SUIVI STOCKS PAR PAYSAN'!$E34,'BDD RESERVATIONS'!$B:$B,"&gt;"&amp;date_inventaire)</f>
        <v>0</v>
      </c>
      <c r="AD34" s="313">
        <f ca="1">SUMIFS(es_poids,es_prod_type_affinage,'SUIVI STOCKS PAR PAYSAN'!$F34,es_date_entree,"&gt;"&amp;date_inventaire)-SUMIFS(v_Poids,v_conc_prod_tye_affinage,'SUIVI STOCKS PAR PAYSAN'!$F34,v_Date_commande,"&gt;"&amp;date_inventaire)</f>
        <v>0</v>
      </c>
      <c r="AE34" s="341">
        <f ca="1">SUMIFS(bddres_c_qte,bddres_c_prod_type_aff,'SUIVI STOCKS PAR PAYSAN'!F34,'BDD RESERVATIONS'!$B:$B,"&gt;"&amp;date_inventaire)</f>
        <v>0</v>
      </c>
      <c r="AF34" s="342">
        <f ca="1">SUMIFS(bddres_pieces,es_prod_type_affinage,'SUIVI STOCKS PAR PAYSAN'!$F34,es_date_entree,"&gt;"&amp;date_inventaire,es_taille,'SUIVI STOCKS PAR PAYSAN'!$Z$7)-SUMIFS(v_Pièces,v_Taille,'SUIVI STOCKS PAR PAYSAN'!$Z$7,v_conc_prod_tye_affinage,'SUIVI STOCKS PAR PAYSAN'!$F34,v_Date_commande,"&gt;"&amp;date_inventaire)</f>
        <v>0</v>
      </c>
      <c r="AG34" s="342">
        <f ca="1">SUMIFS(bddres_pieces,'BDD RESERVATIONS'!$G:$G,'SUIVI STOCKS PAR PAYSAN'!$Z$7,bddres_c_prod_type_aff,'SUIVI STOCKS PAR PAYSAN'!$F34,'BDD RESERVATIONS'!$B:$B,"&gt;"&amp;date_inventaire)</f>
        <v>0</v>
      </c>
      <c r="AH34" s="343">
        <f ca="1">SUMIFS(es_pieces,es_prod_type_affinage,'SUIVI STOCKS PAR PAYSAN'!$F34,es_date_entree,"&gt;"&amp;date_inventaire,es_taille,'SUIVI STOCKS PAR PAYSAN'!$AH$7)-SUMIFS(v_Pièces,v_Taille,'SUIVI STOCKS PAR PAYSAN'!$AH$7,v_conc_prod_tye_affinage,'SUIVI STOCKS PAR PAYSAN'!$F34,v_Date_commande,"&gt;"&amp;date_inventaire)</f>
        <v>0</v>
      </c>
      <c r="AI34" s="353">
        <f ca="1">SUMIFS(bddres_pieces,'BDD RESERVATIONS'!$G:$G,'SUIVI STOCKS PAR PAYSAN'!$AB$7,bddres_c_prod_type_aff,'SUIVI STOCKS PAR PAYSAN'!$F34,'BDD RESERVATIONS'!$B:$B,"&gt;"&amp;date_inventaire)</f>
        <v>0</v>
      </c>
      <c r="AJ34" s="352">
        <f ca="1">SUMIFS(es_poids,es_prod_type_affinage,'SUIVI STOCKS PAR PAYSAN'!$G34,es_date_entree,"&gt;"&amp;date_inventaire)-SUMIFS(v_Poids,v_conc_prod_tye_affinage,'SUIVI STOCKS PAR PAYSAN'!$G34,v_Date_commande,"&gt;"&amp;date_inventaire)</f>
        <v>0</v>
      </c>
      <c r="AK34" s="341">
        <f ca="1">SUMIFS(bddres_c_qte,bddres_c_prod_type_aff,'SUIVI STOCKS PAR PAYSAN'!G34,'BDD RESERVATIONS'!$B:$B,"&gt;"&amp;date_inventaire)</f>
        <v>0</v>
      </c>
      <c r="AL34" s="342">
        <f ca="1">SUMIFS(bddres_pieces,es_prod_type_affinage,'SUIVI STOCKS PAR PAYSAN'!$G34,es_date_entree,"&gt;"&amp;date_inventaire,es_taille,'SUIVI STOCKS PAR PAYSAN'!$AL$7)-SUMIFS(v_Pièces,v_Taille,'SUIVI STOCKS PAR PAYSAN'!$AL$7,v_conc_prod_tye_affinage,'SUIVI STOCKS PAR PAYSAN'!$G34,v_Date_commande,"&gt;"&amp;date_inventaire)</f>
        <v>0</v>
      </c>
      <c r="AM34" s="342">
        <f ca="1">SUMIFS(bddres_pieces,'BDD RESERVATIONS'!$G:$G,'SUIVI STOCKS PAR PAYSAN'!$AL$7,bddres_c_prod_type_aff,'SUIVI STOCKS PAR PAYSAN'!$G34,'BDD RESERVATIONS'!$B:$B,"&gt;"&amp;date_inventaire)</f>
        <v>0</v>
      </c>
      <c r="AN34" s="343">
        <f ca="1">SUMIFS(es_pieces,es_prod_type_affinage,'SUIVI STOCKS PAR PAYSAN'!$G34,es_date_entree,"&gt;"&amp;date_inventaire,es_taille,'SUIVI STOCKS PAR PAYSAN'!$AN$7)-SUMIFS(v_Pièces,v_Taille,'SUIVI STOCKS PAR PAYSAN'!$AN$7,v_conc_prod_tye_affinage,'SUIVI STOCKS PAR PAYSAN'!$G34,v_Date_commande,"&gt;"&amp;date_inventaire)</f>
        <v>0</v>
      </c>
      <c r="AO34" s="353">
        <f ca="1">SUMIFS(bddres_pieces,'BDD RESERVATIONS'!$G:$G,'SUIVI STOCKS PAR PAYSAN'!$AN$7,bddres_c_prod_type_aff,'SUIVI STOCKS PAR PAYSAN'!$G34,'BDD RESERVATIONS'!$B:$B,"&gt;"&amp;date_inventaire)</f>
        <v>0</v>
      </c>
      <c r="AP34" s="313">
        <f ca="1">SUMIFS(es_poids,es_prod_type_affinage,'SUIVI STOCKS PAR PAYSAN'!$H34,es_date_entree,"&gt;"&amp;date_inventaire)-SUMIFS(v_Poids,v_conc_prod_tye_affinage,'SUIVI STOCKS PAR PAYSAN'!$H34,v_Date_commande,"&gt;"&amp;date_inventaire)</f>
        <v>0</v>
      </c>
      <c r="AQ34" s="341">
        <f ca="1">SUMIFS(bddres_c_qte,bddres_c_prod_type_aff,'SUIVI STOCKS PAR PAYSAN'!H34,'BDD RESERVATIONS'!$B:$B,"&gt;"&amp;date_inventaire)</f>
        <v>0</v>
      </c>
      <c r="AR34" s="342">
        <f ca="1">SUMIFS(bddres_pieces,es_prod_type_affinage,'SUIVI STOCKS PAR PAYSAN'!$H34,es_date_entree,"&gt;"&amp;date_inventaire,es_taille,'SUIVI STOCKS PAR PAYSAN'!$AR$7)-SUMIFS(v_Pièces,v_Taille,'SUIVI STOCKS PAR PAYSAN'!$AR$7,v_conc_prod_tye_affinage,'SUIVI STOCKS PAR PAYSAN'!$H34,v_Date_commande,"&gt;"&amp;date_inventaire)</f>
        <v>0</v>
      </c>
      <c r="AS34" s="326">
        <f ca="1">SUMIFS(bddres_pieces,'BDD RESERVATIONS'!$G:$G,'SUIVI STOCKS PAR PAYSAN'!AR29,bddres_c_prod_type_aff,'SUIVI STOCKS PAR PAYSAN'!$H34,'BDD RESERVATIONS'!$B:$B,"&gt;"&amp;date_inventaire)</f>
        <v>0</v>
      </c>
      <c r="AT34" s="343">
        <f ca="1">SUMIFS(es_pieces,es_prod_type_affinage,'SUIVI STOCKS PAR PAYSAN'!$H34,es_date_entree,"&gt;"&amp;date_inventaire,es_taille,'SUIVI STOCKS PAR PAYSAN'!$AT$7)-SUMIFS(v_Pièces,v_Taille,'SUIVI STOCKS PAR PAYSAN'!$AT$7,v_conc_prod_tye_affinage,'SUIVI STOCKS PAR PAYSAN'!$H34,v_Date_commande,"&gt;"&amp;date_inventaire)</f>
        <v>0</v>
      </c>
      <c r="AU34" s="353">
        <f ca="1">SUMIFS(bddres_pieces,'BDD RESERVATIONS'!$G:$G,'SUIVI STOCKS PAR PAYSAN'!$AT$7,bddres_c_prod_type_aff,'SUIVI STOCKS PAR PAYSAN'!$H34,'BDD RESERVATIONS'!$B:$B,"&gt;"&amp;date_inventaire)</f>
        <v>0</v>
      </c>
      <c r="AV34" s="313">
        <f ca="1">SUMIFS(es_poids,es_prod_type_affinage,'SUIVI STOCKS PAR PAYSAN'!$I34,es_date_entree,"&gt;"&amp;date_inventaire)-SUMIFS(v_Poids,v_conc_prod_tye_affinage,'SUIVI STOCKS PAR PAYSAN'!$E34,v_Date_commande,"&gt;"&amp;date_inventaire)</f>
        <v>0</v>
      </c>
      <c r="AW34" s="313">
        <f ca="1">SUMIFS(bddres_c_qte,bddres_c_prod_type_aff,'SUIVI STOCKS PAR PAYSAN'!I34,'BDD RESERVATIONS'!$B:$B,"&gt;"&amp;date_inventaire)</f>
        <v>0</v>
      </c>
      <c r="AX34" s="342">
        <f ca="1">SUMIFS(bddres_pieces,es_prod_type_affinage,'SUIVI STOCKS PAR PAYSAN'!$I34,es_date_entree,"&gt;"&amp;date_inventaire,es_taille,'SUIVI STOCKS PAR PAYSAN'!$AX$7)-SUMIFS(v_Pièces,v_Taille,'SUIVI STOCKS PAR PAYSAN'!$AX$7,v_conc_prod_tye_affinage,'SUIVI STOCKS PAR PAYSAN'!$I34,v_Date_commande,"&gt;"&amp;date_inventaire)</f>
        <v>0</v>
      </c>
      <c r="AY34" s="342">
        <f ca="1">SUMIFS(bddres_pieces,'BDD RESERVATIONS'!$G:$G,'SUIVI STOCKS PAR PAYSAN'!$AX$7,bddres_c_prod_type_aff,'SUIVI STOCKS PAR PAYSAN'!$I34,'BDD RESERVATIONS'!$B:$B,"&gt;"&amp;date_inventaire)</f>
        <v>0</v>
      </c>
      <c r="AZ34" s="343">
        <f ca="1">SUMIFS(es_pieces,es_prod_type_affinage,'SUIVI STOCKS PAR PAYSAN'!$I34,es_date_entree,"&gt;"&amp;date_inventaire,es_taille,'SUIVI STOCKS PAR PAYSAN'!$AZ$7)-SUMIFS(v_Pièces,v_Taille,'SUIVI STOCKS PAR PAYSAN'!$AZ$7,v_conc_prod_tye_affinage,'SUIVI STOCKS PAR PAYSAN'!$I34,v_Date_commande,"&gt;"&amp;date_inventaire)</f>
        <v>0</v>
      </c>
      <c r="BA34" s="353">
        <f ca="1">SUMIFS(bddres_pieces,'BDD RESERVATIONS'!$G:$G,'SUIVI STOCKS PAR PAYSAN'!$AZ$7,bddres_c_prod_type_aff,'SUIVI STOCKS PAR PAYSAN'!$I34,'BDD RESERVATIONS'!$B:$B,"&gt;"&amp;date_inventaire)</f>
        <v>0</v>
      </c>
      <c r="BB34" s="313">
        <f ca="1">SUMIFS(es_poids,es_prod_type_affinage,'SUIVI STOCKS PAR PAYSAN'!$J34,es_date_entree,"&gt;"&amp;date_inventaire)-SUMIFS(v_Poids,v_conc_prod_tye_affinage,'SUIVI STOCKS PAR PAYSAN'!$J34,v_Date_commande,"&gt;"&amp;date_inventaire)</f>
        <v>0</v>
      </c>
      <c r="BC34" s="313">
        <f ca="1">SUMIFS(bddres_c_qte,bddres_c_prod_type_aff,'SUIVI STOCKS PAR PAYSAN'!J34,'BDD RESERVATIONS'!$B:$B,"&gt;"&amp;date_inventaire)</f>
        <v>0</v>
      </c>
      <c r="BD34" s="342">
        <f ca="1">SUMIFS(bddres_pieces,es_prod_type_affinage,'SUIVI STOCKS PAR PAYSAN'!$J34,es_date_entree,"&gt;"&amp;date_inventaire,es_taille,'SUIVI STOCKS PAR PAYSAN'!$BD$7)-SUMIFS(v_Pièces,v_Taille,'SUIVI STOCKS PAR PAYSAN'!$BD$7,v_conc_prod_tye_affinage,'SUIVI STOCKS PAR PAYSAN'!$J34,v_Date_commande,"&gt;"&amp;date_inventaire)</f>
        <v>0</v>
      </c>
      <c r="BE34" s="326">
        <f ca="1">SUMIFS(bddres_pieces,'BDD RESERVATIONS'!$G:$G,'SUIVI STOCKS PAR PAYSAN'!BD29,bddres_c_prod_type_aff,'SUIVI STOCKS PAR PAYSAN'!J34,'BDD RESERVATIONS'!$B:$B,"&gt;"&amp;date_inventaire)</f>
        <v>0</v>
      </c>
      <c r="BF34" s="343">
        <f ca="1">SUMIFS(es_pieces,es_prod_type_affinage,'SUIVI STOCKS PAR PAYSAN'!J34,es_date_entree,"&gt;"&amp;date_inventaire,es_taille,'SUIVI STOCKS PAR PAYSAN'!$BF$7)-SUMIFS(v_Pièces,v_Taille,'SUIVI STOCKS PAR PAYSAN'!$BF$7,v_conc_prod_tye_affinage,'SUIVI STOCKS PAR PAYSAN'!J34,v_Date_commande,"&gt;"&amp;date_inventaire)</f>
        <v>0</v>
      </c>
      <c r="BG34" s="353">
        <f ca="1">SUMIFS(bddres_pieces,'BDD RESERVATIONS'!$G:$G,'SUIVI STOCKS PAR PAYSAN'!$BF$7,bddres_c_prod_type_aff,'SUIVI STOCKS PAR PAYSAN'!J34,'BDD RESERVATIONS'!$B:$B,"&gt;"&amp;date_inventaire)</f>
        <v>0</v>
      </c>
    </row>
    <row r="35" spans="1:59" ht="18.75" customHeight="1" x14ac:dyDescent="0.25">
      <c r="A35" s="331">
        <f ca="1">OFFSET('BDD PAYSANS'!$B$1,B35,0,1,1)</f>
        <v>0</v>
      </c>
      <c r="B35" s="325">
        <v>24</v>
      </c>
      <c r="C35" s="325" t="str">
        <f t="shared" ca="1" si="2"/>
        <v>0FERMIER&lt;3 mois</v>
      </c>
      <c r="D35" s="325" t="str">
        <f t="shared" ca="1" si="2"/>
        <v>0FERMIER3-6 mois</v>
      </c>
      <c r="E35" s="325" t="str">
        <f t="shared" ca="1" si="2"/>
        <v>0FERMIER6-9 mois</v>
      </c>
      <c r="F35" s="325" t="str">
        <f t="shared" ca="1" si="2"/>
        <v>0FERMIER&gt;9 mois</v>
      </c>
      <c r="G35" s="325" t="str">
        <f t="shared" ca="1" si="2"/>
        <v>0ESTIVE&lt;3 mois</v>
      </c>
      <c r="H35" s="325" t="str">
        <f t="shared" ca="1" si="2"/>
        <v>0ESTIVE3-6 mois</v>
      </c>
      <c r="I35" s="325" t="str">
        <f t="shared" ca="1" si="2"/>
        <v>0ESTIVE6-9 mois</v>
      </c>
      <c r="J35" s="325" t="str">
        <f t="shared" ca="1" si="2"/>
        <v>0ESTIVE&gt;9 mois</v>
      </c>
      <c r="K35" s="325"/>
      <c r="L35" s="352">
        <f ca="1">SUMIFS(es_poids,es_prod_type_affinage,'SUIVI STOCKS PAR PAYSAN'!$C35,es_date_entree,"&gt;"&amp;date_inventaire)-SUMIFS(v_Poids,v_conc_prod_tye_affinage,'SUIVI STOCKS PAR PAYSAN'!$C35,v_Date_commande,"&gt;"&amp;date_inventaire)</f>
        <v>0</v>
      </c>
      <c r="M35" s="341">
        <f ca="1">SUMIFS(bddres_c_qte,bddres_c_prod_type_aff,'SUIVI STOCKS PAR PAYSAN'!C35,'BDD RESERVATIONS'!$B:$B,"&gt;"&amp;date_inventaire)</f>
        <v>0</v>
      </c>
      <c r="N35" s="342">
        <f ca="1">SUMIFS(bddres_pieces,es_prod_type_affinage,'SUIVI STOCKS PAR PAYSAN'!$C35,es_date_entree,"&gt;"&amp;date_inventaire,es_taille,'SUIVI STOCKS PAR PAYSAN'!$N$7)-SUMIFS(v_Pièces,v_Taille,'SUIVI STOCKS PAR PAYSAN'!$N$7,v_conc_prod_tye_affinage,'SUIVI STOCKS PAR PAYSAN'!$C35,v_Date_commande,"&gt;"&amp;date_inventaire)</f>
        <v>0</v>
      </c>
      <c r="O35" s="342">
        <f ca="1">SUMIFS(bddres_pieces,'BDD RESERVATIONS'!$G:$G,'SUIVI STOCKS PAR PAYSAN'!$N$7,bddres_c_prod_type_aff,'SUIVI STOCKS PAR PAYSAN'!$C35,'BDD RESERVATIONS'!$B:$B,"&gt;"&amp;date_inventaire)</f>
        <v>0</v>
      </c>
      <c r="P35" s="343">
        <f ca="1">SUMIFS(es_pieces,es_prod_type_affinage,'SUIVI STOCKS PAR PAYSAN'!$C35,es_date_entree,"&gt;"&amp;date_inventaire,es_taille,'SUIVI STOCKS PAR PAYSAN'!$P$7)-SUMIFS(v_Pièces,v_Taille,'SUIVI STOCKS PAR PAYSAN'!$P$7,v_conc_prod_tye_affinage,'SUIVI STOCKS PAR PAYSAN'!$C35,v_Date_commande,"&gt;"&amp;date_inventaire)</f>
        <v>0</v>
      </c>
      <c r="Q35" s="353">
        <f ca="1">SUMIFS(bddres_pieces,'BDD RESERVATIONS'!$G:$G,'SUIVI STOCKS PAR PAYSAN'!$P$7,bddres_c_prod_type_aff,'SUIVI STOCKS PAR PAYSAN'!$C35,'BDD RESERVATIONS'!$B:$B,"&gt;"&amp;date_inventaire)</f>
        <v>0</v>
      </c>
      <c r="R35" s="340">
        <f ca="1">SUMIFS(es_poids,es_prod_type_affinage,'SUIVI STOCKS PAR PAYSAN'!$D35,es_date_entree,"&gt;"&amp;date_inventaire)-SUMIFS(v_Poids,v_conc_prod_tye_affinage,'SUIVI STOCKS PAR PAYSAN'!$D35,v_Date_commande,"&gt;"&amp;date_inventaire)</f>
        <v>0</v>
      </c>
      <c r="S35" s="341">
        <f ca="1">SUMIFS(bddres_c_qte,bddres_c_prod_type_aff,'SUIVI STOCKS PAR PAYSAN'!D35,'BDD RESERVATIONS'!$B:$B,"&gt;"&amp;date_inventaire)</f>
        <v>0</v>
      </c>
      <c r="T35" s="342">
        <f ca="1">SUMIFS(bddres_pieces,es_prod_type_affinage,'SUIVI STOCKS PAR PAYSAN'!$D35,es_date_entree,"&gt;"&amp;date_inventaire,es_taille,'SUIVI STOCKS PAR PAYSAN'!$T$7)-SUMIFS(v_Pièces,v_Taille,'SUIVI STOCKS PAR PAYSAN'!$T$7,v_conc_prod_tye_affinage,'SUIVI STOCKS PAR PAYSAN'!$D35,v_Date_commande,"&gt;"&amp;date_inventaire)</f>
        <v>0</v>
      </c>
      <c r="U35" s="342">
        <f ca="1">SUMIFS(bddres_pieces,'BDD RESERVATIONS'!$G:$G,'SUIVI STOCKS PAR PAYSAN'!$T$7,bddres_c_prod_type_aff,'SUIVI STOCKS PAR PAYSAN'!$D35,'BDD RESERVATIONS'!$B:$B,"&gt;"&amp;date_inventaire)</f>
        <v>0</v>
      </c>
      <c r="V35" s="343">
        <f ca="1">SUMIFS(es_pieces,es_prod_type_affinage,'SUIVI STOCKS PAR PAYSAN'!$D35,es_date_entree,"&gt;"&amp;date_inventaire,es_taille,'SUIVI STOCKS PAR PAYSAN'!$V$7)-SUMIFS(v_Pièces,v_Taille,'SUIVI STOCKS PAR PAYSAN'!$V$7,v_conc_prod_tye_affinage,'SUIVI STOCKS PAR PAYSAN'!$D35,v_Date_commande,"&gt;"&amp;date_inventaire)</f>
        <v>0</v>
      </c>
      <c r="W35" s="353">
        <f ca="1">SUMIFS(bddres_pieces,'BDD RESERVATIONS'!$G:$G,'SUIVI STOCKS PAR PAYSAN'!$V$7,bddres_c_prod_type_aff,'SUIVI STOCKS PAR PAYSAN'!$D35,'BDD RESERVATIONS'!$B:$B,"&gt;"&amp;date_inventaire)</f>
        <v>0</v>
      </c>
      <c r="X35" s="313">
        <f ca="1">SUMIFS(es_poids,es_prod_type_affinage,'SUIVI STOCKS PAR PAYSAN'!$E35,es_date_entree,"&gt;"&amp;date_inventaire)-SUMIFS(v_Poids,v_conc_prod_tye_affinage,'SUIVI STOCKS PAR PAYSAN'!$E35,v_Date_commande,"&gt;"&amp;date_inventaire)</f>
        <v>0</v>
      </c>
      <c r="Y35" s="341">
        <f ca="1">SUMIFS(bddres_c_qte,bddres_c_prod_type_aff,'SUIVI STOCKS PAR PAYSAN'!E35,'BDD RESERVATIONS'!$B:$B,"&gt;"&amp;date_inventaire)</f>
        <v>0</v>
      </c>
      <c r="Z35" s="342">
        <f ca="1">SUMIFS(bddres_pieces,es_prod_type_affinage,'SUIVI STOCKS PAR PAYSAN'!$E35,es_date_entree,"&gt;"&amp;date_inventaire,es_taille,'SUIVI STOCKS PAR PAYSAN'!$Z$7)-SUMIFS(v_Pièces,v_Taille,'SUIVI STOCKS PAR PAYSAN'!$Z$7,v_conc_prod_tye_affinage,'SUIVI STOCKS PAR PAYSAN'!$E35,v_Date_commande,"&gt;"&amp;date_inventaire)</f>
        <v>0</v>
      </c>
      <c r="AA35" s="342">
        <f ca="1">SUMIFS(bddres_pieces,'BDD RESERVATIONS'!$G:$G,'SUIVI STOCKS PAR PAYSAN'!$Z$7,bddres_c_prod_type_aff,'SUIVI STOCKS PAR PAYSAN'!$E35,'BDD RESERVATIONS'!$B:$B,"&gt;"&amp;date_inventaire)</f>
        <v>0</v>
      </c>
      <c r="AB35" s="343">
        <f ca="1">SUMIFS(es_pieces,es_prod_type_affinage,'SUIVI STOCKS PAR PAYSAN'!$E35,es_date_entree,"&gt;"&amp;date_inventaire,es_taille,'SUIVI STOCKS PAR PAYSAN'!$AB$7)-SUMIFS(v_Pièces,v_Taille,'SUIVI STOCKS PAR PAYSAN'!$AB$7,v_conc_prod_tye_affinage,'SUIVI STOCKS PAR PAYSAN'!$E35,v_Date_commande,"&gt;"&amp;date_inventaire)</f>
        <v>0</v>
      </c>
      <c r="AC35" s="353">
        <f ca="1">SUMIFS(bddres_pieces,'BDD RESERVATIONS'!$G:$G,'SUIVI STOCKS PAR PAYSAN'!$AB$7,bddres_c_prod_type_aff,'SUIVI STOCKS PAR PAYSAN'!$E35,'BDD RESERVATIONS'!$B:$B,"&gt;"&amp;date_inventaire)</f>
        <v>0</v>
      </c>
      <c r="AD35" s="313">
        <f ca="1">SUMIFS(es_poids,es_prod_type_affinage,'SUIVI STOCKS PAR PAYSAN'!$F35,es_date_entree,"&gt;"&amp;date_inventaire)-SUMIFS(v_Poids,v_conc_prod_tye_affinage,'SUIVI STOCKS PAR PAYSAN'!$F35,v_Date_commande,"&gt;"&amp;date_inventaire)</f>
        <v>0</v>
      </c>
      <c r="AE35" s="341">
        <f ca="1">SUMIFS(bddres_c_qte,bddres_c_prod_type_aff,'SUIVI STOCKS PAR PAYSAN'!F35,'BDD RESERVATIONS'!$B:$B,"&gt;"&amp;date_inventaire)</f>
        <v>0</v>
      </c>
      <c r="AF35" s="342">
        <f ca="1">SUMIFS(bddres_pieces,es_prod_type_affinage,'SUIVI STOCKS PAR PAYSAN'!$F35,es_date_entree,"&gt;"&amp;date_inventaire,es_taille,'SUIVI STOCKS PAR PAYSAN'!$Z$7)-SUMIFS(v_Pièces,v_Taille,'SUIVI STOCKS PAR PAYSAN'!$Z$7,v_conc_prod_tye_affinage,'SUIVI STOCKS PAR PAYSAN'!$F35,v_Date_commande,"&gt;"&amp;date_inventaire)</f>
        <v>0</v>
      </c>
      <c r="AG35" s="342">
        <f ca="1">SUMIFS(bddres_pieces,'BDD RESERVATIONS'!$G:$G,'SUIVI STOCKS PAR PAYSAN'!$Z$7,bddres_c_prod_type_aff,'SUIVI STOCKS PAR PAYSAN'!$F35,'BDD RESERVATIONS'!$B:$B,"&gt;"&amp;date_inventaire)</f>
        <v>0</v>
      </c>
      <c r="AH35" s="343">
        <f ca="1">SUMIFS(es_pieces,es_prod_type_affinage,'SUIVI STOCKS PAR PAYSAN'!$F35,es_date_entree,"&gt;"&amp;date_inventaire,es_taille,'SUIVI STOCKS PAR PAYSAN'!$AH$7)-SUMIFS(v_Pièces,v_Taille,'SUIVI STOCKS PAR PAYSAN'!$AH$7,v_conc_prod_tye_affinage,'SUIVI STOCKS PAR PAYSAN'!$F35,v_Date_commande,"&gt;"&amp;date_inventaire)</f>
        <v>0</v>
      </c>
      <c r="AI35" s="353">
        <f ca="1">SUMIFS(bddres_pieces,'BDD RESERVATIONS'!$G:$G,'SUIVI STOCKS PAR PAYSAN'!$AB$7,bddres_c_prod_type_aff,'SUIVI STOCKS PAR PAYSAN'!$F35,'BDD RESERVATIONS'!$B:$B,"&gt;"&amp;date_inventaire)</f>
        <v>0</v>
      </c>
      <c r="AJ35" s="352">
        <f ca="1">SUMIFS(es_poids,es_prod_type_affinage,'SUIVI STOCKS PAR PAYSAN'!$G35,es_date_entree,"&gt;"&amp;date_inventaire)-SUMIFS(v_Poids,v_conc_prod_tye_affinage,'SUIVI STOCKS PAR PAYSAN'!$G35,v_Date_commande,"&gt;"&amp;date_inventaire)</f>
        <v>0</v>
      </c>
      <c r="AK35" s="341">
        <f ca="1">SUMIFS(bddres_c_qte,bddres_c_prod_type_aff,'SUIVI STOCKS PAR PAYSAN'!G35,'BDD RESERVATIONS'!$B:$B,"&gt;"&amp;date_inventaire)</f>
        <v>0</v>
      </c>
      <c r="AL35" s="342">
        <f ca="1">SUMIFS(bddres_pieces,es_prod_type_affinage,'SUIVI STOCKS PAR PAYSAN'!$G35,es_date_entree,"&gt;"&amp;date_inventaire,es_taille,'SUIVI STOCKS PAR PAYSAN'!$AL$7)-SUMIFS(v_Pièces,v_Taille,'SUIVI STOCKS PAR PAYSAN'!$AL$7,v_conc_prod_tye_affinage,'SUIVI STOCKS PAR PAYSAN'!$G35,v_Date_commande,"&gt;"&amp;date_inventaire)</f>
        <v>0</v>
      </c>
      <c r="AM35" s="342">
        <f ca="1">SUMIFS(bddres_pieces,'BDD RESERVATIONS'!$G:$G,'SUIVI STOCKS PAR PAYSAN'!$AL$7,bddres_c_prod_type_aff,'SUIVI STOCKS PAR PAYSAN'!$G35,'BDD RESERVATIONS'!$B:$B,"&gt;"&amp;date_inventaire)</f>
        <v>0</v>
      </c>
      <c r="AN35" s="343">
        <f ca="1">SUMIFS(es_pieces,es_prod_type_affinage,'SUIVI STOCKS PAR PAYSAN'!$G35,es_date_entree,"&gt;"&amp;date_inventaire,es_taille,'SUIVI STOCKS PAR PAYSAN'!$AN$7)-SUMIFS(v_Pièces,v_Taille,'SUIVI STOCKS PAR PAYSAN'!$AN$7,v_conc_prod_tye_affinage,'SUIVI STOCKS PAR PAYSAN'!$G35,v_Date_commande,"&gt;"&amp;date_inventaire)</f>
        <v>0</v>
      </c>
      <c r="AO35" s="353">
        <f ca="1">SUMIFS(bddres_pieces,'BDD RESERVATIONS'!$G:$G,'SUIVI STOCKS PAR PAYSAN'!$AN$7,bddres_c_prod_type_aff,'SUIVI STOCKS PAR PAYSAN'!$G35,'BDD RESERVATIONS'!$B:$B,"&gt;"&amp;date_inventaire)</f>
        <v>0</v>
      </c>
      <c r="AP35" s="313">
        <f ca="1">SUMIFS(es_poids,es_prod_type_affinage,'SUIVI STOCKS PAR PAYSAN'!$H35,es_date_entree,"&gt;"&amp;date_inventaire)-SUMIFS(v_Poids,v_conc_prod_tye_affinage,'SUIVI STOCKS PAR PAYSAN'!$H35,v_Date_commande,"&gt;"&amp;date_inventaire)</f>
        <v>0</v>
      </c>
      <c r="AQ35" s="341">
        <f ca="1">SUMIFS(bddres_c_qte,bddres_c_prod_type_aff,'SUIVI STOCKS PAR PAYSAN'!H35,'BDD RESERVATIONS'!$B:$B,"&gt;"&amp;date_inventaire)</f>
        <v>0</v>
      </c>
      <c r="AR35" s="342">
        <f ca="1">SUMIFS(bddres_pieces,es_prod_type_affinage,'SUIVI STOCKS PAR PAYSAN'!$H35,es_date_entree,"&gt;"&amp;date_inventaire,es_taille,'SUIVI STOCKS PAR PAYSAN'!$AR$7)-SUMIFS(v_Pièces,v_Taille,'SUIVI STOCKS PAR PAYSAN'!$AR$7,v_conc_prod_tye_affinage,'SUIVI STOCKS PAR PAYSAN'!$H35,v_Date_commande,"&gt;"&amp;date_inventaire)</f>
        <v>0</v>
      </c>
      <c r="AS35" s="326">
        <f ca="1">SUMIFS(bddres_pieces,'BDD RESERVATIONS'!$G:$G,'SUIVI STOCKS PAR PAYSAN'!AR30,bddres_c_prod_type_aff,'SUIVI STOCKS PAR PAYSAN'!$H35,'BDD RESERVATIONS'!$B:$B,"&gt;"&amp;date_inventaire)</f>
        <v>0</v>
      </c>
      <c r="AT35" s="343">
        <f ca="1">SUMIFS(es_pieces,es_prod_type_affinage,'SUIVI STOCKS PAR PAYSAN'!$H35,es_date_entree,"&gt;"&amp;date_inventaire,es_taille,'SUIVI STOCKS PAR PAYSAN'!$AT$7)-SUMIFS(v_Pièces,v_Taille,'SUIVI STOCKS PAR PAYSAN'!$AT$7,v_conc_prod_tye_affinage,'SUIVI STOCKS PAR PAYSAN'!$H35,v_Date_commande,"&gt;"&amp;date_inventaire)</f>
        <v>0</v>
      </c>
      <c r="AU35" s="353">
        <f ca="1">SUMIFS(bddres_pieces,'BDD RESERVATIONS'!$G:$G,'SUIVI STOCKS PAR PAYSAN'!$AT$7,bddres_c_prod_type_aff,'SUIVI STOCKS PAR PAYSAN'!$H35,'BDD RESERVATIONS'!$B:$B,"&gt;"&amp;date_inventaire)</f>
        <v>0</v>
      </c>
      <c r="AV35" s="313">
        <f ca="1">SUMIFS(es_poids,es_prod_type_affinage,'SUIVI STOCKS PAR PAYSAN'!$I35,es_date_entree,"&gt;"&amp;date_inventaire)-SUMIFS(v_Poids,v_conc_prod_tye_affinage,'SUIVI STOCKS PAR PAYSAN'!$E35,v_Date_commande,"&gt;"&amp;date_inventaire)</f>
        <v>0</v>
      </c>
      <c r="AW35" s="313">
        <f ca="1">SUMIFS(bddres_c_qte,bddres_c_prod_type_aff,'SUIVI STOCKS PAR PAYSAN'!I35,'BDD RESERVATIONS'!$B:$B,"&gt;"&amp;date_inventaire)</f>
        <v>0</v>
      </c>
      <c r="AX35" s="342">
        <f ca="1">SUMIFS(bddres_pieces,es_prod_type_affinage,'SUIVI STOCKS PAR PAYSAN'!$I35,es_date_entree,"&gt;"&amp;date_inventaire,es_taille,'SUIVI STOCKS PAR PAYSAN'!$AX$7)-SUMIFS(v_Pièces,v_Taille,'SUIVI STOCKS PAR PAYSAN'!$AX$7,v_conc_prod_tye_affinage,'SUIVI STOCKS PAR PAYSAN'!$I35,v_Date_commande,"&gt;"&amp;date_inventaire)</f>
        <v>0</v>
      </c>
      <c r="AY35" s="342">
        <f ca="1">SUMIFS(bddres_pieces,'BDD RESERVATIONS'!$G:$G,'SUIVI STOCKS PAR PAYSAN'!$AX$7,bddres_c_prod_type_aff,'SUIVI STOCKS PAR PAYSAN'!$I35,'BDD RESERVATIONS'!$B:$B,"&gt;"&amp;date_inventaire)</f>
        <v>0</v>
      </c>
      <c r="AZ35" s="343">
        <f ca="1">SUMIFS(es_pieces,es_prod_type_affinage,'SUIVI STOCKS PAR PAYSAN'!$I35,es_date_entree,"&gt;"&amp;date_inventaire,es_taille,'SUIVI STOCKS PAR PAYSAN'!$AZ$7)-SUMIFS(v_Pièces,v_Taille,'SUIVI STOCKS PAR PAYSAN'!$AZ$7,v_conc_prod_tye_affinage,'SUIVI STOCKS PAR PAYSAN'!$I35,v_Date_commande,"&gt;"&amp;date_inventaire)</f>
        <v>0</v>
      </c>
      <c r="BA35" s="353">
        <f ca="1">SUMIFS(bddres_pieces,'BDD RESERVATIONS'!$G:$G,'SUIVI STOCKS PAR PAYSAN'!$AZ$7,bddres_c_prod_type_aff,'SUIVI STOCKS PAR PAYSAN'!$I35,'BDD RESERVATIONS'!$B:$B,"&gt;"&amp;date_inventaire)</f>
        <v>0</v>
      </c>
      <c r="BB35" s="313">
        <f ca="1">SUMIFS(es_poids,es_prod_type_affinage,'SUIVI STOCKS PAR PAYSAN'!$J35,es_date_entree,"&gt;"&amp;date_inventaire)-SUMIFS(v_Poids,v_conc_prod_tye_affinage,'SUIVI STOCKS PAR PAYSAN'!$J35,v_Date_commande,"&gt;"&amp;date_inventaire)</f>
        <v>0</v>
      </c>
      <c r="BC35" s="313">
        <f ca="1">SUMIFS(bddres_c_qte,bddres_c_prod_type_aff,'SUIVI STOCKS PAR PAYSAN'!J35,'BDD RESERVATIONS'!$B:$B,"&gt;"&amp;date_inventaire)</f>
        <v>0</v>
      </c>
      <c r="BD35" s="342">
        <f ca="1">SUMIFS(bddres_pieces,es_prod_type_affinage,'SUIVI STOCKS PAR PAYSAN'!$J35,es_date_entree,"&gt;"&amp;date_inventaire,es_taille,'SUIVI STOCKS PAR PAYSAN'!$BD$7)-SUMIFS(v_Pièces,v_Taille,'SUIVI STOCKS PAR PAYSAN'!$BD$7,v_conc_prod_tye_affinage,'SUIVI STOCKS PAR PAYSAN'!$J35,v_Date_commande,"&gt;"&amp;date_inventaire)</f>
        <v>0</v>
      </c>
      <c r="BE35" s="326">
        <f ca="1">SUMIFS(bddres_pieces,'BDD RESERVATIONS'!$G:$G,'SUIVI STOCKS PAR PAYSAN'!BD30,bddres_c_prod_type_aff,'SUIVI STOCKS PAR PAYSAN'!J35,'BDD RESERVATIONS'!$B:$B,"&gt;"&amp;date_inventaire)</f>
        <v>0</v>
      </c>
      <c r="BF35" s="343">
        <f ca="1">SUMIFS(es_pieces,es_prod_type_affinage,'SUIVI STOCKS PAR PAYSAN'!J35,es_date_entree,"&gt;"&amp;date_inventaire,es_taille,'SUIVI STOCKS PAR PAYSAN'!$BF$7)-SUMIFS(v_Pièces,v_Taille,'SUIVI STOCKS PAR PAYSAN'!$BF$7,v_conc_prod_tye_affinage,'SUIVI STOCKS PAR PAYSAN'!J35,v_Date_commande,"&gt;"&amp;date_inventaire)</f>
        <v>0</v>
      </c>
      <c r="BG35" s="353">
        <f ca="1">SUMIFS(bddres_pieces,'BDD RESERVATIONS'!$G:$G,'SUIVI STOCKS PAR PAYSAN'!$BF$7,bddres_c_prod_type_aff,'SUIVI STOCKS PAR PAYSAN'!J35,'BDD RESERVATIONS'!$B:$B,"&gt;"&amp;date_inventaire)</f>
        <v>0</v>
      </c>
    </row>
    <row r="36" spans="1:59" ht="18.75" customHeight="1" x14ac:dyDescent="0.25">
      <c r="A36" s="331">
        <f ca="1">OFFSET('BDD PAYSANS'!$B$1,B36,0,1,1)</f>
        <v>0</v>
      </c>
      <c r="B36" s="325">
        <v>25</v>
      </c>
      <c r="C36" s="325" t="str">
        <f t="shared" ca="1" si="2"/>
        <v>0FERMIER&lt;3 mois</v>
      </c>
      <c r="D36" s="325" t="str">
        <f t="shared" ca="1" si="2"/>
        <v>0FERMIER3-6 mois</v>
      </c>
      <c r="E36" s="325" t="str">
        <f t="shared" ca="1" si="2"/>
        <v>0FERMIER6-9 mois</v>
      </c>
      <c r="F36" s="325" t="str">
        <f t="shared" ca="1" si="2"/>
        <v>0FERMIER&gt;9 mois</v>
      </c>
      <c r="G36" s="325" t="str">
        <f t="shared" ca="1" si="2"/>
        <v>0ESTIVE&lt;3 mois</v>
      </c>
      <c r="H36" s="325" t="str">
        <f t="shared" ca="1" si="2"/>
        <v>0ESTIVE3-6 mois</v>
      </c>
      <c r="I36" s="325" t="str">
        <f t="shared" ca="1" si="2"/>
        <v>0ESTIVE6-9 mois</v>
      </c>
      <c r="J36" s="325" t="str">
        <f t="shared" ca="1" si="2"/>
        <v>0ESTIVE&gt;9 mois</v>
      </c>
      <c r="K36" s="325"/>
      <c r="L36" s="352">
        <f ca="1">SUMIFS(es_poids,es_prod_type_affinage,'SUIVI STOCKS PAR PAYSAN'!$C36,es_date_entree,"&gt;"&amp;date_inventaire)-SUMIFS(v_Poids,v_conc_prod_tye_affinage,'SUIVI STOCKS PAR PAYSAN'!$C36,v_Date_commande,"&gt;"&amp;date_inventaire)</f>
        <v>0</v>
      </c>
      <c r="M36" s="341">
        <f ca="1">SUMIFS(bddres_c_qte,bddres_c_prod_type_aff,'SUIVI STOCKS PAR PAYSAN'!C36,'BDD RESERVATIONS'!$B:$B,"&gt;"&amp;date_inventaire)</f>
        <v>0</v>
      </c>
      <c r="N36" s="342">
        <f ca="1">SUMIFS(bddres_pieces,es_prod_type_affinage,'SUIVI STOCKS PAR PAYSAN'!$C36,es_date_entree,"&gt;"&amp;date_inventaire,es_taille,'SUIVI STOCKS PAR PAYSAN'!$N$7)-SUMIFS(v_Pièces,v_Taille,'SUIVI STOCKS PAR PAYSAN'!$N$7,v_conc_prod_tye_affinage,'SUIVI STOCKS PAR PAYSAN'!$C36,v_Date_commande,"&gt;"&amp;date_inventaire)</f>
        <v>0</v>
      </c>
      <c r="O36" s="342">
        <f ca="1">SUMIFS(bddres_pieces,'BDD RESERVATIONS'!$G:$G,'SUIVI STOCKS PAR PAYSAN'!$N$7,bddres_c_prod_type_aff,'SUIVI STOCKS PAR PAYSAN'!$C36,'BDD RESERVATIONS'!$B:$B,"&gt;"&amp;date_inventaire)</f>
        <v>0</v>
      </c>
      <c r="P36" s="343">
        <f ca="1">SUMIFS(es_pieces,es_prod_type_affinage,'SUIVI STOCKS PAR PAYSAN'!$C36,es_date_entree,"&gt;"&amp;date_inventaire,es_taille,'SUIVI STOCKS PAR PAYSAN'!$P$7)-SUMIFS(v_Pièces,v_Taille,'SUIVI STOCKS PAR PAYSAN'!$P$7,v_conc_prod_tye_affinage,'SUIVI STOCKS PAR PAYSAN'!$C36,v_Date_commande,"&gt;"&amp;date_inventaire)</f>
        <v>0</v>
      </c>
      <c r="Q36" s="353">
        <f ca="1">SUMIFS(bddres_pieces,'BDD RESERVATIONS'!$G:$G,'SUIVI STOCKS PAR PAYSAN'!$P$7,bddres_c_prod_type_aff,'SUIVI STOCKS PAR PAYSAN'!$C36,'BDD RESERVATIONS'!$B:$B,"&gt;"&amp;date_inventaire)</f>
        <v>0</v>
      </c>
      <c r="R36" s="340">
        <f ca="1">SUMIFS(es_poids,es_prod_type_affinage,'SUIVI STOCKS PAR PAYSAN'!$D36,es_date_entree,"&gt;"&amp;date_inventaire)-SUMIFS(v_Poids,v_conc_prod_tye_affinage,'SUIVI STOCKS PAR PAYSAN'!$D36,v_Date_commande,"&gt;"&amp;date_inventaire)</f>
        <v>0</v>
      </c>
      <c r="S36" s="341">
        <f ca="1">SUMIFS(bddres_c_qte,bddres_c_prod_type_aff,'SUIVI STOCKS PAR PAYSAN'!D36,'BDD RESERVATIONS'!$B:$B,"&gt;"&amp;date_inventaire)</f>
        <v>0</v>
      </c>
      <c r="T36" s="342">
        <f ca="1">SUMIFS(bddres_pieces,es_prod_type_affinage,'SUIVI STOCKS PAR PAYSAN'!$D36,es_date_entree,"&gt;"&amp;date_inventaire,es_taille,'SUIVI STOCKS PAR PAYSAN'!$T$7)-SUMIFS(v_Pièces,v_Taille,'SUIVI STOCKS PAR PAYSAN'!$T$7,v_conc_prod_tye_affinage,'SUIVI STOCKS PAR PAYSAN'!$D36,v_Date_commande,"&gt;"&amp;date_inventaire)</f>
        <v>0</v>
      </c>
      <c r="U36" s="342">
        <f ca="1">SUMIFS(bddres_pieces,'BDD RESERVATIONS'!$G:$G,'SUIVI STOCKS PAR PAYSAN'!$T$7,bddres_c_prod_type_aff,'SUIVI STOCKS PAR PAYSAN'!$D36,'BDD RESERVATIONS'!$B:$B,"&gt;"&amp;date_inventaire)</f>
        <v>0</v>
      </c>
      <c r="V36" s="343">
        <f ca="1">SUMIFS(es_pieces,es_prod_type_affinage,'SUIVI STOCKS PAR PAYSAN'!$D36,es_date_entree,"&gt;"&amp;date_inventaire,es_taille,'SUIVI STOCKS PAR PAYSAN'!$V$7)-SUMIFS(v_Pièces,v_Taille,'SUIVI STOCKS PAR PAYSAN'!$V$7,v_conc_prod_tye_affinage,'SUIVI STOCKS PAR PAYSAN'!$D36,v_Date_commande,"&gt;"&amp;date_inventaire)</f>
        <v>0</v>
      </c>
      <c r="W36" s="353">
        <f ca="1">SUMIFS(bddres_pieces,'BDD RESERVATIONS'!$G:$G,'SUIVI STOCKS PAR PAYSAN'!$V$7,bddres_c_prod_type_aff,'SUIVI STOCKS PAR PAYSAN'!$D36,'BDD RESERVATIONS'!$B:$B,"&gt;"&amp;date_inventaire)</f>
        <v>0</v>
      </c>
      <c r="X36" s="313">
        <f ca="1">SUMIFS(es_poids,es_prod_type_affinage,'SUIVI STOCKS PAR PAYSAN'!$E36,es_date_entree,"&gt;"&amp;date_inventaire)-SUMIFS(v_Poids,v_conc_prod_tye_affinage,'SUIVI STOCKS PAR PAYSAN'!$E36,v_Date_commande,"&gt;"&amp;date_inventaire)</f>
        <v>0</v>
      </c>
      <c r="Y36" s="341">
        <f ca="1">SUMIFS(bddres_c_qte,bddres_c_prod_type_aff,'SUIVI STOCKS PAR PAYSAN'!E36,'BDD RESERVATIONS'!$B:$B,"&gt;"&amp;date_inventaire)</f>
        <v>0</v>
      </c>
      <c r="Z36" s="342">
        <f ca="1">SUMIFS(bddres_pieces,es_prod_type_affinage,'SUIVI STOCKS PAR PAYSAN'!$E36,es_date_entree,"&gt;"&amp;date_inventaire,es_taille,'SUIVI STOCKS PAR PAYSAN'!$Z$7)-SUMIFS(v_Pièces,v_Taille,'SUIVI STOCKS PAR PAYSAN'!$Z$7,v_conc_prod_tye_affinage,'SUIVI STOCKS PAR PAYSAN'!$E36,v_Date_commande,"&gt;"&amp;date_inventaire)</f>
        <v>0</v>
      </c>
      <c r="AA36" s="342">
        <f ca="1">SUMIFS(bddres_pieces,'BDD RESERVATIONS'!$G:$G,'SUIVI STOCKS PAR PAYSAN'!$Z$7,bddres_c_prod_type_aff,'SUIVI STOCKS PAR PAYSAN'!$E36,'BDD RESERVATIONS'!$B:$B,"&gt;"&amp;date_inventaire)</f>
        <v>0</v>
      </c>
      <c r="AB36" s="343">
        <f ca="1">SUMIFS(es_pieces,es_prod_type_affinage,'SUIVI STOCKS PAR PAYSAN'!$E36,es_date_entree,"&gt;"&amp;date_inventaire,es_taille,'SUIVI STOCKS PAR PAYSAN'!$AB$7)-SUMIFS(v_Pièces,v_Taille,'SUIVI STOCKS PAR PAYSAN'!$AB$7,v_conc_prod_tye_affinage,'SUIVI STOCKS PAR PAYSAN'!$E36,v_Date_commande,"&gt;"&amp;date_inventaire)</f>
        <v>0</v>
      </c>
      <c r="AC36" s="353">
        <f ca="1">SUMIFS(bddres_pieces,'BDD RESERVATIONS'!$G:$G,'SUIVI STOCKS PAR PAYSAN'!$AB$7,bddres_c_prod_type_aff,'SUIVI STOCKS PAR PAYSAN'!$E36,'BDD RESERVATIONS'!$B:$B,"&gt;"&amp;date_inventaire)</f>
        <v>0</v>
      </c>
      <c r="AD36" s="313">
        <f ca="1">SUMIFS(es_poids,es_prod_type_affinage,'SUIVI STOCKS PAR PAYSAN'!$F36,es_date_entree,"&gt;"&amp;date_inventaire)-SUMIFS(v_Poids,v_conc_prod_tye_affinage,'SUIVI STOCKS PAR PAYSAN'!$F36,v_Date_commande,"&gt;"&amp;date_inventaire)</f>
        <v>0</v>
      </c>
      <c r="AE36" s="341">
        <f ca="1">SUMIFS(bddres_c_qte,bddres_c_prod_type_aff,'SUIVI STOCKS PAR PAYSAN'!F36,'BDD RESERVATIONS'!$B:$B,"&gt;"&amp;date_inventaire)</f>
        <v>0</v>
      </c>
      <c r="AF36" s="342">
        <f ca="1">SUMIFS(bddres_pieces,es_prod_type_affinage,'SUIVI STOCKS PAR PAYSAN'!$F36,es_date_entree,"&gt;"&amp;date_inventaire,es_taille,'SUIVI STOCKS PAR PAYSAN'!$Z$7)-SUMIFS(v_Pièces,v_Taille,'SUIVI STOCKS PAR PAYSAN'!$Z$7,v_conc_prod_tye_affinage,'SUIVI STOCKS PAR PAYSAN'!$F36,v_Date_commande,"&gt;"&amp;date_inventaire)</f>
        <v>0</v>
      </c>
      <c r="AG36" s="342">
        <f ca="1">SUMIFS(bddres_pieces,'BDD RESERVATIONS'!$G:$G,'SUIVI STOCKS PAR PAYSAN'!$Z$7,bddres_c_prod_type_aff,'SUIVI STOCKS PAR PAYSAN'!$F36,'BDD RESERVATIONS'!$B:$B,"&gt;"&amp;date_inventaire)</f>
        <v>0</v>
      </c>
      <c r="AH36" s="343">
        <f ca="1">SUMIFS(es_pieces,es_prod_type_affinage,'SUIVI STOCKS PAR PAYSAN'!$F36,es_date_entree,"&gt;"&amp;date_inventaire,es_taille,'SUIVI STOCKS PAR PAYSAN'!$AH$7)-SUMIFS(v_Pièces,v_Taille,'SUIVI STOCKS PAR PAYSAN'!$AH$7,v_conc_prod_tye_affinage,'SUIVI STOCKS PAR PAYSAN'!$F36,v_Date_commande,"&gt;"&amp;date_inventaire)</f>
        <v>0</v>
      </c>
      <c r="AI36" s="353">
        <f ca="1">SUMIFS(bddres_pieces,'BDD RESERVATIONS'!$G:$G,'SUIVI STOCKS PAR PAYSAN'!$AB$7,bddres_c_prod_type_aff,'SUIVI STOCKS PAR PAYSAN'!$F36,'BDD RESERVATIONS'!$B:$B,"&gt;"&amp;date_inventaire)</f>
        <v>0</v>
      </c>
      <c r="AJ36" s="352">
        <f ca="1">SUMIFS(es_poids,es_prod_type_affinage,'SUIVI STOCKS PAR PAYSAN'!$G36,es_date_entree,"&gt;"&amp;date_inventaire)-SUMIFS(v_Poids,v_conc_prod_tye_affinage,'SUIVI STOCKS PAR PAYSAN'!$G36,v_Date_commande,"&gt;"&amp;date_inventaire)</f>
        <v>0</v>
      </c>
      <c r="AK36" s="341">
        <f ca="1">SUMIFS(bddres_c_qte,bddres_c_prod_type_aff,'SUIVI STOCKS PAR PAYSAN'!G36,'BDD RESERVATIONS'!$B:$B,"&gt;"&amp;date_inventaire)</f>
        <v>0</v>
      </c>
      <c r="AL36" s="342">
        <f ca="1">SUMIFS(bddres_pieces,es_prod_type_affinage,'SUIVI STOCKS PAR PAYSAN'!$G36,es_date_entree,"&gt;"&amp;date_inventaire,es_taille,'SUIVI STOCKS PAR PAYSAN'!$AL$7)-SUMIFS(v_Pièces,v_Taille,'SUIVI STOCKS PAR PAYSAN'!$AL$7,v_conc_prod_tye_affinage,'SUIVI STOCKS PAR PAYSAN'!$G36,v_Date_commande,"&gt;"&amp;date_inventaire)</f>
        <v>0</v>
      </c>
      <c r="AM36" s="342">
        <f ca="1">SUMIFS(bddres_pieces,'BDD RESERVATIONS'!$G:$G,'SUIVI STOCKS PAR PAYSAN'!$AL$7,bddres_c_prod_type_aff,'SUIVI STOCKS PAR PAYSAN'!$G36,'BDD RESERVATIONS'!$B:$B,"&gt;"&amp;date_inventaire)</f>
        <v>0</v>
      </c>
      <c r="AN36" s="343">
        <f ca="1">SUMIFS(es_pieces,es_prod_type_affinage,'SUIVI STOCKS PAR PAYSAN'!$G36,es_date_entree,"&gt;"&amp;date_inventaire,es_taille,'SUIVI STOCKS PAR PAYSAN'!$AN$7)-SUMIFS(v_Pièces,v_Taille,'SUIVI STOCKS PAR PAYSAN'!$AN$7,v_conc_prod_tye_affinage,'SUIVI STOCKS PAR PAYSAN'!$G36,v_Date_commande,"&gt;"&amp;date_inventaire)</f>
        <v>0</v>
      </c>
      <c r="AO36" s="353">
        <f ca="1">SUMIFS(bddres_pieces,'BDD RESERVATIONS'!$G:$G,'SUIVI STOCKS PAR PAYSAN'!$AN$7,bddres_c_prod_type_aff,'SUIVI STOCKS PAR PAYSAN'!$G36,'BDD RESERVATIONS'!$B:$B,"&gt;"&amp;date_inventaire)</f>
        <v>0</v>
      </c>
      <c r="AP36" s="313">
        <f ca="1">SUMIFS(es_poids,es_prod_type_affinage,'SUIVI STOCKS PAR PAYSAN'!$H36,es_date_entree,"&gt;"&amp;date_inventaire)-SUMIFS(v_Poids,v_conc_prod_tye_affinage,'SUIVI STOCKS PAR PAYSAN'!$H36,v_Date_commande,"&gt;"&amp;date_inventaire)</f>
        <v>0</v>
      </c>
      <c r="AQ36" s="341">
        <f ca="1">SUMIFS(bddres_c_qte,bddres_c_prod_type_aff,'SUIVI STOCKS PAR PAYSAN'!H36,'BDD RESERVATIONS'!$B:$B,"&gt;"&amp;date_inventaire)</f>
        <v>0</v>
      </c>
      <c r="AR36" s="342">
        <f ca="1">SUMIFS(bddres_pieces,es_prod_type_affinage,'SUIVI STOCKS PAR PAYSAN'!$H36,es_date_entree,"&gt;"&amp;date_inventaire,es_taille,'SUIVI STOCKS PAR PAYSAN'!$AR$7)-SUMIFS(v_Pièces,v_Taille,'SUIVI STOCKS PAR PAYSAN'!$AR$7,v_conc_prod_tye_affinage,'SUIVI STOCKS PAR PAYSAN'!$H36,v_Date_commande,"&gt;"&amp;date_inventaire)</f>
        <v>0</v>
      </c>
      <c r="AS36" s="326">
        <f ca="1">SUMIFS(bddres_pieces,'BDD RESERVATIONS'!$G:$G,'SUIVI STOCKS PAR PAYSAN'!AR31,bddres_c_prod_type_aff,'SUIVI STOCKS PAR PAYSAN'!$H36,'BDD RESERVATIONS'!$B:$B,"&gt;"&amp;date_inventaire)</f>
        <v>0</v>
      </c>
      <c r="AT36" s="343">
        <f ca="1">SUMIFS(es_pieces,es_prod_type_affinage,'SUIVI STOCKS PAR PAYSAN'!$H36,es_date_entree,"&gt;"&amp;date_inventaire,es_taille,'SUIVI STOCKS PAR PAYSAN'!$AT$7)-SUMIFS(v_Pièces,v_Taille,'SUIVI STOCKS PAR PAYSAN'!$AT$7,v_conc_prod_tye_affinage,'SUIVI STOCKS PAR PAYSAN'!$H36,v_Date_commande,"&gt;"&amp;date_inventaire)</f>
        <v>0</v>
      </c>
      <c r="AU36" s="353">
        <f ca="1">SUMIFS(bddres_pieces,'BDD RESERVATIONS'!$G:$G,'SUIVI STOCKS PAR PAYSAN'!$AT$7,bddres_c_prod_type_aff,'SUIVI STOCKS PAR PAYSAN'!$H36,'BDD RESERVATIONS'!$B:$B,"&gt;"&amp;date_inventaire)</f>
        <v>0</v>
      </c>
      <c r="AV36" s="313">
        <f ca="1">SUMIFS(es_poids,es_prod_type_affinage,'SUIVI STOCKS PAR PAYSAN'!$I36,es_date_entree,"&gt;"&amp;date_inventaire)-SUMIFS(v_Poids,v_conc_prod_tye_affinage,'SUIVI STOCKS PAR PAYSAN'!$E36,v_Date_commande,"&gt;"&amp;date_inventaire)</f>
        <v>0</v>
      </c>
      <c r="AW36" s="313">
        <f ca="1">SUMIFS(bddres_c_qte,bddres_c_prod_type_aff,'SUIVI STOCKS PAR PAYSAN'!I36,'BDD RESERVATIONS'!$B:$B,"&gt;"&amp;date_inventaire)</f>
        <v>0</v>
      </c>
      <c r="AX36" s="342">
        <f ca="1">SUMIFS(bddres_pieces,es_prod_type_affinage,'SUIVI STOCKS PAR PAYSAN'!$I36,es_date_entree,"&gt;"&amp;date_inventaire,es_taille,'SUIVI STOCKS PAR PAYSAN'!$AX$7)-SUMIFS(v_Pièces,v_Taille,'SUIVI STOCKS PAR PAYSAN'!$AX$7,v_conc_prod_tye_affinage,'SUIVI STOCKS PAR PAYSAN'!$I36,v_Date_commande,"&gt;"&amp;date_inventaire)</f>
        <v>0</v>
      </c>
      <c r="AY36" s="342">
        <f ca="1">SUMIFS(bddres_pieces,'BDD RESERVATIONS'!$G:$G,'SUIVI STOCKS PAR PAYSAN'!$AX$7,bddres_c_prod_type_aff,'SUIVI STOCKS PAR PAYSAN'!$I36,'BDD RESERVATIONS'!$B:$B,"&gt;"&amp;date_inventaire)</f>
        <v>0</v>
      </c>
      <c r="AZ36" s="343">
        <f ca="1">SUMIFS(es_pieces,es_prod_type_affinage,'SUIVI STOCKS PAR PAYSAN'!$I36,es_date_entree,"&gt;"&amp;date_inventaire,es_taille,'SUIVI STOCKS PAR PAYSAN'!$AZ$7)-SUMIFS(v_Pièces,v_Taille,'SUIVI STOCKS PAR PAYSAN'!$AZ$7,v_conc_prod_tye_affinage,'SUIVI STOCKS PAR PAYSAN'!$I36,v_Date_commande,"&gt;"&amp;date_inventaire)</f>
        <v>0</v>
      </c>
      <c r="BA36" s="353">
        <f ca="1">SUMIFS(bddres_pieces,'BDD RESERVATIONS'!$G:$G,'SUIVI STOCKS PAR PAYSAN'!$AZ$7,bddres_c_prod_type_aff,'SUIVI STOCKS PAR PAYSAN'!$I36,'BDD RESERVATIONS'!$B:$B,"&gt;"&amp;date_inventaire)</f>
        <v>0</v>
      </c>
      <c r="BB36" s="313">
        <f ca="1">SUMIFS(es_poids,es_prod_type_affinage,'SUIVI STOCKS PAR PAYSAN'!$J36,es_date_entree,"&gt;"&amp;date_inventaire)-SUMIFS(v_Poids,v_conc_prod_tye_affinage,'SUIVI STOCKS PAR PAYSAN'!$J36,v_Date_commande,"&gt;"&amp;date_inventaire)</f>
        <v>0</v>
      </c>
      <c r="BC36" s="313">
        <f ca="1">SUMIFS(bddres_c_qte,bddres_c_prod_type_aff,'SUIVI STOCKS PAR PAYSAN'!J36,'BDD RESERVATIONS'!$B:$B,"&gt;"&amp;date_inventaire)</f>
        <v>0</v>
      </c>
      <c r="BD36" s="342">
        <f ca="1">SUMIFS(bddres_pieces,es_prod_type_affinage,'SUIVI STOCKS PAR PAYSAN'!$J36,es_date_entree,"&gt;"&amp;date_inventaire,es_taille,'SUIVI STOCKS PAR PAYSAN'!$BD$7)-SUMIFS(v_Pièces,v_Taille,'SUIVI STOCKS PAR PAYSAN'!$BD$7,v_conc_prod_tye_affinage,'SUIVI STOCKS PAR PAYSAN'!$J36,v_Date_commande,"&gt;"&amp;date_inventaire)</f>
        <v>0</v>
      </c>
      <c r="BE36" s="326">
        <f ca="1">SUMIFS(bddres_pieces,'BDD RESERVATIONS'!$G:$G,'SUIVI STOCKS PAR PAYSAN'!BD31,bddres_c_prod_type_aff,'SUIVI STOCKS PAR PAYSAN'!J36,'BDD RESERVATIONS'!$B:$B,"&gt;"&amp;date_inventaire)</f>
        <v>0</v>
      </c>
      <c r="BF36" s="343">
        <f ca="1">SUMIFS(es_pieces,es_prod_type_affinage,'SUIVI STOCKS PAR PAYSAN'!J36,es_date_entree,"&gt;"&amp;date_inventaire,es_taille,'SUIVI STOCKS PAR PAYSAN'!$BF$7)-SUMIFS(v_Pièces,v_Taille,'SUIVI STOCKS PAR PAYSAN'!$BF$7,v_conc_prod_tye_affinage,'SUIVI STOCKS PAR PAYSAN'!J36,v_Date_commande,"&gt;"&amp;date_inventaire)</f>
        <v>0</v>
      </c>
      <c r="BG36" s="353">
        <f ca="1">SUMIFS(bddres_pieces,'BDD RESERVATIONS'!$G:$G,'SUIVI STOCKS PAR PAYSAN'!$BF$7,bddres_c_prod_type_aff,'SUIVI STOCKS PAR PAYSAN'!J36,'BDD RESERVATIONS'!$B:$B,"&gt;"&amp;date_inventaire)</f>
        <v>0</v>
      </c>
    </row>
    <row r="37" spans="1:59" ht="18.75" customHeight="1" x14ac:dyDescent="0.25">
      <c r="A37" s="331">
        <f ca="1">OFFSET('BDD PAYSANS'!$B$1,B37,0,1,1)</f>
        <v>0</v>
      </c>
      <c r="B37" s="325">
        <v>26</v>
      </c>
      <c r="C37" s="325" t="str">
        <f t="shared" ca="1" si="2"/>
        <v>0FERMIER&lt;3 mois</v>
      </c>
      <c r="D37" s="325" t="str">
        <f t="shared" ca="1" si="2"/>
        <v>0FERMIER3-6 mois</v>
      </c>
      <c r="E37" s="325" t="str">
        <f t="shared" ca="1" si="2"/>
        <v>0FERMIER6-9 mois</v>
      </c>
      <c r="F37" s="325" t="str">
        <f t="shared" ca="1" si="2"/>
        <v>0FERMIER&gt;9 mois</v>
      </c>
      <c r="G37" s="325" t="str">
        <f t="shared" ca="1" si="2"/>
        <v>0ESTIVE&lt;3 mois</v>
      </c>
      <c r="H37" s="325" t="str">
        <f t="shared" ca="1" si="2"/>
        <v>0ESTIVE3-6 mois</v>
      </c>
      <c r="I37" s="325" t="str">
        <f t="shared" ca="1" si="2"/>
        <v>0ESTIVE6-9 mois</v>
      </c>
      <c r="J37" s="325" t="str">
        <f t="shared" ca="1" si="2"/>
        <v>0ESTIVE&gt;9 mois</v>
      </c>
      <c r="K37" s="325"/>
      <c r="L37" s="352">
        <f ca="1">SUMIFS(es_poids,es_prod_type_affinage,'SUIVI STOCKS PAR PAYSAN'!$C37,es_date_entree,"&gt;"&amp;date_inventaire)-SUMIFS(v_Poids,v_conc_prod_tye_affinage,'SUIVI STOCKS PAR PAYSAN'!$C37,v_Date_commande,"&gt;"&amp;date_inventaire)</f>
        <v>0</v>
      </c>
      <c r="M37" s="341">
        <f ca="1">SUMIFS(bddres_c_qte,bddres_c_prod_type_aff,'SUIVI STOCKS PAR PAYSAN'!C37,'BDD RESERVATIONS'!$B:$B,"&gt;"&amp;date_inventaire)</f>
        <v>0</v>
      </c>
      <c r="N37" s="342">
        <f ca="1">SUMIFS(bddres_pieces,es_prod_type_affinage,'SUIVI STOCKS PAR PAYSAN'!$C37,es_date_entree,"&gt;"&amp;date_inventaire,es_taille,'SUIVI STOCKS PAR PAYSAN'!$N$7)-SUMIFS(v_Pièces,v_Taille,'SUIVI STOCKS PAR PAYSAN'!$N$7,v_conc_prod_tye_affinage,'SUIVI STOCKS PAR PAYSAN'!$C37,v_Date_commande,"&gt;"&amp;date_inventaire)</f>
        <v>0</v>
      </c>
      <c r="O37" s="342">
        <f ca="1">SUMIFS(bddres_pieces,'BDD RESERVATIONS'!$G:$G,'SUIVI STOCKS PAR PAYSAN'!$N$7,bddres_c_prod_type_aff,'SUIVI STOCKS PAR PAYSAN'!$C37,'BDD RESERVATIONS'!$B:$B,"&gt;"&amp;date_inventaire)</f>
        <v>0</v>
      </c>
      <c r="P37" s="343">
        <f ca="1">SUMIFS(es_pieces,es_prod_type_affinage,'SUIVI STOCKS PAR PAYSAN'!$C37,es_date_entree,"&gt;"&amp;date_inventaire,es_taille,'SUIVI STOCKS PAR PAYSAN'!$P$7)-SUMIFS(v_Pièces,v_Taille,'SUIVI STOCKS PAR PAYSAN'!$P$7,v_conc_prod_tye_affinage,'SUIVI STOCKS PAR PAYSAN'!$C37,v_Date_commande,"&gt;"&amp;date_inventaire)</f>
        <v>0</v>
      </c>
      <c r="Q37" s="353">
        <f ca="1">SUMIFS(bddres_pieces,'BDD RESERVATIONS'!$G:$G,'SUIVI STOCKS PAR PAYSAN'!$P$7,bddres_c_prod_type_aff,'SUIVI STOCKS PAR PAYSAN'!$C37,'BDD RESERVATIONS'!$B:$B,"&gt;"&amp;date_inventaire)</f>
        <v>0</v>
      </c>
      <c r="R37" s="340">
        <f ca="1">SUMIFS(es_poids,es_prod_type_affinage,'SUIVI STOCKS PAR PAYSAN'!$D37,es_date_entree,"&gt;"&amp;date_inventaire)-SUMIFS(v_Poids,v_conc_prod_tye_affinage,'SUIVI STOCKS PAR PAYSAN'!$D37,v_Date_commande,"&gt;"&amp;date_inventaire)</f>
        <v>0</v>
      </c>
      <c r="S37" s="341">
        <f ca="1">SUMIFS(bddres_c_qte,bddres_c_prod_type_aff,'SUIVI STOCKS PAR PAYSAN'!D37,'BDD RESERVATIONS'!$B:$B,"&gt;"&amp;date_inventaire)</f>
        <v>0</v>
      </c>
      <c r="T37" s="342">
        <f ca="1">SUMIFS(bddres_pieces,es_prod_type_affinage,'SUIVI STOCKS PAR PAYSAN'!$D37,es_date_entree,"&gt;"&amp;date_inventaire,es_taille,'SUIVI STOCKS PAR PAYSAN'!$T$7)-SUMIFS(v_Pièces,v_Taille,'SUIVI STOCKS PAR PAYSAN'!$T$7,v_conc_prod_tye_affinage,'SUIVI STOCKS PAR PAYSAN'!$D37,v_Date_commande,"&gt;"&amp;date_inventaire)</f>
        <v>0</v>
      </c>
      <c r="U37" s="342">
        <f ca="1">SUMIFS(bddres_pieces,'BDD RESERVATIONS'!$G:$G,'SUIVI STOCKS PAR PAYSAN'!$T$7,bddres_c_prod_type_aff,'SUIVI STOCKS PAR PAYSAN'!$D37,'BDD RESERVATIONS'!$B:$B,"&gt;"&amp;date_inventaire)</f>
        <v>0</v>
      </c>
      <c r="V37" s="343">
        <f ca="1">SUMIFS(es_pieces,es_prod_type_affinage,'SUIVI STOCKS PAR PAYSAN'!$D37,es_date_entree,"&gt;"&amp;date_inventaire,es_taille,'SUIVI STOCKS PAR PAYSAN'!$V$7)-SUMIFS(v_Pièces,v_Taille,'SUIVI STOCKS PAR PAYSAN'!$V$7,v_conc_prod_tye_affinage,'SUIVI STOCKS PAR PAYSAN'!$D37,v_Date_commande,"&gt;"&amp;date_inventaire)</f>
        <v>0</v>
      </c>
      <c r="W37" s="353">
        <f ca="1">SUMIFS(bddres_pieces,'BDD RESERVATIONS'!$G:$G,'SUIVI STOCKS PAR PAYSAN'!$V$7,bddres_c_prod_type_aff,'SUIVI STOCKS PAR PAYSAN'!$D37,'BDD RESERVATIONS'!$B:$B,"&gt;"&amp;date_inventaire)</f>
        <v>0</v>
      </c>
      <c r="X37" s="313">
        <f ca="1">SUMIFS(es_poids,es_prod_type_affinage,'SUIVI STOCKS PAR PAYSAN'!$E37,es_date_entree,"&gt;"&amp;date_inventaire)-SUMIFS(v_Poids,v_conc_prod_tye_affinage,'SUIVI STOCKS PAR PAYSAN'!$E37,v_Date_commande,"&gt;"&amp;date_inventaire)</f>
        <v>0</v>
      </c>
      <c r="Y37" s="341">
        <f ca="1">SUMIFS(bddres_c_qte,bddres_c_prod_type_aff,'SUIVI STOCKS PAR PAYSAN'!E37,'BDD RESERVATIONS'!$B:$B,"&gt;"&amp;date_inventaire)</f>
        <v>0</v>
      </c>
      <c r="Z37" s="342">
        <f ca="1">SUMIFS(bddres_pieces,es_prod_type_affinage,'SUIVI STOCKS PAR PAYSAN'!$E37,es_date_entree,"&gt;"&amp;date_inventaire,es_taille,'SUIVI STOCKS PAR PAYSAN'!$Z$7)-SUMIFS(v_Pièces,v_Taille,'SUIVI STOCKS PAR PAYSAN'!$Z$7,v_conc_prod_tye_affinage,'SUIVI STOCKS PAR PAYSAN'!$E37,v_Date_commande,"&gt;"&amp;date_inventaire)</f>
        <v>0</v>
      </c>
      <c r="AA37" s="342">
        <f ca="1">SUMIFS(bddres_pieces,'BDD RESERVATIONS'!$G:$G,'SUIVI STOCKS PAR PAYSAN'!$Z$7,bddres_c_prod_type_aff,'SUIVI STOCKS PAR PAYSAN'!$E37,'BDD RESERVATIONS'!$B:$B,"&gt;"&amp;date_inventaire)</f>
        <v>0</v>
      </c>
      <c r="AB37" s="343">
        <f ca="1">SUMIFS(es_pieces,es_prod_type_affinage,'SUIVI STOCKS PAR PAYSAN'!$E37,es_date_entree,"&gt;"&amp;date_inventaire,es_taille,'SUIVI STOCKS PAR PAYSAN'!$AB$7)-SUMIFS(v_Pièces,v_Taille,'SUIVI STOCKS PAR PAYSAN'!$AB$7,v_conc_prod_tye_affinage,'SUIVI STOCKS PAR PAYSAN'!$E37,v_Date_commande,"&gt;"&amp;date_inventaire)</f>
        <v>0</v>
      </c>
      <c r="AC37" s="353">
        <f ca="1">SUMIFS(bddres_pieces,'BDD RESERVATIONS'!$G:$G,'SUIVI STOCKS PAR PAYSAN'!$AB$7,bddres_c_prod_type_aff,'SUIVI STOCKS PAR PAYSAN'!$E37,'BDD RESERVATIONS'!$B:$B,"&gt;"&amp;date_inventaire)</f>
        <v>0</v>
      </c>
      <c r="AD37" s="313">
        <f ca="1">SUMIFS(es_poids,es_prod_type_affinage,'SUIVI STOCKS PAR PAYSAN'!$F37,es_date_entree,"&gt;"&amp;date_inventaire)-SUMIFS(v_Poids,v_conc_prod_tye_affinage,'SUIVI STOCKS PAR PAYSAN'!$F37,v_Date_commande,"&gt;"&amp;date_inventaire)</f>
        <v>0</v>
      </c>
      <c r="AE37" s="341">
        <f ca="1">SUMIFS(bddres_c_qte,bddres_c_prod_type_aff,'SUIVI STOCKS PAR PAYSAN'!F37,'BDD RESERVATIONS'!$B:$B,"&gt;"&amp;date_inventaire)</f>
        <v>0</v>
      </c>
      <c r="AF37" s="342">
        <f ca="1">SUMIFS(bddres_pieces,es_prod_type_affinage,'SUIVI STOCKS PAR PAYSAN'!$F37,es_date_entree,"&gt;"&amp;date_inventaire,es_taille,'SUIVI STOCKS PAR PAYSAN'!$Z$7)-SUMIFS(v_Pièces,v_Taille,'SUIVI STOCKS PAR PAYSAN'!$Z$7,v_conc_prod_tye_affinage,'SUIVI STOCKS PAR PAYSAN'!$F37,v_Date_commande,"&gt;"&amp;date_inventaire)</f>
        <v>0</v>
      </c>
      <c r="AG37" s="342">
        <f ca="1">SUMIFS(bddres_pieces,'BDD RESERVATIONS'!$G:$G,'SUIVI STOCKS PAR PAYSAN'!$Z$7,bddres_c_prod_type_aff,'SUIVI STOCKS PAR PAYSAN'!$F37,'BDD RESERVATIONS'!$B:$B,"&gt;"&amp;date_inventaire)</f>
        <v>0</v>
      </c>
      <c r="AH37" s="343">
        <f ca="1">SUMIFS(es_pieces,es_prod_type_affinage,'SUIVI STOCKS PAR PAYSAN'!$F37,es_date_entree,"&gt;"&amp;date_inventaire,es_taille,'SUIVI STOCKS PAR PAYSAN'!$AH$7)-SUMIFS(v_Pièces,v_Taille,'SUIVI STOCKS PAR PAYSAN'!$AH$7,v_conc_prod_tye_affinage,'SUIVI STOCKS PAR PAYSAN'!$F37,v_Date_commande,"&gt;"&amp;date_inventaire)</f>
        <v>0</v>
      </c>
      <c r="AI37" s="353">
        <f ca="1">SUMIFS(bddres_pieces,'BDD RESERVATIONS'!$G:$G,'SUIVI STOCKS PAR PAYSAN'!$AB$7,bddres_c_prod_type_aff,'SUIVI STOCKS PAR PAYSAN'!$F37,'BDD RESERVATIONS'!$B:$B,"&gt;"&amp;date_inventaire)</f>
        <v>0</v>
      </c>
      <c r="AJ37" s="352">
        <f ca="1">SUMIFS(es_poids,es_prod_type_affinage,'SUIVI STOCKS PAR PAYSAN'!$G37,es_date_entree,"&gt;"&amp;date_inventaire)-SUMIFS(v_Poids,v_conc_prod_tye_affinage,'SUIVI STOCKS PAR PAYSAN'!$G37,v_Date_commande,"&gt;"&amp;date_inventaire)</f>
        <v>0</v>
      </c>
      <c r="AK37" s="341">
        <f ca="1">SUMIFS(bddres_c_qte,bddres_c_prod_type_aff,'SUIVI STOCKS PAR PAYSAN'!G37,'BDD RESERVATIONS'!$B:$B,"&gt;"&amp;date_inventaire)</f>
        <v>0</v>
      </c>
      <c r="AL37" s="342">
        <f ca="1">SUMIFS(bddres_pieces,es_prod_type_affinage,'SUIVI STOCKS PAR PAYSAN'!$G37,es_date_entree,"&gt;"&amp;date_inventaire,es_taille,'SUIVI STOCKS PAR PAYSAN'!$AL$7)-SUMIFS(v_Pièces,v_Taille,'SUIVI STOCKS PAR PAYSAN'!$AL$7,v_conc_prod_tye_affinage,'SUIVI STOCKS PAR PAYSAN'!$G37,v_Date_commande,"&gt;"&amp;date_inventaire)</f>
        <v>0</v>
      </c>
      <c r="AM37" s="342">
        <f ca="1">SUMIFS(bddres_pieces,'BDD RESERVATIONS'!$G:$G,'SUIVI STOCKS PAR PAYSAN'!$AL$7,bddres_c_prod_type_aff,'SUIVI STOCKS PAR PAYSAN'!$G37,'BDD RESERVATIONS'!$B:$B,"&gt;"&amp;date_inventaire)</f>
        <v>0</v>
      </c>
      <c r="AN37" s="343">
        <f ca="1">SUMIFS(es_pieces,es_prod_type_affinage,'SUIVI STOCKS PAR PAYSAN'!$G37,es_date_entree,"&gt;"&amp;date_inventaire,es_taille,'SUIVI STOCKS PAR PAYSAN'!$AN$7)-SUMIFS(v_Pièces,v_Taille,'SUIVI STOCKS PAR PAYSAN'!$AN$7,v_conc_prod_tye_affinage,'SUIVI STOCKS PAR PAYSAN'!$G37,v_Date_commande,"&gt;"&amp;date_inventaire)</f>
        <v>0</v>
      </c>
      <c r="AO37" s="353">
        <f ca="1">SUMIFS(bddres_pieces,'BDD RESERVATIONS'!$G:$G,'SUIVI STOCKS PAR PAYSAN'!$AN$7,bddres_c_prod_type_aff,'SUIVI STOCKS PAR PAYSAN'!$G37,'BDD RESERVATIONS'!$B:$B,"&gt;"&amp;date_inventaire)</f>
        <v>0</v>
      </c>
      <c r="AP37" s="313">
        <f ca="1">SUMIFS(es_poids,es_prod_type_affinage,'SUIVI STOCKS PAR PAYSAN'!$H37,es_date_entree,"&gt;"&amp;date_inventaire)-SUMIFS(v_Poids,v_conc_prod_tye_affinage,'SUIVI STOCKS PAR PAYSAN'!$H37,v_Date_commande,"&gt;"&amp;date_inventaire)</f>
        <v>0</v>
      </c>
      <c r="AQ37" s="341">
        <f ca="1">SUMIFS(bddres_c_qte,bddres_c_prod_type_aff,'SUIVI STOCKS PAR PAYSAN'!H37,'BDD RESERVATIONS'!$B:$B,"&gt;"&amp;date_inventaire)</f>
        <v>0</v>
      </c>
      <c r="AR37" s="342">
        <f ca="1">SUMIFS(bddres_pieces,es_prod_type_affinage,'SUIVI STOCKS PAR PAYSAN'!$H37,es_date_entree,"&gt;"&amp;date_inventaire,es_taille,'SUIVI STOCKS PAR PAYSAN'!$AR$7)-SUMIFS(v_Pièces,v_Taille,'SUIVI STOCKS PAR PAYSAN'!$AR$7,v_conc_prod_tye_affinage,'SUIVI STOCKS PAR PAYSAN'!$H37,v_Date_commande,"&gt;"&amp;date_inventaire)</f>
        <v>0</v>
      </c>
      <c r="AS37" s="326">
        <f ca="1">SUMIFS(bddres_pieces,'BDD RESERVATIONS'!$G:$G,'SUIVI STOCKS PAR PAYSAN'!AR32,bddres_c_prod_type_aff,'SUIVI STOCKS PAR PAYSAN'!$H37,'BDD RESERVATIONS'!$B:$B,"&gt;"&amp;date_inventaire)</f>
        <v>0</v>
      </c>
      <c r="AT37" s="343">
        <f ca="1">SUMIFS(es_pieces,es_prod_type_affinage,'SUIVI STOCKS PAR PAYSAN'!$H37,es_date_entree,"&gt;"&amp;date_inventaire,es_taille,'SUIVI STOCKS PAR PAYSAN'!$AT$7)-SUMIFS(v_Pièces,v_Taille,'SUIVI STOCKS PAR PAYSAN'!$AT$7,v_conc_prod_tye_affinage,'SUIVI STOCKS PAR PAYSAN'!$H37,v_Date_commande,"&gt;"&amp;date_inventaire)</f>
        <v>0</v>
      </c>
      <c r="AU37" s="353">
        <f ca="1">SUMIFS(bddres_pieces,'BDD RESERVATIONS'!$G:$G,'SUIVI STOCKS PAR PAYSAN'!$AT$7,bddres_c_prod_type_aff,'SUIVI STOCKS PAR PAYSAN'!$H37,'BDD RESERVATIONS'!$B:$B,"&gt;"&amp;date_inventaire)</f>
        <v>0</v>
      </c>
      <c r="AV37" s="313">
        <f ca="1">SUMIFS(es_poids,es_prod_type_affinage,'SUIVI STOCKS PAR PAYSAN'!$I37,es_date_entree,"&gt;"&amp;date_inventaire)-SUMIFS(v_Poids,v_conc_prod_tye_affinage,'SUIVI STOCKS PAR PAYSAN'!$E37,v_Date_commande,"&gt;"&amp;date_inventaire)</f>
        <v>0</v>
      </c>
      <c r="AW37" s="313">
        <f ca="1">SUMIFS(bddres_c_qte,bddres_c_prod_type_aff,'SUIVI STOCKS PAR PAYSAN'!I37,'BDD RESERVATIONS'!$B:$B,"&gt;"&amp;date_inventaire)</f>
        <v>0</v>
      </c>
      <c r="AX37" s="342">
        <f ca="1">SUMIFS(bddres_pieces,es_prod_type_affinage,'SUIVI STOCKS PAR PAYSAN'!$I37,es_date_entree,"&gt;"&amp;date_inventaire,es_taille,'SUIVI STOCKS PAR PAYSAN'!$AX$7)-SUMIFS(v_Pièces,v_Taille,'SUIVI STOCKS PAR PAYSAN'!$AX$7,v_conc_prod_tye_affinage,'SUIVI STOCKS PAR PAYSAN'!$I37,v_Date_commande,"&gt;"&amp;date_inventaire)</f>
        <v>0</v>
      </c>
      <c r="AY37" s="342">
        <f ca="1">SUMIFS(bddres_pieces,'BDD RESERVATIONS'!$G:$G,'SUIVI STOCKS PAR PAYSAN'!$AX$7,bddres_c_prod_type_aff,'SUIVI STOCKS PAR PAYSAN'!$I37,'BDD RESERVATIONS'!$B:$B,"&gt;"&amp;date_inventaire)</f>
        <v>0</v>
      </c>
      <c r="AZ37" s="343">
        <f ca="1">SUMIFS(es_pieces,es_prod_type_affinage,'SUIVI STOCKS PAR PAYSAN'!$I37,es_date_entree,"&gt;"&amp;date_inventaire,es_taille,'SUIVI STOCKS PAR PAYSAN'!$AZ$7)-SUMIFS(v_Pièces,v_Taille,'SUIVI STOCKS PAR PAYSAN'!$AZ$7,v_conc_prod_tye_affinage,'SUIVI STOCKS PAR PAYSAN'!$I37,v_Date_commande,"&gt;"&amp;date_inventaire)</f>
        <v>0</v>
      </c>
      <c r="BA37" s="353">
        <f ca="1">SUMIFS(bddres_pieces,'BDD RESERVATIONS'!$G:$G,'SUIVI STOCKS PAR PAYSAN'!$AZ$7,bddres_c_prod_type_aff,'SUIVI STOCKS PAR PAYSAN'!$I37,'BDD RESERVATIONS'!$B:$B,"&gt;"&amp;date_inventaire)</f>
        <v>0</v>
      </c>
      <c r="BB37" s="313">
        <f ca="1">SUMIFS(es_poids,es_prod_type_affinage,'SUIVI STOCKS PAR PAYSAN'!$J37,es_date_entree,"&gt;"&amp;date_inventaire)-SUMIFS(v_Poids,v_conc_prod_tye_affinage,'SUIVI STOCKS PAR PAYSAN'!$J37,v_Date_commande,"&gt;"&amp;date_inventaire)</f>
        <v>0</v>
      </c>
      <c r="BC37" s="313">
        <f ca="1">SUMIFS(bddres_c_qte,bddres_c_prod_type_aff,'SUIVI STOCKS PAR PAYSAN'!J37,'BDD RESERVATIONS'!$B:$B,"&gt;"&amp;date_inventaire)</f>
        <v>0</v>
      </c>
      <c r="BD37" s="342">
        <f ca="1">SUMIFS(bddres_pieces,es_prod_type_affinage,'SUIVI STOCKS PAR PAYSAN'!$J37,es_date_entree,"&gt;"&amp;date_inventaire,es_taille,'SUIVI STOCKS PAR PAYSAN'!$BD$7)-SUMIFS(v_Pièces,v_Taille,'SUIVI STOCKS PAR PAYSAN'!$BD$7,v_conc_prod_tye_affinage,'SUIVI STOCKS PAR PAYSAN'!$J37,v_Date_commande,"&gt;"&amp;date_inventaire)</f>
        <v>0</v>
      </c>
      <c r="BE37" s="326">
        <f ca="1">SUMIFS(bddres_pieces,'BDD RESERVATIONS'!$G:$G,'SUIVI STOCKS PAR PAYSAN'!BD32,bddres_c_prod_type_aff,'SUIVI STOCKS PAR PAYSAN'!J37,'BDD RESERVATIONS'!$B:$B,"&gt;"&amp;date_inventaire)</f>
        <v>0</v>
      </c>
      <c r="BF37" s="343">
        <f ca="1">SUMIFS(es_pieces,es_prod_type_affinage,'SUIVI STOCKS PAR PAYSAN'!J37,es_date_entree,"&gt;"&amp;date_inventaire,es_taille,'SUIVI STOCKS PAR PAYSAN'!$BF$7)-SUMIFS(v_Pièces,v_Taille,'SUIVI STOCKS PAR PAYSAN'!$BF$7,v_conc_prod_tye_affinage,'SUIVI STOCKS PAR PAYSAN'!J37,v_Date_commande,"&gt;"&amp;date_inventaire)</f>
        <v>0</v>
      </c>
      <c r="BG37" s="353">
        <f ca="1">SUMIFS(bddres_pieces,'BDD RESERVATIONS'!$G:$G,'SUIVI STOCKS PAR PAYSAN'!$BF$7,bddres_c_prod_type_aff,'SUIVI STOCKS PAR PAYSAN'!J37,'BDD RESERVATIONS'!$B:$B,"&gt;"&amp;date_inventaire)</f>
        <v>0</v>
      </c>
    </row>
    <row r="38" spans="1:59" ht="18.75" customHeight="1" x14ac:dyDescent="0.25">
      <c r="A38" s="331">
        <f ca="1">OFFSET('BDD PAYSANS'!$B$1,B38,0,1,1)</f>
        <v>0</v>
      </c>
      <c r="B38" s="325">
        <v>27</v>
      </c>
      <c r="C38" s="325" t="str">
        <f t="shared" ca="1" si="2"/>
        <v>0FERMIER&lt;3 mois</v>
      </c>
      <c r="D38" s="325" t="str">
        <f t="shared" ca="1" si="2"/>
        <v>0FERMIER3-6 mois</v>
      </c>
      <c r="E38" s="325" t="str">
        <f t="shared" ca="1" si="2"/>
        <v>0FERMIER6-9 mois</v>
      </c>
      <c r="F38" s="325" t="str">
        <f t="shared" ca="1" si="2"/>
        <v>0FERMIER&gt;9 mois</v>
      </c>
      <c r="G38" s="325" t="str">
        <f t="shared" ca="1" si="2"/>
        <v>0ESTIVE&lt;3 mois</v>
      </c>
      <c r="H38" s="325" t="str">
        <f t="shared" ca="1" si="2"/>
        <v>0ESTIVE3-6 mois</v>
      </c>
      <c r="I38" s="325" t="str">
        <f t="shared" ca="1" si="2"/>
        <v>0ESTIVE6-9 mois</v>
      </c>
      <c r="J38" s="325" t="str">
        <f t="shared" ca="1" si="2"/>
        <v>0ESTIVE&gt;9 mois</v>
      </c>
      <c r="K38" s="325"/>
      <c r="L38" s="352">
        <f ca="1">SUMIFS(es_poids,es_prod_type_affinage,'SUIVI STOCKS PAR PAYSAN'!$C38,es_date_entree,"&gt;"&amp;date_inventaire)-SUMIFS(v_Poids,v_conc_prod_tye_affinage,'SUIVI STOCKS PAR PAYSAN'!$C38,v_Date_commande,"&gt;"&amp;date_inventaire)</f>
        <v>0</v>
      </c>
      <c r="M38" s="341">
        <f ca="1">SUMIFS(bddres_c_qte,bddres_c_prod_type_aff,'SUIVI STOCKS PAR PAYSAN'!C38,'BDD RESERVATIONS'!$B:$B,"&gt;"&amp;date_inventaire)</f>
        <v>0</v>
      </c>
      <c r="N38" s="342">
        <f ca="1">SUMIFS(bddres_pieces,es_prod_type_affinage,'SUIVI STOCKS PAR PAYSAN'!$C38,es_date_entree,"&gt;"&amp;date_inventaire,es_taille,'SUIVI STOCKS PAR PAYSAN'!$N$7)-SUMIFS(v_Pièces,v_Taille,'SUIVI STOCKS PAR PAYSAN'!$N$7,v_conc_prod_tye_affinage,'SUIVI STOCKS PAR PAYSAN'!$C38,v_Date_commande,"&gt;"&amp;date_inventaire)</f>
        <v>0</v>
      </c>
      <c r="O38" s="342">
        <f ca="1">SUMIFS(bddres_pieces,'BDD RESERVATIONS'!$G:$G,'SUIVI STOCKS PAR PAYSAN'!$N$7,bddres_c_prod_type_aff,'SUIVI STOCKS PAR PAYSAN'!$C38,'BDD RESERVATIONS'!$B:$B,"&gt;"&amp;date_inventaire)</f>
        <v>0</v>
      </c>
      <c r="P38" s="343">
        <f ca="1">SUMIFS(es_pieces,es_prod_type_affinage,'SUIVI STOCKS PAR PAYSAN'!$C38,es_date_entree,"&gt;"&amp;date_inventaire,es_taille,'SUIVI STOCKS PAR PAYSAN'!$P$7)-SUMIFS(v_Pièces,v_Taille,'SUIVI STOCKS PAR PAYSAN'!$P$7,v_conc_prod_tye_affinage,'SUIVI STOCKS PAR PAYSAN'!$C38,v_Date_commande,"&gt;"&amp;date_inventaire)</f>
        <v>0</v>
      </c>
      <c r="Q38" s="353">
        <f ca="1">SUMIFS(bddres_pieces,'BDD RESERVATIONS'!$G:$G,'SUIVI STOCKS PAR PAYSAN'!$P$7,bddres_c_prod_type_aff,'SUIVI STOCKS PAR PAYSAN'!$C38,'BDD RESERVATIONS'!$B:$B,"&gt;"&amp;date_inventaire)</f>
        <v>0</v>
      </c>
      <c r="R38" s="340">
        <f ca="1">SUMIFS(es_poids,es_prod_type_affinage,'SUIVI STOCKS PAR PAYSAN'!$D38,es_date_entree,"&gt;"&amp;date_inventaire)-SUMIFS(v_Poids,v_conc_prod_tye_affinage,'SUIVI STOCKS PAR PAYSAN'!$D38,v_Date_commande,"&gt;"&amp;date_inventaire)</f>
        <v>0</v>
      </c>
      <c r="S38" s="341">
        <f ca="1">SUMIFS(bddres_c_qte,bddres_c_prod_type_aff,'SUIVI STOCKS PAR PAYSAN'!D38,'BDD RESERVATIONS'!$B:$B,"&gt;"&amp;date_inventaire)</f>
        <v>0</v>
      </c>
      <c r="T38" s="342">
        <f ca="1">SUMIFS(bddres_pieces,es_prod_type_affinage,'SUIVI STOCKS PAR PAYSAN'!$D38,es_date_entree,"&gt;"&amp;date_inventaire,es_taille,'SUIVI STOCKS PAR PAYSAN'!$T$7)-SUMIFS(v_Pièces,v_Taille,'SUIVI STOCKS PAR PAYSAN'!$T$7,v_conc_prod_tye_affinage,'SUIVI STOCKS PAR PAYSAN'!$D38,v_Date_commande,"&gt;"&amp;date_inventaire)</f>
        <v>0</v>
      </c>
      <c r="U38" s="342">
        <f ca="1">SUMIFS(bddres_pieces,'BDD RESERVATIONS'!$G:$G,'SUIVI STOCKS PAR PAYSAN'!$T$7,bddres_c_prod_type_aff,'SUIVI STOCKS PAR PAYSAN'!$D38,'BDD RESERVATIONS'!$B:$B,"&gt;"&amp;date_inventaire)</f>
        <v>0</v>
      </c>
      <c r="V38" s="343">
        <f ca="1">SUMIFS(es_pieces,es_prod_type_affinage,'SUIVI STOCKS PAR PAYSAN'!$D38,es_date_entree,"&gt;"&amp;date_inventaire,es_taille,'SUIVI STOCKS PAR PAYSAN'!$V$7)-SUMIFS(v_Pièces,v_Taille,'SUIVI STOCKS PAR PAYSAN'!$V$7,v_conc_prod_tye_affinage,'SUIVI STOCKS PAR PAYSAN'!$D38,v_Date_commande,"&gt;"&amp;date_inventaire)</f>
        <v>0</v>
      </c>
      <c r="W38" s="353">
        <f ca="1">SUMIFS(bddres_pieces,'BDD RESERVATIONS'!$G:$G,'SUIVI STOCKS PAR PAYSAN'!$V$7,bddres_c_prod_type_aff,'SUIVI STOCKS PAR PAYSAN'!$D38,'BDD RESERVATIONS'!$B:$B,"&gt;"&amp;date_inventaire)</f>
        <v>0</v>
      </c>
      <c r="X38" s="313">
        <f ca="1">SUMIFS(es_poids,es_prod_type_affinage,'SUIVI STOCKS PAR PAYSAN'!$E38,es_date_entree,"&gt;"&amp;date_inventaire)-SUMIFS(v_Poids,v_conc_prod_tye_affinage,'SUIVI STOCKS PAR PAYSAN'!$E38,v_Date_commande,"&gt;"&amp;date_inventaire)</f>
        <v>0</v>
      </c>
      <c r="Y38" s="341">
        <f ca="1">SUMIFS(bddres_c_qte,bddres_c_prod_type_aff,'SUIVI STOCKS PAR PAYSAN'!E38,'BDD RESERVATIONS'!$B:$B,"&gt;"&amp;date_inventaire)</f>
        <v>0</v>
      </c>
      <c r="Z38" s="342">
        <f ca="1">SUMIFS(bddres_pieces,es_prod_type_affinage,'SUIVI STOCKS PAR PAYSAN'!$E38,es_date_entree,"&gt;"&amp;date_inventaire,es_taille,'SUIVI STOCKS PAR PAYSAN'!$Z$7)-SUMIFS(v_Pièces,v_Taille,'SUIVI STOCKS PAR PAYSAN'!$Z$7,v_conc_prod_tye_affinage,'SUIVI STOCKS PAR PAYSAN'!$E38,v_Date_commande,"&gt;"&amp;date_inventaire)</f>
        <v>0</v>
      </c>
      <c r="AA38" s="342">
        <f ca="1">SUMIFS(bddres_pieces,'BDD RESERVATIONS'!$G:$G,'SUIVI STOCKS PAR PAYSAN'!$Z$7,bddres_c_prod_type_aff,'SUIVI STOCKS PAR PAYSAN'!$E38,'BDD RESERVATIONS'!$B:$B,"&gt;"&amp;date_inventaire)</f>
        <v>0</v>
      </c>
      <c r="AB38" s="343">
        <f ca="1">SUMIFS(es_pieces,es_prod_type_affinage,'SUIVI STOCKS PAR PAYSAN'!$E38,es_date_entree,"&gt;"&amp;date_inventaire,es_taille,'SUIVI STOCKS PAR PAYSAN'!$AB$7)-SUMIFS(v_Pièces,v_Taille,'SUIVI STOCKS PAR PAYSAN'!$AB$7,v_conc_prod_tye_affinage,'SUIVI STOCKS PAR PAYSAN'!$E38,v_Date_commande,"&gt;"&amp;date_inventaire)</f>
        <v>0</v>
      </c>
      <c r="AC38" s="353">
        <f ca="1">SUMIFS(bddres_pieces,'BDD RESERVATIONS'!$G:$G,'SUIVI STOCKS PAR PAYSAN'!$AB$7,bddres_c_prod_type_aff,'SUIVI STOCKS PAR PAYSAN'!$E38,'BDD RESERVATIONS'!$B:$B,"&gt;"&amp;date_inventaire)</f>
        <v>0</v>
      </c>
      <c r="AD38" s="313">
        <f ca="1">SUMIFS(es_poids,es_prod_type_affinage,'SUIVI STOCKS PAR PAYSAN'!$F38,es_date_entree,"&gt;"&amp;date_inventaire)-SUMIFS(v_Poids,v_conc_prod_tye_affinage,'SUIVI STOCKS PAR PAYSAN'!$F38,v_Date_commande,"&gt;"&amp;date_inventaire)</f>
        <v>0</v>
      </c>
      <c r="AE38" s="341">
        <f ca="1">SUMIFS(bddres_c_qte,bddres_c_prod_type_aff,'SUIVI STOCKS PAR PAYSAN'!F38,'BDD RESERVATIONS'!$B:$B,"&gt;"&amp;date_inventaire)</f>
        <v>0</v>
      </c>
      <c r="AF38" s="342">
        <f ca="1">SUMIFS(bddres_pieces,es_prod_type_affinage,'SUIVI STOCKS PAR PAYSAN'!$F38,es_date_entree,"&gt;"&amp;date_inventaire,es_taille,'SUIVI STOCKS PAR PAYSAN'!$Z$7)-SUMIFS(v_Pièces,v_Taille,'SUIVI STOCKS PAR PAYSAN'!$Z$7,v_conc_prod_tye_affinage,'SUIVI STOCKS PAR PAYSAN'!$F38,v_Date_commande,"&gt;"&amp;date_inventaire)</f>
        <v>0</v>
      </c>
      <c r="AG38" s="342">
        <f ca="1">SUMIFS(bddres_pieces,'BDD RESERVATIONS'!$G:$G,'SUIVI STOCKS PAR PAYSAN'!$Z$7,bddres_c_prod_type_aff,'SUIVI STOCKS PAR PAYSAN'!$F38,'BDD RESERVATIONS'!$B:$B,"&gt;"&amp;date_inventaire)</f>
        <v>0</v>
      </c>
      <c r="AH38" s="343">
        <f ca="1">SUMIFS(es_pieces,es_prod_type_affinage,'SUIVI STOCKS PAR PAYSAN'!$F38,es_date_entree,"&gt;"&amp;date_inventaire,es_taille,'SUIVI STOCKS PAR PAYSAN'!$AH$7)-SUMIFS(v_Pièces,v_Taille,'SUIVI STOCKS PAR PAYSAN'!$AH$7,v_conc_prod_tye_affinage,'SUIVI STOCKS PAR PAYSAN'!$F38,v_Date_commande,"&gt;"&amp;date_inventaire)</f>
        <v>0</v>
      </c>
      <c r="AI38" s="353">
        <f ca="1">SUMIFS(bddres_pieces,'BDD RESERVATIONS'!$G:$G,'SUIVI STOCKS PAR PAYSAN'!$AB$7,bddres_c_prod_type_aff,'SUIVI STOCKS PAR PAYSAN'!$F38,'BDD RESERVATIONS'!$B:$B,"&gt;"&amp;date_inventaire)</f>
        <v>0</v>
      </c>
      <c r="AJ38" s="352">
        <f ca="1">SUMIFS(es_poids,es_prod_type_affinage,'SUIVI STOCKS PAR PAYSAN'!$G38,es_date_entree,"&gt;"&amp;date_inventaire)-SUMIFS(v_Poids,v_conc_prod_tye_affinage,'SUIVI STOCKS PAR PAYSAN'!$G38,v_Date_commande,"&gt;"&amp;date_inventaire)</f>
        <v>0</v>
      </c>
      <c r="AK38" s="341">
        <f ca="1">SUMIFS(bddres_c_qte,bddres_c_prod_type_aff,'SUIVI STOCKS PAR PAYSAN'!G38,'BDD RESERVATIONS'!$B:$B,"&gt;"&amp;date_inventaire)</f>
        <v>0</v>
      </c>
      <c r="AL38" s="342">
        <f ca="1">SUMIFS(bddres_pieces,es_prod_type_affinage,'SUIVI STOCKS PAR PAYSAN'!$G38,es_date_entree,"&gt;"&amp;date_inventaire,es_taille,'SUIVI STOCKS PAR PAYSAN'!$AL$7)-SUMIFS(v_Pièces,v_Taille,'SUIVI STOCKS PAR PAYSAN'!$AL$7,v_conc_prod_tye_affinage,'SUIVI STOCKS PAR PAYSAN'!$G38,v_Date_commande,"&gt;"&amp;date_inventaire)</f>
        <v>0</v>
      </c>
      <c r="AM38" s="342">
        <f ca="1">SUMIFS(bddres_pieces,'BDD RESERVATIONS'!$G:$G,'SUIVI STOCKS PAR PAYSAN'!$AL$7,bddres_c_prod_type_aff,'SUIVI STOCKS PAR PAYSAN'!$G38,'BDD RESERVATIONS'!$B:$B,"&gt;"&amp;date_inventaire)</f>
        <v>0</v>
      </c>
      <c r="AN38" s="343">
        <f ca="1">SUMIFS(es_pieces,es_prod_type_affinage,'SUIVI STOCKS PAR PAYSAN'!$G38,es_date_entree,"&gt;"&amp;date_inventaire,es_taille,'SUIVI STOCKS PAR PAYSAN'!$AN$7)-SUMIFS(v_Pièces,v_Taille,'SUIVI STOCKS PAR PAYSAN'!$AN$7,v_conc_prod_tye_affinage,'SUIVI STOCKS PAR PAYSAN'!$G38,v_Date_commande,"&gt;"&amp;date_inventaire)</f>
        <v>0</v>
      </c>
      <c r="AO38" s="353">
        <f ca="1">SUMIFS(bddres_pieces,'BDD RESERVATIONS'!$G:$G,'SUIVI STOCKS PAR PAYSAN'!$AN$7,bddres_c_prod_type_aff,'SUIVI STOCKS PAR PAYSAN'!$G38,'BDD RESERVATIONS'!$B:$B,"&gt;"&amp;date_inventaire)</f>
        <v>0</v>
      </c>
      <c r="AP38" s="313">
        <f ca="1">SUMIFS(es_poids,es_prod_type_affinage,'SUIVI STOCKS PAR PAYSAN'!$H38,es_date_entree,"&gt;"&amp;date_inventaire)-SUMIFS(v_Poids,v_conc_prod_tye_affinage,'SUIVI STOCKS PAR PAYSAN'!$H38,v_Date_commande,"&gt;"&amp;date_inventaire)</f>
        <v>0</v>
      </c>
      <c r="AQ38" s="341">
        <f ca="1">SUMIFS(bddres_c_qte,bddres_c_prod_type_aff,'SUIVI STOCKS PAR PAYSAN'!H38,'BDD RESERVATIONS'!$B:$B,"&gt;"&amp;date_inventaire)</f>
        <v>0</v>
      </c>
      <c r="AR38" s="342">
        <f ca="1">SUMIFS(bddres_pieces,es_prod_type_affinage,'SUIVI STOCKS PAR PAYSAN'!$H38,es_date_entree,"&gt;"&amp;date_inventaire,es_taille,'SUIVI STOCKS PAR PAYSAN'!$AR$7)-SUMIFS(v_Pièces,v_Taille,'SUIVI STOCKS PAR PAYSAN'!$AR$7,v_conc_prod_tye_affinage,'SUIVI STOCKS PAR PAYSAN'!$H38,v_Date_commande,"&gt;"&amp;date_inventaire)</f>
        <v>0</v>
      </c>
      <c r="AS38" s="326">
        <f ca="1">SUMIFS(bddres_pieces,'BDD RESERVATIONS'!$G:$G,'SUIVI STOCKS PAR PAYSAN'!AR33,bddres_c_prod_type_aff,'SUIVI STOCKS PAR PAYSAN'!$H38,'BDD RESERVATIONS'!$B:$B,"&gt;"&amp;date_inventaire)</f>
        <v>0</v>
      </c>
      <c r="AT38" s="343">
        <f ca="1">SUMIFS(es_pieces,es_prod_type_affinage,'SUIVI STOCKS PAR PAYSAN'!$H38,es_date_entree,"&gt;"&amp;date_inventaire,es_taille,'SUIVI STOCKS PAR PAYSAN'!$AT$7)-SUMIFS(v_Pièces,v_Taille,'SUIVI STOCKS PAR PAYSAN'!$AT$7,v_conc_prod_tye_affinage,'SUIVI STOCKS PAR PAYSAN'!$H38,v_Date_commande,"&gt;"&amp;date_inventaire)</f>
        <v>0</v>
      </c>
      <c r="AU38" s="353">
        <f ca="1">SUMIFS(bddres_pieces,'BDD RESERVATIONS'!$G:$G,'SUIVI STOCKS PAR PAYSAN'!$AT$7,bddres_c_prod_type_aff,'SUIVI STOCKS PAR PAYSAN'!$H38,'BDD RESERVATIONS'!$B:$B,"&gt;"&amp;date_inventaire)</f>
        <v>0</v>
      </c>
      <c r="AV38" s="313">
        <f ca="1">SUMIFS(es_poids,es_prod_type_affinage,'SUIVI STOCKS PAR PAYSAN'!$I38,es_date_entree,"&gt;"&amp;date_inventaire)-SUMIFS(v_Poids,v_conc_prod_tye_affinage,'SUIVI STOCKS PAR PAYSAN'!$E38,v_Date_commande,"&gt;"&amp;date_inventaire)</f>
        <v>0</v>
      </c>
      <c r="AW38" s="313">
        <f ca="1">SUMIFS(bddres_c_qte,bddres_c_prod_type_aff,'SUIVI STOCKS PAR PAYSAN'!I38,'BDD RESERVATIONS'!$B:$B,"&gt;"&amp;date_inventaire)</f>
        <v>0</v>
      </c>
      <c r="AX38" s="342">
        <f ca="1">SUMIFS(bddres_pieces,es_prod_type_affinage,'SUIVI STOCKS PAR PAYSAN'!$I38,es_date_entree,"&gt;"&amp;date_inventaire,es_taille,'SUIVI STOCKS PAR PAYSAN'!$AX$7)-SUMIFS(v_Pièces,v_Taille,'SUIVI STOCKS PAR PAYSAN'!$AX$7,v_conc_prod_tye_affinage,'SUIVI STOCKS PAR PAYSAN'!$I38,v_Date_commande,"&gt;"&amp;date_inventaire)</f>
        <v>0</v>
      </c>
      <c r="AY38" s="342">
        <f ca="1">SUMIFS(bddres_pieces,'BDD RESERVATIONS'!$G:$G,'SUIVI STOCKS PAR PAYSAN'!$AX$7,bddres_c_prod_type_aff,'SUIVI STOCKS PAR PAYSAN'!$I38,'BDD RESERVATIONS'!$B:$B,"&gt;"&amp;date_inventaire)</f>
        <v>0</v>
      </c>
      <c r="AZ38" s="343">
        <f ca="1">SUMIFS(es_pieces,es_prod_type_affinage,'SUIVI STOCKS PAR PAYSAN'!$I38,es_date_entree,"&gt;"&amp;date_inventaire,es_taille,'SUIVI STOCKS PAR PAYSAN'!$AZ$7)-SUMIFS(v_Pièces,v_Taille,'SUIVI STOCKS PAR PAYSAN'!$AZ$7,v_conc_prod_tye_affinage,'SUIVI STOCKS PAR PAYSAN'!$I38,v_Date_commande,"&gt;"&amp;date_inventaire)</f>
        <v>0</v>
      </c>
      <c r="BA38" s="353">
        <f ca="1">SUMIFS(bddres_pieces,'BDD RESERVATIONS'!$G:$G,'SUIVI STOCKS PAR PAYSAN'!$AZ$7,bddres_c_prod_type_aff,'SUIVI STOCKS PAR PAYSAN'!$I38,'BDD RESERVATIONS'!$B:$B,"&gt;"&amp;date_inventaire)</f>
        <v>0</v>
      </c>
      <c r="BB38" s="313">
        <f ca="1">SUMIFS(es_poids,es_prod_type_affinage,'SUIVI STOCKS PAR PAYSAN'!$J38,es_date_entree,"&gt;"&amp;date_inventaire)-SUMIFS(v_Poids,v_conc_prod_tye_affinage,'SUIVI STOCKS PAR PAYSAN'!$J38,v_Date_commande,"&gt;"&amp;date_inventaire)</f>
        <v>0</v>
      </c>
      <c r="BC38" s="313">
        <f ca="1">SUMIFS(bddres_c_qte,bddres_c_prod_type_aff,'SUIVI STOCKS PAR PAYSAN'!J38,'BDD RESERVATIONS'!$B:$B,"&gt;"&amp;date_inventaire)</f>
        <v>0</v>
      </c>
      <c r="BD38" s="342">
        <f ca="1">SUMIFS(bddres_pieces,es_prod_type_affinage,'SUIVI STOCKS PAR PAYSAN'!$J38,es_date_entree,"&gt;"&amp;date_inventaire,es_taille,'SUIVI STOCKS PAR PAYSAN'!$BD$7)-SUMIFS(v_Pièces,v_Taille,'SUIVI STOCKS PAR PAYSAN'!$BD$7,v_conc_prod_tye_affinage,'SUIVI STOCKS PAR PAYSAN'!$J38,v_Date_commande,"&gt;"&amp;date_inventaire)</f>
        <v>0</v>
      </c>
      <c r="BE38" s="326">
        <f ca="1">SUMIFS(bddres_pieces,'BDD RESERVATIONS'!$G:$G,'SUIVI STOCKS PAR PAYSAN'!BD33,bddres_c_prod_type_aff,'SUIVI STOCKS PAR PAYSAN'!J38,'BDD RESERVATIONS'!$B:$B,"&gt;"&amp;date_inventaire)</f>
        <v>0</v>
      </c>
      <c r="BF38" s="343">
        <f ca="1">SUMIFS(es_pieces,es_prod_type_affinage,'SUIVI STOCKS PAR PAYSAN'!J38,es_date_entree,"&gt;"&amp;date_inventaire,es_taille,'SUIVI STOCKS PAR PAYSAN'!$BF$7)-SUMIFS(v_Pièces,v_Taille,'SUIVI STOCKS PAR PAYSAN'!$BF$7,v_conc_prod_tye_affinage,'SUIVI STOCKS PAR PAYSAN'!J38,v_Date_commande,"&gt;"&amp;date_inventaire)</f>
        <v>0</v>
      </c>
      <c r="BG38" s="353">
        <f ca="1">SUMIFS(bddres_pieces,'BDD RESERVATIONS'!$G:$G,'SUIVI STOCKS PAR PAYSAN'!$BF$7,bddres_c_prod_type_aff,'SUIVI STOCKS PAR PAYSAN'!J38,'BDD RESERVATIONS'!$B:$B,"&gt;"&amp;date_inventaire)</f>
        <v>0</v>
      </c>
    </row>
    <row r="39" spans="1:59" ht="18.75" customHeight="1" x14ac:dyDescent="0.25">
      <c r="A39" s="331">
        <f ca="1">OFFSET('BDD PAYSANS'!$B$1,B39,0,1,1)</f>
        <v>0</v>
      </c>
      <c r="B39" s="325">
        <v>28</v>
      </c>
      <c r="C39" s="325" t="str">
        <f t="shared" ca="1" si="2"/>
        <v>0FERMIER&lt;3 mois</v>
      </c>
      <c r="D39" s="325" t="str">
        <f t="shared" ca="1" si="2"/>
        <v>0FERMIER3-6 mois</v>
      </c>
      <c r="E39" s="325" t="str">
        <f t="shared" ca="1" si="2"/>
        <v>0FERMIER6-9 mois</v>
      </c>
      <c r="F39" s="325" t="str">
        <f t="shared" ca="1" si="2"/>
        <v>0FERMIER&gt;9 mois</v>
      </c>
      <c r="G39" s="325" t="str">
        <f t="shared" ca="1" si="2"/>
        <v>0ESTIVE&lt;3 mois</v>
      </c>
      <c r="H39" s="325" t="str">
        <f t="shared" ca="1" si="2"/>
        <v>0ESTIVE3-6 mois</v>
      </c>
      <c r="I39" s="325" t="str">
        <f t="shared" ca="1" si="2"/>
        <v>0ESTIVE6-9 mois</v>
      </c>
      <c r="J39" s="325" t="str">
        <f t="shared" ca="1" si="2"/>
        <v>0ESTIVE&gt;9 mois</v>
      </c>
      <c r="K39" s="325"/>
      <c r="L39" s="352">
        <f ca="1">SUMIFS(es_poids,es_prod_type_affinage,'SUIVI STOCKS PAR PAYSAN'!$C39,es_date_entree,"&gt;"&amp;date_inventaire)-SUMIFS(v_Poids,v_conc_prod_tye_affinage,'SUIVI STOCKS PAR PAYSAN'!$C39,v_Date_commande,"&gt;"&amp;date_inventaire)</f>
        <v>0</v>
      </c>
      <c r="M39" s="341">
        <f ca="1">SUMIFS(bddres_c_qte,bddres_c_prod_type_aff,'SUIVI STOCKS PAR PAYSAN'!C39,'BDD RESERVATIONS'!$B:$B,"&gt;"&amp;date_inventaire)</f>
        <v>0</v>
      </c>
      <c r="N39" s="342">
        <f ca="1">SUMIFS(bddres_pieces,es_prod_type_affinage,'SUIVI STOCKS PAR PAYSAN'!$C39,es_date_entree,"&gt;"&amp;date_inventaire,es_taille,'SUIVI STOCKS PAR PAYSAN'!$N$7)-SUMIFS(v_Pièces,v_Taille,'SUIVI STOCKS PAR PAYSAN'!$N$7,v_conc_prod_tye_affinage,'SUIVI STOCKS PAR PAYSAN'!$C39,v_Date_commande,"&gt;"&amp;date_inventaire)</f>
        <v>0</v>
      </c>
      <c r="O39" s="342">
        <f ca="1">SUMIFS(bddres_pieces,'BDD RESERVATIONS'!$G:$G,'SUIVI STOCKS PAR PAYSAN'!$N$7,bddres_c_prod_type_aff,'SUIVI STOCKS PAR PAYSAN'!$C39,'BDD RESERVATIONS'!$B:$B,"&gt;"&amp;date_inventaire)</f>
        <v>0</v>
      </c>
      <c r="P39" s="343">
        <f ca="1">SUMIFS(es_pieces,es_prod_type_affinage,'SUIVI STOCKS PAR PAYSAN'!$C39,es_date_entree,"&gt;"&amp;date_inventaire,es_taille,'SUIVI STOCKS PAR PAYSAN'!$P$7)-SUMIFS(v_Pièces,v_Taille,'SUIVI STOCKS PAR PAYSAN'!$P$7,v_conc_prod_tye_affinage,'SUIVI STOCKS PAR PAYSAN'!$C39,v_Date_commande,"&gt;"&amp;date_inventaire)</f>
        <v>0</v>
      </c>
      <c r="Q39" s="353">
        <f ca="1">SUMIFS(bddres_pieces,'BDD RESERVATIONS'!$G:$G,'SUIVI STOCKS PAR PAYSAN'!$P$7,bddres_c_prod_type_aff,'SUIVI STOCKS PAR PAYSAN'!$C39,'BDD RESERVATIONS'!$B:$B,"&gt;"&amp;date_inventaire)</f>
        <v>0</v>
      </c>
      <c r="R39" s="340">
        <f ca="1">SUMIFS(es_poids,es_prod_type_affinage,'SUIVI STOCKS PAR PAYSAN'!$D39,es_date_entree,"&gt;"&amp;date_inventaire)-SUMIFS(v_Poids,v_conc_prod_tye_affinage,'SUIVI STOCKS PAR PAYSAN'!$D39,v_Date_commande,"&gt;"&amp;date_inventaire)</f>
        <v>0</v>
      </c>
      <c r="S39" s="341">
        <f ca="1">SUMIFS(bddres_c_qte,bddres_c_prod_type_aff,'SUIVI STOCKS PAR PAYSAN'!D39,'BDD RESERVATIONS'!$B:$B,"&gt;"&amp;date_inventaire)</f>
        <v>0</v>
      </c>
      <c r="T39" s="342">
        <f ca="1">SUMIFS(bddres_pieces,es_prod_type_affinage,'SUIVI STOCKS PAR PAYSAN'!$D39,es_date_entree,"&gt;"&amp;date_inventaire,es_taille,'SUIVI STOCKS PAR PAYSAN'!$T$7)-SUMIFS(v_Pièces,v_Taille,'SUIVI STOCKS PAR PAYSAN'!$T$7,v_conc_prod_tye_affinage,'SUIVI STOCKS PAR PAYSAN'!$D39,v_Date_commande,"&gt;"&amp;date_inventaire)</f>
        <v>0</v>
      </c>
      <c r="U39" s="342">
        <f ca="1">SUMIFS(bddres_pieces,'BDD RESERVATIONS'!$G:$G,'SUIVI STOCKS PAR PAYSAN'!$T$7,bddres_c_prod_type_aff,'SUIVI STOCKS PAR PAYSAN'!$D39,'BDD RESERVATIONS'!$B:$B,"&gt;"&amp;date_inventaire)</f>
        <v>0</v>
      </c>
      <c r="V39" s="343">
        <f ca="1">SUMIFS(es_pieces,es_prod_type_affinage,'SUIVI STOCKS PAR PAYSAN'!$D39,es_date_entree,"&gt;"&amp;date_inventaire,es_taille,'SUIVI STOCKS PAR PAYSAN'!$V$7)-SUMIFS(v_Pièces,v_Taille,'SUIVI STOCKS PAR PAYSAN'!$V$7,v_conc_prod_tye_affinage,'SUIVI STOCKS PAR PAYSAN'!$D39,v_Date_commande,"&gt;"&amp;date_inventaire)</f>
        <v>0</v>
      </c>
      <c r="W39" s="353">
        <f ca="1">SUMIFS(bddres_pieces,'BDD RESERVATIONS'!$G:$G,'SUIVI STOCKS PAR PAYSAN'!$V$7,bddres_c_prod_type_aff,'SUIVI STOCKS PAR PAYSAN'!$D39,'BDD RESERVATIONS'!$B:$B,"&gt;"&amp;date_inventaire)</f>
        <v>0</v>
      </c>
      <c r="X39" s="313">
        <f ca="1">SUMIFS(es_poids,es_prod_type_affinage,'SUIVI STOCKS PAR PAYSAN'!$E39,es_date_entree,"&gt;"&amp;date_inventaire)-SUMIFS(v_Poids,v_conc_prod_tye_affinage,'SUIVI STOCKS PAR PAYSAN'!$E39,v_Date_commande,"&gt;"&amp;date_inventaire)</f>
        <v>0</v>
      </c>
      <c r="Y39" s="341">
        <f ca="1">SUMIFS(bddres_c_qte,bddres_c_prod_type_aff,'SUIVI STOCKS PAR PAYSAN'!E39,'BDD RESERVATIONS'!$B:$B,"&gt;"&amp;date_inventaire)</f>
        <v>0</v>
      </c>
      <c r="Z39" s="342">
        <f ca="1">SUMIFS(bddres_pieces,es_prod_type_affinage,'SUIVI STOCKS PAR PAYSAN'!$E39,es_date_entree,"&gt;"&amp;date_inventaire,es_taille,'SUIVI STOCKS PAR PAYSAN'!$Z$7)-SUMIFS(v_Pièces,v_Taille,'SUIVI STOCKS PAR PAYSAN'!$Z$7,v_conc_prod_tye_affinage,'SUIVI STOCKS PAR PAYSAN'!$E39,v_Date_commande,"&gt;"&amp;date_inventaire)</f>
        <v>0</v>
      </c>
      <c r="AA39" s="342">
        <f ca="1">SUMIFS(bddres_pieces,'BDD RESERVATIONS'!$G:$G,'SUIVI STOCKS PAR PAYSAN'!$Z$7,bddres_c_prod_type_aff,'SUIVI STOCKS PAR PAYSAN'!$E39,'BDD RESERVATIONS'!$B:$B,"&gt;"&amp;date_inventaire)</f>
        <v>0</v>
      </c>
      <c r="AB39" s="343">
        <f ca="1">SUMIFS(es_pieces,es_prod_type_affinage,'SUIVI STOCKS PAR PAYSAN'!$E39,es_date_entree,"&gt;"&amp;date_inventaire,es_taille,'SUIVI STOCKS PAR PAYSAN'!$AB$7)-SUMIFS(v_Pièces,v_Taille,'SUIVI STOCKS PAR PAYSAN'!$AB$7,v_conc_prod_tye_affinage,'SUIVI STOCKS PAR PAYSAN'!$E39,v_Date_commande,"&gt;"&amp;date_inventaire)</f>
        <v>0</v>
      </c>
      <c r="AC39" s="353">
        <f ca="1">SUMIFS(bddres_pieces,'BDD RESERVATIONS'!$G:$G,'SUIVI STOCKS PAR PAYSAN'!$AB$7,bddres_c_prod_type_aff,'SUIVI STOCKS PAR PAYSAN'!$E39,'BDD RESERVATIONS'!$B:$B,"&gt;"&amp;date_inventaire)</f>
        <v>0</v>
      </c>
      <c r="AD39" s="313">
        <f ca="1">SUMIFS(es_poids,es_prod_type_affinage,'SUIVI STOCKS PAR PAYSAN'!$F39,es_date_entree,"&gt;"&amp;date_inventaire)-SUMIFS(v_Poids,v_conc_prod_tye_affinage,'SUIVI STOCKS PAR PAYSAN'!$F39,v_Date_commande,"&gt;"&amp;date_inventaire)</f>
        <v>0</v>
      </c>
      <c r="AE39" s="341">
        <f ca="1">SUMIFS(bddres_c_qte,bddres_c_prod_type_aff,'SUIVI STOCKS PAR PAYSAN'!F39,'BDD RESERVATIONS'!$B:$B,"&gt;"&amp;date_inventaire)</f>
        <v>0</v>
      </c>
      <c r="AF39" s="342">
        <f ca="1">SUMIFS(bddres_pieces,es_prod_type_affinage,'SUIVI STOCKS PAR PAYSAN'!$F39,es_date_entree,"&gt;"&amp;date_inventaire,es_taille,'SUIVI STOCKS PAR PAYSAN'!$Z$7)-SUMIFS(v_Pièces,v_Taille,'SUIVI STOCKS PAR PAYSAN'!$Z$7,v_conc_prod_tye_affinage,'SUIVI STOCKS PAR PAYSAN'!$F39,v_Date_commande,"&gt;"&amp;date_inventaire)</f>
        <v>0</v>
      </c>
      <c r="AG39" s="342">
        <f ca="1">SUMIFS(bddres_pieces,'BDD RESERVATIONS'!$G:$G,'SUIVI STOCKS PAR PAYSAN'!$Z$7,bddres_c_prod_type_aff,'SUIVI STOCKS PAR PAYSAN'!$F39,'BDD RESERVATIONS'!$B:$B,"&gt;"&amp;date_inventaire)</f>
        <v>0</v>
      </c>
      <c r="AH39" s="343">
        <f ca="1">SUMIFS(es_pieces,es_prod_type_affinage,'SUIVI STOCKS PAR PAYSAN'!$F39,es_date_entree,"&gt;"&amp;date_inventaire,es_taille,'SUIVI STOCKS PAR PAYSAN'!$AH$7)-SUMIFS(v_Pièces,v_Taille,'SUIVI STOCKS PAR PAYSAN'!$AH$7,v_conc_prod_tye_affinage,'SUIVI STOCKS PAR PAYSAN'!$F39,v_Date_commande,"&gt;"&amp;date_inventaire)</f>
        <v>0</v>
      </c>
      <c r="AI39" s="353">
        <f ca="1">SUMIFS(bddres_pieces,'BDD RESERVATIONS'!$G:$G,'SUIVI STOCKS PAR PAYSAN'!$AB$7,bddres_c_prod_type_aff,'SUIVI STOCKS PAR PAYSAN'!$F39,'BDD RESERVATIONS'!$B:$B,"&gt;"&amp;date_inventaire)</f>
        <v>0</v>
      </c>
      <c r="AJ39" s="352">
        <f ca="1">SUMIFS(es_poids,es_prod_type_affinage,'SUIVI STOCKS PAR PAYSAN'!$G39,es_date_entree,"&gt;"&amp;date_inventaire)-SUMIFS(v_Poids,v_conc_prod_tye_affinage,'SUIVI STOCKS PAR PAYSAN'!$G39,v_Date_commande,"&gt;"&amp;date_inventaire)</f>
        <v>0</v>
      </c>
      <c r="AK39" s="341">
        <f ca="1">SUMIFS(bddres_c_qte,bddres_c_prod_type_aff,'SUIVI STOCKS PAR PAYSAN'!G39,'BDD RESERVATIONS'!$B:$B,"&gt;"&amp;date_inventaire)</f>
        <v>0</v>
      </c>
      <c r="AL39" s="342">
        <f ca="1">SUMIFS(bddres_pieces,es_prod_type_affinage,'SUIVI STOCKS PAR PAYSAN'!$G39,es_date_entree,"&gt;"&amp;date_inventaire,es_taille,'SUIVI STOCKS PAR PAYSAN'!$AL$7)-SUMIFS(v_Pièces,v_Taille,'SUIVI STOCKS PAR PAYSAN'!$AL$7,v_conc_prod_tye_affinage,'SUIVI STOCKS PAR PAYSAN'!$G39,v_Date_commande,"&gt;"&amp;date_inventaire)</f>
        <v>0</v>
      </c>
      <c r="AM39" s="342">
        <f ca="1">SUMIFS(bddres_pieces,'BDD RESERVATIONS'!$G:$G,'SUIVI STOCKS PAR PAYSAN'!$AL$7,bddres_c_prod_type_aff,'SUIVI STOCKS PAR PAYSAN'!$G39,'BDD RESERVATIONS'!$B:$B,"&gt;"&amp;date_inventaire)</f>
        <v>0</v>
      </c>
      <c r="AN39" s="343">
        <f ca="1">SUMIFS(es_pieces,es_prod_type_affinage,'SUIVI STOCKS PAR PAYSAN'!$G39,es_date_entree,"&gt;"&amp;date_inventaire,es_taille,'SUIVI STOCKS PAR PAYSAN'!$AN$7)-SUMIFS(v_Pièces,v_Taille,'SUIVI STOCKS PAR PAYSAN'!$AN$7,v_conc_prod_tye_affinage,'SUIVI STOCKS PAR PAYSAN'!$G39,v_Date_commande,"&gt;"&amp;date_inventaire)</f>
        <v>0</v>
      </c>
      <c r="AO39" s="353">
        <f ca="1">SUMIFS(bddres_pieces,'BDD RESERVATIONS'!$G:$G,'SUIVI STOCKS PAR PAYSAN'!$AN$7,bddres_c_prod_type_aff,'SUIVI STOCKS PAR PAYSAN'!$G39,'BDD RESERVATIONS'!$B:$B,"&gt;"&amp;date_inventaire)</f>
        <v>0</v>
      </c>
      <c r="AP39" s="313">
        <f ca="1">SUMIFS(es_poids,es_prod_type_affinage,'SUIVI STOCKS PAR PAYSAN'!$H39,es_date_entree,"&gt;"&amp;date_inventaire)-SUMIFS(v_Poids,v_conc_prod_tye_affinage,'SUIVI STOCKS PAR PAYSAN'!$H39,v_Date_commande,"&gt;"&amp;date_inventaire)</f>
        <v>0</v>
      </c>
      <c r="AQ39" s="341">
        <f ca="1">SUMIFS(bddres_c_qte,bddres_c_prod_type_aff,'SUIVI STOCKS PAR PAYSAN'!H39,'BDD RESERVATIONS'!$B:$B,"&gt;"&amp;date_inventaire)</f>
        <v>0</v>
      </c>
      <c r="AR39" s="342">
        <f ca="1">SUMIFS(bddres_pieces,es_prod_type_affinage,'SUIVI STOCKS PAR PAYSAN'!$H39,es_date_entree,"&gt;"&amp;date_inventaire,es_taille,'SUIVI STOCKS PAR PAYSAN'!$AR$7)-SUMIFS(v_Pièces,v_Taille,'SUIVI STOCKS PAR PAYSAN'!$AR$7,v_conc_prod_tye_affinage,'SUIVI STOCKS PAR PAYSAN'!$H39,v_Date_commande,"&gt;"&amp;date_inventaire)</f>
        <v>0</v>
      </c>
      <c r="AS39" s="326">
        <f ca="1">SUMIFS(bddres_pieces,'BDD RESERVATIONS'!$G:$G,'SUIVI STOCKS PAR PAYSAN'!AR34,bddres_c_prod_type_aff,'SUIVI STOCKS PAR PAYSAN'!$H39,'BDD RESERVATIONS'!$B:$B,"&gt;"&amp;date_inventaire)</f>
        <v>0</v>
      </c>
      <c r="AT39" s="343">
        <f ca="1">SUMIFS(es_pieces,es_prod_type_affinage,'SUIVI STOCKS PAR PAYSAN'!$H39,es_date_entree,"&gt;"&amp;date_inventaire,es_taille,'SUIVI STOCKS PAR PAYSAN'!$AT$7)-SUMIFS(v_Pièces,v_Taille,'SUIVI STOCKS PAR PAYSAN'!$AT$7,v_conc_prod_tye_affinage,'SUIVI STOCKS PAR PAYSAN'!$H39,v_Date_commande,"&gt;"&amp;date_inventaire)</f>
        <v>0</v>
      </c>
      <c r="AU39" s="353">
        <f ca="1">SUMIFS(bddres_pieces,'BDD RESERVATIONS'!$G:$G,'SUIVI STOCKS PAR PAYSAN'!$AT$7,bddres_c_prod_type_aff,'SUIVI STOCKS PAR PAYSAN'!$H39,'BDD RESERVATIONS'!$B:$B,"&gt;"&amp;date_inventaire)</f>
        <v>0</v>
      </c>
      <c r="AV39" s="313">
        <f ca="1">SUMIFS(es_poids,es_prod_type_affinage,'SUIVI STOCKS PAR PAYSAN'!$I39,es_date_entree,"&gt;"&amp;date_inventaire)-SUMIFS(v_Poids,v_conc_prod_tye_affinage,'SUIVI STOCKS PAR PAYSAN'!$E39,v_Date_commande,"&gt;"&amp;date_inventaire)</f>
        <v>0</v>
      </c>
      <c r="AW39" s="313">
        <f ca="1">SUMIFS(bddres_c_qte,bddres_c_prod_type_aff,'SUIVI STOCKS PAR PAYSAN'!I39,'BDD RESERVATIONS'!$B:$B,"&gt;"&amp;date_inventaire)</f>
        <v>0</v>
      </c>
      <c r="AX39" s="342">
        <f ca="1">SUMIFS(bddres_pieces,es_prod_type_affinage,'SUIVI STOCKS PAR PAYSAN'!$I39,es_date_entree,"&gt;"&amp;date_inventaire,es_taille,'SUIVI STOCKS PAR PAYSAN'!$AX$7)-SUMIFS(v_Pièces,v_Taille,'SUIVI STOCKS PAR PAYSAN'!$AX$7,v_conc_prod_tye_affinage,'SUIVI STOCKS PAR PAYSAN'!$I39,v_Date_commande,"&gt;"&amp;date_inventaire)</f>
        <v>0</v>
      </c>
      <c r="AY39" s="342">
        <f ca="1">SUMIFS(bddres_pieces,'BDD RESERVATIONS'!$G:$G,'SUIVI STOCKS PAR PAYSAN'!$AX$7,bddres_c_prod_type_aff,'SUIVI STOCKS PAR PAYSAN'!$I39,'BDD RESERVATIONS'!$B:$B,"&gt;"&amp;date_inventaire)</f>
        <v>0</v>
      </c>
      <c r="AZ39" s="343">
        <f ca="1">SUMIFS(es_pieces,es_prod_type_affinage,'SUIVI STOCKS PAR PAYSAN'!$I39,es_date_entree,"&gt;"&amp;date_inventaire,es_taille,'SUIVI STOCKS PAR PAYSAN'!$AZ$7)-SUMIFS(v_Pièces,v_Taille,'SUIVI STOCKS PAR PAYSAN'!$AZ$7,v_conc_prod_tye_affinage,'SUIVI STOCKS PAR PAYSAN'!$I39,v_Date_commande,"&gt;"&amp;date_inventaire)</f>
        <v>0</v>
      </c>
      <c r="BA39" s="353">
        <f ca="1">SUMIFS(bddres_pieces,'BDD RESERVATIONS'!$G:$G,'SUIVI STOCKS PAR PAYSAN'!$AZ$7,bddres_c_prod_type_aff,'SUIVI STOCKS PAR PAYSAN'!$I39,'BDD RESERVATIONS'!$B:$B,"&gt;"&amp;date_inventaire)</f>
        <v>0</v>
      </c>
      <c r="BB39" s="313">
        <f ca="1">SUMIFS(es_poids,es_prod_type_affinage,'SUIVI STOCKS PAR PAYSAN'!$J39,es_date_entree,"&gt;"&amp;date_inventaire)-SUMIFS(v_Poids,v_conc_prod_tye_affinage,'SUIVI STOCKS PAR PAYSAN'!$J39,v_Date_commande,"&gt;"&amp;date_inventaire)</f>
        <v>0</v>
      </c>
      <c r="BC39" s="313">
        <f ca="1">SUMIFS(bddres_c_qte,bddres_c_prod_type_aff,'SUIVI STOCKS PAR PAYSAN'!J39,'BDD RESERVATIONS'!$B:$B,"&gt;"&amp;date_inventaire)</f>
        <v>0</v>
      </c>
      <c r="BD39" s="342">
        <f ca="1">SUMIFS(bddres_pieces,es_prod_type_affinage,'SUIVI STOCKS PAR PAYSAN'!$J39,es_date_entree,"&gt;"&amp;date_inventaire,es_taille,'SUIVI STOCKS PAR PAYSAN'!$BD$7)-SUMIFS(v_Pièces,v_Taille,'SUIVI STOCKS PAR PAYSAN'!$BD$7,v_conc_prod_tye_affinage,'SUIVI STOCKS PAR PAYSAN'!$J39,v_Date_commande,"&gt;"&amp;date_inventaire)</f>
        <v>0</v>
      </c>
      <c r="BE39" s="326">
        <f ca="1">SUMIFS(bddres_pieces,'BDD RESERVATIONS'!$G:$G,'SUIVI STOCKS PAR PAYSAN'!BD34,bddres_c_prod_type_aff,'SUIVI STOCKS PAR PAYSAN'!J39,'BDD RESERVATIONS'!$B:$B,"&gt;"&amp;date_inventaire)</f>
        <v>0</v>
      </c>
      <c r="BF39" s="343">
        <f ca="1">SUMIFS(es_pieces,es_prod_type_affinage,'SUIVI STOCKS PAR PAYSAN'!J39,es_date_entree,"&gt;"&amp;date_inventaire,es_taille,'SUIVI STOCKS PAR PAYSAN'!$BF$7)-SUMIFS(v_Pièces,v_Taille,'SUIVI STOCKS PAR PAYSAN'!$BF$7,v_conc_prod_tye_affinage,'SUIVI STOCKS PAR PAYSAN'!J39,v_Date_commande,"&gt;"&amp;date_inventaire)</f>
        <v>0</v>
      </c>
      <c r="BG39" s="353">
        <f ca="1">SUMIFS(bddres_pieces,'BDD RESERVATIONS'!$G:$G,'SUIVI STOCKS PAR PAYSAN'!$BF$7,bddres_c_prod_type_aff,'SUIVI STOCKS PAR PAYSAN'!J39,'BDD RESERVATIONS'!$B:$B,"&gt;"&amp;date_inventaire)</f>
        <v>0</v>
      </c>
    </row>
    <row r="40" spans="1:59" ht="18.75" customHeight="1" x14ac:dyDescent="0.25">
      <c r="A40" s="331">
        <f ca="1">OFFSET('BDD PAYSANS'!$B$1,B40,0,1,1)</f>
        <v>0</v>
      </c>
      <c r="B40" s="325">
        <v>29</v>
      </c>
      <c r="C40" s="325" t="str">
        <f t="shared" ca="1" si="2"/>
        <v>0FERMIER&lt;3 mois</v>
      </c>
      <c r="D40" s="325" t="str">
        <f t="shared" ca="1" si="2"/>
        <v>0FERMIER3-6 mois</v>
      </c>
      <c r="E40" s="325" t="str">
        <f t="shared" ca="1" si="2"/>
        <v>0FERMIER6-9 mois</v>
      </c>
      <c r="F40" s="325" t="str">
        <f t="shared" ca="1" si="2"/>
        <v>0FERMIER&gt;9 mois</v>
      </c>
      <c r="G40" s="325" t="str">
        <f t="shared" ca="1" si="2"/>
        <v>0ESTIVE&lt;3 mois</v>
      </c>
      <c r="H40" s="325" t="str">
        <f t="shared" ca="1" si="2"/>
        <v>0ESTIVE3-6 mois</v>
      </c>
      <c r="I40" s="325" t="str">
        <f t="shared" ca="1" si="2"/>
        <v>0ESTIVE6-9 mois</v>
      </c>
      <c r="J40" s="325" t="str">
        <f t="shared" ca="1" si="2"/>
        <v>0ESTIVE&gt;9 mois</v>
      </c>
      <c r="K40" s="325"/>
      <c r="L40" s="352">
        <f ca="1">SUMIFS(es_poids,es_prod_type_affinage,'SUIVI STOCKS PAR PAYSAN'!$C40,es_date_entree,"&gt;"&amp;date_inventaire)-SUMIFS(v_Poids,v_conc_prod_tye_affinage,'SUIVI STOCKS PAR PAYSAN'!$C40,v_Date_commande,"&gt;"&amp;date_inventaire)</f>
        <v>0</v>
      </c>
      <c r="M40" s="341">
        <f ca="1">SUMIFS(bddres_c_qte,bddres_c_prod_type_aff,'SUIVI STOCKS PAR PAYSAN'!C40,'BDD RESERVATIONS'!$B:$B,"&gt;"&amp;date_inventaire)</f>
        <v>0</v>
      </c>
      <c r="N40" s="342">
        <f ca="1">SUMIFS(bddres_pieces,es_prod_type_affinage,'SUIVI STOCKS PAR PAYSAN'!$C40,es_date_entree,"&gt;"&amp;date_inventaire,es_taille,'SUIVI STOCKS PAR PAYSAN'!$N$7)-SUMIFS(v_Pièces,v_Taille,'SUIVI STOCKS PAR PAYSAN'!$N$7,v_conc_prod_tye_affinage,'SUIVI STOCKS PAR PAYSAN'!$C40,v_Date_commande,"&gt;"&amp;date_inventaire)</f>
        <v>0</v>
      </c>
      <c r="O40" s="342">
        <f ca="1">SUMIFS(bddres_pieces,'BDD RESERVATIONS'!$G:$G,'SUIVI STOCKS PAR PAYSAN'!$N$7,bddres_c_prod_type_aff,'SUIVI STOCKS PAR PAYSAN'!$C40,'BDD RESERVATIONS'!$B:$B,"&gt;"&amp;date_inventaire)</f>
        <v>0</v>
      </c>
      <c r="P40" s="343">
        <f ca="1">SUMIFS(es_pieces,es_prod_type_affinage,'SUIVI STOCKS PAR PAYSAN'!$C40,es_date_entree,"&gt;"&amp;date_inventaire,es_taille,'SUIVI STOCKS PAR PAYSAN'!$P$7)-SUMIFS(v_Pièces,v_Taille,'SUIVI STOCKS PAR PAYSAN'!$P$7,v_conc_prod_tye_affinage,'SUIVI STOCKS PAR PAYSAN'!$C40,v_Date_commande,"&gt;"&amp;date_inventaire)</f>
        <v>0</v>
      </c>
      <c r="Q40" s="353">
        <f ca="1">SUMIFS(bddres_pieces,'BDD RESERVATIONS'!$G:$G,'SUIVI STOCKS PAR PAYSAN'!$P$7,bddres_c_prod_type_aff,'SUIVI STOCKS PAR PAYSAN'!$C40,'BDD RESERVATIONS'!$B:$B,"&gt;"&amp;date_inventaire)</f>
        <v>0</v>
      </c>
      <c r="R40" s="340">
        <f ca="1">SUMIFS(es_poids,es_prod_type_affinage,'SUIVI STOCKS PAR PAYSAN'!$D40,es_date_entree,"&gt;"&amp;date_inventaire)-SUMIFS(v_Poids,v_conc_prod_tye_affinage,'SUIVI STOCKS PAR PAYSAN'!$D40,v_Date_commande,"&gt;"&amp;date_inventaire)</f>
        <v>0</v>
      </c>
      <c r="S40" s="341">
        <f ca="1">SUMIFS(bddres_c_qte,bddres_c_prod_type_aff,'SUIVI STOCKS PAR PAYSAN'!D40,'BDD RESERVATIONS'!$B:$B,"&gt;"&amp;date_inventaire)</f>
        <v>0</v>
      </c>
      <c r="T40" s="342">
        <f ca="1">SUMIFS(bddres_pieces,es_prod_type_affinage,'SUIVI STOCKS PAR PAYSAN'!$D40,es_date_entree,"&gt;"&amp;date_inventaire,es_taille,'SUIVI STOCKS PAR PAYSAN'!$T$7)-SUMIFS(v_Pièces,v_Taille,'SUIVI STOCKS PAR PAYSAN'!$T$7,v_conc_prod_tye_affinage,'SUIVI STOCKS PAR PAYSAN'!$D40,v_Date_commande,"&gt;"&amp;date_inventaire)</f>
        <v>0</v>
      </c>
      <c r="U40" s="342">
        <f ca="1">SUMIFS(bddres_pieces,'BDD RESERVATIONS'!$G:$G,'SUIVI STOCKS PAR PAYSAN'!$T$7,bddres_c_prod_type_aff,'SUIVI STOCKS PAR PAYSAN'!$D40,'BDD RESERVATIONS'!$B:$B,"&gt;"&amp;date_inventaire)</f>
        <v>0</v>
      </c>
      <c r="V40" s="343">
        <f ca="1">SUMIFS(es_pieces,es_prod_type_affinage,'SUIVI STOCKS PAR PAYSAN'!$D40,es_date_entree,"&gt;"&amp;date_inventaire,es_taille,'SUIVI STOCKS PAR PAYSAN'!$V$7)-SUMIFS(v_Pièces,v_Taille,'SUIVI STOCKS PAR PAYSAN'!$V$7,v_conc_prod_tye_affinage,'SUIVI STOCKS PAR PAYSAN'!$D40,v_Date_commande,"&gt;"&amp;date_inventaire)</f>
        <v>0</v>
      </c>
      <c r="W40" s="353">
        <f ca="1">SUMIFS(bddres_pieces,'BDD RESERVATIONS'!$G:$G,'SUIVI STOCKS PAR PAYSAN'!$V$7,bddres_c_prod_type_aff,'SUIVI STOCKS PAR PAYSAN'!$D40,'BDD RESERVATIONS'!$B:$B,"&gt;"&amp;date_inventaire)</f>
        <v>0</v>
      </c>
      <c r="X40" s="313">
        <f ca="1">SUMIFS(es_poids,es_prod_type_affinage,'SUIVI STOCKS PAR PAYSAN'!$E40,es_date_entree,"&gt;"&amp;date_inventaire)-SUMIFS(v_Poids,v_conc_prod_tye_affinage,'SUIVI STOCKS PAR PAYSAN'!$E40,v_Date_commande,"&gt;"&amp;date_inventaire)</f>
        <v>0</v>
      </c>
      <c r="Y40" s="341">
        <f ca="1">SUMIFS(bddres_c_qte,bddres_c_prod_type_aff,'SUIVI STOCKS PAR PAYSAN'!E40,'BDD RESERVATIONS'!$B:$B,"&gt;"&amp;date_inventaire)</f>
        <v>0</v>
      </c>
      <c r="Z40" s="342">
        <f ca="1">SUMIFS(bddres_pieces,es_prod_type_affinage,'SUIVI STOCKS PAR PAYSAN'!$E40,es_date_entree,"&gt;"&amp;date_inventaire,es_taille,'SUIVI STOCKS PAR PAYSAN'!$Z$7)-SUMIFS(v_Pièces,v_Taille,'SUIVI STOCKS PAR PAYSAN'!$Z$7,v_conc_prod_tye_affinage,'SUIVI STOCKS PAR PAYSAN'!$E40,v_Date_commande,"&gt;"&amp;date_inventaire)</f>
        <v>0</v>
      </c>
      <c r="AA40" s="342">
        <f ca="1">SUMIFS(bddres_pieces,'BDD RESERVATIONS'!$G:$G,'SUIVI STOCKS PAR PAYSAN'!$Z$7,bddres_c_prod_type_aff,'SUIVI STOCKS PAR PAYSAN'!$E40,'BDD RESERVATIONS'!$B:$B,"&gt;"&amp;date_inventaire)</f>
        <v>0</v>
      </c>
      <c r="AB40" s="343">
        <f ca="1">SUMIFS(es_pieces,es_prod_type_affinage,'SUIVI STOCKS PAR PAYSAN'!$E40,es_date_entree,"&gt;"&amp;date_inventaire,es_taille,'SUIVI STOCKS PAR PAYSAN'!$AB$7)-SUMIFS(v_Pièces,v_Taille,'SUIVI STOCKS PAR PAYSAN'!$AB$7,v_conc_prod_tye_affinage,'SUIVI STOCKS PAR PAYSAN'!$E40,v_Date_commande,"&gt;"&amp;date_inventaire)</f>
        <v>0</v>
      </c>
      <c r="AC40" s="353">
        <f ca="1">SUMIFS(bddres_pieces,'BDD RESERVATIONS'!$G:$G,'SUIVI STOCKS PAR PAYSAN'!$AB$7,bddres_c_prod_type_aff,'SUIVI STOCKS PAR PAYSAN'!$E40,'BDD RESERVATIONS'!$B:$B,"&gt;"&amp;date_inventaire)</f>
        <v>0</v>
      </c>
      <c r="AD40" s="313">
        <f ca="1">SUMIFS(es_poids,es_prod_type_affinage,'SUIVI STOCKS PAR PAYSAN'!$F40,es_date_entree,"&gt;"&amp;date_inventaire)-SUMIFS(v_Poids,v_conc_prod_tye_affinage,'SUIVI STOCKS PAR PAYSAN'!$F40,v_Date_commande,"&gt;"&amp;date_inventaire)</f>
        <v>0</v>
      </c>
      <c r="AE40" s="341">
        <f ca="1">SUMIFS(bddres_c_qte,bddres_c_prod_type_aff,'SUIVI STOCKS PAR PAYSAN'!F40,'BDD RESERVATIONS'!$B:$B,"&gt;"&amp;date_inventaire)</f>
        <v>0</v>
      </c>
      <c r="AF40" s="342">
        <f ca="1">SUMIFS(bddres_pieces,es_prod_type_affinage,'SUIVI STOCKS PAR PAYSAN'!$F40,es_date_entree,"&gt;"&amp;date_inventaire,es_taille,'SUIVI STOCKS PAR PAYSAN'!$Z$7)-SUMIFS(v_Pièces,v_Taille,'SUIVI STOCKS PAR PAYSAN'!$Z$7,v_conc_prod_tye_affinage,'SUIVI STOCKS PAR PAYSAN'!$F40,v_Date_commande,"&gt;"&amp;date_inventaire)</f>
        <v>0</v>
      </c>
      <c r="AG40" s="342">
        <f ca="1">SUMIFS(bddres_pieces,'BDD RESERVATIONS'!$G:$G,'SUIVI STOCKS PAR PAYSAN'!$Z$7,bddres_c_prod_type_aff,'SUIVI STOCKS PAR PAYSAN'!$F40,'BDD RESERVATIONS'!$B:$B,"&gt;"&amp;date_inventaire)</f>
        <v>0</v>
      </c>
      <c r="AH40" s="343">
        <f ca="1">SUMIFS(es_pieces,es_prod_type_affinage,'SUIVI STOCKS PAR PAYSAN'!$F40,es_date_entree,"&gt;"&amp;date_inventaire,es_taille,'SUIVI STOCKS PAR PAYSAN'!$AH$7)-SUMIFS(v_Pièces,v_Taille,'SUIVI STOCKS PAR PAYSAN'!$AH$7,v_conc_prod_tye_affinage,'SUIVI STOCKS PAR PAYSAN'!$F40,v_Date_commande,"&gt;"&amp;date_inventaire)</f>
        <v>0</v>
      </c>
      <c r="AI40" s="353">
        <f ca="1">SUMIFS(bddres_pieces,'BDD RESERVATIONS'!$G:$G,'SUIVI STOCKS PAR PAYSAN'!$AB$7,bddres_c_prod_type_aff,'SUIVI STOCKS PAR PAYSAN'!$F40,'BDD RESERVATIONS'!$B:$B,"&gt;"&amp;date_inventaire)</f>
        <v>0</v>
      </c>
      <c r="AJ40" s="352">
        <f ca="1">SUMIFS(es_poids,es_prod_type_affinage,'SUIVI STOCKS PAR PAYSAN'!$G40,es_date_entree,"&gt;"&amp;date_inventaire)-SUMIFS(v_Poids,v_conc_prod_tye_affinage,'SUIVI STOCKS PAR PAYSAN'!$G40,v_Date_commande,"&gt;"&amp;date_inventaire)</f>
        <v>0</v>
      </c>
      <c r="AK40" s="341">
        <f ca="1">SUMIFS(bddres_c_qte,bddres_c_prod_type_aff,'SUIVI STOCKS PAR PAYSAN'!G40,'BDD RESERVATIONS'!$B:$B,"&gt;"&amp;date_inventaire)</f>
        <v>0</v>
      </c>
      <c r="AL40" s="342">
        <f ca="1">SUMIFS(bddres_pieces,es_prod_type_affinage,'SUIVI STOCKS PAR PAYSAN'!$G40,es_date_entree,"&gt;"&amp;date_inventaire,es_taille,'SUIVI STOCKS PAR PAYSAN'!$AL$7)-SUMIFS(v_Pièces,v_Taille,'SUIVI STOCKS PAR PAYSAN'!$AL$7,v_conc_prod_tye_affinage,'SUIVI STOCKS PAR PAYSAN'!$G40,v_Date_commande,"&gt;"&amp;date_inventaire)</f>
        <v>0</v>
      </c>
      <c r="AM40" s="342">
        <f ca="1">SUMIFS(bddres_pieces,'BDD RESERVATIONS'!$G:$G,'SUIVI STOCKS PAR PAYSAN'!$AL$7,bddres_c_prod_type_aff,'SUIVI STOCKS PAR PAYSAN'!$G40,'BDD RESERVATIONS'!$B:$B,"&gt;"&amp;date_inventaire)</f>
        <v>0</v>
      </c>
      <c r="AN40" s="343">
        <f ca="1">SUMIFS(es_pieces,es_prod_type_affinage,'SUIVI STOCKS PAR PAYSAN'!$G40,es_date_entree,"&gt;"&amp;date_inventaire,es_taille,'SUIVI STOCKS PAR PAYSAN'!$AN$7)-SUMIFS(v_Pièces,v_Taille,'SUIVI STOCKS PAR PAYSAN'!$AN$7,v_conc_prod_tye_affinage,'SUIVI STOCKS PAR PAYSAN'!$G40,v_Date_commande,"&gt;"&amp;date_inventaire)</f>
        <v>0</v>
      </c>
      <c r="AO40" s="353">
        <f ca="1">SUMIFS(bddres_pieces,'BDD RESERVATIONS'!$G:$G,'SUIVI STOCKS PAR PAYSAN'!$AN$7,bddres_c_prod_type_aff,'SUIVI STOCKS PAR PAYSAN'!$G40,'BDD RESERVATIONS'!$B:$B,"&gt;"&amp;date_inventaire)</f>
        <v>0</v>
      </c>
      <c r="AP40" s="313">
        <f ca="1">SUMIFS(es_poids,es_prod_type_affinage,'SUIVI STOCKS PAR PAYSAN'!$H40,es_date_entree,"&gt;"&amp;date_inventaire)-SUMIFS(v_Poids,v_conc_prod_tye_affinage,'SUIVI STOCKS PAR PAYSAN'!$H40,v_Date_commande,"&gt;"&amp;date_inventaire)</f>
        <v>0</v>
      </c>
      <c r="AQ40" s="341">
        <f ca="1">SUMIFS(bddres_c_qte,bddres_c_prod_type_aff,'SUIVI STOCKS PAR PAYSAN'!H40,'BDD RESERVATIONS'!$B:$B,"&gt;"&amp;date_inventaire)</f>
        <v>0</v>
      </c>
      <c r="AR40" s="342">
        <f ca="1">SUMIFS(bddres_pieces,es_prod_type_affinage,'SUIVI STOCKS PAR PAYSAN'!$H40,es_date_entree,"&gt;"&amp;date_inventaire,es_taille,'SUIVI STOCKS PAR PAYSAN'!$AR$7)-SUMIFS(v_Pièces,v_Taille,'SUIVI STOCKS PAR PAYSAN'!$AR$7,v_conc_prod_tye_affinage,'SUIVI STOCKS PAR PAYSAN'!$H40,v_Date_commande,"&gt;"&amp;date_inventaire)</f>
        <v>0</v>
      </c>
      <c r="AS40" s="326">
        <f ca="1">SUMIFS(bddres_pieces,'BDD RESERVATIONS'!$G:$G,'SUIVI STOCKS PAR PAYSAN'!AR35,bddres_c_prod_type_aff,'SUIVI STOCKS PAR PAYSAN'!$H40,'BDD RESERVATIONS'!$B:$B,"&gt;"&amp;date_inventaire)</f>
        <v>0</v>
      </c>
      <c r="AT40" s="343">
        <f ca="1">SUMIFS(es_pieces,es_prod_type_affinage,'SUIVI STOCKS PAR PAYSAN'!$H40,es_date_entree,"&gt;"&amp;date_inventaire,es_taille,'SUIVI STOCKS PAR PAYSAN'!$AT$7)-SUMIFS(v_Pièces,v_Taille,'SUIVI STOCKS PAR PAYSAN'!$AT$7,v_conc_prod_tye_affinage,'SUIVI STOCKS PAR PAYSAN'!$H40,v_Date_commande,"&gt;"&amp;date_inventaire)</f>
        <v>0</v>
      </c>
      <c r="AU40" s="353">
        <f ca="1">SUMIFS(bddres_pieces,'BDD RESERVATIONS'!$G:$G,'SUIVI STOCKS PAR PAYSAN'!$AT$7,bddres_c_prod_type_aff,'SUIVI STOCKS PAR PAYSAN'!$H40,'BDD RESERVATIONS'!$B:$B,"&gt;"&amp;date_inventaire)</f>
        <v>0</v>
      </c>
      <c r="AV40" s="313">
        <f ca="1">SUMIFS(es_poids,es_prod_type_affinage,'SUIVI STOCKS PAR PAYSAN'!$I40,es_date_entree,"&gt;"&amp;date_inventaire)-SUMIFS(v_Poids,v_conc_prod_tye_affinage,'SUIVI STOCKS PAR PAYSAN'!$E40,v_Date_commande,"&gt;"&amp;date_inventaire)</f>
        <v>0</v>
      </c>
      <c r="AW40" s="313">
        <f ca="1">SUMIFS(bddres_c_qte,bddres_c_prod_type_aff,'SUIVI STOCKS PAR PAYSAN'!I40,'BDD RESERVATIONS'!$B:$B,"&gt;"&amp;date_inventaire)</f>
        <v>0</v>
      </c>
      <c r="AX40" s="342">
        <f ca="1">SUMIFS(bddres_pieces,es_prod_type_affinage,'SUIVI STOCKS PAR PAYSAN'!$I40,es_date_entree,"&gt;"&amp;date_inventaire,es_taille,'SUIVI STOCKS PAR PAYSAN'!$AX$7)-SUMIFS(v_Pièces,v_Taille,'SUIVI STOCKS PAR PAYSAN'!$AX$7,v_conc_prod_tye_affinage,'SUIVI STOCKS PAR PAYSAN'!$I40,v_Date_commande,"&gt;"&amp;date_inventaire)</f>
        <v>0</v>
      </c>
      <c r="AY40" s="342">
        <f ca="1">SUMIFS(bddres_pieces,'BDD RESERVATIONS'!$G:$G,'SUIVI STOCKS PAR PAYSAN'!$AX$7,bddres_c_prod_type_aff,'SUIVI STOCKS PAR PAYSAN'!$I40,'BDD RESERVATIONS'!$B:$B,"&gt;"&amp;date_inventaire)</f>
        <v>0</v>
      </c>
      <c r="AZ40" s="343">
        <f ca="1">SUMIFS(es_pieces,es_prod_type_affinage,'SUIVI STOCKS PAR PAYSAN'!$I40,es_date_entree,"&gt;"&amp;date_inventaire,es_taille,'SUIVI STOCKS PAR PAYSAN'!$AZ$7)-SUMIFS(v_Pièces,v_Taille,'SUIVI STOCKS PAR PAYSAN'!$AZ$7,v_conc_prod_tye_affinage,'SUIVI STOCKS PAR PAYSAN'!$I40,v_Date_commande,"&gt;"&amp;date_inventaire)</f>
        <v>0</v>
      </c>
      <c r="BA40" s="353">
        <f ca="1">SUMIFS(bddres_pieces,'BDD RESERVATIONS'!$G:$G,'SUIVI STOCKS PAR PAYSAN'!$AZ$7,bddres_c_prod_type_aff,'SUIVI STOCKS PAR PAYSAN'!$I40,'BDD RESERVATIONS'!$B:$B,"&gt;"&amp;date_inventaire)</f>
        <v>0</v>
      </c>
      <c r="BB40" s="313">
        <f ca="1">SUMIFS(es_poids,es_prod_type_affinage,'SUIVI STOCKS PAR PAYSAN'!$J40,es_date_entree,"&gt;"&amp;date_inventaire)-SUMIFS(v_Poids,v_conc_prod_tye_affinage,'SUIVI STOCKS PAR PAYSAN'!$J40,v_Date_commande,"&gt;"&amp;date_inventaire)</f>
        <v>0</v>
      </c>
      <c r="BC40" s="313">
        <f ca="1">SUMIFS(bddres_c_qte,bddres_c_prod_type_aff,'SUIVI STOCKS PAR PAYSAN'!J40,'BDD RESERVATIONS'!$B:$B,"&gt;"&amp;date_inventaire)</f>
        <v>0</v>
      </c>
      <c r="BD40" s="342">
        <f ca="1">SUMIFS(bddres_pieces,es_prod_type_affinage,'SUIVI STOCKS PAR PAYSAN'!$J40,es_date_entree,"&gt;"&amp;date_inventaire,es_taille,'SUIVI STOCKS PAR PAYSAN'!$BD$7)-SUMIFS(v_Pièces,v_Taille,'SUIVI STOCKS PAR PAYSAN'!$BD$7,v_conc_prod_tye_affinage,'SUIVI STOCKS PAR PAYSAN'!$J40,v_Date_commande,"&gt;"&amp;date_inventaire)</f>
        <v>0</v>
      </c>
      <c r="BE40" s="326">
        <f ca="1">SUMIFS(bddres_pieces,'BDD RESERVATIONS'!$G:$G,'SUIVI STOCKS PAR PAYSAN'!BD35,bddres_c_prod_type_aff,'SUIVI STOCKS PAR PAYSAN'!J40,'BDD RESERVATIONS'!$B:$B,"&gt;"&amp;date_inventaire)</f>
        <v>0</v>
      </c>
      <c r="BF40" s="343">
        <f ca="1">SUMIFS(es_pieces,es_prod_type_affinage,'SUIVI STOCKS PAR PAYSAN'!J40,es_date_entree,"&gt;"&amp;date_inventaire,es_taille,'SUIVI STOCKS PAR PAYSAN'!$BF$7)-SUMIFS(v_Pièces,v_Taille,'SUIVI STOCKS PAR PAYSAN'!$BF$7,v_conc_prod_tye_affinage,'SUIVI STOCKS PAR PAYSAN'!J40,v_Date_commande,"&gt;"&amp;date_inventaire)</f>
        <v>0</v>
      </c>
      <c r="BG40" s="353">
        <f ca="1">SUMIFS(bddres_pieces,'BDD RESERVATIONS'!$G:$G,'SUIVI STOCKS PAR PAYSAN'!$BF$7,bddres_c_prod_type_aff,'SUIVI STOCKS PAR PAYSAN'!J40,'BDD RESERVATIONS'!$B:$B,"&gt;"&amp;date_inventaire)</f>
        <v>0</v>
      </c>
    </row>
    <row r="41" spans="1:59" ht="18.75" customHeight="1" x14ac:dyDescent="0.25">
      <c r="A41" s="331">
        <f ca="1">OFFSET('BDD PAYSANS'!$B$1,B41,0,1,1)</f>
        <v>0</v>
      </c>
      <c r="B41" s="325">
        <v>30</v>
      </c>
      <c r="C41" s="325" t="str">
        <f t="shared" ca="1" si="2"/>
        <v>0FERMIER&lt;3 mois</v>
      </c>
      <c r="D41" s="325" t="str">
        <f t="shared" ca="1" si="2"/>
        <v>0FERMIER3-6 mois</v>
      </c>
      <c r="E41" s="325" t="str">
        <f t="shared" ca="1" si="2"/>
        <v>0FERMIER6-9 mois</v>
      </c>
      <c r="F41" s="325" t="str">
        <f t="shared" ca="1" si="2"/>
        <v>0FERMIER&gt;9 mois</v>
      </c>
      <c r="G41" s="325" t="str">
        <f t="shared" ca="1" si="2"/>
        <v>0ESTIVE&lt;3 mois</v>
      </c>
      <c r="H41" s="325" t="str">
        <f t="shared" ca="1" si="2"/>
        <v>0ESTIVE3-6 mois</v>
      </c>
      <c r="I41" s="325" t="str">
        <f t="shared" ca="1" si="2"/>
        <v>0ESTIVE6-9 mois</v>
      </c>
      <c r="J41" s="325" t="str">
        <f t="shared" ca="1" si="2"/>
        <v>0ESTIVE&gt;9 mois</v>
      </c>
      <c r="K41" s="325"/>
      <c r="L41" s="352">
        <f ca="1">SUMIFS(es_poids,es_prod_type_affinage,'SUIVI STOCKS PAR PAYSAN'!$C41,es_date_entree,"&gt;"&amp;date_inventaire)-SUMIFS(v_Poids,v_conc_prod_tye_affinage,'SUIVI STOCKS PAR PAYSAN'!$C41,v_Date_commande,"&gt;"&amp;date_inventaire)</f>
        <v>0</v>
      </c>
      <c r="M41" s="341">
        <f ca="1">SUMIFS(bddres_c_qte,bddres_c_prod_type_aff,'SUIVI STOCKS PAR PAYSAN'!C41,'BDD RESERVATIONS'!$B:$B,"&gt;"&amp;date_inventaire)</f>
        <v>0</v>
      </c>
      <c r="N41" s="342">
        <f ca="1">SUMIFS(bddres_pieces,es_prod_type_affinage,'SUIVI STOCKS PAR PAYSAN'!$C41,es_date_entree,"&gt;"&amp;date_inventaire,es_taille,'SUIVI STOCKS PAR PAYSAN'!$N$7)-SUMIFS(v_Pièces,v_Taille,'SUIVI STOCKS PAR PAYSAN'!$N$7,v_conc_prod_tye_affinage,'SUIVI STOCKS PAR PAYSAN'!$C41,v_Date_commande,"&gt;"&amp;date_inventaire)</f>
        <v>0</v>
      </c>
      <c r="O41" s="342">
        <f ca="1">SUMIFS(bddres_pieces,'BDD RESERVATIONS'!$G:$G,'SUIVI STOCKS PAR PAYSAN'!$N$7,bddres_c_prod_type_aff,'SUIVI STOCKS PAR PAYSAN'!$C41,'BDD RESERVATIONS'!$B:$B,"&gt;"&amp;date_inventaire)</f>
        <v>0</v>
      </c>
      <c r="P41" s="343">
        <f ca="1">SUMIFS(es_pieces,es_prod_type_affinage,'SUIVI STOCKS PAR PAYSAN'!$C41,es_date_entree,"&gt;"&amp;date_inventaire,es_taille,'SUIVI STOCKS PAR PAYSAN'!$P$7)-SUMIFS(v_Pièces,v_Taille,'SUIVI STOCKS PAR PAYSAN'!$P$7,v_conc_prod_tye_affinage,'SUIVI STOCKS PAR PAYSAN'!$C41,v_Date_commande,"&gt;"&amp;date_inventaire)</f>
        <v>0</v>
      </c>
      <c r="Q41" s="353">
        <f ca="1">SUMIFS(bddres_pieces,'BDD RESERVATIONS'!$G:$G,'SUIVI STOCKS PAR PAYSAN'!$P$7,bddres_c_prod_type_aff,'SUIVI STOCKS PAR PAYSAN'!$C41,'BDD RESERVATIONS'!$B:$B,"&gt;"&amp;date_inventaire)</f>
        <v>0</v>
      </c>
      <c r="R41" s="340">
        <f ca="1">SUMIFS(es_poids,es_prod_type_affinage,'SUIVI STOCKS PAR PAYSAN'!$D41,es_date_entree,"&gt;"&amp;date_inventaire)-SUMIFS(v_Poids,v_conc_prod_tye_affinage,'SUIVI STOCKS PAR PAYSAN'!$D41,v_Date_commande,"&gt;"&amp;date_inventaire)</f>
        <v>0</v>
      </c>
      <c r="S41" s="341">
        <f ca="1">SUMIFS(bddres_c_qte,bddres_c_prod_type_aff,'SUIVI STOCKS PAR PAYSAN'!D41,'BDD RESERVATIONS'!$B:$B,"&gt;"&amp;date_inventaire)</f>
        <v>0</v>
      </c>
      <c r="T41" s="342">
        <f ca="1">SUMIFS(bddres_pieces,es_prod_type_affinage,'SUIVI STOCKS PAR PAYSAN'!$D41,es_date_entree,"&gt;"&amp;date_inventaire,es_taille,'SUIVI STOCKS PAR PAYSAN'!$T$7)-SUMIFS(v_Pièces,v_Taille,'SUIVI STOCKS PAR PAYSAN'!$T$7,v_conc_prod_tye_affinage,'SUIVI STOCKS PAR PAYSAN'!$D41,v_Date_commande,"&gt;"&amp;date_inventaire)</f>
        <v>0</v>
      </c>
      <c r="U41" s="342">
        <f ca="1">SUMIFS(bddres_pieces,'BDD RESERVATIONS'!$G:$G,'SUIVI STOCKS PAR PAYSAN'!$T$7,bddres_c_prod_type_aff,'SUIVI STOCKS PAR PAYSAN'!$D41,'BDD RESERVATIONS'!$B:$B,"&gt;"&amp;date_inventaire)</f>
        <v>0</v>
      </c>
      <c r="V41" s="343">
        <f ca="1">SUMIFS(es_pieces,es_prod_type_affinage,'SUIVI STOCKS PAR PAYSAN'!$D41,es_date_entree,"&gt;"&amp;date_inventaire,es_taille,'SUIVI STOCKS PAR PAYSAN'!$V$7)-SUMIFS(v_Pièces,v_Taille,'SUIVI STOCKS PAR PAYSAN'!$V$7,v_conc_prod_tye_affinage,'SUIVI STOCKS PAR PAYSAN'!$D41,v_Date_commande,"&gt;"&amp;date_inventaire)</f>
        <v>0</v>
      </c>
      <c r="W41" s="353">
        <f ca="1">SUMIFS(bddres_pieces,'BDD RESERVATIONS'!$G:$G,'SUIVI STOCKS PAR PAYSAN'!$V$7,bddres_c_prod_type_aff,'SUIVI STOCKS PAR PAYSAN'!$D41,'BDD RESERVATIONS'!$B:$B,"&gt;"&amp;date_inventaire)</f>
        <v>0</v>
      </c>
      <c r="X41" s="313">
        <f ca="1">SUMIFS(es_poids,es_prod_type_affinage,'SUIVI STOCKS PAR PAYSAN'!$E41,es_date_entree,"&gt;"&amp;date_inventaire)-SUMIFS(v_Poids,v_conc_prod_tye_affinage,'SUIVI STOCKS PAR PAYSAN'!$E41,v_Date_commande,"&gt;"&amp;date_inventaire)</f>
        <v>0</v>
      </c>
      <c r="Y41" s="341">
        <f ca="1">SUMIFS(bddres_c_qte,bddres_c_prod_type_aff,'SUIVI STOCKS PAR PAYSAN'!E41,'BDD RESERVATIONS'!$B:$B,"&gt;"&amp;date_inventaire)</f>
        <v>0</v>
      </c>
      <c r="Z41" s="342">
        <f ca="1">SUMIFS(bddres_pieces,es_prod_type_affinage,'SUIVI STOCKS PAR PAYSAN'!$E41,es_date_entree,"&gt;"&amp;date_inventaire,es_taille,'SUIVI STOCKS PAR PAYSAN'!$Z$7)-SUMIFS(v_Pièces,v_Taille,'SUIVI STOCKS PAR PAYSAN'!$Z$7,v_conc_prod_tye_affinage,'SUIVI STOCKS PAR PAYSAN'!$E41,v_Date_commande,"&gt;"&amp;date_inventaire)</f>
        <v>0</v>
      </c>
      <c r="AA41" s="342">
        <f ca="1">SUMIFS(bddres_pieces,'BDD RESERVATIONS'!$G:$G,'SUIVI STOCKS PAR PAYSAN'!$Z$7,bddres_c_prod_type_aff,'SUIVI STOCKS PAR PAYSAN'!$E41,'BDD RESERVATIONS'!$B:$B,"&gt;"&amp;date_inventaire)</f>
        <v>0</v>
      </c>
      <c r="AB41" s="343">
        <f ca="1">SUMIFS(es_pieces,es_prod_type_affinage,'SUIVI STOCKS PAR PAYSAN'!$E41,es_date_entree,"&gt;"&amp;date_inventaire,es_taille,'SUIVI STOCKS PAR PAYSAN'!$AB$7)-SUMIFS(v_Pièces,v_Taille,'SUIVI STOCKS PAR PAYSAN'!$AB$7,v_conc_prod_tye_affinage,'SUIVI STOCKS PAR PAYSAN'!$E41,v_Date_commande,"&gt;"&amp;date_inventaire)</f>
        <v>0</v>
      </c>
      <c r="AC41" s="353">
        <f ca="1">SUMIFS(bddres_pieces,'BDD RESERVATIONS'!$G:$G,'SUIVI STOCKS PAR PAYSAN'!$AB$7,bddres_c_prod_type_aff,'SUIVI STOCKS PAR PAYSAN'!$E41,'BDD RESERVATIONS'!$B:$B,"&gt;"&amp;date_inventaire)</f>
        <v>0</v>
      </c>
      <c r="AD41" s="313">
        <f ca="1">SUMIFS(es_poids,es_prod_type_affinage,'SUIVI STOCKS PAR PAYSAN'!$F41,es_date_entree,"&gt;"&amp;date_inventaire)-SUMIFS(v_Poids,v_conc_prod_tye_affinage,'SUIVI STOCKS PAR PAYSAN'!$F41,v_Date_commande,"&gt;"&amp;date_inventaire)</f>
        <v>0</v>
      </c>
      <c r="AE41" s="341">
        <f ca="1">SUMIFS(bddres_c_qte,bddres_c_prod_type_aff,'SUIVI STOCKS PAR PAYSAN'!F41,'BDD RESERVATIONS'!$B:$B,"&gt;"&amp;date_inventaire)</f>
        <v>0</v>
      </c>
      <c r="AF41" s="342">
        <f ca="1">SUMIFS(bddres_pieces,es_prod_type_affinage,'SUIVI STOCKS PAR PAYSAN'!$F41,es_date_entree,"&gt;"&amp;date_inventaire,es_taille,'SUIVI STOCKS PAR PAYSAN'!$Z$7)-SUMIFS(v_Pièces,v_Taille,'SUIVI STOCKS PAR PAYSAN'!$Z$7,v_conc_prod_tye_affinage,'SUIVI STOCKS PAR PAYSAN'!$F41,v_Date_commande,"&gt;"&amp;date_inventaire)</f>
        <v>0</v>
      </c>
      <c r="AG41" s="342">
        <f ca="1">SUMIFS(bddres_pieces,'BDD RESERVATIONS'!$G:$G,'SUIVI STOCKS PAR PAYSAN'!$Z$7,bddres_c_prod_type_aff,'SUIVI STOCKS PAR PAYSAN'!$F41,'BDD RESERVATIONS'!$B:$B,"&gt;"&amp;date_inventaire)</f>
        <v>0</v>
      </c>
      <c r="AH41" s="343">
        <f ca="1">SUMIFS(es_pieces,es_prod_type_affinage,'SUIVI STOCKS PAR PAYSAN'!$F41,es_date_entree,"&gt;"&amp;date_inventaire,es_taille,'SUIVI STOCKS PAR PAYSAN'!$AH$7)-SUMIFS(v_Pièces,v_Taille,'SUIVI STOCKS PAR PAYSAN'!$AH$7,v_conc_prod_tye_affinage,'SUIVI STOCKS PAR PAYSAN'!$F41,v_Date_commande,"&gt;"&amp;date_inventaire)</f>
        <v>0</v>
      </c>
      <c r="AI41" s="353">
        <f ca="1">SUMIFS(bddres_pieces,'BDD RESERVATIONS'!$G:$G,'SUIVI STOCKS PAR PAYSAN'!$AB$7,bddres_c_prod_type_aff,'SUIVI STOCKS PAR PAYSAN'!$F41,'BDD RESERVATIONS'!$B:$B,"&gt;"&amp;date_inventaire)</f>
        <v>0</v>
      </c>
      <c r="AJ41" s="352">
        <f ca="1">SUMIFS(es_poids,es_prod_type_affinage,'SUIVI STOCKS PAR PAYSAN'!$G41,es_date_entree,"&gt;"&amp;date_inventaire)-SUMIFS(v_Poids,v_conc_prod_tye_affinage,'SUIVI STOCKS PAR PAYSAN'!$G41,v_Date_commande,"&gt;"&amp;date_inventaire)</f>
        <v>0</v>
      </c>
      <c r="AK41" s="341">
        <f ca="1">SUMIFS(bddres_c_qte,bddres_c_prod_type_aff,'SUIVI STOCKS PAR PAYSAN'!G41,'BDD RESERVATIONS'!$B:$B,"&gt;"&amp;date_inventaire)</f>
        <v>0</v>
      </c>
      <c r="AL41" s="342">
        <f ca="1">SUMIFS(bddres_pieces,es_prod_type_affinage,'SUIVI STOCKS PAR PAYSAN'!$G41,es_date_entree,"&gt;"&amp;date_inventaire,es_taille,'SUIVI STOCKS PAR PAYSAN'!$AL$7)-SUMIFS(v_Pièces,v_Taille,'SUIVI STOCKS PAR PAYSAN'!$AL$7,v_conc_prod_tye_affinage,'SUIVI STOCKS PAR PAYSAN'!$G41,v_Date_commande,"&gt;"&amp;date_inventaire)</f>
        <v>0</v>
      </c>
      <c r="AM41" s="342">
        <f ca="1">SUMIFS(bddres_pieces,'BDD RESERVATIONS'!$G:$G,'SUIVI STOCKS PAR PAYSAN'!$AL$7,bddres_c_prod_type_aff,'SUIVI STOCKS PAR PAYSAN'!$G41,'BDD RESERVATIONS'!$B:$B,"&gt;"&amp;date_inventaire)</f>
        <v>0</v>
      </c>
      <c r="AN41" s="343">
        <f ca="1">SUMIFS(es_pieces,es_prod_type_affinage,'SUIVI STOCKS PAR PAYSAN'!$G41,es_date_entree,"&gt;"&amp;date_inventaire,es_taille,'SUIVI STOCKS PAR PAYSAN'!$AN$7)-SUMIFS(v_Pièces,v_Taille,'SUIVI STOCKS PAR PAYSAN'!$AN$7,v_conc_prod_tye_affinage,'SUIVI STOCKS PAR PAYSAN'!$G41,v_Date_commande,"&gt;"&amp;date_inventaire)</f>
        <v>0</v>
      </c>
      <c r="AO41" s="353">
        <f ca="1">SUMIFS(bddres_pieces,'BDD RESERVATIONS'!$G:$G,'SUIVI STOCKS PAR PAYSAN'!$AN$7,bddres_c_prod_type_aff,'SUIVI STOCKS PAR PAYSAN'!$G41,'BDD RESERVATIONS'!$B:$B,"&gt;"&amp;date_inventaire)</f>
        <v>0</v>
      </c>
      <c r="AP41" s="313">
        <f ca="1">SUMIFS(es_poids,es_prod_type_affinage,'SUIVI STOCKS PAR PAYSAN'!$H41,es_date_entree,"&gt;"&amp;date_inventaire)-SUMIFS(v_Poids,v_conc_prod_tye_affinage,'SUIVI STOCKS PAR PAYSAN'!$H41,v_Date_commande,"&gt;"&amp;date_inventaire)</f>
        <v>0</v>
      </c>
      <c r="AQ41" s="341">
        <f ca="1">SUMIFS(bddres_c_qte,bddres_c_prod_type_aff,'SUIVI STOCKS PAR PAYSAN'!H41,'BDD RESERVATIONS'!$B:$B,"&gt;"&amp;date_inventaire)</f>
        <v>0</v>
      </c>
      <c r="AR41" s="342">
        <f ca="1">SUMIFS(bddres_pieces,es_prod_type_affinage,'SUIVI STOCKS PAR PAYSAN'!$H41,es_date_entree,"&gt;"&amp;date_inventaire,es_taille,'SUIVI STOCKS PAR PAYSAN'!$AR$7)-SUMIFS(v_Pièces,v_Taille,'SUIVI STOCKS PAR PAYSAN'!$AR$7,v_conc_prod_tye_affinage,'SUIVI STOCKS PAR PAYSAN'!$H41,v_Date_commande,"&gt;"&amp;date_inventaire)</f>
        <v>0</v>
      </c>
      <c r="AS41" s="326">
        <f ca="1">SUMIFS(bddres_pieces,'BDD RESERVATIONS'!$G:$G,'SUIVI STOCKS PAR PAYSAN'!AR36,bddres_c_prod_type_aff,'SUIVI STOCKS PAR PAYSAN'!$H41,'BDD RESERVATIONS'!$B:$B,"&gt;"&amp;date_inventaire)</f>
        <v>0</v>
      </c>
      <c r="AT41" s="343">
        <f ca="1">SUMIFS(es_pieces,es_prod_type_affinage,'SUIVI STOCKS PAR PAYSAN'!$H41,es_date_entree,"&gt;"&amp;date_inventaire,es_taille,'SUIVI STOCKS PAR PAYSAN'!$AT$7)-SUMIFS(v_Pièces,v_Taille,'SUIVI STOCKS PAR PAYSAN'!$AT$7,v_conc_prod_tye_affinage,'SUIVI STOCKS PAR PAYSAN'!$H41,v_Date_commande,"&gt;"&amp;date_inventaire)</f>
        <v>0</v>
      </c>
      <c r="AU41" s="353">
        <f ca="1">SUMIFS(bddres_pieces,'BDD RESERVATIONS'!$G:$G,'SUIVI STOCKS PAR PAYSAN'!$AT$7,bddres_c_prod_type_aff,'SUIVI STOCKS PAR PAYSAN'!$H41,'BDD RESERVATIONS'!$B:$B,"&gt;"&amp;date_inventaire)</f>
        <v>0</v>
      </c>
      <c r="AV41" s="313">
        <f ca="1">SUMIFS(es_poids,es_prod_type_affinage,'SUIVI STOCKS PAR PAYSAN'!$I41,es_date_entree,"&gt;"&amp;date_inventaire)-SUMIFS(v_Poids,v_conc_prod_tye_affinage,'SUIVI STOCKS PAR PAYSAN'!$E41,v_Date_commande,"&gt;"&amp;date_inventaire)</f>
        <v>0</v>
      </c>
      <c r="AW41" s="313">
        <f ca="1">SUMIFS(bddres_c_qte,bddres_c_prod_type_aff,'SUIVI STOCKS PAR PAYSAN'!I41,'BDD RESERVATIONS'!$B:$B,"&gt;"&amp;date_inventaire)</f>
        <v>0</v>
      </c>
      <c r="AX41" s="342">
        <f ca="1">SUMIFS(bddres_pieces,es_prod_type_affinage,'SUIVI STOCKS PAR PAYSAN'!$I41,es_date_entree,"&gt;"&amp;date_inventaire,es_taille,'SUIVI STOCKS PAR PAYSAN'!$AX$7)-SUMIFS(v_Pièces,v_Taille,'SUIVI STOCKS PAR PAYSAN'!$AX$7,v_conc_prod_tye_affinage,'SUIVI STOCKS PAR PAYSAN'!$I41,v_Date_commande,"&gt;"&amp;date_inventaire)</f>
        <v>0</v>
      </c>
      <c r="AY41" s="342">
        <f ca="1">SUMIFS(bddres_pieces,'BDD RESERVATIONS'!$G:$G,'SUIVI STOCKS PAR PAYSAN'!$AX$7,bddres_c_prod_type_aff,'SUIVI STOCKS PAR PAYSAN'!$I41,'BDD RESERVATIONS'!$B:$B,"&gt;"&amp;date_inventaire)</f>
        <v>0</v>
      </c>
      <c r="AZ41" s="343">
        <f ca="1">SUMIFS(es_pieces,es_prod_type_affinage,'SUIVI STOCKS PAR PAYSAN'!$I41,es_date_entree,"&gt;"&amp;date_inventaire,es_taille,'SUIVI STOCKS PAR PAYSAN'!$AZ$7)-SUMIFS(v_Pièces,v_Taille,'SUIVI STOCKS PAR PAYSAN'!$AZ$7,v_conc_prod_tye_affinage,'SUIVI STOCKS PAR PAYSAN'!$I41,v_Date_commande,"&gt;"&amp;date_inventaire)</f>
        <v>0</v>
      </c>
      <c r="BA41" s="353">
        <f ca="1">SUMIFS(bddres_pieces,'BDD RESERVATIONS'!$G:$G,'SUIVI STOCKS PAR PAYSAN'!$AZ$7,bddres_c_prod_type_aff,'SUIVI STOCKS PAR PAYSAN'!$I41,'BDD RESERVATIONS'!$B:$B,"&gt;"&amp;date_inventaire)</f>
        <v>0</v>
      </c>
      <c r="BB41" s="313">
        <f ca="1">SUMIFS(es_poids,es_prod_type_affinage,'SUIVI STOCKS PAR PAYSAN'!$J41,es_date_entree,"&gt;"&amp;date_inventaire)-SUMIFS(v_Poids,v_conc_prod_tye_affinage,'SUIVI STOCKS PAR PAYSAN'!$J41,v_Date_commande,"&gt;"&amp;date_inventaire)</f>
        <v>0</v>
      </c>
      <c r="BC41" s="313">
        <f ca="1">SUMIFS(bddres_c_qte,bddres_c_prod_type_aff,'SUIVI STOCKS PAR PAYSAN'!J41,'BDD RESERVATIONS'!$B:$B,"&gt;"&amp;date_inventaire)</f>
        <v>0</v>
      </c>
      <c r="BD41" s="342">
        <f ca="1">SUMIFS(bddres_pieces,es_prod_type_affinage,'SUIVI STOCKS PAR PAYSAN'!$J41,es_date_entree,"&gt;"&amp;date_inventaire,es_taille,'SUIVI STOCKS PAR PAYSAN'!$BD$7)-SUMIFS(v_Pièces,v_Taille,'SUIVI STOCKS PAR PAYSAN'!$BD$7,v_conc_prod_tye_affinage,'SUIVI STOCKS PAR PAYSAN'!$J41,v_Date_commande,"&gt;"&amp;date_inventaire)</f>
        <v>0</v>
      </c>
      <c r="BE41" s="326">
        <f ca="1">SUMIFS(bddres_pieces,'BDD RESERVATIONS'!$G:$G,'SUIVI STOCKS PAR PAYSAN'!BD36,bddres_c_prod_type_aff,'SUIVI STOCKS PAR PAYSAN'!J41,'BDD RESERVATIONS'!$B:$B,"&gt;"&amp;date_inventaire)</f>
        <v>0</v>
      </c>
      <c r="BF41" s="343">
        <f ca="1">SUMIFS(es_pieces,es_prod_type_affinage,'SUIVI STOCKS PAR PAYSAN'!J41,es_date_entree,"&gt;"&amp;date_inventaire,es_taille,'SUIVI STOCKS PAR PAYSAN'!$BF$7)-SUMIFS(v_Pièces,v_Taille,'SUIVI STOCKS PAR PAYSAN'!$BF$7,v_conc_prod_tye_affinage,'SUIVI STOCKS PAR PAYSAN'!J41,v_Date_commande,"&gt;"&amp;date_inventaire)</f>
        <v>0</v>
      </c>
      <c r="BG41" s="353">
        <f ca="1">SUMIFS(bddres_pieces,'BDD RESERVATIONS'!$G:$G,'SUIVI STOCKS PAR PAYSAN'!$BF$7,bddres_c_prod_type_aff,'SUIVI STOCKS PAR PAYSAN'!J41,'BDD RESERVATIONS'!$B:$B,"&gt;"&amp;date_inventaire)</f>
        <v>0</v>
      </c>
    </row>
    <row r="42" spans="1:59" ht="18.75" customHeight="1" x14ac:dyDescent="0.25">
      <c r="A42" s="331">
        <f ca="1">OFFSET('BDD PAYSANS'!$B$1,B42,0,1,1)</f>
        <v>0</v>
      </c>
      <c r="B42" s="325">
        <v>31</v>
      </c>
      <c r="C42" s="325" t="str">
        <f t="shared" ca="1" si="2"/>
        <v>0FERMIER&lt;3 mois</v>
      </c>
      <c r="D42" s="325" t="str">
        <f t="shared" ca="1" si="2"/>
        <v>0FERMIER3-6 mois</v>
      </c>
      <c r="E42" s="325" t="str">
        <f t="shared" ca="1" si="2"/>
        <v>0FERMIER6-9 mois</v>
      </c>
      <c r="F42" s="325" t="str">
        <f t="shared" ca="1" si="2"/>
        <v>0FERMIER&gt;9 mois</v>
      </c>
      <c r="G42" s="325" t="str">
        <f t="shared" ca="1" si="2"/>
        <v>0ESTIVE&lt;3 mois</v>
      </c>
      <c r="H42" s="325" t="str">
        <f t="shared" ca="1" si="2"/>
        <v>0ESTIVE3-6 mois</v>
      </c>
      <c r="I42" s="325" t="str">
        <f t="shared" ca="1" si="2"/>
        <v>0ESTIVE6-9 mois</v>
      </c>
      <c r="J42" s="325" t="str">
        <f t="shared" ca="1" si="2"/>
        <v>0ESTIVE&gt;9 mois</v>
      </c>
      <c r="K42" s="325"/>
      <c r="L42" s="352">
        <f ca="1">SUMIFS(es_poids,es_prod_type_affinage,'SUIVI STOCKS PAR PAYSAN'!$C42,es_date_entree,"&gt;"&amp;date_inventaire)-SUMIFS(v_Poids,v_conc_prod_tye_affinage,'SUIVI STOCKS PAR PAYSAN'!$C42,v_Date_commande,"&gt;"&amp;date_inventaire)</f>
        <v>0</v>
      </c>
      <c r="M42" s="341">
        <f ca="1">SUMIFS(bddres_c_qte,bddres_c_prod_type_aff,'SUIVI STOCKS PAR PAYSAN'!C42,'BDD RESERVATIONS'!$B:$B,"&gt;"&amp;date_inventaire)</f>
        <v>0</v>
      </c>
      <c r="N42" s="342">
        <f ca="1">SUMIFS(bddres_pieces,es_prod_type_affinage,'SUIVI STOCKS PAR PAYSAN'!$C42,es_date_entree,"&gt;"&amp;date_inventaire,es_taille,'SUIVI STOCKS PAR PAYSAN'!$N$7)-SUMIFS(v_Pièces,v_Taille,'SUIVI STOCKS PAR PAYSAN'!$N$7,v_conc_prod_tye_affinage,'SUIVI STOCKS PAR PAYSAN'!$C42,v_Date_commande,"&gt;"&amp;date_inventaire)</f>
        <v>0</v>
      </c>
      <c r="O42" s="342">
        <f ca="1">SUMIFS(bddres_pieces,'BDD RESERVATIONS'!$G:$G,'SUIVI STOCKS PAR PAYSAN'!$N$7,bddres_c_prod_type_aff,'SUIVI STOCKS PAR PAYSAN'!$C42,'BDD RESERVATIONS'!$B:$B,"&gt;"&amp;date_inventaire)</f>
        <v>0</v>
      </c>
      <c r="P42" s="343">
        <f ca="1">SUMIFS(es_pieces,es_prod_type_affinage,'SUIVI STOCKS PAR PAYSAN'!$C42,es_date_entree,"&gt;"&amp;date_inventaire,es_taille,'SUIVI STOCKS PAR PAYSAN'!$P$7)-SUMIFS(v_Pièces,v_Taille,'SUIVI STOCKS PAR PAYSAN'!$P$7,v_conc_prod_tye_affinage,'SUIVI STOCKS PAR PAYSAN'!$C42,v_Date_commande,"&gt;"&amp;date_inventaire)</f>
        <v>0</v>
      </c>
      <c r="Q42" s="353">
        <f ca="1">SUMIFS(bddres_pieces,'BDD RESERVATIONS'!$G:$G,'SUIVI STOCKS PAR PAYSAN'!$P$7,bddres_c_prod_type_aff,'SUIVI STOCKS PAR PAYSAN'!$C42,'BDD RESERVATIONS'!$B:$B,"&gt;"&amp;date_inventaire)</f>
        <v>0</v>
      </c>
      <c r="R42" s="340">
        <f ca="1">SUMIFS(es_poids,es_prod_type_affinage,'SUIVI STOCKS PAR PAYSAN'!$D42,es_date_entree,"&gt;"&amp;date_inventaire)-SUMIFS(v_Poids,v_conc_prod_tye_affinage,'SUIVI STOCKS PAR PAYSAN'!$D42,v_Date_commande,"&gt;"&amp;date_inventaire)</f>
        <v>0</v>
      </c>
      <c r="S42" s="341">
        <f ca="1">SUMIFS(bddres_c_qte,bddres_c_prod_type_aff,'SUIVI STOCKS PAR PAYSAN'!D42,'BDD RESERVATIONS'!$B:$B,"&gt;"&amp;date_inventaire)</f>
        <v>0</v>
      </c>
      <c r="T42" s="342">
        <f ca="1">SUMIFS(bddres_pieces,es_prod_type_affinage,'SUIVI STOCKS PAR PAYSAN'!$D42,es_date_entree,"&gt;"&amp;date_inventaire,es_taille,'SUIVI STOCKS PAR PAYSAN'!$T$7)-SUMIFS(v_Pièces,v_Taille,'SUIVI STOCKS PAR PAYSAN'!$T$7,v_conc_prod_tye_affinage,'SUIVI STOCKS PAR PAYSAN'!$D42,v_Date_commande,"&gt;"&amp;date_inventaire)</f>
        <v>0</v>
      </c>
      <c r="U42" s="342">
        <f ca="1">SUMIFS(bddres_pieces,'BDD RESERVATIONS'!$G:$G,'SUIVI STOCKS PAR PAYSAN'!$T$7,bddres_c_prod_type_aff,'SUIVI STOCKS PAR PAYSAN'!$D42,'BDD RESERVATIONS'!$B:$B,"&gt;"&amp;date_inventaire)</f>
        <v>0</v>
      </c>
      <c r="V42" s="343">
        <f ca="1">SUMIFS(es_pieces,es_prod_type_affinage,'SUIVI STOCKS PAR PAYSAN'!$D42,es_date_entree,"&gt;"&amp;date_inventaire,es_taille,'SUIVI STOCKS PAR PAYSAN'!$V$7)-SUMIFS(v_Pièces,v_Taille,'SUIVI STOCKS PAR PAYSAN'!$V$7,v_conc_prod_tye_affinage,'SUIVI STOCKS PAR PAYSAN'!$D42,v_Date_commande,"&gt;"&amp;date_inventaire)</f>
        <v>0</v>
      </c>
      <c r="W42" s="353">
        <f ca="1">SUMIFS(bddres_pieces,'BDD RESERVATIONS'!$G:$G,'SUIVI STOCKS PAR PAYSAN'!$V$7,bddres_c_prod_type_aff,'SUIVI STOCKS PAR PAYSAN'!$D42,'BDD RESERVATIONS'!$B:$B,"&gt;"&amp;date_inventaire)</f>
        <v>0</v>
      </c>
      <c r="X42" s="313">
        <f ca="1">SUMIFS(es_poids,es_prod_type_affinage,'SUIVI STOCKS PAR PAYSAN'!$E42,es_date_entree,"&gt;"&amp;date_inventaire)-SUMIFS(v_Poids,v_conc_prod_tye_affinage,'SUIVI STOCKS PAR PAYSAN'!$E42,v_Date_commande,"&gt;"&amp;date_inventaire)</f>
        <v>0</v>
      </c>
      <c r="Y42" s="341">
        <f ca="1">SUMIFS(bddres_c_qte,bddres_c_prod_type_aff,'SUIVI STOCKS PAR PAYSAN'!E42,'BDD RESERVATIONS'!$B:$B,"&gt;"&amp;date_inventaire)</f>
        <v>0</v>
      </c>
      <c r="Z42" s="342">
        <f ca="1">SUMIFS(bddres_pieces,es_prod_type_affinage,'SUIVI STOCKS PAR PAYSAN'!$E42,es_date_entree,"&gt;"&amp;date_inventaire,es_taille,'SUIVI STOCKS PAR PAYSAN'!$Z$7)-SUMIFS(v_Pièces,v_Taille,'SUIVI STOCKS PAR PAYSAN'!$Z$7,v_conc_prod_tye_affinage,'SUIVI STOCKS PAR PAYSAN'!$E42,v_Date_commande,"&gt;"&amp;date_inventaire)</f>
        <v>0</v>
      </c>
      <c r="AA42" s="342">
        <f ca="1">SUMIFS(bddres_pieces,'BDD RESERVATIONS'!$G:$G,'SUIVI STOCKS PAR PAYSAN'!$Z$7,bddres_c_prod_type_aff,'SUIVI STOCKS PAR PAYSAN'!$E42,'BDD RESERVATIONS'!$B:$B,"&gt;"&amp;date_inventaire)</f>
        <v>0</v>
      </c>
      <c r="AB42" s="343">
        <f ca="1">SUMIFS(es_pieces,es_prod_type_affinage,'SUIVI STOCKS PAR PAYSAN'!$E42,es_date_entree,"&gt;"&amp;date_inventaire,es_taille,'SUIVI STOCKS PAR PAYSAN'!$AB$7)-SUMIFS(v_Pièces,v_Taille,'SUIVI STOCKS PAR PAYSAN'!$AB$7,v_conc_prod_tye_affinage,'SUIVI STOCKS PAR PAYSAN'!$E42,v_Date_commande,"&gt;"&amp;date_inventaire)</f>
        <v>0</v>
      </c>
      <c r="AC42" s="353">
        <f ca="1">SUMIFS(bddres_pieces,'BDD RESERVATIONS'!$G:$G,'SUIVI STOCKS PAR PAYSAN'!$AB$7,bddres_c_prod_type_aff,'SUIVI STOCKS PAR PAYSAN'!$E42,'BDD RESERVATIONS'!$B:$B,"&gt;"&amp;date_inventaire)</f>
        <v>0</v>
      </c>
      <c r="AD42" s="313">
        <f ca="1">SUMIFS(es_poids,es_prod_type_affinage,'SUIVI STOCKS PAR PAYSAN'!$F42,es_date_entree,"&gt;"&amp;date_inventaire)-SUMIFS(v_Poids,v_conc_prod_tye_affinage,'SUIVI STOCKS PAR PAYSAN'!$F42,v_Date_commande,"&gt;"&amp;date_inventaire)</f>
        <v>0</v>
      </c>
      <c r="AE42" s="341">
        <f ca="1">SUMIFS(bddres_c_qte,bddres_c_prod_type_aff,'SUIVI STOCKS PAR PAYSAN'!F42,'BDD RESERVATIONS'!$B:$B,"&gt;"&amp;date_inventaire)</f>
        <v>0</v>
      </c>
      <c r="AF42" s="342">
        <f ca="1">SUMIFS(bddres_pieces,es_prod_type_affinage,'SUIVI STOCKS PAR PAYSAN'!$F42,es_date_entree,"&gt;"&amp;date_inventaire,es_taille,'SUIVI STOCKS PAR PAYSAN'!$Z$7)-SUMIFS(v_Pièces,v_Taille,'SUIVI STOCKS PAR PAYSAN'!$Z$7,v_conc_prod_tye_affinage,'SUIVI STOCKS PAR PAYSAN'!$F42,v_Date_commande,"&gt;"&amp;date_inventaire)</f>
        <v>0</v>
      </c>
      <c r="AG42" s="342">
        <f ca="1">SUMIFS(bddres_pieces,'BDD RESERVATIONS'!$G:$G,'SUIVI STOCKS PAR PAYSAN'!$Z$7,bddres_c_prod_type_aff,'SUIVI STOCKS PAR PAYSAN'!$F42,'BDD RESERVATIONS'!$B:$B,"&gt;"&amp;date_inventaire)</f>
        <v>0</v>
      </c>
      <c r="AH42" s="343">
        <f ca="1">SUMIFS(es_pieces,es_prod_type_affinage,'SUIVI STOCKS PAR PAYSAN'!$F42,es_date_entree,"&gt;"&amp;date_inventaire,es_taille,'SUIVI STOCKS PAR PAYSAN'!$AH$7)-SUMIFS(v_Pièces,v_Taille,'SUIVI STOCKS PAR PAYSAN'!$AH$7,v_conc_prod_tye_affinage,'SUIVI STOCKS PAR PAYSAN'!$F42,v_Date_commande,"&gt;"&amp;date_inventaire)</f>
        <v>0</v>
      </c>
      <c r="AI42" s="353">
        <f ca="1">SUMIFS(bddres_pieces,'BDD RESERVATIONS'!$G:$G,'SUIVI STOCKS PAR PAYSAN'!$AB$7,bddres_c_prod_type_aff,'SUIVI STOCKS PAR PAYSAN'!$F42,'BDD RESERVATIONS'!$B:$B,"&gt;"&amp;date_inventaire)</f>
        <v>0</v>
      </c>
      <c r="AJ42" s="352">
        <f ca="1">SUMIFS(es_poids,es_prod_type_affinage,'SUIVI STOCKS PAR PAYSAN'!$G42,es_date_entree,"&gt;"&amp;date_inventaire)-SUMIFS(v_Poids,v_conc_prod_tye_affinage,'SUIVI STOCKS PAR PAYSAN'!$G42,v_Date_commande,"&gt;"&amp;date_inventaire)</f>
        <v>0</v>
      </c>
      <c r="AK42" s="341">
        <f ca="1">SUMIFS(bddres_c_qte,bddres_c_prod_type_aff,'SUIVI STOCKS PAR PAYSAN'!G42,'BDD RESERVATIONS'!$B:$B,"&gt;"&amp;date_inventaire)</f>
        <v>0</v>
      </c>
      <c r="AL42" s="342">
        <f ca="1">SUMIFS(bddres_pieces,es_prod_type_affinage,'SUIVI STOCKS PAR PAYSAN'!$G42,es_date_entree,"&gt;"&amp;date_inventaire,es_taille,'SUIVI STOCKS PAR PAYSAN'!$AL$7)-SUMIFS(v_Pièces,v_Taille,'SUIVI STOCKS PAR PAYSAN'!$AL$7,v_conc_prod_tye_affinage,'SUIVI STOCKS PAR PAYSAN'!$G42,v_Date_commande,"&gt;"&amp;date_inventaire)</f>
        <v>0</v>
      </c>
      <c r="AM42" s="342">
        <f ca="1">SUMIFS(bddres_pieces,'BDD RESERVATIONS'!$G:$G,'SUIVI STOCKS PAR PAYSAN'!$AL$7,bddres_c_prod_type_aff,'SUIVI STOCKS PAR PAYSAN'!$G42,'BDD RESERVATIONS'!$B:$B,"&gt;"&amp;date_inventaire)</f>
        <v>0</v>
      </c>
      <c r="AN42" s="343">
        <f ca="1">SUMIFS(es_pieces,es_prod_type_affinage,'SUIVI STOCKS PAR PAYSAN'!$G42,es_date_entree,"&gt;"&amp;date_inventaire,es_taille,'SUIVI STOCKS PAR PAYSAN'!$AN$7)-SUMIFS(v_Pièces,v_Taille,'SUIVI STOCKS PAR PAYSAN'!$AN$7,v_conc_prod_tye_affinage,'SUIVI STOCKS PAR PAYSAN'!$G42,v_Date_commande,"&gt;"&amp;date_inventaire)</f>
        <v>0</v>
      </c>
      <c r="AO42" s="353">
        <f ca="1">SUMIFS(bddres_pieces,'BDD RESERVATIONS'!$G:$G,'SUIVI STOCKS PAR PAYSAN'!$AN$7,bddres_c_prod_type_aff,'SUIVI STOCKS PAR PAYSAN'!$G42,'BDD RESERVATIONS'!$B:$B,"&gt;"&amp;date_inventaire)</f>
        <v>0</v>
      </c>
      <c r="AP42" s="313">
        <f ca="1">SUMIFS(es_poids,es_prod_type_affinage,'SUIVI STOCKS PAR PAYSAN'!$H42,es_date_entree,"&gt;"&amp;date_inventaire)-SUMIFS(v_Poids,v_conc_prod_tye_affinage,'SUIVI STOCKS PAR PAYSAN'!$H42,v_Date_commande,"&gt;"&amp;date_inventaire)</f>
        <v>0</v>
      </c>
      <c r="AQ42" s="341">
        <f ca="1">SUMIFS(bddres_c_qte,bddres_c_prod_type_aff,'SUIVI STOCKS PAR PAYSAN'!H42,'BDD RESERVATIONS'!$B:$B,"&gt;"&amp;date_inventaire)</f>
        <v>0</v>
      </c>
      <c r="AR42" s="342">
        <f ca="1">SUMIFS(bddres_pieces,es_prod_type_affinage,'SUIVI STOCKS PAR PAYSAN'!$H42,es_date_entree,"&gt;"&amp;date_inventaire,es_taille,'SUIVI STOCKS PAR PAYSAN'!$AR$7)-SUMIFS(v_Pièces,v_Taille,'SUIVI STOCKS PAR PAYSAN'!$AR$7,v_conc_prod_tye_affinage,'SUIVI STOCKS PAR PAYSAN'!$H42,v_Date_commande,"&gt;"&amp;date_inventaire)</f>
        <v>0</v>
      </c>
      <c r="AS42" s="326">
        <f ca="1">SUMIFS(bddres_pieces,'BDD RESERVATIONS'!$G:$G,'SUIVI STOCKS PAR PAYSAN'!AR37,bddres_c_prod_type_aff,'SUIVI STOCKS PAR PAYSAN'!$H42,'BDD RESERVATIONS'!$B:$B,"&gt;"&amp;date_inventaire)</f>
        <v>0</v>
      </c>
      <c r="AT42" s="343">
        <f ca="1">SUMIFS(es_pieces,es_prod_type_affinage,'SUIVI STOCKS PAR PAYSAN'!$H42,es_date_entree,"&gt;"&amp;date_inventaire,es_taille,'SUIVI STOCKS PAR PAYSAN'!$AT$7)-SUMIFS(v_Pièces,v_Taille,'SUIVI STOCKS PAR PAYSAN'!$AT$7,v_conc_prod_tye_affinage,'SUIVI STOCKS PAR PAYSAN'!$H42,v_Date_commande,"&gt;"&amp;date_inventaire)</f>
        <v>0</v>
      </c>
      <c r="AU42" s="353">
        <f ca="1">SUMIFS(bddres_pieces,'BDD RESERVATIONS'!$G:$G,'SUIVI STOCKS PAR PAYSAN'!$AT$7,bddres_c_prod_type_aff,'SUIVI STOCKS PAR PAYSAN'!$H42,'BDD RESERVATIONS'!$B:$B,"&gt;"&amp;date_inventaire)</f>
        <v>0</v>
      </c>
      <c r="AV42" s="313">
        <f ca="1">SUMIFS(es_poids,es_prod_type_affinage,'SUIVI STOCKS PAR PAYSAN'!$I42,es_date_entree,"&gt;"&amp;date_inventaire)-SUMIFS(v_Poids,v_conc_prod_tye_affinage,'SUIVI STOCKS PAR PAYSAN'!$E42,v_Date_commande,"&gt;"&amp;date_inventaire)</f>
        <v>0</v>
      </c>
      <c r="AW42" s="313">
        <f ca="1">SUMIFS(bddres_c_qte,bddres_c_prod_type_aff,'SUIVI STOCKS PAR PAYSAN'!I42,'BDD RESERVATIONS'!$B:$B,"&gt;"&amp;date_inventaire)</f>
        <v>0</v>
      </c>
      <c r="AX42" s="342">
        <f ca="1">SUMIFS(bddres_pieces,es_prod_type_affinage,'SUIVI STOCKS PAR PAYSAN'!$I42,es_date_entree,"&gt;"&amp;date_inventaire,es_taille,'SUIVI STOCKS PAR PAYSAN'!$AX$7)-SUMIFS(v_Pièces,v_Taille,'SUIVI STOCKS PAR PAYSAN'!$AX$7,v_conc_prod_tye_affinage,'SUIVI STOCKS PAR PAYSAN'!$I42,v_Date_commande,"&gt;"&amp;date_inventaire)</f>
        <v>0</v>
      </c>
      <c r="AY42" s="342">
        <f ca="1">SUMIFS(bddres_pieces,'BDD RESERVATIONS'!$G:$G,'SUIVI STOCKS PAR PAYSAN'!$AX$7,bddres_c_prod_type_aff,'SUIVI STOCKS PAR PAYSAN'!$I42,'BDD RESERVATIONS'!$B:$B,"&gt;"&amp;date_inventaire)</f>
        <v>0</v>
      </c>
      <c r="AZ42" s="343">
        <f ca="1">SUMIFS(es_pieces,es_prod_type_affinage,'SUIVI STOCKS PAR PAYSAN'!$I42,es_date_entree,"&gt;"&amp;date_inventaire,es_taille,'SUIVI STOCKS PAR PAYSAN'!$AZ$7)-SUMIFS(v_Pièces,v_Taille,'SUIVI STOCKS PAR PAYSAN'!$AZ$7,v_conc_prod_tye_affinage,'SUIVI STOCKS PAR PAYSAN'!$I42,v_Date_commande,"&gt;"&amp;date_inventaire)</f>
        <v>0</v>
      </c>
      <c r="BA42" s="353">
        <f ca="1">SUMIFS(bddres_pieces,'BDD RESERVATIONS'!$G:$G,'SUIVI STOCKS PAR PAYSAN'!$AZ$7,bddres_c_prod_type_aff,'SUIVI STOCKS PAR PAYSAN'!$I42,'BDD RESERVATIONS'!$B:$B,"&gt;"&amp;date_inventaire)</f>
        <v>0</v>
      </c>
      <c r="BB42" s="313">
        <f ca="1">SUMIFS(es_poids,es_prod_type_affinage,'SUIVI STOCKS PAR PAYSAN'!$J42,es_date_entree,"&gt;"&amp;date_inventaire)-SUMIFS(v_Poids,v_conc_prod_tye_affinage,'SUIVI STOCKS PAR PAYSAN'!$J42,v_Date_commande,"&gt;"&amp;date_inventaire)</f>
        <v>0</v>
      </c>
      <c r="BC42" s="313">
        <f ca="1">SUMIFS(bddres_c_qte,bddres_c_prod_type_aff,'SUIVI STOCKS PAR PAYSAN'!J42,'BDD RESERVATIONS'!$B:$B,"&gt;"&amp;date_inventaire)</f>
        <v>0</v>
      </c>
      <c r="BD42" s="342">
        <f ca="1">SUMIFS(bddres_pieces,es_prod_type_affinage,'SUIVI STOCKS PAR PAYSAN'!$J42,es_date_entree,"&gt;"&amp;date_inventaire,es_taille,'SUIVI STOCKS PAR PAYSAN'!$BD$7)-SUMIFS(v_Pièces,v_Taille,'SUIVI STOCKS PAR PAYSAN'!$BD$7,v_conc_prod_tye_affinage,'SUIVI STOCKS PAR PAYSAN'!$J42,v_Date_commande,"&gt;"&amp;date_inventaire)</f>
        <v>0</v>
      </c>
      <c r="BE42" s="326">
        <f ca="1">SUMIFS(bddres_pieces,'BDD RESERVATIONS'!$G:$G,'SUIVI STOCKS PAR PAYSAN'!BD37,bddres_c_prod_type_aff,'SUIVI STOCKS PAR PAYSAN'!J42,'BDD RESERVATIONS'!$B:$B,"&gt;"&amp;date_inventaire)</f>
        <v>0</v>
      </c>
      <c r="BF42" s="343">
        <f ca="1">SUMIFS(es_pieces,es_prod_type_affinage,'SUIVI STOCKS PAR PAYSAN'!J42,es_date_entree,"&gt;"&amp;date_inventaire,es_taille,'SUIVI STOCKS PAR PAYSAN'!$BF$7)-SUMIFS(v_Pièces,v_Taille,'SUIVI STOCKS PAR PAYSAN'!$BF$7,v_conc_prod_tye_affinage,'SUIVI STOCKS PAR PAYSAN'!J42,v_Date_commande,"&gt;"&amp;date_inventaire)</f>
        <v>0</v>
      </c>
      <c r="BG42" s="353">
        <f ca="1">SUMIFS(bddres_pieces,'BDD RESERVATIONS'!$G:$G,'SUIVI STOCKS PAR PAYSAN'!$BF$7,bddres_c_prod_type_aff,'SUIVI STOCKS PAR PAYSAN'!J42,'BDD RESERVATIONS'!$B:$B,"&gt;"&amp;date_inventaire)</f>
        <v>0</v>
      </c>
    </row>
    <row r="43" spans="1:59" ht="18.75" customHeight="1" x14ac:dyDescent="0.25">
      <c r="A43" s="331">
        <f ca="1">OFFSET('BDD PAYSANS'!$B$1,B43,0,1,1)</f>
        <v>0</v>
      </c>
      <c r="B43" s="325">
        <v>32</v>
      </c>
      <c r="C43" s="325" t="str">
        <f t="shared" ca="1" si="2"/>
        <v>0FERMIER&lt;3 mois</v>
      </c>
      <c r="D43" s="325" t="str">
        <f t="shared" ca="1" si="2"/>
        <v>0FERMIER3-6 mois</v>
      </c>
      <c r="E43" s="325" t="str">
        <f t="shared" ca="1" si="2"/>
        <v>0FERMIER6-9 mois</v>
      </c>
      <c r="F43" s="325" t="str">
        <f t="shared" ca="1" si="2"/>
        <v>0FERMIER&gt;9 mois</v>
      </c>
      <c r="G43" s="325" t="str">
        <f t="shared" ca="1" si="2"/>
        <v>0ESTIVE&lt;3 mois</v>
      </c>
      <c r="H43" s="325" t="str">
        <f t="shared" ca="1" si="2"/>
        <v>0ESTIVE3-6 mois</v>
      </c>
      <c r="I43" s="325" t="str">
        <f t="shared" ca="1" si="2"/>
        <v>0ESTIVE6-9 mois</v>
      </c>
      <c r="J43" s="325" t="str">
        <f t="shared" ca="1" si="2"/>
        <v>0ESTIVE&gt;9 mois</v>
      </c>
      <c r="K43" s="325"/>
      <c r="L43" s="352">
        <f ca="1">SUMIFS(es_poids,es_prod_type_affinage,'SUIVI STOCKS PAR PAYSAN'!$C43,es_date_entree,"&gt;"&amp;date_inventaire)-SUMIFS(v_Poids,v_conc_prod_tye_affinage,'SUIVI STOCKS PAR PAYSAN'!$C43,v_Date_commande,"&gt;"&amp;date_inventaire)</f>
        <v>0</v>
      </c>
      <c r="M43" s="341">
        <f ca="1">SUMIFS(bddres_c_qte,bddres_c_prod_type_aff,'SUIVI STOCKS PAR PAYSAN'!C43,'BDD RESERVATIONS'!$B:$B,"&gt;"&amp;date_inventaire)</f>
        <v>0</v>
      </c>
      <c r="N43" s="342">
        <f ca="1">SUMIFS(bddres_pieces,es_prod_type_affinage,'SUIVI STOCKS PAR PAYSAN'!$C43,es_date_entree,"&gt;"&amp;date_inventaire,es_taille,'SUIVI STOCKS PAR PAYSAN'!$N$7)-SUMIFS(v_Pièces,v_Taille,'SUIVI STOCKS PAR PAYSAN'!$N$7,v_conc_prod_tye_affinage,'SUIVI STOCKS PAR PAYSAN'!$C43,v_Date_commande,"&gt;"&amp;date_inventaire)</f>
        <v>0</v>
      </c>
      <c r="O43" s="342">
        <f ca="1">SUMIFS(bddres_pieces,'BDD RESERVATIONS'!$G:$G,'SUIVI STOCKS PAR PAYSAN'!$N$7,bddres_c_prod_type_aff,'SUIVI STOCKS PAR PAYSAN'!$C43,'BDD RESERVATIONS'!$B:$B,"&gt;"&amp;date_inventaire)</f>
        <v>0</v>
      </c>
      <c r="P43" s="343">
        <f ca="1">SUMIFS(es_pieces,es_prod_type_affinage,'SUIVI STOCKS PAR PAYSAN'!$C43,es_date_entree,"&gt;"&amp;date_inventaire,es_taille,'SUIVI STOCKS PAR PAYSAN'!$P$7)-SUMIFS(v_Pièces,v_Taille,'SUIVI STOCKS PAR PAYSAN'!$P$7,v_conc_prod_tye_affinage,'SUIVI STOCKS PAR PAYSAN'!$C43,v_Date_commande,"&gt;"&amp;date_inventaire)</f>
        <v>0</v>
      </c>
      <c r="Q43" s="353">
        <f ca="1">SUMIFS(bddres_pieces,'BDD RESERVATIONS'!$G:$G,'SUIVI STOCKS PAR PAYSAN'!$P$7,bddres_c_prod_type_aff,'SUIVI STOCKS PAR PAYSAN'!$C43,'BDD RESERVATIONS'!$B:$B,"&gt;"&amp;date_inventaire)</f>
        <v>0</v>
      </c>
      <c r="R43" s="340">
        <f ca="1">SUMIFS(es_poids,es_prod_type_affinage,'SUIVI STOCKS PAR PAYSAN'!$D43,es_date_entree,"&gt;"&amp;date_inventaire)-SUMIFS(v_Poids,v_conc_prod_tye_affinage,'SUIVI STOCKS PAR PAYSAN'!$D43,v_Date_commande,"&gt;"&amp;date_inventaire)</f>
        <v>0</v>
      </c>
      <c r="S43" s="341">
        <f ca="1">SUMIFS(bddres_c_qte,bddres_c_prod_type_aff,'SUIVI STOCKS PAR PAYSAN'!D43,'BDD RESERVATIONS'!$B:$B,"&gt;"&amp;date_inventaire)</f>
        <v>0</v>
      </c>
      <c r="T43" s="342">
        <f ca="1">SUMIFS(bddres_pieces,es_prod_type_affinage,'SUIVI STOCKS PAR PAYSAN'!$D43,es_date_entree,"&gt;"&amp;date_inventaire,es_taille,'SUIVI STOCKS PAR PAYSAN'!$T$7)-SUMIFS(v_Pièces,v_Taille,'SUIVI STOCKS PAR PAYSAN'!$T$7,v_conc_prod_tye_affinage,'SUIVI STOCKS PAR PAYSAN'!$D43,v_Date_commande,"&gt;"&amp;date_inventaire)</f>
        <v>0</v>
      </c>
      <c r="U43" s="342">
        <f ca="1">SUMIFS(bddres_pieces,'BDD RESERVATIONS'!$G:$G,'SUIVI STOCKS PAR PAYSAN'!$T$7,bddres_c_prod_type_aff,'SUIVI STOCKS PAR PAYSAN'!$D43,'BDD RESERVATIONS'!$B:$B,"&gt;"&amp;date_inventaire)</f>
        <v>0</v>
      </c>
      <c r="V43" s="343">
        <f ca="1">SUMIFS(es_pieces,es_prod_type_affinage,'SUIVI STOCKS PAR PAYSAN'!$D43,es_date_entree,"&gt;"&amp;date_inventaire,es_taille,'SUIVI STOCKS PAR PAYSAN'!$V$7)-SUMIFS(v_Pièces,v_Taille,'SUIVI STOCKS PAR PAYSAN'!$V$7,v_conc_prod_tye_affinage,'SUIVI STOCKS PAR PAYSAN'!$D43,v_Date_commande,"&gt;"&amp;date_inventaire)</f>
        <v>0</v>
      </c>
      <c r="W43" s="353">
        <f ca="1">SUMIFS(bddres_pieces,'BDD RESERVATIONS'!$G:$G,'SUIVI STOCKS PAR PAYSAN'!$V$7,bddres_c_prod_type_aff,'SUIVI STOCKS PAR PAYSAN'!$D43,'BDD RESERVATIONS'!$B:$B,"&gt;"&amp;date_inventaire)</f>
        <v>0</v>
      </c>
      <c r="X43" s="313">
        <f ca="1">SUMIFS(es_poids,es_prod_type_affinage,'SUIVI STOCKS PAR PAYSAN'!$E43,es_date_entree,"&gt;"&amp;date_inventaire)-SUMIFS(v_Poids,v_conc_prod_tye_affinage,'SUIVI STOCKS PAR PAYSAN'!$E43,v_Date_commande,"&gt;"&amp;date_inventaire)</f>
        <v>0</v>
      </c>
      <c r="Y43" s="341">
        <f ca="1">SUMIFS(bddres_c_qte,bddres_c_prod_type_aff,'SUIVI STOCKS PAR PAYSAN'!E43,'BDD RESERVATIONS'!$B:$B,"&gt;"&amp;date_inventaire)</f>
        <v>0</v>
      </c>
      <c r="Z43" s="342">
        <f ca="1">SUMIFS(bddres_pieces,es_prod_type_affinage,'SUIVI STOCKS PAR PAYSAN'!$E43,es_date_entree,"&gt;"&amp;date_inventaire,es_taille,'SUIVI STOCKS PAR PAYSAN'!$Z$7)-SUMIFS(v_Pièces,v_Taille,'SUIVI STOCKS PAR PAYSAN'!$Z$7,v_conc_prod_tye_affinage,'SUIVI STOCKS PAR PAYSAN'!$E43,v_Date_commande,"&gt;"&amp;date_inventaire)</f>
        <v>0</v>
      </c>
      <c r="AA43" s="342">
        <f ca="1">SUMIFS(bddres_pieces,'BDD RESERVATIONS'!$G:$G,'SUIVI STOCKS PAR PAYSAN'!$Z$7,bddres_c_prod_type_aff,'SUIVI STOCKS PAR PAYSAN'!$E43,'BDD RESERVATIONS'!$B:$B,"&gt;"&amp;date_inventaire)</f>
        <v>0</v>
      </c>
      <c r="AB43" s="343">
        <f ca="1">SUMIFS(es_pieces,es_prod_type_affinage,'SUIVI STOCKS PAR PAYSAN'!$E43,es_date_entree,"&gt;"&amp;date_inventaire,es_taille,'SUIVI STOCKS PAR PAYSAN'!$AB$7)-SUMIFS(v_Pièces,v_Taille,'SUIVI STOCKS PAR PAYSAN'!$AB$7,v_conc_prod_tye_affinage,'SUIVI STOCKS PAR PAYSAN'!$E43,v_Date_commande,"&gt;"&amp;date_inventaire)</f>
        <v>0</v>
      </c>
      <c r="AC43" s="353">
        <f ca="1">SUMIFS(bddres_pieces,'BDD RESERVATIONS'!$G:$G,'SUIVI STOCKS PAR PAYSAN'!$AB$7,bddres_c_prod_type_aff,'SUIVI STOCKS PAR PAYSAN'!$E43,'BDD RESERVATIONS'!$B:$B,"&gt;"&amp;date_inventaire)</f>
        <v>0</v>
      </c>
      <c r="AD43" s="313">
        <f ca="1">SUMIFS(es_poids,es_prod_type_affinage,'SUIVI STOCKS PAR PAYSAN'!$F43,es_date_entree,"&gt;"&amp;date_inventaire)-SUMIFS(v_Poids,v_conc_prod_tye_affinage,'SUIVI STOCKS PAR PAYSAN'!$F43,v_Date_commande,"&gt;"&amp;date_inventaire)</f>
        <v>0</v>
      </c>
      <c r="AE43" s="341">
        <f ca="1">SUMIFS(bddres_c_qte,bddres_c_prod_type_aff,'SUIVI STOCKS PAR PAYSAN'!F43,'BDD RESERVATIONS'!$B:$B,"&gt;"&amp;date_inventaire)</f>
        <v>0</v>
      </c>
      <c r="AF43" s="342">
        <f ca="1">SUMIFS(bddres_pieces,es_prod_type_affinage,'SUIVI STOCKS PAR PAYSAN'!$F43,es_date_entree,"&gt;"&amp;date_inventaire,es_taille,'SUIVI STOCKS PAR PAYSAN'!$Z$7)-SUMIFS(v_Pièces,v_Taille,'SUIVI STOCKS PAR PAYSAN'!$Z$7,v_conc_prod_tye_affinage,'SUIVI STOCKS PAR PAYSAN'!$F43,v_Date_commande,"&gt;"&amp;date_inventaire)</f>
        <v>0</v>
      </c>
      <c r="AG43" s="342">
        <f ca="1">SUMIFS(bddres_pieces,'BDD RESERVATIONS'!$G:$G,'SUIVI STOCKS PAR PAYSAN'!$Z$7,bddres_c_prod_type_aff,'SUIVI STOCKS PAR PAYSAN'!$F43,'BDD RESERVATIONS'!$B:$B,"&gt;"&amp;date_inventaire)</f>
        <v>0</v>
      </c>
      <c r="AH43" s="343">
        <f ca="1">SUMIFS(es_pieces,es_prod_type_affinage,'SUIVI STOCKS PAR PAYSAN'!$F43,es_date_entree,"&gt;"&amp;date_inventaire,es_taille,'SUIVI STOCKS PAR PAYSAN'!$AH$7)-SUMIFS(v_Pièces,v_Taille,'SUIVI STOCKS PAR PAYSAN'!$AH$7,v_conc_prod_tye_affinage,'SUIVI STOCKS PAR PAYSAN'!$F43,v_Date_commande,"&gt;"&amp;date_inventaire)</f>
        <v>0</v>
      </c>
      <c r="AI43" s="353">
        <f ca="1">SUMIFS(bddres_pieces,'BDD RESERVATIONS'!$G:$G,'SUIVI STOCKS PAR PAYSAN'!$AB$7,bddres_c_prod_type_aff,'SUIVI STOCKS PAR PAYSAN'!$F43,'BDD RESERVATIONS'!$B:$B,"&gt;"&amp;date_inventaire)</f>
        <v>0</v>
      </c>
      <c r="AJ43" s="352">
        <f ca="1">SUMIFS(es_poids,es_prod_type_affinage,'SUIVI STOCKS PAR PAYSAN'!$G43,es_date_entree,"&gt;"&amp;date_inventaire)-SUMIFS(v_Poids,v_conc_prod_tye_affinage,'SUIVI STOCKS PAR PAYSAN'!$G43,v_Date_commande,"&gt;"&amp;date_inventaire)</f>
        <v>0</v>
      </c>
      <c r="AK43" s="341">
        <f ca="1">SUMIFS(bddres_c_qte,bddres_c_prod_type_aff,'SUIVI STOCKS PAR PAYSAN'!G43,'BDD RESERVATIONS'!$B:$B,"&gt;"&amp;date_inventaire)</f>
        <v>0</v>
      </c>
      <c r="AL43" s="342">
        <f ca="1">SUMIFS(bddres_pieces,es_prod_type_affinage,'SUIVI STOCKS PAR PAYSAN'!$G43,es_date_entree,"&gt;"&amp;date_inventaire,es_taille,'SUIVI STOCKS PAR PAYSAN'!$AL$7)-SUMIFS(v_Pièces,v_Taille,'SUIVI STOCKS PAR PAYSAN'!$AL$7,v_conc_prod_tye_affinage,'SUIVI STOCKS PAR PAYSAN'!$G43,v_Date_commande,"&gt;"&amp;date_inventaire)</f>
        <v>0</v>
      </c>
      <c r="AM43" s="342">
        <f ca="1">SUMIFS(bddres_pieces,'BDD RESERVATIONS'!$G:$G,'SUIVI STOCKS PAR PAYSAN'!$AL$7,bddres_c_prod_type_aff,'SUIVI STOCKS PAR PAYSAN'!$G43,'BDD RESERVATIONS'!$B:$B,"&gt;"&amp;date_inventaire)</f>
        <v>0</v>
      </c>
      <c r="AN43" s="343">
        <f ca="1">SUMIFS(es_pieces,es_prod_type_affinage,'SUIVI STOCKS PAR PAYSAN'!$G43,es_date_entree,"&gt;"&amp;date_inventaire,es_taille,'SUIVI STOCKS PAR PAYSAN'!$AN$7)-SUMIFS(v_Pièces,v_Taille,'SUIVI STOCKS PAR PAYSAN'!$AN$7,v_conc_prod_tye_affinage,'SUIVI STOCKS PAR PAYSAN'!$G43,v_Date_commande,"&gt;"&amp;date_inventaire)</f>
        <v>0</v>
      </c>
      <c r="AO43" s="353">
        <f ca="1">SUMIFS(bddres_pieces,'BDD RESERVATIONS'!$G:$G,'SUIVI STOCKS PAR PAYSAN'!$AN$7,bddres_c_prod_type_aff,'SUIVI STOCKS PAR PAYSAN'!$G43,'BDD RESERVATIONS'!$B:$B,"&gt;"&amp;date_inventaire)</f>
        <v>0</v>
      </c>
      <c r="AP43" s="313">
        <f ca="1">SUMIFS(es_poids,es_prod_type_affinage,'SUIVI STOCKS PAR PAYSAN'!$H43,es_date_entree,"&gt;"&amp;date_inventaire)-SUMIFS(v_Poids,v_conc_prod_tye_affinage,'SUIVI STOCKS PAR PAYSAN'!$H43,v_Date_commande,"&gt;"&amp;date_inventaire)</f>
        <v>0</v>
      </c>
      <c r="AQ43" s="341">
        <f ca="1">SUMIFS(bddres_c_qte,bddres_c_prod_type_aff,'SUIVI STOCKS PAR PAYSAN'!H43,'BDD RESERVATIONS'!$B:$B,"&gt;"&amp;date_inventaire)</f>
        <v>0</v>
      </c>
      <c r="AR43" s="342">
        <f ca="1">SUMIFS(bddres_pieces,es_prod_type_affinage,'SUIVI STOCKS PAR PAYSAN'!$H43,es_date_entree,"&gt;"&amp;date_inventaire,es_taille,'SUIVI STOCKS PAR PAYSAN'!$AR$7)-SUMIFS(v_Pièces,v_Taille,'SUIVI STOCKS PAR PAYSAN'!$AR$7,v_conc_prod_tye_affinage,'SUIVI STOCKS PAR PAYSAN'!$H43,v_Date_commande,"&gt;"&amp;date_inventaire)</f>
        <v>0</v>
      </c>
      <c r="AS43" s="326">
        <f ca="1">SUMIFS(bddres_pieces,'BDD RESERVATIONS'!$G:$G,'SUIVI STOCKS PAR PAYSAN'!AR38,bddres_c_prod_type_aff,'SUIVI STOCKS PAR PAYSAN'!$H43,'BDD RESERVATIONS'!$B:$B,"&gt;"&amp;date_inventaire)</f>
        <v>0</v>
      </c>
      <c r="AT43" s="343">
        <f ca="1">SUMIFS(es_pieces,es_prod_type_affinage,'SUIVI STOCKS PAR PAYSAN'!$H43,es_date_entree,"&gt;"&amp;date_inventaire,es_taille,'SUIVI STOCKS PAR PAYSAN'!$AT$7)-SUMIFS(v_Pièces,v_Taille,'SUIVI STOCKS PAR PAYSAN'!$AT$7,v_conc_prod_tye_affinage,'SUIVI STOCKS PAR PAYSAN'!$H43,v_Date_commande,"&gt;"&amp;date_inventaire)</f>
        <v>0</v>
      </c>
      <c r="AU43" s="353">
        <f ca="1">SUMIFS(bddres_pieces,'BDD RESERVATIONS'!$G:$G,'SUIVI STOCKS PAR PAYSAN'!$AT$7,bddres_c_prod_type_aff,'SUIVI STOCKS PAR PAYSAN'!$H43,'BDD RESERVATIONS'!$B:$B,"&gt;"&amp;date_inventaire)</f>
        <v>0</v>
      </c>
      <c r="AV43" s="313">
        <f ca="1">SUMIFS(es_poids,es_prod_type_affinage,'SUIVI STOCKS PAR PAYSAN'!$I43,es_date_entree,"&gt;"&amp;date_inventaire)-SUMIFS(v_Poids,v_conc_prod_tye_affinage,'SUIVI STOCKS PAR PAYSAN'!$E43,v_Date_commande,"&gt;"&amp;date_inventaire)</f>
        <v>0</v>
      </c>
      <c r="AW43" s="313">
        <f ca="1">SUMIFS(bddres_c_qte,bddres_c_prod_type_aff,'SUIVI STOCKS PAR PAYSAN'!I43,'BDD RESERVATIONS'!$B:$B,"&gt;"&amp;date_inventaire)</f>
        <v>0</v>
      </c>
      <c r="AX43" s="342">
        <f ca="1">SUMIFS(bddres_pieces,es_prod_type_affinage,'SUIVI STOCKS PAR PAYSAN'!$I43,es_date_entree,"&gt;"&amp;date_inventaire,es_taille,'SUIVI STOCKS PAR PAYSAN'!$AX$7)-SUMIFS(v_Pièces,v_Taille,'SUIVI STOCKS PAR PAYSAN'!$AX$7,v_conc_prod_tye_affinage,'SUIVI STOCKS PAR PAYSAN'!$I43,v_Date_commande,"&gt;"&amp;date_inventaire)</f>
        <v>0</v>
      </c>
      <c r="AY43" s="342">
        <f ca="1">SUMIFS(bddres_pieces,'BDD RESERVATIONS'!$G:$G,'SUIVI STOCKS PAR PAYSAN'!$AX$7,bddres_c_prod_type_aff,'SUIVI STOCKS PAR PAYSAN'!$I43,'BDD RESERVATIONS'!$B:$B,"&gt;"&amp;date_inventaire)</f>
        <v>0</v>
      </c>
      <c r="AZ43" s="343">
        <f ca="1">SUMIFS(es_pieces,es_prod_type_affinage,'SUIVI STOCKS PAR PAYSAN'!$I43,es_date_entree,"&gt;"&amp;date_inventaire,es_taille,'SUIVI STOCKS PAR PAYSAN'!$AZ$7)-SUMIFS(v_Pièces,v_Taille,'SUIVI STOCKS PAR PAYSAN'!$AZ$7,v_conc_prod_tye_affinage,'SUIVI STOCKS PAR PAYSAN'!$I43,v_Date_commande,"&gt;"&amp;date_inventaire)</f>
        <v>0</v>
      </c>
      <c r="BA43" s="353">
        <f ca="1">SUMIFS(bddres_pieces,'BDD RESERVATIONS'!$G:$G,'SUIVI STOCKS PAR PAYSAN'!$AZ$7,bddres_c_prod_type_aff,'SUIVI STOCKS PAR PAYSAN'!$I43,'BDD RESERVATIONS'!$B:$B,"&gt;"&amp;date_inventaire)</f>
        <v>0</v>
      </c>
      <c r="BB43" s="313">
        <f ca="1">SUMIFS(es_poids,es_prod_type_affinage,'SUIVI STOCKS PAR PAYSAN'!$J43,es_date_entree,"&gt;"&amp;date_inventaire)-SUMIFS(v_Poids,v_conc_prod_tye_affinage,'SUIVI STOCKS PAR PAYSAN'!$J43,v_Date_commande,"&gt;"&amp;date_inventaire)</f>
        <v>0</v>
      </c>
      <c r="BC43" s="313">
        <f ca="1">SUMIFS(bddres_c_qte,bddres_c_prod_type_aff,'SUIVI STOCKS PAR PAYSAN'!J43,'BDD RESERVATIONS'!$B:$B,"&gt;"&amp;date_inventaire)</f>
        <v>0</v>
      </c>
      <c r="BD43" s="342">
        <f ca="1">SUMIFS(bddres_pieces,es_prod_type_affinage,'SUIVI STOCKS PAR PAYSAN'!$J43,es_date_entree,"&gt;"&amp;date_inventaire,es_taille,'SUIVI STOCKS PAR PAYSAN'!$BD$7)-SUMIFS(v_Pièces,v_Taille,'SUIVI STOCKS PAR PAYSAN'!$BD$7,v_conc_prod_tye_affinage,'SUIVI STOCKS PAR PAYSAN'!$J43,v_Date_commande,"&gt;"&amp;date_inventaire)</f>
        <v>0</v>
      </c>
      <c r="BE43" s="326">
        <f ca="1">SUMIFS(bddres_pieces,'BDD RESERVATIONS'!$G:$G,'SUIVI STOCKS PAR PAYSAN'!BD38,bddres_c_prod_type_aff,'SUIVI STOCKS PAR PAYSAN'!J43,'BDD RESERVATIONS'!$B:$B,"&gt;"&amp;date_inventaire)</f>
        <v>0</v>
      </c>
      <c r="BF43" s="343">
        <f ca="1">SUMIFS(es_pieces,es_prod_type_affinage,'SUIVI STOCKS PAR PAYSAN'!J43,es_date_entree,"&gt;"&amp;date_inventaire,es_taille,'SUIVI STOCKS PAR PAYSAN'!$BF$7)-SUMIFS(v_Pièces,v_Taille,'SUIVI STOCKS PAR PAYSAN'!$BF$7,v_conc_prod_tye_affinage,'SUIVI STOCKS PAR PAYSAN'!J43,v_Date_commande,"&gt;"&amp;date_inventaire)</f>
        <v>0</v>
      </c>
      <c r="BG43" s="353">
        <f ca="1">SUMIFS(bddres_pieces,'BDD RESERVATIONS'!$G:$G,'SUIVI STOCKS PAR PAYSAN'!$BF$7,bddres_c_prod_type_aff,'SUIVI STOCKS PAR PAYSAN'!J43,'BDD RESERVATIONS'!$B:$B,"&gt;"&amp;date_inventaire)</f>
        <v>0</v>
      </c>
    </row>
    <row r="44" spans="1:59" ht="18.75" customHeight="1" x14ac:dyDescent="0.25">
      <c r="A44" s="331">
        <f ca="1">OFFSET('BDD PAYSANS'!$B$1,B44,0,1,1)</f>
        <v>0</v>
      </c>
      <c r="B44" s="325">
        <v>33</v>
      </c>
      <c r="C44" s="325" t="str">
        <f t="shared" ca="1" si="2"/>
        <v>0FERMIER&lt;3 mois</v>
      </c>
      <c r="D44" s="325" t="str">
        <f t="shared" ca="1" si="2"/>
        <v>0FERMIER3-6 mois</v>
      </c>
      <c r="E44" s="325" t="str">
        <f t="shared" ca="1" si="2"/>
        <v>0FERMIER6-9 mois</v>
      </c>
      <c r="F44" s="325" t="str">
        <f t="shared" ca="1" si="2"/>
        <v>0FERMIER&gt;9 mois</v>
      </c>
      <c r="G44" s="325" t="str">
        <f t="shared" ca="1" si="2"/>
        <v>0ESTIVE&lt;3 mois</v>
      </c>
      <c r="H44" s="325" t="str">
        <f t="shared" ca="1" si="2"/>
        <v>0ESTIVE3-6 mois</v>
      </c>
      <c r="I44" s="325" t="str">
        <f t="shared" ca="1" si="2"/>
        <v>0ESTIVE6-9 mois</v>
      </c>
      <c r="J44" s="325" t="str">
        <f t="shared" ca="1" si="2"/>
        <v>0ESTIVE&gt;9 mois</v>
      </c>
      <c r="K44" s="325"/>
      <c r="L44" s="352">
        <f ca="1">SUMIFS(es_poids,es_prod_type_affinage,'SUIVI STOCKS PAR PAYSAN'!$C44,es_date_entree,"&gt;"&amp;date_inventaire)-SUMIFS(v_Poids,v_conc_prod_tye_affinage,'SUIVI STOCKS PAR PAYSAN'!$C44,v_Date_commande,"&gt;"&amp;date_inventaire)</f>
        <v>0</v>
      </c>
      <c r="M44" s="341">
        <f ca="1">SUMIFS(bddres_c_qte,bddres_c_prod_type_aff,'SUIVI STOCKS PAR PAYSAN'!C44,'BDD RESERVATIONS'!$B:$B,"&gt;"&amp;date_inventaire)</f>
        <v>0</v>
      </c>
      <c r="N44" s="342">
        <f ca="1">SUMIFS(bddres_pieces,es_prod_type_affinage,'SUIVI STOCKS PAR PAYSAN'!$C44,es_date_entree,"&gt;"&amp;date_inventaire,es_taille,'SUIVI STOCKS PAR PAYSAN'!$N$7)-SUMIFS(v_Pièces,v_Taille,'SUIVI STOCKS PAR PAYSAN'!$N$7,v_conc_prod_tye_affinage,'SUIVI STOCKS PAR PAYSAN'!$C44,v_Date_commande,"&gt;"&amp;date_inventaire)</f>
        <v>0</v>
      </c>
      <c r="O44" s="342">
        <f ca="1">SUMIFS(bddres_pieces,'BDD RESERVATIONS'!$G:$G,'SUIVI STOCKS PAR PAYSAN'!$N$7,bddres_c_prod_type_aff,'SUIVI STOCKS PAR PAYSAN'!$C44,'BDD RESERVATIONS'!$B:$B,"&gt;"&amp;date_inventaire)</f>
        <v>0</v>
      </c>
      <c r="P44" s="343">
        <f ca="1">SUMIFS(es_pieces,es_prod_type_affinage,'SUIVI STOCKS PAR PAYSAN'!$C44,es_date_entree,"&gt;"&amp;date_inventaire,es_taille,'SUIVI STOCKS PAR PAYSAN'!$P$7)-SUMIFS(v_Pièces,v_Taille,'SUIVI STOCKS PAR PAYSAN'!$P$7,v_conc_prod_tye_affinage,'SUIVI STOCKS PAR PAYSAN'!$C44,v_Date_commande,"&gt;"&amp;date_inventaire)</f>
        <v>0</v>
      </c>
      <c r="Q44" s="353">
        <f ca="1">SUMIFS(bddres_pieces,'BDD RESERVATIONS'!$G:$G,'SUIVI STOCKS PAR PAYSAN'!$P$7,bddres_c_prod_type_aff,'SUIVI STOCKS PAR PAYSAN'!$C44,'BDD RESERVATIONS'!$B:$B,"&gt;"&amp;date_inventaire)</f>
        <v>0</v>
      </c>
      <c r="R44" s="340">
        <f ca="1">SUMIFS(es_poids,es_prod_type_affinage,'SUIVI STOCKS PAR PAYSAN'!$D44,es_date_entree,"&gt;"&amp;date_inventaire)-SUMIFS(v_Poids,v_conc_prod_tye_affinage,'SUIVI STOCKS PAR PAYSAN'!$D44,v_Date_commande,"&gt;"&amp;date_inventaire)</f>
        <v>0</v>
      </c>
      <c r="S44" s="341">
        <f ca="1">SUMIFS(bddres_c_qte,bddres_c_prod_type_aff,'SUIVI STOCKS PAR PAYSAN'!D44,'BDD RESERVATIONS'!$B:$B,"&gt;"&amp;date_inventaire)</f>
        <v>0</v>
      </c>
      <c r="T44" s="342">
        <f ca="1">SUMIFS(bddres_pieces,es_prod_type_affinage,'SUIVI STOCKS PAR PAYSAN'!$D44,es_date_entree,"&gt;"&amp;date_inventaire,es_taille,'SUIVI STOCKS PAR PAYSAN'!$T$7)-SUMIFS(v_Pièces,v_Taille,'SUIVI STOCKS PAR PAYSAN'!$T$7,v_conc_prod_tye_affinage,'SUIVI STOCKS PAR PAYSAN'!$D44,v_Date_commande,"&gt;"&amp;date_inventaire)</f>
        <v>0</v>
      </c>
      <c r="U44" s="342">
        <f ca="1">SUMIFS(bddres_pieces,'BDD RESERVATIONS'!$G:$G,'SUIVI STOCKS PAR PAYSAN'!$T$7,bddres_c_prod_type_aff,'SUIVI STOCKS PAR PAYSAN'!$D44,'BDD RESERVATIONS'!$B:$B,"&gt;"&amp;date_inventaire)</f>
        <v>0</v>
      </c>
      <c r="V44" s="343">
        <f ca="1">SUMIFS(es_pieces,es_prod_type_affinage,'SUIVI STOCKS PAR PAYSAN'!$D44,es_date_entree,"&gt;"&amp;date_inventaire,es_taille,'SUIVI STOCKS PAR PAYSAN'!$V$7)-SUMIFS(v_Pièces,v_Taille,'SUIVI STOCKS PAR PAYSAN'!$V$7,v_conc_prod_tye_affinage,'SUIVI STOCKS PAR PAYSAN'!$D44,v_Date_commande,"&gt;"&amp;date_inventaire)</f>
        <v>0</v>
      </c>
      <c r="W44" s="353">
        <f ca="1">SUMIFS(bddres_pieces,'BDD RESERVATIONS'!$G:$G,'SUIVI STOCKS PAR PAYSAN'!$V$7,bddres_c_prod_type_aff,'SUIVI STOCKS PAR PAYSAN'!$D44,'BDD RESERVATIONS'!$B:$B,"&gt;"&amp;date_inventaire)</f>
        <v>0</v>
      </c>
      <c r="X44" s="313">
        <f ca="1">SUMIFS(es_poids,es_prod_type_affinage,'SUIVI STOCKS PAR PAYSAN'!$E44,es_date_entree,"&gt;"&amp;date_inventaire)-SUMIFS(v_Poids,v_conc_prod_tye_affinage,'SUIVI STOCKS PAR PAYSAN'!$E44,v_Date_commande,"&gt;"&amp;date_inventaire)</f>
        <v>0</v>
      </c>
      <c r="Y44" s="341">
        <f ca="1">SUMIFS(bddres_c_qte,bddres_c_prod_type_aff,'SUIVI STOCKS PAR PAYSAN'!E44,'BDD RESERVATIONS'!$B:$B,"&gt;"&amp;date_inventaire)</f>
        <v>0</v>
      </c>
      <c r="Z44" s="342">
        <f ca="1">SUMIFS(bddres_pieces,es_prod_type_affinage,'SUIVI STOCKS PAR PAYSAN'!$E44,es_date_entree,"&gt;"&amp;date_inventaire,es_taille,'SUIVI STOCKS PAR PAYSAN'!$Z$7)-SUMIFS(v_Pièces,v_Taille,'SUIVI STOCKS PAR PAYSAN'!$Z$7,v_conc_prod_tye_affinage,'SUIVI STOCKS PAR PAYSAN'!$E44,v_Date_commande,"&gt;"&amp;date_inventaire)</f>
        <v>0</v>
      </c>
      <c r="AA44" s="342">
        <f ca="1">SUMIFS(bddres_pieces,'BDD RESERVATIONS'!$G:$G,'SUIVI STOCKS PAR PAYSAN'!$Z$7,bddres_c_prod_type_aff,'SUIVI STOCKS PAR PAYSAN'!$E44,'BDD RESERVATIONS'!$B:$B,"&gt;"&amp;date_inventaire)</f>
        <v>0</v>
      </c>
      <c r="AB44" s="343">
        <f ca="1">SUMIFS(es_pieces,es_prod_type_affinage,'SUIVI STOCKS PAR PAYSAN'!$E44,es_date_entree,"&gt;"&amp;date_inventaire,es_taille,'SUIVI STOCKS PAR PAYSAN'!$AB$7)-SUMIFS(v_Pièces,v_Taille,'SUIVI STOCKS PAR PAYSAN'!$AB$7,v_conc_prod_tye_affinage,'SUIVI STOCKS PAR PAYSAN'!$E44,v_Date_commande,"&gt;"&amp;date_inventaire)</f>
        <v>0</v>
      </c>
      <c r="AC44" s="353">
        <f ca="1">SUMIFS(bddres_pieces,'BDD RESERVATIONS'!$G:$G,'SUIVI STOCKS PAR PAYSAN'!$AB$7,bddres_c_prod_type_aff,'SUIVI STOCKS PAR PAYSAN'!$E44,'BDD RESERVATIONS'!$B:$B,"&gt;"&amp;date_inventaire)</f>
        <v>0</v>
      </c>
      <c r="AD44" s="313">
        <f ca="1">SUMIFS(es_poids,es_prod_type_affinage,'SUIVI STOCKS PAR PAYSAN'!$F44,es_date_entree,"&gt;"&amp;date_inventaire)-SUMIFS(v_Poids,v_conc_prod_tye_affinage,'SUIVI STOCKS PAR PAYSAN'!$F44,v_Date_commande,"&gt;"&amp;date_inventaire)</f>
        <v>0</v>
      </c>
      <c r="AE44" s="341">
        <f ca="1">SUMIFS(bddres_c_qte,bddres_c_prod_type_aff,'SUIVI STOCKS PAR PAYSAN'!F44,'BDD RESERVATIONS'!$B:$B,"&gt;"&amp;date_inventaire)</f>
        <v>0</v>
      </c>
      <c r="AF44" s="342">
        <f ca="1">SUMIFS(bddres_pieces,es_prod_type_affinage,'SUIVI STOCKS PAR PAYSAN'!$F44,es_date_entree,"&gt;"&amp;date_inventaire,es_taille,'SUIVI STOCKS PAR PAYSAN'!$Z$7)-SUMIFS(v_Pièces,v_Taille,'SUIVI STOCKS PAR PAYSAN'!$Z$7,v_conc_prod_tye_affinage,'SUIVI STOCKS PAR PAYSAN'!$F44,v_Date_commande,"&gt;"&amp;date_inventaire)</f>
        <v>0</v>
      </c>
      <c r="AG44" s="342">
        <f ca="1">SUMIFS(bddres_pieces,'BDD RESERVATIONS'!$G:$G,'SUIVI STOCKS PAR PAYSAN'!$Z$7,bddres_c_prod_type_aff,'SUIVI STOCKS PAR PAYSAN'!$F44,'BDD RESERVATIONS'!$B:$B,"&gt;"&amp;date_inventaire)</f>
        <v>0</v>
      </c>
      <c r="AH44" s="343">
        <f ca="1">SUMIFS(es_pieces,es_prod_type_affinage,'SUIVI STOCKS PAR PAYSAN'!$F44,es_date_entree,"&gt;"&amp;date_inventaire,es_taille,'SUIVI STOCKS PAR PAYSAN'!$AH$7)-SUMIFS(v_Pièces,v_Taille,'SUIVI STOCKS PAR PAYSAN'!$AH$7,v_conc_prod_tye_affinage,'SUIVI STOCKS PAR PAYSAN'!$F44,v_Date_commande,"&gt;"&amp;date_inventaire)</f>
        <v>0</v>
      </c>
      <c r="AI44" s="353">
        <f ca="1">SUMIFS(bddres_pieces,'BDD RESERVATIONS'!$G:$G,'SUIVI STOCKS PAR PAYSAN'!$AB$7,bddres_c_prod_type_aff,'SUIVI STOCKS PAR PAYSAN'!$F44,'BDD RESERVATIONS'!$B:$B,"&gt;"&amp;date_inventaire)</f>
        <v>0</v>
      </c>
      <c r="AJ44" s="352">
        <f ca="1">SUMIFS(es_poids,es_prod_type_affinage,'SUIVI STOCKS PAR PAYSAN'!$G44,es_date_entree,"&gt;"&amp;date_inventaire)-SUMIFS(v_Poids,v_conc_prod_tye_affinage,'SUIVI STOCKS PAR PAYSAN'!$G44,v_Date_commande,"&gt;"&amp;date_inventaire)</f>
        <v>0</v>
      </c>
      <c r="AK44" s="341">
        <f ca="1">SUMIFS(bddres_c_qte,bddres_c_prod_type_aff,'SUIVI STOCKS PAR PAYSAN'!G44,'BDD RESERVATIONS'!$B:$B,"&gt;"&amp;date_inventaire)</f>
        <v>0</v>
      </c>
      <c r="AL44" s="342">
        <f ca="1">SUMIFS(bddres_pieces,es_prod_type_affinage,'SUIVI STOCKS PAR PAYSAN'!$G44,es_date_entree,"&gt;"&amp;date_inventaire,es_taille,'SUIVI STOCKS PAR PAYSAN'!$AL$7)-SUMIFS(v_Pièces,v_Taille,'SUIVI STOCKS PAR PAYSAN'!$AL$7,v_conc_prod_tye_affinage,'SUIVI STOCKS PAR PAYSAN'!$G44,v_Date_commande,"&gt;"&amp;date_inventaire)</f>
        <v>0</v>
      </c>
      <c r="AM44" s="342">
        <f ca="1">SUMIFS(bddres_pieces,'BDD RESERVATIONS'!$G:$G,'SUIVI STOCKS PAR PAYSAN'!$AL$7,bddres_c_prod_type_aff,'SUIVI STOCKS PAR PAYSAN'!$G44,'BDD RESERVATIONS'!$B:$B,"&gt;"&amp;date_inventaire)</f>
        <v>0</v>
      </c>
      <c r="AN44" s="343">
        <f ca="1">SUMIFS(es_pieces,es_prod_type_affinage,'SUIVI STOCKS PAR PAYSAN'!$G44,es_date_entree,"&gt;"&amp;date_inventaire,es_taille,'SUIVI STOCKS PAR PAYSAN'!$AN$7)-SUMIFS(v_Pièces,v_Taille,'SUIVI STOCKS PAR PAYSAN'!$AN$7,v_conc_prod_tye_affinage,'SUIVI STOCKS PAR PAYSAN'!$G44,v_Date_commande,"&gt;"&amp;date_inventaire)</f>
        <v>0</v>
      </c>
      <c r="AO44" s="353">
        <f ca="1">SUMIFS(bddres_pieces,'BDD RESERVATIONS'!$G:$G,'SUIVI STOCKS PAR PAYSAN'!$AN$7,bddres_c_prod_type_aff,'SUIVI STOCKS PAR PAYSAN'!$G44,'BDD RESERVATIONS'!$B:$B,"&gt;"&amp;date_inventaire)</f>
        <v>0</v>
      </c>
      <c r="AP44" s="313">
        <f ca="1">SUMIFS(es_poids,es_prod_type_affinage,'SUIVI STOCKS PAR PAYSAN'!$H44,es_date_entree,"&gt;"&amp;date_inventaire)-SUMIFS(v_Poids,v_conc_prod_tye_affinage,'SUIVI STOCKS PAR PAYSAN'!$H44,v_Date_commande,"&gt;"&amp;date_inventaire)</f>
        <v>0</v>
      </c>
      <c r="AQ44" s="341">
        <f ca="1">SUMIFS(bddres_c_qte,bddres_c_prod_type_aff,'SUIVI STOCKS PAR PAYSAN'!H44,'BDD RESERVATIONS'!$B:$B,"&gt;"&amp;date_inventaire)</f>
        <v>0</v>
      </c>
      <c r="AR44" s="342">
        <f ca="1">SUMIFS(bddres_pieces,es_prod_type_affinage,'SUIVI STOCKS PAR PAYSAN'!$H44,es_date_entree,"&gt;"&amp;date_inventaire,es_taille,'SUIVI STOCKS PAR PAYSAN'!$AR$7)-SUMIFS(v_Pièces,v_Taille,'SUIVI STOCKS PAR PAYSAN'!$AR$7,v_conc_prod_tye_affinage,'SUIVI STOCKS PAR PAYSAN'!$H44,v_Date_commande,"&gt;"&amp;date_inventaire)</f>
        <v>0</v>
      </c>
      <c r="AS44" s="326">
        <f ca="1">SUMIFS(bddres_pieces,'BDD RESERVATIONS'!$G:$G,'SUIVI STOCKS PAR PAYSAN'!AR39,bddres_c_prod_type_aff,'SUIVI STOCKS PAR PAYSAN'!$H44,'BDD RESERVATIONS'!$B:$B,"&gt;"&amp;date_inventaire)</f>
        <v>0</v>
      </c>
      <c r="AT44" s="343">
        <f ca="1">SUMIFS(es_pieces,es_prod_type_affinage,'SUIVI STOCKS PAR PAYSAN'!$H44,es_date_entree,"&gt;"&amp;date_inventaire,es_taille,'SUIVI STOCKS PAR PAYSAN'!$AT$7)-SUMIFS(v_Pièces,v_Taille,'SUIVI STOCKS PAR PAYSAN'!$AT$7,v_conc_prod_tye_affinage,'SUIVI STOCKS PAR PAYSAN'!$H44,v_Date_commande,"&gt;"&amp;date_inventaire)</f>
        <v>0</v>
      </c>
      <c r="AU44" s="353">
        <f ca="1">SUMIFS(bddres_pieces,'BDD RESERVATIONS'!$G:$G,'SUIVI STOCKS PAR PAYSAN'!$AT$7,bddres_c_prod_type_aff,'SUIVI STOCKS PAR PAYSAN'!$H44,'BDD RESERVATIONS'!$B:$B,"&gt;"&amp;date_inventaire)</f>
        <v>0</v>
      </c>
      <c r="AV44" s="313">
        <f ca="1">SUMIFS(es_poids,es_prod_type_affinage,'SUIVI STOCKS PAR PAYSAN'!$I44,es_date_entree,"&gt;"&amp;date_inventaire)-SUMIFS(v_Poids,v_conc_prod_tye_affinage,'SUIVI STOCKS PAR PAYSAN'!$E44,v_Date_commande,"&gt;"&amp;date_inventaire)</f>
        <v>0</v>
      </c>
      <c r="AW44" s="313">
        <f ca="1">SUMIFS(bddres_c_qte,bddres_c_prod_type_aff,'SUIVI STOCKS PAR PAYSAN'!I44,'BDD RESERVATIONS'!$B:$B,"&gt;"&amp;date_inventaire)</f>
        <v>0</v>
      </c>
      <c r="AX44" s="342">
        <f ca="1">SUMIFS(bddres_pieces,es_prod_type_affinage,'SUIVI STOCKS PAR PAYSAN'!$I44,es_date_entree,"&gt;"&amp;date_inventaire,es_taille,'SUIVI STOCKS PAR PAYSAN'!$AX$7)-SUMIFS(v_Pièces,v_Taille,'SUIVI STOCKS PAR PAYSAN'!$AX$7,v_conc_prod_tye_affinage,'SUIVI STOCKS PAR PAYSAN'!$I44,v_Date_commande,"&gt;"&amp;date_inventaire)</f>
        <v>0</v>
      </c>
      <c r="AY44" s="342">
        <f ca="1">SUMIFS(bddres_pieces,'BDD RESERVATIONS'!$G:$G,'SUIVI STOCKS PAR PAYSAN'!$AX$7,bddres_c_prod_type_aff,'SUIVI STOCKS PAR PAYSAN'!$I44,'BDD RESERVATIONS'!$B:$B,"&gt;"&amp;date_inventaire)</f>
        <v>0</v>
      </c>
      <c r="AZ44" s="343">
        <f ca="1">SUMIFS(es_pieces,es_prod_type_affinage,'SUIVI STOCKS PAR PAYSAN'!$I44,es_date_entree,"&gt;"&amp;date_inventaire,es_taille,'SUIVI STOCKS PAR PAYSAN'!$AZ$7)-SUMIFS(v_Pièces,v_Taille,'SUIVI STOCKS PAR PAYSAN'!$AZ$7,v_conc_prod_tye_affinage,'SUIVI STOCKS PAR PAYSAN'!$I44,v_Date_commande,"&gt;"&amp;date_inventaire)</f>
        <v>0</v>
      </c>
      <c r="BA44" s="353">
        <f ca="1">SUMIFS(bddres_pieces,'BDD RESERVATIONS'!$G:$G,'SUIVI STOCKS PAR PAYSAN'!$AZ$7,bddres_c_prod_type_aff,'SUIVI STOCKS PAR PAYSAN'!$I44,'BDD RESERVATIONS'!$B:$B,"&gt;"&amp;date_inventaire)</f>
        <v>0</v>
      </c>
      <c r="BB44" s="313">
        <f ca="1">SUMIFS(es_poids,es_prod_type_affinage,'SUIVI STOCKS PAR PAYSAN'!$J44,es_date_entree,"&gt;"&amp;date_inventaire)-SUMIFS(v_Poids,v_conc_prod_tye_affinage,'SUIVI STOCKS PAR PAYSAN'!$J44,v_Date_commande,"&gt;"&amp;date_inventaire)</f>
        <v>0</v>
      </c>
      <c r="BC44" s="313">
        <f ca="1">SUMIFS(bddres_c_qte,bddres_c_prod_type_aff,'SUIVI STOCKS PAR PAYSAN'!J44,'BDD RESERVATIONS'!$B:$B,"&gt;"&amp;date_inventaire)</f>
        <v>0</v>
      </c>
      <c r="BD44" s="342">
        <f ca="1">SUMIFS(bddres_pieces,es_prod_type_affinage,'SUIVI STOCKS PAR PAYSAN'!$J44,es_date_entree,"&gt;"&amp;date_inventaire,es_taille,'SUIVI STOCKS PAR PAYSAN'!$BD$7)-SUMIFS(v_Pièces,v_Taille,'SUIVI STOCKS PAR PAYSAN'!$BD$7,v_conc_prod_tye_affinage,'SUIVI STOCKS PAR PAYSAN'!$J44,v_Date_commande,"&gt;"&amp;date_inventaire)</f>
        <v>0</v>
      </c>
      <c r="BE44" s="326">
        <f ca="1">SUMIFS(bddres_pieces,'BDD RESERVATIONS'!$G:$G,'SUIVI STOCKS PAR PAYSAN'!BD39,bddres_c_prod_type_aff,'SUIVI STOCKS PAR PAYSAN'!J44,'BDD RESERVATIONS'!$B:$B,"&gt;"&amp;date_inventaire)</f>
        <v>0</v>
      </c>
      <c r="BF44" s="343">
        <f ca="1">SUMIFS(es_pieces,es_prod_type_affinage,'SUIVI STOCKS PAR PAYSAN'!J44,es_date_entree,"&gt;"&amp;date_inventaire,es_taille,'SUIVI STOCKS PAR PAYSAN'!$BF$7)-SUMIFS(v_Pièces,v_Taille,'SUIVI STOCKS PAR PAYSAN'!$BF$7,v_conc_prod_tye_affinage,'SUIVI STOCKS PAR PAYSAN'!J44,v_Date_commande,"&gt;"&amp;date_inventaire)</f>
        <v>0</v>
      </c>
      <c r="BG44" s="353">
        <f ca="1">SUMIFS(bddres_pieces,'BDD RESERVATIONS'!$G:$G,'SUIVI STOCKS PAR PAYSAN'!$BF$7,bddres_c_prod_type_aff,'SUIVI STOCKS PAR PAYSAN'!J44,'BDD RESERVATIONS'!$B:$B,"&gt;"&amp;date_inventaire)</f>
        <v>0</v>
      </c>
    </row>
    <row r="45" spans="1:59" ht="18.75" customHeight="1" x14ac:dyDescent="0.25">
      <c r="A45" s="331">
        <f ca="1">OFFSET('BDD PAYSANS'!$B$1,B45,0,1,1)</f>
        <v>0</v>
      </c>
      <c r="B45" s="325">
        <v>34</v>
      </c>
      <c r="C45" s="325" t="str">
        <f t="shared" ca="1" si="2"/>
        <v>0FERMIER&lt;3 mois</v>
      </c>
      <c r="D45" s="325" t="str">
        <f t="shared" ca="1" si="2"/>
        <v>0FERMIER3-6 mois</v>
      </c>
      <c r="E45" s="325" t="str">
        <f t="shared" ca="1" si="2"/>
        <v>0FERMIER6-9 mois</v>
      </c>
      <c r="F45" s="325" t="str">
        <f t="shared" ca="1" si="2"/>
        <v>0FERMIER&gt;9 mois</v>
      </c>
      <c r="G45" s="325" t="str">
        <f t="shared" ca="1" si="2"/>
        <v>0ESTIVE&lt;3 mois</v>
      </c>
      <c r="H45" s="325" t="str">
        <f t="shared" ca="1" si="2"/>
        <v>0ESTIVE3-6 mois</v>
      </c>
      <c r="I45" s="325" t="str">
        <f t="shared" ca="1" si="2"/>
        <v>0ESTIVE6-9 mois</v>
      </c>
      <c r="J45" s="325" t="str">
        <f t="shared" ca="1" si="2"/>
        <v>0ESTIVE&gt;9 mois</v>
      </c>
      <c r="K45" s="325"/>
      <c r="L45" s="352">
        <f ca="1">SUMIFS(es_poids,es_prod_type_affinage,'SUIVI STOCKS PAR PAYSAN'!$C45,es_date_entree,"&gt;"&amp;date_inventaire)-SUMIFS(v_Poids,v_conc_prod_tye_affinage,'SUIVI STOCKS PAR PAYSAN'!$C45,v_Date_commande,"&gt;"&amp;date_inventaire)</f>
        <v>0</v>
      </c>
      <c r="M45" s="341">
        <f ca="1">SUMIFS(bddres_c_qte,bddres_c_prod_type_aff,'SUIVI STOCKS PAR PAYSAN'!C45,'BDD RESERVATIONS'!$B:$B,"&gt;"&amp;date_inventaire)</f>
        <v>0</v>
      </c>
      <c r="N45" s="342">
        <f ca="1">SUMIFS(bddres_pieces,es_prod_type_affinage,'SUIVI STOCKS PAR PAYSAN'!$C45,es_date_entree,"&gt;"&amp;date_inventaire,es_taille,'SUIVI STOCKS PAR PAYSAN'!$N$7)-SUMIFS(v_Pièces,v_Taille,'SUIVI STOCKS PAR PAYSAN'!$N$7,v_conc_prod_tye_affinage,'SUIVI STOCKS PAR PAYSAN'!$C45,v_Date_commande,"&gt;"&amp;date_inventaire)</f>
        <v>0</v>
      </c>
      <c r="O45" s="342">
        <f ca="1">SUMIFS(bddres_pieces,'BDD RESERVATIONS'!$G:$G,'SUIVI STOCKS PAR PAYSAN'!$N$7,bddres_c_prod_type_aff,'SUIVI STOCKS PAR PAYSAN'!$C45,'BDD RESERVATIONS'!$B:$B,"&gt;"&amp;date_inventaire)</f>
        <v>0</v>
      </c>
      <c r="P45" s="343">
        <f ca="1">SUMIFS(es_pieces,es_prod_type_affinage,'SUIVI STOCKS PAR PAYSAN'!$C45,es_date_entree,"&gt;"&amp;date_inventaire,es_taille,'SUIVI STOCKS PAR PAYSAN'!$P$7)-SUMIFS(v_Pièces,v_Taille,'SUIVI STOCKS PAR PAYSAN'!$P$7,v_conc_prod_tye_affinage,'SUIVI STOCKS PAR PAYSAN'!$C45,v_Date_commande,"&gt;"&amp;date_inventaire)</f>
        <v>0</v>
      </c>
      <c r="Q45" s="353">
        <f ca="1">SUMIFS(bddres_pieces,'BDD RESERVATIONS'!$G:$G,'SUIVI STOCKS PAR PAYSAN'!$P$7,bddres_c_prod_type_aff,'SUIVI STOCKS PAR PAYSAN'!$C45,'BDD RESERVATIONS'!$B:$B,"&gt;"&amp;date_inventaire)</f>
        <v>0</v>
      </c>
      <c r="R45" s="340">
        <f ca="1">SUMIFS(es_poids,es_prod_type_affinage,'SUIVI STOCKS PAR PAYSAN'!$D45,es_date_entree,"&gt;"&amp;date_inventaire)-SUMIFS(v_Poids,v_conc_prod_tye_affinage,'SUIVI STOCKS PAR PAYSAN'!$D45,v_Date_commande,"&gt;"&amp;date_inventaire)</f>
        <v>0</v>
      </c>
      <c r="S45" s="341">
        <f ca="1">SUMIFS(bddres_c_qte,bddres_c_prod_type_aff,'SUIVI STOCKS PAR PAYSAN'!D45,'BDD RESERVATIONS'!$B:$B,"&gt;"&amp;date_inventaire)</f>
        <v>0</v>
      </c>
      <c r="T45" s="342">
        <f ca="1">SUMIFS(bddres_pieces,es_prod_type_affinage,'SUIVI STOCKS PAR PAYSAN'!$D45,es_date_entree,"&gt;"&amp;date_inventaire,es_taille,'SUIVI STOCKS PAR PAYSAN'!$T$7)-SUMIFS(v_Pièces,v_Taille,'SUIVI STOCKS PAR PAYSAN'!$T$7,v_conc_prod_tye_affinage,'SUIVI STOCKS PAR PAYSAN'!$D45,v_Date_commande,"&gt;"&amp;date_inventaire)</f>
        <v>0</v>
      </c>
      <c r="U45" s="342">
        <f ca="1">SUMIFS(bddres_pieces,'BDD RESERVATIONS'!$G:$G,'SUIVI STOCKS PAR PAYSAN'!$T$7,bddres_c_prod_type_aff,'SUIVI STOCKS PAR PAYSAN'!$D45,'BDD RESERVATIONS'!$B:$B,"&gt;"&amp;date_inventaire)</f>
        <v>0</v>
      </c>
      <c r="V45" s="343">
        <f ca="1">SUMIFS(es_pieces,es_prod_type_affinage,'SUIVI STOCKS PAR PAYSAN'!$D45,es_date_entree,"&gt;"&amp;date_inventaire,es_taille,'SUIVI STOCKS PAR PAYSAN'!$V$7)-SUMIFS(v_Pièces,v_Taille,'SUIVI STOCKS PAR PAYSAN'!$V$7,v_conc_prod_tye_affinage,'SUIVI STOCKS PAR PAYSAN'!$D45,v_Date_commande,"&gt;"&amp;date_inventaire)</f>
        <v>0</v>
      </c>
      <c r="W45" s="353">
        <f ca="1">SUMIFS(bddres_pieces,'BDD RESERVATIONS'!$G:$G,'SUIVI STOCKS PAR PAYSAN'!$V$7,bddres_c_prod_type_aff,'SUIVI STOCKS PAR PAYSAN'!$D45,'BDD RESERVATIONS'!$B:$B,"&gt;"&amp;date_inventaire)</f>
        <v>0</v>
      </c>
      <c r="X45" s="313">
        <f ca="1">SUMIFS(es_poids,es_prod_type_affinage,'SUIVI STOCKS PAR PAYSAN'!$E45,es_date_entree,"&gt;"&amp;date_inventaire)-SUMIFS(v_Poids,v_conc_prod_tye_affinage,'SUIVI STOCKS PAR PAYSAN'!$E45,v_Date_commande,"&gt;"&amp;date_inventaire)</f>
        <v>0</v>
      </c>
      <c r="Y45" s="341">
        <f ca="1">SUMIFS(bddres_c_qte,bddres_c_prod_type_aff,'SUIVI STOCKS PAR PAYSAN'!E45,'BDD RESERVATIONS'!$B:$B,"&gt;"&amp;date_inventaire)</f>
        <v>0</v>
      </c>
      <c r="Z45" s="342">
        <f ca="1">SUMIFS(bddres_pieces,es_prod_type_affinage,'SUIVI STOCKS PAR PAYSAN'!$E45,es_date_entree,"&gt;"&amp;date_inventaire,es_taille,'SUIVI STOCKS PAR PAYSAN'!$Z$7)-SUMIFS(v_Pièces,v_Taille,'SUIVI STOCKS PAR PAYSAN'!$Z$7,v_conc_prod_tye_affinage,'SUIVI STOCKS PAR PAYSAN'!$E45,v_Date_commande,"&gt;"&amp;date_inventaire)</f>
        <v>0</v>
      </c>
      <c r="AA45" s="342">
        <f ca="1">SUMIFS(bddres_pieces,'BDD RESERVATIONS'!$G:$G,'SUIVI STOCKS PAR PAYSAN'!$Z$7,bddres_c_prod_type_aff,'SUIVI STOCKS PAR PAYSAN'!$E45,'BDD RESERVATIONS'!$B:$B,"&gt;"&amp;date_inventaire)</f>
        <v>0</v>
      </c>
      <c r="AB45" s="343">
        <f ca="1">SUMIFS(es_pieces,es_prod_type_affinage,'SUIVI STOCKS PAR PAYSAN'!$E45,es_date_entree,"&gt;"&amp;date_inventaire,es_taille,'SUIVI STOCKS PAR PAYSAN'!$AB$7)-SUMIFS(v_Pièces,v_Taille,'SUIVI STOCKS PAR PAYSAN'!$AB$7,v_conc_prod_tye_affinage,'SUIVI STOCKS PAR PAYSAN'!$E45,v_Date_commande,"&gt;"&amp;date_inventaire)</f>
        <v>0</v>
      </c>
      <c r="AC45" s="353">
        <f ca="1">SUMIFS(bddres_pieces,'BDD RESERVATIONS'!$G:$G,'SUIVI STOCKS PAR PAYSAN'!$AB$7,bddres_c_prod_type_aff,'SUIVI STOCKS PAR PAYSAN'!$E45,'BDD RESERVATIONS'!$B:$B,"&gt;"&amp;date_inventaire)</f>
        <v>0</v>
      </c>
      <c r="AD45" s="313">
        <f ca="1">SUMIFS(es_poids,es_prod_type_affinage,'SUIVI STOCKS PAR PAYSAN'!$F45,es_date_entree,"&gt;"&amp;date_inventaire)-SUMIFS(v_Poids,v_conc_prod_tye_affinage,'SUIVI STOCKS PAR PAYSAN'!$F45,v_Date_commande,"&gt;"&amp;date_inventaire)</f>
        <v>0</v>
      </c>
      <c r="AE45" s="341">
        <f ca="1">SUMIFS(bddres_c_qte,bddres_c_prod_type_aff,'SUIVI STOCKS PAR PAYSAN'!F45,'BDD RESERVATIONS'!$B:$B,"&gt;"&amp;date_inventaire)</f>
        <v>0</v>
      </c>
      <c r="AF45" s="342">
        <f ca="1">SUMIFS(bddres_pieces,es_prod_type_affinage,'SUIVI STOCKS PAR PAYSAN'!$F45,es_date_entree,"&gt;"&amp;date_inventaire,es_taille,'SUIVI STOCKS PAR PAYSAN'!$Z$7)-SUMIFS(v_Pièces,v_Taille,'SUIVI STOCKS PAR PAYSAN'!$Z$7,v_conc_prod_tye_affinage,'SUIVI STOCKS PAR PAYSAN'!$F45,v_Date_commande,"&gt;"&amp;date_inventaire)</f>
        <v>0</v>
      </c>
      <c r="AG45" s="342">
        <f ca="1">SUMIFS(bddres_pieces,'BDD RESERVATIONS'!$G:$G,'SUIVI STOCKS PAR PAYSAN'!$Z$7,bddres_c_prod_type_aff,'SUIVI STOCKS PAR PAYSAN'!$F45,'BDD RESERVATIONS'!$B:$B,"&gt;"&amp;date_inventaire)</f>
        <v>0</v>
      </c>
      <c r="AH45" s="343">
        <f ca="1">SUMIFS(es_pieces,es_prod_type_affinage,'SUIVI STOCKS PAR PAYSAN'!$F45,es_date_entree,"&gt;"&amp;date_inventaire,es_taille,'SUIVI STOCKS PAR PAYSAN'!$AH$7)-SUMIFS(v_Pièces,v_Taille,'SUIVI STOCKS PAR PAYSAN'!$AH$7,v_conc_prod_tye_affinage,'SUIVI STOCKS PAR PAYSAN'!$F45,v_Date_commande,"&gt;"&amp;date_inventaire)</f>
        <v>0</v>
      </c>
      <c r="AI45" s="353">
        <f ca="1">SUMIFS(bddres_pieces,'BDD RESERVATIONS'!$G:$G,'SUIVI STOCKS PAR PAYSAN'!$AB$7,bddres_c_prod_type_aff,'SUIVI STOCKS PAR PAYSAN'!$F45,'BDD RESERVATIONS'!$B:$B,"&gt;"&amp;date_inventaire)</f>
        <v>0</v>
      </c>
      <c r="AJ45" s="352">
        <f ca="1">SUMIFS(es_poids,es_prod_type_affinage,'SUIVI STOCKS PAR PAYSAN'!$G45,es_date_entree,"&gt;"&amp;date_inventaire)-SUMIFS(v_Poids,v_conc_prod_tye_affinage,'SUIVI STOCKS PAR PAYSAN'!$G45,v_Date_commande,"&gt;"&amp;date_inventaire)</f>
        <v>0</v>
      </c>
      <c r="AK45" s="341">
        <f ca="1">SUMIFS(bddres_c_qte,bddres_c_prod_type_aff,'SUIVI STOCKS PAR PAYSAN'!G45,'BDD RESERVATIONS'!$B:$B,"&gt;"&amp;date_inventaire)</f>
        <v>0</v>
      </c>
      <c r="AL45" s="342">
        <f ca="1">SUMIFS(bddres_pieces,es_prod_type_affinage,'SUIVI STOCKS PAR PAYSAN'!$G45,es_date_entree,"&gt;"&amp;date_inventaire,es_taille,'SUIVI STOCKS PAR PAYSAN'!$AL$7)-SUMIFS(v_Pièces,v_Taille,'SUIVI STOCKS PAR PAYSAN'!$AL$7,v_conc_prod_tye_affinage,'SUIVI STOCKS PAR PAYSAN'!$G45,v_Date_commande,"&gt;"&amp;date_inventaire)</f>
        <v>0</v>
      </c>
      <c r="AM45" s="342">
        <f ca="1">SUMIFS(bddres_pieces,'BDD RESERVATIONS'!$G:$G,'SUIVI STOCKS PAR PAYSAN'!$AL$7,bddres_c_prod_type_aff,'SUIVI STOCKS PAR PAYSAN'!$G45,'BDD RESERVATIONS'!$B:$B,"&gt;"&amp;date_inventaire)</f>
        <v>0</v>
      </c>
      <c r="AN45" s="343">
        <f ca="1">SUMIFS(es_pieces,es_prod_type_affinage,'SUIVI STOCKS PAR PAYSAN'!$G45,es_date_entree,"&gt;"&amp;date_inventaire,es_taille,'SUIVI STOCKS PAR PAYSAN'!$AN$7)-SUMIFS(v_Pièces,v_Taille,'SUIVI STOCKS PAR PAYSAN'!$AN$7,v_conc_prod_tye_affinage,'SUIVI STOCKS PAR PAYSAN'!$G45,v_Date_commande,"&gt;"&amp;date_inventaire)</f>
        <v>0</v>
      </c>
      <c r="AO45" s="353">
        <f ca="1">SUMIFS(bddres_pieces,'BDD RESERVATIONS'!$G:$G,'SUIVI STOCKS PAR PAYSAN'!$AN$7,bddres_c_prod_type_aff,'SUIVI STOCKS PAR PAYSAN'!$G45,'BDD RESERVATIONS'!$B:$B,"&gt;"&amp;date_inventaire)</f>
        <v>0</v>
      </c>
      <c r="AP45" s="313">
        <f ca="1">SUMIFS(es_poids,es_prod_type_affinage,'SUIVI STOCKS PAR PAYSAN'!$H45,es_date_entree,"&gt;"&amp;date_inventaire)-SUMIFS(v_Poids,v_conc_prod_tye_affinage,'SUIVI STOCKS PAR PAYSAN'!$H45,v_Date_commande,"&gt;"&amp;date_inventaire)</f>
        <v>0</v>
      </c>
      <c r="AQ45" s="341">
        <f ca="1">SUMIFS(bddres_c_qte,bddres_c_prod_type_aff,'SUIVI STOCKS PAR PAYSAN'!H45,'BDD RESERVATIONS'!$B:$B,"&gt;"&amp;date_inventaire)</f>
        <v>0</v>
      </c>
      <c r="AR45" s="342">
        <f ca="1">SUMIFS(bddres_pieces,es_prod_type_affinage,'SUIVI STOCKS PAR PAYSAN'!$H45,es_date_entree,"&gt;"&amp;date_inventaire,es_taille,'SUIVI STOCKS PAR PAYSAN'!$AR$7)-SUMIFS(v_Pièces,v_Taille,'SUIVI STOCKS PAR PAYSAN'!$AR$7,v_conc_prod_tye_affinage,'SUIVI STOCKS PAR PAYSAN'!$H45,v_Date_commande,"&gt;"&amp;date_inventaire)</f>
        <v>0</v>
      </c>
      <c r="AS45" s="326">
        <f ca="1">SUMIFS(bddres_pieces,'BDD RESERVATIONS'!$G:$G,'SUIVI STOCKS PAR PAYSAN'!AR40,bddres_c_prod_type_aff,'SUIVI STOCKS PAR PAYSAN'!$H45,'BDD RESERVATIONS'!$B:$B,"&gt;"&amp;date_inventaire)</f>
        <v>0</v>
      </c>
      <c r="AT45" s="343">
        <f ca="1">SUMIFS(es_pieces,es_prod_type_affinage,'SUIVI STOCKS PAR PAYSAN'!$H45,es_date_entree,"&gt;"&amp;date_inventaire,es_taille,'SUIVI STOCKS PAR PAYSAN'!$AT$7)-SUMIFS(v_Pièces,v_Taille,'SUIVI STOCKS PAR PAYSAN'!$AT$7,v_conc_prod_tye_affinage,'SUIVI STOCKS PAR PAYSAN'!$H45,v_Date_commande,"&gt;"&amp;date_inventaire)</f>
        <v>0</v>
      </c>
      <c r="AU45" s="353">
        <f ca="1">SUMIFS(bddres_pieces,'BDD RESERVATIONS'!$G:$G,'SUIVI STOCKS PAR PAYSAN'!$AT$7,bddres_c_prod_type_aff,'SUIVI STOCKS PAR PAYSAN'!$H45,'BDD RESERVATIONS'!$B:$B,"&gt;"&amp;date_inventaire)</f>
        <v>0</v>
      </c>
      <c r="AV45" s="313">
        <f ca="1">SUMIFS(es_poids,es_prod_type_affinage,'SUIVI STOCKS PAR PAYSAN'!$I45,es_date_entree,"&gt;"&amp;date_inventaire)-SUMIFS(v_Poids,v_conc_prod_tye_affinage,'SUIVI STOCKS PAR PAYSAN'!$E45,v_Date_commande,"&gt;"&amp;date_inventaire)</f>
        <v>0</v>
      </c>
      <c r="AW45" s="313">
        <f ca="1">SUMIFS(bddres_c_qte,bddres_c_prod_type_aff,'SUIVI STOCKS PAR PAYSAN'!I45,'BDD RESERVATIONS'!$B:$B,"&gt;"&amp;date_inventaire)</f>
        <v>0</v>
      </c>
      <c r="AX45" s="342">
        <f ca="1">SUMIFS(bddres_pieces,es_prod_type_affinage,'SUIVI STOCKS PAR PAYSAN'!$I45,es_date_entree,"&gt;"&amp;date_inventaire,es_taille,'SUIVI STOCKS PAR PAYSAN'!$AX$7)-SUMIFS(v_Pièces,v_Taille,'SUIVI STOCKS PAR PAYSAN'!$AX$7,v_conc_prod_tye_affinage,'SUIVI STOCKS PAR PAYSAN'!$I45,v_Date_commande,"&gt;"&amp;date_inventaire)</f>
        <v>0</v>
      </c>
      <c r="AY45" s="342">
        <f ca="1">SUMIFS(bddres_pieces,'BDD RESERVATIONS'!$G:$G,'SUIVI STOCKS PAR PAYSAN'!$AX$7,bddres_c_prod_type_aff,'SUIVI STOCKS PAR PAYSAN'!$I45,'BDD RESERVATIONS'!$B:$B,"&gt;"&amp;date_inventaire)</f>
        <v>0</v>
      </c>
      <c r="AZ45" s="343">
        <f ca="1">SUMIFS(es_pieces,es_prod_type_affinage,'SUIVI STOCKS PAR PAYSAN'!$I45,es_date_entree,"&gt;"&amp;date_inventaire,es_taille,'SUIVI STOCKS PAR PAYSAN'!$AZ$7)-SUMIFS(v_Pièces,v_Taille,'SUIVI STOCKS PAR PAYSAN'!$AZ$7,v_conc_prod_tye_affinage,'SUIVI STOCKS PAR PAYSAN'!$I45,v_Date_commande,"&gt;"&amp;date_inventaire)</f>
        <v>0</v>
      </c>
      <c r="BA45" s="353">
        <f ca="1">SUMIFS(bddres_pieces,'BDD RESERVATIONS'!$G:$G,'SUIVI STOCKS PAR PAYSAN'!$AZ$7,bddres_c_prod_type_aff,'SUIVI STOCKS PAR PAYSAN'!$I45,'BDD RESERVATIONS'!$B:$B,"&gt;"&amp;date_inventaire)</f>
        <v>0</v>
      </c>
      <c r="BB45" s="313">
        <f ca="1">SUMIFS(es_poids,es_prod_type_affinage,'SUIVI STOCKS PAR PAYSAN'!$J45,es_date_entree,"&gt;"&amp;date_inventaire)-SUMIFS(v_Poids,v_conc_prod_tye_affinage,'SUIVI STOCKS PAR PAYSAN'!$J45,v_Date_commande,"&gt;"&amp;date_inventaire)</f>
        <v>0</v>
      </c>
      <c r="BC45" s="313">
        <f ca="1">SUMIFS(bddres_c_qte,bddres_c_prod_type_aff,'SUIVI STOCKS PAR PAYSAN'!J45,'BDD RESERVATIONS'!$B:$B,"&gt;"&amp;date_inventaire)</f>
        <v>0</v>
      </c>
      <c r="BD45" s="342">
        <f ca="1">SUMIFS(bddres_pieces,es_prod_type_affinage,'SUIVI STOCKS PAR PAYSAN'!$J45,es_date_entree,"&gt;"&amp;date_inventaire,es_taille,'SUIVI STOCKS PAR PAYSAN'!$BD$7)-SUMIFS(v_Pièces,v_Taille,'SUIVI STOCKS PAR PAYSAN'!$BD$7,v_conc_prod_tye_affinage,'SUIVI STOCKS PAR PAYSAN'!$J45,v_Date_commande,"&gt;"&amp;date_inventaire)</f>
        <v>0</v>
      </c>
      <c r="BE45" s="326">
        <f ca="1">SUMIFS(bddres_pieces,'BDD RESERVATIONS'!$G:$G,'SUIVI STOCKS PAR PAYSAN'!BD40,bddres_c_prod_type_aff,'SUIVI STOCKS PAR PAYSAN'!J45,'BDD RESERVATIONS'!$B:$B,"&gt;"&amp;date_inventaire)</f>
        <v>0</v>
      </c>
      <c r="BF45" s="343">
        <f ca="1">SUMIFS(es_pieces,es_prod_type_affinage,'SUIVI STOCKS PAR PAYSAN'!J45,es_date_entree,"&gt;"&amp;date_inventaire,es_taille,'SUIVI STOCKS PAR PAYSAN'!$BF$7)-SUMIFS(v_Pièces,v_Taille,'SUIVI STOCKS PAR PAYSAN'!$BF$7,v_conc_prod_tye_affinage,'SUIVI STOCKS PAR PAYSAN'!J45,v_Date_commande,"&gt;"&amp;date_inventaire)</f>
        <v>0</v>
      </c>
      <c r="BG45" s="353">
        <f ca="1">SUMIFS(bddres_pieces,'BDD RESERVATIONS'!$G:$G,'SUIVI STOCKS PAR PAYSAN'!$BF$7,bddres_c_prod_type_aff,'SUIVI STOCKS PAR PAYSAN'!J45,'BDD RESERVATIONS'!$B:$B,"&gt;"&amp;date_inventaire)</f>
        <v>0</v>
      </c>
    </row>
    <row r="46" spans="1:59" ht="18.75" customHeight="1" x14ac:dyDescent="0.25">
      <c r="A46" s="331">
        <f ca="1">OFFSET('BDD PAYSANS'!$B$1,B46,0,1,1)</f>
        <v>0</v>
      </c>
      <c r="B46" s="325">
        <v>35</v>
      </c>
      <c r="C46" s="325" t="str">
        <f t="shared" ca="1" si="2"/>
        <v>0FERMIER&lt;3 mois</v>
      </c>
      <c r="D46" s="325" t="str">
        <f t="shared" ca="1" si="2"/>
        <v>0FERMIER3-6 mois</v>
      </c>
      <c r="E46" s="325" t="str">
        <f t="shared" ca="1" si="2"/>
        <v>0FERMIER6-9 mois</v>
      </c>
      <c r="F46" s="325" t="str">
        <f t="shared" ca="1" si="2"/>
        <v>0FERMIER&gt;9 mois</v>
      </c>
      <c r="G46" s="325" t="str">
        <f t="shared" ca="1" si="2"/>
        <v>0ESTIVE&lt;3 mois</v>
      </c>
      <c r="H46" s="325" t="str">
        <f t="shared" ca="1" si="2"/>
        <v>0ESTIVE3-6 mois</v>
      </c>
      <c r="I46" s="325" t="str">
        <f t="shared" ca="1" si="2"/>
        <v>0ESTIVE6-9 mois</v>
      </c>
      <c r="J46" s="325" t="str">
        <f t="shared" ca="1" si="2"/>
        <v>0ESTIVE&gt;9 mois</v>
      </c>
      <c r="K46" s="325"/>
      <c r="L46" s="352">
        <f ca="1">SUMIFS(es_poids,es_prod_type_affinage,'SUIVI STOCKS PAR PAYSAN'!$C46,es_date_entree,"&gt;"&amp;date_inventaire)-SUMIFS(v_Poids,v_conc_prod_tye_affinage,'SUIVI STOCKS PAR PAYSAN'!$C46,v_Date_commande,"&gt;"&amp;date_inventaire)</f>
        <v>0</v>
      </c>
      <c r="M46" s="341">
        <f ca="1">SUMIFS(bddres_c_qte,bddres_c_prod_type_aff,'SUIVI STOCKS PAR PAYSAN'!C46,'BDD RESERVATIONS'!$B:$B,"&gt;"&amp;date_inventaire)</f>
        <v>0</v>
      </c>
      <c r="N46" s="342">
        <f ca="1">SUMIFS(bddres_pieces,es_prod_type_affinage,'SUIVI STOCKS PAR PAYSAN'!$C46,es_date_entree,"&gt;"&amp;date_inventaire,es_taille,'SUIVI STOCKS PAR PAYSAN'!$N$7)-SUMIFS(v_Pièces,v_Taille,'SUIVI STOCKS PAR PAYSAN'!$N$7,v_conc_prod_tye_affinage,'SUIVI STOCKS PAR PAYSAN'!$C46,v_Date_commande,"&gt;"&amp;date_inventaire)</f>
        <v>0</v>
      </c>
      <c r="O46" s="342">
        <f ca="1">SUMIFS(bddres_pieces,'BDD RESERVATIONS'!$G:$G,'SUIVI STOCKS PAR PAYSAN'!$N$7,bddres_c_prod_type_aff,'SUIVI STOCKS PAR PAYSAN'!$C46,'BDD RESERVATIONS'!$B:$B,"&gt;"&amp;date_inventaire)</f>
        <v>0</v>
      </c>
      <c r="P46" s="343">
        <f ca="1">SUMIFS(es_pieces,es_prod_type_affinage,'SUIVI STOCKS PAR PAYSAN'!$C46,es_date_entree,"&gt;"&amp;date_inventaire,es_taille,'SUIVI STOCKS PAR PAYSAN'!$P$7)-SUMIFS(v_Pièces,v_Taille,'SUIVI STOCKS PAR PAYSAN'!$P$7,v_conc_prod_tye_affinage,'SUIVI STOCKS PAR PAYSAN'!$C46,v_Date_commande,"&gt;"&amp;date_inventaire)</f>
        <v>0</v>
      </c>
      <c r="Q46" s="353">
        <f ca="1">SUMIFS(bddres_pieces,'BDD RESERVATIONS'!$G:$G,'SUIVI STOCKS PAR PAYSAN'!$P$7,bddres_c_prod_type_aff,'SUIVI STOCKS PAR PAYSAN'!$C46,'BDD RESERVATIONS'!$B:$B,"&gt;"&amp;date_inventaire)</f>
        <v>0</v>
      </c>
      <c r="R46" s="340">
        <f ca="1">SUMIFS(es_poids,es_prod_type_affinage,'SUIVI STOCKS PAR PAYSAN'!$D46,es_date_entree,"&gt;"&amp;date_inventaire)-SUMIFS(v_Poids,v_conc_prod_tye_affinage,'SUIVI STOCKS PAR PAYSAN'!$D46,v_Date_commande,"&gt;"&amp;date_inventaire)</f>
        <v>0</v>
      </c>
      <c r="S46" s="341">
        <f ca="1">SUMIFS(bddres_c_qte,bddres_c_prod_type_aff,'SUIVI STOCKS PAR PAYSAN'!D46,'BDD RESERVATIONS'!$B:$B,"&gt;"&amp;date_inventaire)</f>
        <v>0</v>
      </c>
      <c r="T46" s="342">
        <f ca="1">SUMIFS(bddres_pieces,es_prod_type_affinage,'SUIVI STOCKS PAR PAYSAN'!$D46,es_date_entree,"&gt;"&amp;date_inventaire,es_taille,'SUIVI STOCKS PAR PAYSAN'!$T$7)-SUMIFS(v_Pièces,v_Taille,'SUIVI STOCKS PAR PAYSAN'!$T$7,v_conc_prod_tye_affinage,'SUIVI STOCKS PAR PAYSAN'!$D46,v_Date_commande,"&gt;"&amp;date_inventaire)</f>
        <v>0</v>
      </c>
      <c r="U46" s="342">
        <f ca="1">SUMIFS(bddres_pieces,'BDD RESERVATIONS'!$G:$G,'SUIVI STOCKS PAR PAYSAN'!$T$7,bddres_c_prod_type_aff,'SUIVI STOCKS PAR PAYSAN'!$D46,'BDD RESERVATIONS'!$B:$B,"&gt;"&amp;date_inventaire)</f>
        <v>0</v>
      </c>
      <c r="V46" s="343">
        <f ca="1">SUMIFS(es_pieces,es_prod_type_affinage,'SUIVI STOCKS PAR PAYSAN'!$D46,es_date_entree,"&gt;"&amp;date_inventaire,es_taille,'SUIVI STOCKS PAR PAYSAN'!$V$7)-SUMIFS(v_Pièces,v_Taille,'SUIVI STOCKS PAR PAYSAN'!$V$7,v_conc_prod_tye_affinage,'SUIVI STOCKS PAR PAYSAN'!$D46,v_Date_commande,"&gt;"&amp;date_inventaire)</f>
        <v>0</v>
      </c>
      <c r="W46" s="353">
        <f ca="1">SUMIFS(bddres_pieces,'BDD RESERVATIONS'!$G:$G,'SUIVI STOCKS PAR PAYSAN'!$V$7,bddres_c_prod_type_aff,'SUIVI STOCKS PAR PAYSAN'!$D46,'BDD RESERVATIONS'!$B:$B,"&gt;"&amp;date_inventaire)</f>
        <v>0</v>
      </c>
      <c r="X46" s="313">
        <f ca="1">SUMIFS(es_poids,es_prod_type_affinage,'SUIVI STOCKS PAR PAYSAN'!$E46,es_date_entree,"&gt;"&amp;date_inventaire)-SUMIFS(v_Poids,v_conc_prod_tye_affinage,'SUIVI STOCKS PAR PAYSAN'!$E46,v_Date_commande,"&gt;"&amp;date_inventaire)</f>
        <v>0</v>
      </c>
      <c r="Y46" s="341">
        <f ca="1">SUMIFS(bddres_c_qte,bddres_c_prod_type_aff,'SUIVI STOCKS PAR PAYSAN'!E46,'BDD RESERVATIONS'!$B:$B,"&gt;"&amp;date_inventaire)</f>
        <v>0</v>
      </c>
      <c r="Z46" s="342">
        <f ca="1">SUMIFS(bddres_pieces,es_prod_type_affinage,'SUIVI STOCKS PAR PAYSAN'!$E46,es_date_entree,"&gt;"&amp;date_inventaire,es_taille,'SUIVI STOCKS PAR PAYSAN'!$Z$7)-SUMIFS(v_Pièces,v_Taille,'SUIVI STOCKS PAR PAYSAN'!$Z$7,v_conc_prod_tye_affinage,'SUIVI STOCKS PAR PAYSAN'!$E46,v_Date_commande,"&gt;"&amp;date_inventaire)</f>
        <v>0</v>
      </c>
      <c r="AA46" s="342">
        <f ca="1">SUMIFS(bddres_pieces,'BDD RESERVATIONS'!$G:$G,'SUIVI STOCKS PAR PAYSAN'!$Z$7,bddres_c_prod_type_aff,'SUIVI STOCKS PAR PAYSAN'!$E46,'BDD RESERVATIONS'!$B:$B,"&gt;"&amp;date_inventaire)</f>
        <v>0</v>
      </c>
      <c r="AB46" s="343">
        <f ca="1">SUMIFS(es_pieces,es_prod_type_affinage,'SUIVI STOCKS PAR PAYSAN'!$E46,es_date_entree,"&gt;"&amp;date_inventaire,es_taille,'SUIVI STOCKS PAR PAYSAN'!$AB$7)-SUMIFS(v_Pièces,v_Taille,'SUIVI STOCKS PAR PAYSAN'!$AB$7,v_conc_prod_tye_affinage,'SUIVI STOCKS PAR PAYSAN'!$E46,v_Date_commande,"&gt;"&amp;date_inventaire)</f>
        <v>0</v>
      </c>
      <c r="AC46" s="353">
        <f ca="1">SUMIFS(bddres_pieces,'BDD RESERVATIONS'!$G:$G,'SUIVI STOCKS PAR PAYSAN'!$AB$7,bddres_c_prod_type_aff,'SUIVI STOCKS PAR PAYSAN'!$E46,'BDD RESERVATIONS'!$B:$B,"&gt;"&amp;date_inventaire)</f>
        <v>0</v>
      </c>
      <c r="AD46" s="313">
        <f ca="1">SUMIFS(es_poids,es_prod_type_affinage,'SUIVI STOCKS PAR PAYSAN'!$F46,es_date_entree,"&gt;"&amp;date_inventaire)-SUMIFS(v_Poids,v_conc_prod_tye_affinage,'SUIVI STOCKS PAR PAYSAN'!$F46,v_Date_commande,"&gt;"&amp;date_inventaire)</f>
        <v>0</v>
      </c>
      <c r="AE46" s="341">
        <f ca="1">SUMIFS(bddres_c_qte,bddres_c_prod_type_aff,'SUIVI STOCKS PAR PAYSAN'!F46,'BDD RESERVATIONS'!$B:$B,"&gt;"&amp;date_inventaire)</f>
        <v>0</v>
      </c>
      <c r="AF46" s="342">
        <f ca="1">SUMIFS(bddres_pieces,es_prod_type_affinage,'SUIVI STOCKS PAR PAYSAN'!$F46,es_date_entree,"&gt;"&amp;date_inventaire,es_taille,'SUIVI STOCKS PAR PAYSAN'!$Z$7)-SUMIFS(v_Pièces,v_Taille,'SUIVI STOCKS PAR PAYSAN'!$Z$7,v_conc_prod_tye_affinage,'SUIVI STOCKS PAR PAYSAN'!$F46,v_Date_commande,"&gt;"&amp;date_inventaire)</f>
        <v>0</v>
      </c>
      <c r="AG46" s="342">
        <f ca="1">SUMIFS(bddres_pieces,'BDD RESERVATIONS'!$G:$G,'SUIVI STOCKS PAR PAYSAN'!$Z$7,bddres_c_prod_type_aff,'SUIVI STOCKS PAR PAYSAN'!$F46,'BDD RESERVATIONS'!$B:$B,"&gt;"&amp;date_inventaire)</f>
        <v>0</v>
      </c>
      <c r="AH46" s="343">
        <f ca="1">SUMIFS(es_pieces,es_prod_type_affinage,'SUIVI STOCKS PAR PAYSAN'!$F46,es_date_entree,"&gt;"&amp;date_inventaire,es_taille,'SUIVI STOCKS PAR PAYSAN'!$AH$7)-SUMIFS(v_Pièces,v_Taille,'SUIVI STOCKS PAR PAYSAN'!$AH$7,v_conc_prod_tye_affinage,'SUIVI STOCKS PAR PAYSAN'!$F46,v_Date_commande,"&gt;"&amp;date_inventaire)</f>
        <v>0</v>
      </c>
      <c r="AI46" s="353">
        <f ca="1">SUMIFS(bddres_pieces,'BDD RESERVATIONS'!$G:$G,'SUIVI STOCKS PAR PAYSAN'!$AB$7,bddres_c_prod_type_aff,'SUIVI STOCKS PAR PAYSAN'!$F46,'BDD RESERVATIONS'!$B:$B,"&gt;"&amp;date_inventaire)</f>
        <v>0</v>
      </c>
      <c r="AJ46" s="352">
        <f ca="1">SUMIFS(es_poids,es_prod_type_affinage,'SUIVI STOCKS PAR PAYSAN'!$G46,es_date_entree,"&gt;"&amp;date_inventaire)-SUMIFS(v_Poids,v_conc_prod_tye_affinage,'SUIVI STOCKS PAR PAYSAN'!$G46,v_Date_commande,"&gt;"&amp;date_inventaire)</f>
        <v>0</v>
      </c>
      <c r="AK46" s="341">
        <f ca="1">SUMIFS(bddres_c_qte,bddres_c_prod_type_aff,'SUIVI STOCKS PAR PAYSAN'!G46,'BDD RESERVATIONS'!$B:$B,"&gt;"&amp;date_inventaire)</f>
        <v>0</v>
      </c>
      <c r="AL46" s="342">
        <f ca="1">SUMIFS(bddres_pieces,es_prod_type_affinage,'SUIVI STOCKS PAR PAYSAN'!$G46,es_date_entree,"&gt;"&amp;date_inventaire,es_taille,'SUIVI STOCKS PAR PAYSAN'!$AL$7)-SUMIFS(v_Pièces,v_Taille,'SUIVI STOCKS PAR PAYSAN'!$AL$7,v_conc_prod_tye_affinage,'SUIVI STOCKS PAR PAYSAN'!$G46,v_Date_commande,"&gt;"&amp;date_inventaire)</f>
        <v>0</v>
      </c>
      <c r="AM46" s="342">
        <f ca="1">SUMIFS(bddres_pieces,'BDD RESERVATIONS'!$G:$G,'SUIVI STOCKS PAR PAYSAN'!$AL$7,bddres_c_prod_type_aff,'SUIVI STOCKS PAR PAYSAN'!$G46,'BDD RESERVATIONS'!$B:$B,"&gt;"&amp;date_inventaire)</f>
        <v>0</v>
      </c>
      <c r="AN46" s="343">
        <f ca="1">SUMIFS(es_pieces,es_prod_type_affinage,'SUIVI STOCKS PAR PAYSAN'!$G46,es_date_entree,"&gt;"&amp;date_inventaire,es_taille,'SUIVI STOCKS PAR PAYSAN'!$AN$7)-SUMIFS(v_Pièces,v_Taille,'SUIVI STOCKS PAR PAYSAN'!$AN$7,v_conc_prod_tye_affinage,'SUIVI STOCKS PAR PAYSAN'!$G46,v_Date_commande,"&gt;"&amp;date_inventaire)</f>
        <v>0</v>
      </c>
      <c r="AO46" s="353">
        <f ca="1">SUMIFS(bddres_pieces,'BDD RESERVATIONS'!$G:$G,'SUIVI STOCKS PAR PAYSAN'!$AN$7,bddres_c_prod_type_aff,'SUIVI STOCKS PAR PAYSAN'!$G46,'BDD RESERVATIONS'!$B:$B,"&gt;"&amp;date_inventaire)</f>
        <v>0</v>
      </c>
      <c r="AP46" s="313">
        <f ca="1">SUMIFS(es_poids,es_prod_type_affinage,'SUIVI STOCKS PAR PAYSAN'!$H46,es_date_entree,"&gt;"&amp;date_inventaire)-SUMIFS(v_Poids,v_conc_prod_tye_affinage,'SUIVI STOCKS PAR PAYSAN'!$H46,v_Date_commande,"&gt;"&amp;date_inventaire)</f>
        <v>0</v>
      </c>
      <c r="AQ46" s="341">
        <f ca="1">SUMIFS(bddres_c_qte,bddres_c_prod_type_aff,'SUIVI STOCKS PAR PAYSAN'!H46,'BDD RESERVATIONS'!$B:$B,"&gt;"&amp;date_inventaire)</f>
        <v>0</v>
      </c>
      <c r="AR46" s="342">
        <f ca="1">SUMIFS(bddres_pieces,es_prod_type_affinage,'SUIVI STOCKS PAR PAYSAN'!$H46,es_date_entree,"&gt;"&amp;date_inventaire,es_taille,'SUIVI STOCKS PAR PAYSAN'!$AR$7)-SUMIFS(v_Pièces,v_Taille,'SUIVI STOCKS PAR PAYSAN'!$AR$7,v_conc_prod_tye_affinage,'SUIVI STOCKS PAR PAYSAN'!$H46,v_Date_commande,"&gt;"&amp;date_inventaire)</f>
        <v>0</v>
      </c>
      <c r="AS46" s="326">
        <f ca="1">SUMIFS(bddres_pieces,'BDD RESERVATIONS'!$G:$G,'SUIVI STOCKS PAR PAYSAN'!AR41,bddres_c_prod_type_aff,'SUIVI STOCKS PAR PAYSAN'!$H46,'BDD RESERVATIONS'!$B:$B,"&gt;"&amp;date_inventaire)</f>
        <v>0</v>
      </c>
      <c r="AT46" s="343">
        <f ca="1">SUMIFS(es_pieces,es_prod_type_affinage,'SUIVI STOCKS PAR PAYSAN'!$H46,es_date_entree,"&gt;"&amp;date_inventaire,es_taille,'SUIVI STOCKS PAR PAYSAN'!$AT$7)-SUMIFS(v_Pièces,v_Taille,'SUIVI STOCKS PAR PAYSAN'!$AT$7,v_conc_prod_tye_affinage,'SUIVI STOCKS PAR PAYSAN'!$H46,v_Date_commande,"&gt;"&amp;date_inventaire)</f>
        <v>0</v>
      </c>
      <c r="AU46" s="353">
        <f ca="1">SUMIFS(bddres_pieces,'BDD RESERVATIONS'!$G:$G,'SUIVI STOCKS PAR PAYSAN'!$AT$7,bddres_c_prod_type_aff,'SUIVI STOCKS PAR PAYSAN'!$H46,'BDD RESERVATIONS'!$B:$B,"&gt;"&amp;date_inventaire)</f>
        <v>0</v>
      </c>
      <c r="AV46" s="313">
        <f ca="1">SUMIFS(es_poids,es_prod_type_affinage,'SUIVI STOCKS PAR PAYSAN'!$I46,es_date_entree,"&gt;"&amp;date_inventaire)-SUMIFS(v_Poids,v_conc_prod_tye_affinage,'SUIVI STOCKS PAR PAYSAN'!$E46,v_Date_commande,"&gt;"&amp;date_inventaire)</f>
        <v>0</v>
      </c>
      <c r="AW46" s="313">
        <f ca="1">SUMIFS(bddres_c_qte,bddres_c_prod_type_aff,'SUIVI STOCKS PAR PAYSAN'!I46,'BDD RESERVATIONS'!$B:$B,"&gt;"&amp;date_inventaire)</f>
        <v>0</v>
      </c>
      <c r="AX46" s="342">
        <f ca="1">SUMIFS(bddres_pieces,es_prod_type_affinage,'SUIVI STOCKS PAR PAYSAN'!$I46,es_date_entree,"&gt;"&amp;date_inventaire,es_taille,'SUIVI STOCKS PAR PAYSAN'!$AX$7)-SUMIFS(v_Pièces,v_Taille,'SUIVI STOCKS PAR PAYSAN'!$AX$7,v_conc_prod_tye_affinage,'SUIVI STOCKS PAR PAYSAN'!$I46,v_Date_commande,"&gt;"&amp;date_inventaire)</f>
        <v>0</v>
      </c>
      <c r="AY46" s="342">
        <f ca="1">SUMIFS(bddres_pieces,'BDD RESERVATIONS'!$G:$G,'SUIVI STOCKS PAR PAYSAN'!$AX$7,bddres_c_prod_type_aff,'SUIVI STOCKS PAR PAYSAN'!$I46,'BDD RESERVATIONS'!$B:$B,"&gt;"&amp;date_inventaire)</f>
        <v>0</v>
      </c>
      <c r="AZ46" s="343">
        <f ca="1">SUMIFS(es_pieces,es_prod_type_affinage,'SUIVI STOCKS PAR PAYSAN'!$I46,es_date_entree,"&gt;"&amp;date_inventaire,es_taille,'SUIVI STOCKS PAR PAYSAN'!$AZ$7)-SUMIFS(v_Pièces,v_Taille,'SUIVI STOCKS PAR PAYSAN'!$AZ$7,v_conc_prod_tye_affinage,'SUIVI STOCKS PAR PAYSAN'!$I46,v_Date_commande,"&gt;"&amp;date_inventaire)</f>
        <v>0</v>
      </c>
      <c r="BA46" s="353">
        <f ca="1">SUMIFS(bddres_pieces,'BDD RESERVATIONS'!$G:$G,'SUIVI STOCKS PAR PAYSAN'!$AZ$7,bddres_c_prod_type_aff,'SUIVI STOCKS PAR PAYSAN'!$I46,'BDD RESERVATIONS'!$B:$B,"&gt;"&amp;date_inventaire)</f>
        <v>0</v>
      </c>
      <c r="BB46" s="313">
        <f ca="1">SUMIFS(es_poids,es_prod_type_affinage,'SUIVI STOCKS PAR PAYSAN'!$J46,es_date_entree,"&gt;"&amp;date_inventaire)-SUMIFS(v_Poids,v_conc_prod_tye_affinage,'SUIVI STOCKS PAR PAYSAN'!$J46,v_Date_commande,"&gt;"&amp;date_inventaire)</f>
        <v>0</v>
      </c>
      <c r="BC46" s="313">
        <f ca="1">SUMIFS(bddres_c_qte,bddres_c_prod_type_aff,'SUIVI STOCKS PAR PAYSAN'!J46,'BDD RESERVATIONS'!$B:$B,"&gt;"&amp;date_inventaire)</f>
        <v>0</v>
      </c>
      <c r="BD46" s="342">
        <f ca="1">SUMIFS(bddres_pieces,es_prod_type_affinage,'SUIVI STOCKS PAR PAYSAN'!$J46,es_date_entree,"&gt;"&amp;date_inventaire,es_taille,'SUIVI STOCKS PAR PAYSAN'!$BD$7)-SUMIFS(v_Pièces,v_Taille,'SUIVI STOCKS PAR PAYSAN'!$BD$7,v_conc_prod_tye_affinage,'SUIVI STOCKS PAR PAYSAN'!$J46,v_Date_commande,"&gt;"&amp;date_inventaire)</f>
        <v>0</v>
      </c>
      <c r="BE46" s="326">
        <f ca="1">SUMIFS(bddres_pieces,'BDD RESERVATIONS'!$G:$G,'SUIVI STOCKS PAR PAYSAN'!BD41,bddres_c_prod_type_aff,'SUIVI STOCKS PAR PAYSAN'!J46,'BDD RESERVATIONS'!$B:$B,"&gt;"&amp;date_inventaire)</f>
        <v>0</v>
      </c>
      <c r="BF46" s="343">
        <f ca="1">SUMIFS(es_pieces,es_prod_type_affinage,'SUIVI STOCKS PAR PAYSAN'!J46,es_date_entree,"&gt;"&amp;date_inventaire,es_taille,'SUIVI STOCKS PAR PAYSAN'!$BF$7)-SUMIFS(v_Pièces,v_Taille,'SUIVI STOCKS PAR PAYSAN'!$BF$7,v_conc_prod_tye_affinage,'SUIVI STOCKS PAR PAYSAN'!J46,v_Date_commande,"&gt;"&amp;date_inventaire)</f>
        <v>0</v>
      </c>
      <c r="BG46" s="353">
        <f ca="1">SUMIFS(bddres_pieces,'BDD RESERVATIONS'!$G:$G,'SUIVI STOCKS PAR PAYSAN'!$BF$7,bddres_c_prod_type_aff,'SUIVI STOCKS PAR PAYSAN'!J46,'BDD RESERVATIONS'!$B:$B,"&gt;"&amp;date_inventaire)</f>
        <v>0</v>
      </c>
    </row>
    <row r="47" spans="1:59" ht="18.75" customHeight="1" x14ac:dyDescent="0.25">
      <c r="A47" s="331">
        <f ca="1">OFFSET('BDD PAYSANS'!$B$1,B47,0,1,1)</f>
        <v>0</v>
      </c>
      <c r="B47" s="325">
        <v>36</v>
      </c>
      <c r="C47" s="325" t="str">
        <f t="shared" ca="1" si="2"/>
        <v>0FERMIER&lt;3 mois</v>
      </c>
      <c r="D47" s="325" t="str">
        <f t="shared" ca="1" si="2"/>
        <v>0FERMIER3-6 mois</v>
      </c>
      <c r="E47" s="325" t="str">
        <f t="shared" ca="1" si="2"/>
        <v>0FERMIER6-9 mois</v>
      </c>
      <c r="F47" s="325" t="str">
        <f t="shared" ca="1" si="2"/>
        <v>0FERMIER&gt;9 mois</v>
      </c>
      <c r="G47" s="325" t="str">
        <f t="shared" ca="1" si="2"/>
        <v>0ESTIVE&lt;3 mois</v>
      </c>
      <c r="H47" s="325" t="str">
        <f t="shared" ca="1" si="2"/>
        <v>0ESTIVE3-6 mois</v>
      </c>
      <c r="I47" s="325" t="str">
        <f t="shared" ca="1" si="2"/>
        <v>0ESTIVE6-9 mois</v>
      </c>
      <c r="J47" s="325" t="str">
        <f t="shared" ca="1" si="2"/>
        <v>0ESTIVE&gt;9 mois</v>
      </c>
      <c r="K47" s="325"/>
      <c r="L47" s="352">
        <f ca="1">SUMIFS(es_poids,es_prod_type_affinage,'SUIVI STOCKS PAR PAYSAN'!$C47,es_date_entree,"&gt;"&amp;date_inventaire)-SUMIFS(v_Poids,v_conc_prod_tye_affinage,'SUIVI STOCKS PAR PAYSAN'!$C47,v_Date_commande,"&gt;"&amp;date_inventaire)</f>
        <v>0</v>
      </c>
      <c r="M47" s="341">
        <f ca="1">SUMIFS(bddres_c_qte,bddres_c_prod_type_aff,'SUIVI STOCKS PAR PAYSAN'!C47,'BDD RESERVATIONS'!$B:$B,"&gt;"&amp;date_inventaire)</f>
        <v>0</v>
      </c>
      <c r="N47" s="342">
        <f ca="1">SUMIFS(bddres_pieces,es_prod_type_affinage,'SUIVI STOCKS PAR PAYSAN'!$C47,es_date_entree,"&gt;"&amp;date_inventaire,es_taille,'SUIVI STOCKS PAR PAYSAN'!$N$7)-SUMIFS(v_Pièces,v_Taille,'SUIVI STOCKS PAR PAYSAN'!$N$7,v_conc_prod_tye_affinage,'SUIVI STOCKS PAR PAYSAN'!$C47,v_Date_commande,"&gt;"&amp;date_inventaire)</f>
        <v>0</v>
      </c>
      <c r="O47" s="342">
        <f ca="1">SUMIFS(bddres_pieces,'BDD RESERVATIONS'!$G:$G,'SUIVI STOCKS PAR PAYSAN'!$N$7,bddres_c_prod_type_aff,'SUIVI STOCKS PAR PAYSAN'!$C47,'BDD RESERVATIONS'!$B:$B,"&gt;"&amp;date_inventaire)</f>
        <v>0</v>
      </c>
      <c r="P47" s="343">
        <f ca="1">SUMIFS(es_pieces,es_prod_type_affinage,'SUIVI STOCKS PAR PAYSAN'!$C47,es_date_entree,"&gt;"&amp;date_inventaire,es_taille,'SUIVI STOCKS PAR PAYSAN'!$P$7)-SUMIFS(v_Pièces,v_Taille,'SUIVI STOCKS PAR PAYSAN'!$P$7,v_conc_prod_tye_affinage,'SUIVI STOCKS PAR PAYSAN'!$C47,v_Date_commande,"&gt;"&amp;date_inventaire)</f>
        <v>0</v>
      </c>
      <c r="Q47" s="353">
        <f ca="1">SUMIFS(bddres_pieces,'BDD RESERVATIONS'!$G:$G,'SUIVI STOCKS PAR PAYSAN'!$P$7,bddres_c_prod_type_aff,'SUIVI STOCKS PAR PAYSAN'!$C47,'BDD RESERVATIONS'!$B:$B,"&gt;"&amp;date_inventaire)</f>
        <v>0</v>
      </c>
      <c r="R47" s="340">
        <f ca="1">SUMIFS(es_poids,es_prod_type_affinage,'SUIVI STOCKS PAR PAYSAN'!$D47,es_date_entree,"&gt;"&amp;date_inventaire)-SUMIFS(v_Poids,v_conc_prod_tye_affinage,'SUIVI STOCKS PAR PAYSAN'!$D47,v_Date_commande,"&gt;"&amp;date_inventaire)</f>
        <v>0</v>
      </c>
      <c r="S47" s="341">
        <f ca="1">SUMIFS(bddres_c_qte,bddres_c_prod_type_aff,'SUIVI STOCKS PAR PAYSAN'!D47,'BDD RESERVATIONS'!$B:$B,"&gt;"&amp;date_inventaire)</f>
        <v>0</v>
      </c>
      <c r="T47" s="342">
        <f ca="1">SUMIFS(bddres_pieces,es_prod_type_affinage,'SUIVI STOCKS PAR PAYSAN'!$D47,es_date_entree,"&gt;"&amp;date_inventaire,es_taille,'SUIVI STOCKS PAR PAYSAN'!$T$7)-SUMIFS(v_Pièces,v_Taille,'SUIVI STOCKS PAR PAYSAN'!$T$7,v_conc_prod_tye_affinage,'SUIVI STOCKS PAR PAYSAN'!$D47,v_Date_commande,"&gt;"&amp;date_inventaire)</f>
        <v>0</v>
      </c>
      <c r="U47" s="342">
        <f ca="1">SUMIFS(bddres_pieces,'BDD RESERVATIONS'!$G:$G,'SUIVI STOCKS PAR PAYSAN'!$T$7,bddres_c_prod_type_aff,'SUIVI STOCKS PAR PAYSAN'!$D47,'BDD RESERVATIONS'!$B:$B,"&gt;"&amp;date_inventaire)</f>
        <v>0</v>
      </c>
      <c r="V47" s="343">
        <f ca="1">SUMIFS(es_pieces,es_prod_type_affinage,'SUIVI STOCKS PAR PAYSAN'!$D47,es_date_entree,"&gt;"&amp;date_inventaire,es_taille,'SUIVI STOCKS PAR PAYSAN'!$V$7)-SUMIFS(v_Pièces,v_Taille,'SUIVI STOCKS PAR PAYSAN'!$V$7,v_conc_prod_tye_affinage,'SUIVI STOCKS PAR PAYSAN'!$D47,v_Date_commande,"&gt;"&amp;date_inventaire)</f>
        <v>0</v>
      </c>
      <c r="W47" s="353">
        <f ca="1">SUMIFS(bddres_pieces,'BDD RESERVATIONS'!$G:$G,'SUIVI STOCKS PAR PAYSAN'!$V$7,bddres_c_prod_type_aff,'SUIVI STOCKS PAR PAYSAN'!$D47,'BDD RESERVATIONS'!$B:$B,"&gt;"&amp;date_inventaire)</f>
        <v>0</v>
      </c>
      <c r="X47" s="313">
        <f ca="1">SUMIFS(es_poids,es_prod_type_affinage,'SUIVI STOCKS PAR PAYSAN'!$E47,es_date_entree,"&gt;"&amp;date_inventaire)-SUMIFS(v_Poids,v_conc_prod_tye_affinage,'SUIVI STOCKS PAR PAYSAN'!$E47,v_Date_commande,"&gt;"&amp;date_inventaire)</f>
        <v>0</v>
      </c>
      <c r="Y47" s="341">
        <f ca="1">SUMIFS(bddres_c_qte,bddres_c_prod_type_aff,'SUIVI STOCKS PAR PAYSAN'!E47,'BDD RESERVATIONS'!$B:$B,"&gt;"&amp;date_inventaire)</f>
        <v>0</v>
      </c>
      <c r="Z47" s="342">
        <f ca="1">SUMIFS(bddres_pieces,es_prod_type_affinage,'SUIVI STOCKS PAR PAYSAN'!$E47,es_date_entree,"&gt;"&amp;date_inventaire,es_taille,'SUIVI STOCKS PAR PAYSAN'!$Z$7)-SUMIFS(v_Pièces,v_Taille,'SUIVI STOCKS PAR PAYSAN'!$Z$7,v_conc_prod_tye_affinage,'SUIVI STOCKS PAR PAYSAN'!$E47,v_Date_commande,"&gt;"&amp;date_inventaire)</f>
        <v>0</v>
      </c>
      <c r="AA47" s="342">
        <f ca="1">SUMIFS(bddres_pieces,'BDD RESERVATIONS'!$G:$G,'SUIVI STOCKS PAR PAYSAN'!$Z$7,bddres_c_prod_type_aff,'SUIVI STOCKS PAR PAYSAN'!$E47,'BDD RESERVATIONS'!$B:$B,"&gt;"&amp;date_inventaire)</f>
        <v>0</v>
      </c>
      <c r="AB47" s="343">
        <f ca="1">SUMIFS(es_pieces,es_prod_type_affinage,'SUIVI STOCKS PAR PAYSAN'!$E47,es_date_entree,"&gt;"&amp;date_inventaire,es_taille,'SUIVI STOCKS PAR PAYSAN'!$AB$7)-SUMIFS(v_Pièces,v_Taille,'SUIVI STOCKS PAR PAYSAN'!$AB$7,v_conc_prod_tye_affinage,'SUIVI STOCKS PAR PAYSAN'!$E47,v_Date_commande,"&gt;"&amp;date_inventaire)</f>
        <v>0</v>
      </c>
      <c r="AC47" s="353">
        <f ca="1">SUMIFS(bddres_pieces,'BDD RESERVATIONS'!$G:$G,'SUIVI STOCKS PAR PAYSAN'!$AB$7,bddres_c_prod_type_aff,'SUIVI STOCKS PAR PAYSAN'!$E47,'BDD RESERVATIONS'!$B:$B,"&gt;"&amp;date_inventaire)</f>
        <v>0</v>
      </c>
      <c r="AD47" s="313">
        <f ca="1">SUMIFS(es_poids,es_prod_type_affinage,'SUIVI STOCKS PAR PAYSAN'!$F47,es_date_entree,"&gt;"&amp;date_inventaire)-SUMIFS(v_Poids,v_conc_prod_tye_affinage,'SUIVI STOCKS PAR PAYSAN'!$F47,v_Date_commande,"&gt;"&amp;date_inventaire)</f>
        <v>0</v>
      </c>
      <c r="AE47" s="341">
        <f ca="1">SUMIFS(bddres_c_qte,bddres_c_prod_type_aff,'SUIVI STOCKS PAR PAYSAN'!F47,'BDD RESERVATIONS'!$B:$B,"&gt;"&amp;date_inventaire)</f>
        <v>0</v>
      </c>
      <c r="AF47" s="342">
        <f ca="1">SUMIFS(bddres_pieces,es_prod_type_affinage,'SUIVI STOCKS PAR PAYSAN'!$F47,es_date_entree,"&gt;"&amp;date_inventaire,es_taille,'SUIVI STOCKS PAR PAYSAN'!$Z$7)-SUMIFS(v_Pièces,v_Taille,'SUIVI STOCKS PAR PAYSAN'!$Z$7,v_conc_prod_tye_affinage,'SUIVI STOCKS PAR PAYSAN'!$F47,v_Date_commande,"&gt;"&amp;date_inventaire)</f>
        <v>0</v>
      </c>
      <c r="AG47" s="342">
        <f ca="1">SUMIFS(bddres_pieces,'BDD RESERVATIONS'!$G:$G,'SUIVI STOCKS PAR PAYSAN'!$Z$7,bddres_c_prod_type_aff,'SUIVI STOCKS PAR PAYSAN'!$F47,'BDD RESERVATIONS'!$B:$B,"&gt;"&amp;date_inventaire)</f>
        <v>0</v>
      </c>
      <c r="AH47" s="343">
        <f ca="1">SUMIFS(es_pieces,es_prod_type_affinage,'SUIVI STOCKS PAR PAYSAN'!$F47,es_date_entree,"&gt;"&amp;date_inventaire,es_taille,'SUIVI STOCKS PAR PAYSAN'!$AH$7)-SUMIFS(v_Pièces,v_Taille,'SUIVI STOCKS PAR PAYSAN'!$AH$7,v_conc_prod_tye_affinage,'SUIVI STOCKS PAR PAYSAN'!$F47,v_Date_commande,"&gt;"&amp;date_inventaire)</f>
        <v>0</v>
      </c>
      <c r="AI47" s="353">
        <f ca="1">SUMIFS(bddres_pieces,'BDD RESERVATIONS'!$G:$G,'SUIVI STOCKS PAR PAYSAN'!$AB$7,bddres_c_prod_type_aff,'SUIVI STOCKS PAR PAYSAN'!$F47,'BDD RESERVATIONS'!$B:$B,"&gt;"&amp;date_inventaire)</f>
        <v>0</v>
      </c>
      <c r="AJ47" s="352">
        <f ca="1">SUMIFS(es_poids,es_prod_type_affinage,'SUIVI STOCKS PAR PAYSAN'!$G47,es_date_entree,"&gt;"&amp;date_inventaire)-SUMIFS(v_Poids,v_conc_prod_tye_affinage,'SUIVI STOCKS PAR PAYSAN'!$G47,v_Date_commande,"&gt;"&amp;date_inventaire)</f>
        <v>0</v>
      </c>
      <c r="AK47" s="341">
        <f ca="1">SUMIFS(bddres_c_qte,bddres_c_prod_type_aff,'SUIVI STOCKS PAR PAYSAN'!G47,'BDD RESERVATIONS'!$B:$B,"&gt;"&amp;date_inventaire)</f>
        <v>0</v>
      </c>
      <c r="AL47" s="342">
        <f ca="1">SUMIFS(bddres_pieces,es_prod_type_affinage,'SUIVI STOCKS PAR PAYSAN'!$G47,es_date_entree,"&gt;"&amp;date_inventaire,es_taille,'SUIVI STOCKS PAR PAYSAN'!$AL$7)-SUMIFS(v_Pièces,v_Taille,'SUIVI STOCKS PAR PAYSAN'!$AL$7,v_conc_prod_tye_affinage,'SUIVI STOCKS PAR PAYSAN'!$G47,v_Date_commande,"&gt;"&amp;date_inventaire)</f>
        <v>0</v>
      </c>
      <c r="AM47" s="342">
        <f ca="1">SUMIFS(bddres_pieces,'BDD RESERVATIONS'!$G:$G,'SUIVI STOCKS PAR PAYSAN'!$AL$7,bddres_c_prod_type_aff,'SUIVI STOCKS PAR PAYSAN'!$G47,'BDD RESERVATIONS'!$B:$B,"&gt;"&amp;date_inventaire)</f>
        <v>0</v>
      </c>
      <c r="AN47" s="343">
        <f ca="1">SUMIFS(es_pieces,es_prod_type_affinage,'SUIVI STOCKS PAR PAYSAN'!$G47,es_date_entree,"&gt;"&amp;date_inventaire,es_taille,'SUIVI STOCKS PAR PAYSAN'!$AN$7)-SUMIFS(v_Pièces,v_Taille,'SUIVI STOCKS PAR PAYSAN'!$AN$7,v_conc_prod_tye_affinage,'SUIVI STOCKS PAR PAYSAN'!$G47,v_Date_commande,"&gt;"&amp;date_inventaire)</f>
        <v>0</v>
      </c>
      <c r="AO47" s="353">
        <f ca="1">SUMIFS(bddres_pieces,'BDD RESERVATIONS'!$G:$G,'SUIVI STOCKS PAR PAYSAN'!$AN$7,bddres_c_prod_type_aff,'SUIVI STOCKS PAR PAYSAN'!$G47,'BDD RESERVATIONS'!$B:$B,"&gt;"&amp;date_inventaire)</f>
        <v>0</v>
      </c>
      <c r="AP47" s="313">
        <f ca="1">SUMIFS(es_poids,es_prod_type_affinage,'SUIVI STOCKS PAR PAYSAN'!$H47,es_date_entree,"&gt;"&amp;date_inventaire)-SUMIFS(v_Poids,v_conc_prod_tye_affinage,'SUIVI STOCKS PAR PAYSAN'!$H47,v_Date_commande,"&gt;"&amp;date_inventaire)</f>
        <v>0</v>
      </c>
      <c r="AQ47" s="341">
        <f ca="1">SUMIFS(bddres_c_qte,bddres_c_prod_type_aff,'SUIVI STOCKS PAR PAYSAN'!H47,'BDD RESERVATIONS'!$B:$B,"&gt;"&amp;date_inventaire)</f>
        <v>0</v>
      </c>
      <c r="AR47" s="342">
        <f ca="1">SUMIFS(bddres_pieces,es_prod_type_affinage,'SUIVI STOCKS PAR PAYSAN'!$H47,es_date_entree,"&gt;"&amp;date_inventaire,es_taille,'SUIVI STOCKS PAR PAYSAN'!$AR$7)-SUMIFS(v_Pièces,v_Taille,'SUIVI STOCKS PAR PAYSAN'!$AR$7,v_conc_prod_tye_affinage,'SUIVI STOCKS PAR PAYSAN'!$H47,v_Date_commande,"&gt;"&amp;date_inventaire)</f>
        <v>0</v>
      </c>
      <c r="AS47" s="326">
        <f ca="1">SUMIFS(bddres_pieces,'BDD RESERVATIONS'!$G:$G,'SUIVI STOCKS PAR PAYSAN'!AR42,bddres_c_prod_type_aff,'SUIVI STOCKS PAR PAYSAN'!$H47,'BDD RESERVATIONS'!$B:$B,"&gt;"&amp;date_inventaire)</f>
        <v>0</v>
      </c>
      <c r="AT47" s="343">
        <f ca="1">SUMIFS(es_pieces,es_prod_type_affinage,'SUIVI STOCKS PAR PAYSAN'!$H47,es_date_entree,"&gt;"&amp;date_inventaire,es_taille,'SUIVI STOCKS PAR PAYSAN'!$AT$7)-SUMIFS(v_Pièces,v_Taille,'SUIVI STOCKS PAR PAYSAN'!$AT$7,v_conc_prod_tye_affinage,'SUIVI STOCKS PAR PAYSAN'!$H47,v_Date_commande,"&gt;"&amp;date_inventaire)</f>
        <v>0</v>
      </c>
      <c r="AU47" s="353">
        <f ca="1">SUMIFS(bddres_pieces,'BDD RESERVATIONS'!$G:$G,'SUIVI STOCKS PAR PAYSAN'!$AT$7,bddres_c_prod_type_aff,'SUIVI STOCKS PAR PAYSAN'!$H47,'BDD RESERVATIONS'!$B:$B,"&gt;"&amp;date_inventaire)</f>
        <v>0</v>
      </c>
      <c r="AV47" s="313">
        <f ca="1">SUMIFS(es_poids,es_prod_type_affinage,'SUIVI STOCKS PAR PAYSAN'!$I47,es_date_entree,"&gt;"&amp;date_inventaire)-SUMIFS(v_Poids,v_conc_prod_tye_affinage,'SUIVI STOCKS PAR PAYSAN'!$E47,v_Date_commande,"&gt;"&amp;date_inventaire)</f>
        <v>0</v>
      </c>
      <c r="AW47" s="313">
        <f ca="1">SUMIFS(bddres_c_qte,bddres_c_prod_type_aff,'SUIVI STOCKS PAR PAYSAN'!I47,'BDD RESERVATIONS'!$B:$B,"&gt;"&amp;date_inventaire)</f>
        <v>0</v>
      </c>
      <c r="AX47" s="342">
        <f ca="1">SUMIFS(bddres_pieces,es_prod_type_affinage,'SUIVI STOCKS PAR PAYSAN'!$I47,es_date_entree,"&gt;"&amp;date_inventaire,es_taille,'SUIVI STOCKS PAR PAYSAN'!$AX$7)-SUMIFS(v_Pièces,v_Taille,'SUIVI STOCKS PAR PAYSAN'!$AX$7,v_conc_prod_tye_affinage,'SUIVI STOCKS PAR PAYSAN'!$I47,v_Date_commande,"&gt;"&amp;date_inventaire)</f>
        <v>0</v>
      </c>
      <c r="AY47" s="342">
        <f ca="1">SUMIFS(bddres_pieces,'BDD RESERVATIONS'!$G:$G,'SUIVI STOCKS PAR PAYSAN'!$AX$7,bddres_c_prod_type_aff,'SUIVI STOCKS PAR PAYSAN'!$I47,'BDD RESERVATIONS'!$B:$B,"&gt;"&amp;date_inventaire)</f>
        <v>0</v>
      </c>
      <c r="AZ47" s="343">
        <f ca="1">SUMIFS(es_pieces,es_prod_type_affinage,'SUIVI STOCKS PAR PAYSAN'!$I47,es_date_entree,"&gt;"&amp;date_inventaire,es_taille,'SUIVI STOCKS PAR PAYSAN'!$AZ$7)-SUMIFS(v_Pièces,v_Taille,'SUIVI STOCKS PAR PAYSAN'!$AZ$7,v_conc_prod_tye_affinage,'SUIVI STOCKS PAR PAYSAN'!$I47,v_Date_commande,"&gt;"&amp;date_inventaire)</f>
        <v>0</v>
      </c>
      <c r="BA47" s="353">
        <f ca="1">SUMIFS(bddres_pieces,'BDD RESERVATIONS'!$G:$G,'SUIVI STOCKS PAR PAYSAN'!$AZ$7,bddres_c_prod_type_aff,'SUIVI STOCKS PAR PAYSAN'!$I47,'BDD RESERVATIONS'!$B:$B,"&gt;"&amp;date_inventaire)</f>
        <v>0</v>
      </c>
      <c r="BB47" s="313">
        <f ca="1">SUMIFS(es_poids,es_prod_type_affinage,'SUIVI STOCKS PAR PAYSAN'!$J47,es_date_entree,"&gt;"&amp;date_inventaire)-SUMIFS(v_Poids,v_conc_prod_tye_affinage,'SUIVI STOCKS PAR PAYSAN'!$J47,v_Date_commande,"&gt;"&amp;date_inventaire)</f>
        <v>0</v>
      </c>
      <c r="BC47" s="313">
        <f ca="1">SUMIFS(bddres_c_qte,bddres_c_prod_type_aff,'SUIVI STOCKS PAR PAYSAN'!J47,'BDD RESERVATIONS'!$B:$B,"&gt;"&amp;date_inventaire)</f>
        <v>0</v>
      </c>
      <c r="BD47" s="342">
        <f ca="1">SUMIFS(bddres_pieces,es_prod_type_affinage,'SUIVI STOCKS PAR PAYSAN'!$J47,es_date_entree,"&gt;"&amp;date_inventaire,es_taille,'SUIVI STOCKS PAR PAYSAN'!$BD$7)-SUMIFS(v_Pièces,v_Taille,'SUIVI STOCKS PAR PAYSAN'!$BD$7,v_conc_prod_tye_affinage,'SUIVI STOCKS PAR PAYSAN'!$J47,v_Date_commande,"&gt;"&amp;date_inventaire)</f>
        <v>0</v>
      </c>
      <c r="BE47" s="326">
        <f ca="1">SUMIFS(bddres_pieces,'BDD RESERVATIONS'!$G:$G,'SUIVI STOCKS PAR PAYSAN'!BD42,bddres_c_prod_type_aff,'SUIVI STOCKS PAR PAYSAN'!J47,'BDD RESERVATIONS'!$B:$B,"&gt;"&amp;date_inventaire)</f>
        <v>0</v>
      </c>
      <c r="BF47" s="343">
        <f ca="1">SUMIFS(es_pieces,es_prod_type_affinage,'SUIVI STOCKS PAR PAYSAN'!J47,es_date_entree,"&gt;"&amp;date_inventaire,es_taille,'SUIVI STOCKS PAR PAYSAN'!$BF$7)-SUMIFS(v_Pièces,v_Taille,'SUIVI STOCKS PAR PAYSAN'!$BF$7,v_conc_prod_tye_affinage,'SUIVI STOCKS PAR PAYSAN'!J47,v_Date_commande,"&gt;"&amp;date_inventaire)</f>
        <v>0</v>
      </c>
      <c r="BG47" s="353">
        <f ca="1">SUMIFS(bddres_pieces,'BDD RESERVATIONS'!$G:$G,'SUIVI STOCKS PAR PAYSAN'!$BF$7,bddres_c_prod_type_aff,'SUIVI STOCKS PAR PAYSAN'!J47,'BDD RESERVATIONS'!$B:$B,"&gt;"&amp;date_inventaire)</f>
        <v>0</v>
      </c>
    </row>
    <row r="48" spans="1:59" ht="18.75" customHeight="1" x14ac:dyDescent="0.25">
      <c r="A48" s="331">
        <f ca="1">OFFSET('BDD PAYSANS'!$B$1,B48,0,1,1)</f>
        <v>0</v>
      </c>
      <c r="B48" s="325">
        <v>37</v>
      </c>
      <c r="C48" s="325" t="str">
        <f t="shared" ca="1" si="2"/>
        <v>0FERMIER&lt;3 mois</v>
      </c>
      <c r="D48" s="325" t="str">
        <f t="shared" ca="1" si="2"/>
        <v>0FERMIER3-6 mois</v>
      </c>
      <c r="E48" s="325" t="str">
        <f t="shared" ca="1" si="2"/>
        <v>0FERMIER6-9 mois</v>
      </c>
      <c r="F48" s="325" t="str">
        <f t="shared" ca="1" si="2"/>
        <v>0FERMIER&gt;9 mois</v>
      </c>
      <c r="G48" s="325" t="str">
        <f t="shared" ca="1" si="2"/>
        <v>0ESTIVE&lt;3 mois</v>
      </c>
      <c r="H48" s="325" t="str">
        <f t="shared" ca="1" si="2"/>
        <v>0ESTIVE3-6 mois</v>
      </c>
      <c r="I48" s="325" t="str">
        <f t="shared" ca="1" si="2"/>
        <v>0ESTIVE6-9 mois</v>
      </c>
      <c r="J48" s="325" t="str">
        <f t="shared" ca="1" si="2"/>
        <v>0ESTIVE&gt;9 mois</v>
      </c>
      <c r="K48" s="325"/>
      <c r="L48" s="352">
        <f ca="1">SUMIFS(es_poids,es_prod_type_affinage,'SUIVI STOCKS PAR PAYSAN'!$C48,es_date_entree,"&gt;"&amp;date_inventaire)-SUMIFS(v_Poids,v_conc_prod_tye_affinage,'SUIVI STOCKS PAR PAYSAN'!$C48,v_Date_commande,"&gt;"&amp;date_inventaire)</f>
        <v>0</v>
      </c>
      <c r="M48" s="341">
        <f ca="1">SUMIFS(bddres_c_qte,bddres_c_prod_type_aff,'SUIVI STOCKS PAR PAYSAN'!C48,'BDD RESERVATIONS'!$B:$B,"&gt;"&amp;date_inventaire)</f>
        <v>0</v>
      </c>
      <c r="N48" s="342">
        <f ca="1">SUMIFS(bddres_pieces,es_prod_type_affinage,'SUIVI STOCKS PAR PAYSAN'!$C48,es_date_entree,"&gt;"&amp;date_inventaire,es_taille,'SUIVI STOCKS PAR PAYSAN'!$N$7)-SUMIFS(v_Pièces,v_Taille,'SUIVI STOCKS PAR PAYSAN'!$N$7,v_conc_prod_tye_affinage,'SUIVI STOCKS PAR PAYSAN'!$C48,v_Date_commande,"&gt;"&amp;date_inventaire)</f>
        <v>0</v>
      </c>
      <c r="O48" s="342">
        <f ca="1">SUMIFS(bddres_pieces,'BDD RESERVATIONS'!$G:$G,'SUIVI STOCKS PAR PAYSAN'!$N$7,bddres_c_prod_type_aff,'SUIVI STOCKS PAR PAYSAN'!$C48,'BDD RESERVATIONS'!$B:$B,"&gt;"&amp;date_inventaire)</f>
        <v>0</v>
      </c>
      <c r="P48" s="343">
        <f ca="1">SUMIFS(es_pieces,es_prod_type_affinage,'SUIVI STOCKS PAR PAYSAN'!$C48,es_date_entree,"&gt;"&amp;date_inventaire,es_taille,'SUIVI STOCKS PAR PAYSAN'!$P$7)-SUMIFS(v_Pièces,v_Taille,'SUIVI STOCKS PAR PAYSAN'!$P$7,v_conc_prod_tye_affinage,'SUIVI STOCKS PAR PAYSAN'!$C48,v_Date_commande,"&gt;"&amp;date_inventaire)</f>
        <v>0</v>
      </c>
      <c r="Q48" s="353">
        <f ca="1">SUMIFS(bddres_pieces,'BDD RESERVATIONS'!$G:$G,'SUIVI STOCKS PAR PAYSAN'!$P$7,bddres_c_prod_type_aff,'SUIVI STOCKS PAR PAYSAN'!$C48,'BDD RESERVATIONS'!$B:$B,"&gt;"&amp;date_inventaire)</f>
        <v>0</v>
      </c>
      <c r="R48" s="340">
        <f ca="1">SUMIFS(es_poids,es_prod_type_affinage,'SUIVI STOCKS PAR PAYSAN'!$D48,es_date_entree,"&gt;"&amp;date_inventaire)-SUMIFS(v_Poids,v_conc_prod_tye_affinage,'SUIVI STOCKS PAR PAYSAN'!$D48,v_Date_commande,"&gt;"&amp;date_inventaire)</f>
        <v>0</v>
      </c>
      <c r="S48" s="341">
        <f ca="1">SUMIFS(bddres_c_qte,bddres_c_prod_type_aff,'SUIVI STOCKS PAR PAYSAN'!D48,'BDD RESERVATIONS'!$B:$B,"&gt;"&amp;date_inventaire)</f>
        <v>0</v>
      </c>
      <c r="T48" s="342">
        <f ca="1">SUMIFS(bddres_pieces,es_prod_type_affinage,'SUIVI STOCKS PAR PAYSAN'!$D48,es_date_entree,"&gt;"&amp;date_inventaire,es_taille,'SUIVI STOCKS PAR PAYSAN'!$T$7)-SUMIFS(v_Pièces,v_Taille,'SUIVI STOCKS PAR PAYSAN'!$T$7,v_conc_prod_tye_affinage,'SUIVI STOCKS PAR PAYSAN'!$D48,v_Date_commande,"&gt;"&amp;date_inventaire)</f>
        <v>0</v>
      </c>
      <c r="U48" s="342">
        <f ca="1">SUMIFS(bddres_pieces,'BDD RESERVATIONS'!$G:$G,'SUIVI STOCKS PAR PAYSAN'!$T$7,bddres_c_prod_type_aff,'SUIVI STOCKS PAR PAYSAN'!$D48,'BDD RESERVATIONS'!$B:$B,"&gt;"&amp;date_inventaire)</f>
        <v>0</v>
      </c>
      <c r="V48" s="343">
        <f ca="1">SUMIFS(es_pieces,es_prod_type_affinage,'SUIVI STOCKS PAR PAYSAN'!$D48,es_date_entree,"&gt;"&amp;date_inventaire,es_taille,'SUIVI STOCKS PAR PAYSAN'!$V$7)-SUMIFS(v_Pièces,v_Taille,'SUIVI STOCKS PAR PAYSAN'!$V$7,v_conc_prod_tye_affinage,'SUIVI STOCKS PAR PAYSAN'!$D48,v_Date_commande,"&gt;"&amp;date_inventaire)</f>
        <v>0</v>
      </c>
      <c r="W48" s="353">
        <f ca="1">SUMIFS(bddres_pieces,'BDD RESERVATIONS'!$G:$G,'SUIVI STOCKS PAR PAYSAN'!$V$7,bddres_c_prod_type_aff,'SUIVI STOCKS PAR PAYSAN'!$D48,'BDD RESERVATIONS'!$B:$B,"&gt;"&amp;date_inventaire)</f>
        <v>0</v>
      </c>
      <c r="X48" s="313">
        <f ca="1">SUMIFS(es_poids,es_prod_type_affinage,'SUIVI STOCKS PAR PAYSAN'!$E48,es_date_entree,"&gt;"&amp;date_inventaire)-SUMIFS(v_Poids,v_conc_prod_tye_affinage,'SUIVI STOCKS PAR PAYSAN'!$E48,v_Date_commande,"&gt;"&amp;date_inventaire)</f>
        <v>0</v>
      </c>
      <c r="Y48" s="341">
        <f ca="1">SUMIFS(bddres_c_qte,bddres_c_prod_type_aff,'SUIVI STOCKS PAR PAYSAN'!E48,'BDD RESERVATIONS'!$B:$B,"&gt;"&amp;date_inventaire)</f>
        <v>0</v>
      </c>
      <c r="Z48" s="342">
        <f ca="1">SUMIFS(bddres_pieces,es_prod_type_affinage,'SUIVI STOCKS PAR PAYSAN'!$E48,es_date_entree,"&gt;"&amp;date_inventaire,es_taille,'SUIVI STOCKS PAR PAYSAN'!$Z$7)-SUMIFS(v_Pièces,v_Taille,'SUIVI STOCKS PAR PAYSAN'!$Z$7,v_conc_prod_tye_affinage,'SUIVI STOCKS PAR PAYSAN'!$E48,v_Date_commande,"&gt;"&amp;date_inventaire)</f>
        <v>0</v>
      </c>
      <c r="AA48" s="342">
        <f ca="1">SUMIFS(bddres_pieces,'BDD RESERVATIONS'!$G:$G,'SUIVI STOCKS PAR PAYSAN'!$Z$7,bddres_c_prod_type_aff,'SUIVI STOCKS PAR PAYSAN'!$E48,'BDD RESERVATIONS'!$B:$B,"&gt;"&amp;date_inventaire)</f>
        <v>0</v>
      </c>
      <c r="AB48" s="343">
        <f ca="1">SUMIFS(es_pieces,es_prod_type_affinage,'SUIVI STOCKS PAR PAYSAN'!$E48,es_date_entree,"&gt;"&amp;date_inventaire,es_taille,'SUIVI STOCKS PAR PAYSAN'!$AB$7)-SUMIFS(v_Pièces,v_Taille,'SUIVI STOCKS PAR PAYSAN'!$AB$7,v_conc_prod_tye_affinage,'SUIVI STOCKS PAR PAYSAN'!$E48,v_Date_commande,"&gt;"&amp;date_inventaire)</f>
        <v>0</v>
      </c>
      <c r="AC48" s="353">
        <f ca="1">SUMIFS(bddres_pieces,'BDD RESERVATIONS'!$G:$G,'SUIVI STOCKS PAR PAYSAN'!$AB$7,bddres_c_prod_type_aff,'SUIVI STOCKS PAR PAYSAN'!$E48,'BDD RESERVATIONS'!$B:$B,"&gt;"&amp;date_inventaire)</f>
        <v>0</v>
      </c>
      <c r="AD48" s="313">
        <f ca="1">SUMIFS(es_poids,es_prod_type_affinage,'SUIVI STOCKS PAR PAYSAN'!$F48,es_date_entree,"&gt;"&amp;date_inventaire)-SUMIFS(v_Poids,v_conc_prod_tye_affinage,'SUIVI STOCKS PAR PAYSAN'!$F48,v_Date_commande,"&gt;"&amp;date_inventaire)</f>
        <v>0</v>
      </c>
      <c r="AE48" s="341">
        <f ca="1">SUMIFS(bddres_c_qte,bddres_c_prod_type_aff,'SUIVI STOCKS PAR PAYSAN'!F48,'BDD RESERVATIONS'!$B:$B,"&gt;"&amp;date_inventaire)</f>
        <v>0</v>
      </c>
      <c r="AF48" s="342">
        <f ca="1">SUMIFS(bddres_pieces,es_prod_type_affinage,'SUIVI STOCKS PAR PAYSAN'!$F48,es_date_entree,"&gt;"&amp;date_inventaire,es_taille,'SUIVI STOCKS PAR PAYSAN'!$Z$7)-SUMIFS(v_Pièces,v_Taille,'SUIVI STOCKS PAR PAYSAN'!$Z$7,v_conc_prod_tye_affinage,'SUIVI STOCKS PAR PAYSAN'!$F48,v_Date_commande,"&gt;"&amp;date_inventaire)</f>
        <v>0</v>
      </c>
      <c r="AG48" s="342">
        <f ca="1">SUMIFS(bddres_pieces,'BDD RESERVATIONS'!$G:$G,'SUIVI STOCKS PAR PAYSAN'!$Z$7,bddres_c_prod_type_aff,'SUIVI STOCKS PAR PAYSAN'!$F48,'BDD RESERVATIONS'!$B:$B,"&gt;"&amp;date_inventaire)</f>
        <v>0</v>
      </c>
      <c r="AH48" s="343">
        <f ca="1">SUMIFS(es_pieces,es_prod_type_affinage,'SUIVI STOCKS PAR PAYSAN'!$F48,es_date_entree,"&gt;"&amp;date_inventaire,es_taille,'SUIVI STOCKS PAR PAYSAN'!$AH$7)-SUMIFS(v_Pièces,v_Taille,'SUIVI STOCKS PAR PAYSAN'!$AH$7,v_conc_prod_tye_affinage,'SUIVI STOCKS PAR PAYSAN'!$F48,v_Date_commande,"&gt;"&amp;date_inventaire)</f>
        <v>0</v>
      </c>
      <c r="AI48" s="353">
        <f ca="1">SUMIFS(bddres_pieces,'BDD RESERVATIONS'!$G:$G,'SUIVI STOCKS PAR PAYSAN'!$AB$7,bddres_c_prod_type_aff,'SUIVI STOCKS PAR PAYSAN'!$F48,'BDD RESERVATIONS'!$B:$B,"&gt;"&amp;date_inventaire)</f>
        <v>0</v>
      </c>
      <c r="AJ48" s="352">
        <f ca="1">SUMIFS(es_poids,es_prod_type_affinage,'SUIVI STOCKS PAR PAYSAN'!$G48,es_date_entree,"&gt;"&amp;date_inventaire)-SUMIFS(v_Poids,v_conc_prod_tye_affinage,'SUIVI STOCKS PAR PAYSAN'!$G48,v_Date_commande,"&gt;"&amp;date_inventaire)</f>
        <v>0</v>
      </c>
      <c r="AK48" s="341">
        <f ca="1">SUMIFS(bddres_c_qte,bddres_c_prod_type_aff,'SUIVI STOCKS PAR PAYSAN'!G48,'BDD RESERVATIONS'!$B:$B,"&gt;"&amp;date_inventaire)</f>
        <v>0</v>
      </c>
      <c r="AL48" s="342">
        <f ca="1">SUMIFS(bddres_pieces,es_prod_type_affinage,'SUIVI STOCKS PAR PAYSAN'!$G48,es_date_entree,"&gt;"&amp;date_inventaire,es_taille,'SUIVI STOCKS PAR PAYSAN'!$AL$7)-SUMIFS(v_Pièces,v_Taille,'SUIVI STOCKS PAR PAYSAN'!$AL$7,v_conc_prod_tye_affinage,'SUIVI STOCKS PAR PAYSAN'!$G48,v_Date_commande,"&gt;"&amp;date_inventaire)</f>
        <v>0</v>
      </c>
      <c r="AM48" s="342">
        <f ca="1">SUMIFS(bddres_pieces,'BDD RESERVATIONS'!$G:$G,'SUIVI STOCKS PAR PAYSAN'!$AL$7,bddres_c_prod_type_aff,'SUIVI STOCKS PAR PAYSAN'!$G48,'BDD RESERVATIONS'!$B:$B,"&gt;"&amp;date_inventaire)</f>
        <v>0</v>
      </c>
      <c r="AN48" s="343">
        <f ca="1">SUMIFS(es_pieces,es_prod_type_affinage,'SUIVI STOCKS PAR PAYSAN'!$G48,es_date_entree,"&gt;"&amp;date_inventaire,es_taille,'SUIVI STOCKS PAR PAYSAN'!$AN$7)-SUMIFS(v_Pièces,v_Taille,'SUIVI STOCKS PAR PAYSAN'!$AN$7,v_conc_prod_tye_affinage,'SUIVI STOCKS PAR PAYSAN'!$G48,v_Date_commande,"&gt;"&amp;date_inventaire)</f>
        <v>0</v>
      </c>
      <c r="AO48" s="353">
        <f ca="1">SUMIFS(bddres_pieces,'BDD RESERVATIONS'!$G:$G,'SUIVI STOCKS PAR PAYSAN'!$AN$7,bddres_c_prod_type_aff,'SUIVI STOCKS PAR PAYSAN'!$G48,'BDD RESERVATIONS'!$B:$B,"&gt;"&amp;date_inventaire)</f>
        <v>0</v>
      </c>
      <c r="AP48" s="313">
        <f ca="1">SUMIFS(es_poids,es_prod_type_affinage,'SUIVI STOCKS PAR PAYSAN'!$H48,es_date_entree,"&gt;"&amp;date_inventaire)-SUMIFS(v_Poids,v_conc_prod_tye_affinage,'SUIVI STOCKS PAR PAYSAN'!$H48,v_Date_commande,"&gt;"&amp;date_inventaire)</f>
        <v>0</v>
      </c>
      <c r="AQ48" s="341">
        <f ca="1">SUMIFS(bddres_c_qte,bddres_c_prod_type_aff,'SUIVI STOCKS PAR PAYSAN'!H48,'BDD RESERVATIONS'!$B:$B,"&gt;"&amp;date_inventaire)</f>
        <v>0</v>
      </c>
      <c r="AR48" s="342">
        <f ca="1">SUMIFS(bddres_pieces,es_prod_type_affinage,'SUIVI STOCKS PAR PAYSAN'!$H48,es_date_entree,"&gt;"&amp;date_inventaire,es_taille,'SUIVI STOCKS PAR PAYSAN'!$AR$7)-SUMIFS(v_Pièces,v_Taille,'SUIVI STOCKS PAR PAYSAN'!$AR$7,v_conc_prod_tye_affinage,'SUIVI STOCKS PAR PAYSAN'!$H48,v_Date_commande,"&gt;"&amp;date_inventaire)</f>
        <v>0</v>
      </c>
      <c r="AS48" s="326">
        <f ca="1">SUMIFS(bddres_pieces,'BDD RESERVATIONS'!$G:$G,'SUIVI STOCKS PAR PAYSAN'!AR43,bddres_c_prod_type_aff,'SUIVI STOCKS PAR PAYSAN'!$H48,'BDD RESERVATIONS'!$B:$B,"&gt;"&amp;date_inventaire)</f>
        <v>0</v>
      </c>
      <c r="AT48" s="343">
        <f ca="1">SUMIFS(es_pieces,es_prod_type_affinage,'SUIVI STOCKS PAR PAYSAN'!$H48,es_date_entree,"&gt;"&amp;date_inventaire,es_taille,'SUIVI STOCKS PAR PAYSAN'!$AT$7)-SUMIFS(v_Pièces,v_Taille,'SUIVI STOCKS PAR PAYSAN'!$AT$7,v_conc_prod_tye_affinage,'SUIVI STOCKS PAR PAYSAN'!$H48,v_Date_commande,"&gt;"&amp;date_inventaire)</f>
        <v>0</v>
      </c>
      <c r="AU48" s="353">
        <f ca="1">SUMIFS(bddres_pieces,'BDD RESERVATIONS'!$G:$G,'SUIVI STOCKS PAR PAYSAN'!$AT$7,bddres_c_prod_type_aff,'SUIVI STOCKS PAR PAYSAN'!$H48,'BDD RESERVATIONS'!$B:$B,"&gt;"&amp;date_inventaire)</f>
        <v>0</v>
      </c>
      <c r="AV48" s="313">
        <f ca="1">SUMIFS(es_poids,es_prod_type_affinage,'SUIVI STOCKS PAR PAYSAN'!$I48,es_date_entree,"&gt;"&amp;date_inventaire)-SUMIFS(v_Poids,v_conc_prod_tye_affinage,'SUIVI STOCKS PAR PAYSAN'!$E48,v_Date_commande,"&gt;"&amp;date_inventaire)</f>
        <v>0</v>
      </c>
      <c r="AW48" s="313">
        <f ca="1">SUMIFS(bddres_c_qte,bddres_c_prod_type_aff,'SUIVI STOCKS PAR PAYSAN'!I48,'BDD RESERVATIONS'!$B:$B,"&gt;"&amp;date_inventaire)</f>
        <v>0</v>
      </c>
      <c r="AX48" s="342">
        <f ca="1">SUMIFS(bddres_pieces,es_prod_type_affinage,'SUIVI STOCKS PAR PAYSAN'!$I48,es_date_entree,"&gt;"&amp;date_inventaire,es_taille,'SUIVI STOCKS PAR PAYSAN'!$AX$7)-SUMIFS(v_Pièces,v_Taille,'SUIVI STOCKS PAR PAYSAN'!$AX$7,v_conc_prod_tye_affinage,'SUIVI STOCKS PAR PAYSAN'!$I48,v_Date_commande,"&gt;"&amp;date_inventaire)</f>
        <v>0</v>
      </c>
      <c r="AY48" s="342">
        <f ca="1">SUMIFS(bddres_pieces,'BDD RESERVATIONS'!$G:$G,'SUIVI STOCKS PAR PAYSAN'!$AX$7,bddres_c_prod_type_aff,'SUIVI STOCKS PAR PAYSAN'!$I48,'BDD RESERVATIONS'!$B:$B,"&gt;"&amp;date_inventaire)</f>
        <v>0</v>
      </c>
      <c r="AZ48" s="343">
        <f ca="1">SUMIFS(es_pieces,es_prod_type_affinage,'SUIVI STOCKS PAR PAYSAN'!$I48,es_date_entree,"&gt;"&amp;date_inventaire,es_taille,'SUIVI STOCKS PAR PAYSAN'!$AZ$7)-SUMIFS(v_Pièces,v_Taille,'SUIVI STOCKS PAR PAYSAN'!$AZ$7,v_conc_prod_tye_affinage,'SUIVI STOCKS PAR PAYSAN'!$I48,v_Date_commande,"&gt;"&amp;date_inventaire)</f>
        <v>0</v>
      </c>
      <c r="BA48" s="353">
        <f ca="1">SUMIFS(bddres_pieces,'BDD RESERVATIONS'!$G:$G,'SUIVI STOCKS PAR PAYSAN'!$AZ$7,bddres_c_prod_type_aff,'SUIVI STOCKS PAR PAYSAN'!$I48,'BDD RESERVATIONS'!$B:$B,"&gt;"&amp;date_inventaire)</f>
        <v>0</v>
      </c>
      <c r="BB48" s="313">
        <f ca="1">SUMIFS(es_poids,es_prod_type_affinage,'SUIVI STOCKS PAR PAYSAN'!$J48,es_date_entree,"&gt;"&amp;date_inventaire)-SUMIFS(v_Poids,v_conc_prod_tye_affinage,'SUIVI STOCKS PAR PAYSAN'!$J48,v_Date_commande,"&gt;"&amp;date_inventaire)</f>
        <v>0</v>
      </c>
      <c r="BC48" s="313">
        <f ca="1">SUMIFS(bddres_c_qte,bddres_c_prod_type_aff,'SUIVI STOCKS PAR PAYSAN'!J48,'BDD RESERVATIONS'!$B:$B,"&gt;"&amp;date_inventaire)</f>
        <v>0</v>
      </c>
      <c r="BD48" s="342">
        <f ca="1">SUMIFS(bddres_pieces,es_prod_type_affinage,'SUIVI STOCKS PAR PAYSAN'!$J48,es_date_entree,"&gt;"&amp;date_inventaire,es_taille,'SUIVI STOCKS PAR PAYSAN'!$BD$7)-SUMIFS(v_Pièces,v_Taille,'SUIVI STOCKS PAR PAYSAN'!$BD$7,v_conc_prod_tye_affinage,'SUIVI STOCKS PAR PAYSAN'!$J48,v_Date_commande,"&gt;"&amp;date_inventaire)</f>
        <v>0</v>
      </c>
      <c r="BE48" s="326">
        <f ca="1">SUMIFS(bddres_pieces,'BDD RESERVATIONS'!$G:$G,'SUIVI STOCKS PAR PAYSAN'!BD43,bddres_c_prod_type_aff,'SUIVI STOCKS PAR PAYSAN'!J48,'BDD RESERVATIONS'!$B:$B,"&gt;"&amp;date_inventaire)</f>
        <v>0</v>
      </c>
      <c r="BF48" s="343">
        <f ca="1">SUMIFS(es_pieces,es_prod_type_affinage,'SUIVI STOCKS PAR PAYSAN'!J48,es_date_entree,"&gt;"&amp;date_inventaire,es_taille,'SUIVI STOCKS PAR PAYSAN'!$BF$7)-SUMIFS(v_Pièces,v_Taille,'SUIVI STOCKS PAR PAYSAN'!$BF$7,v_conc_prod_tye_affinage,'SUIVI STOCKS PAR PAYSAN'!J48,v_Date_commande,"&gt;"&amp;date_inventaire)</f>
        <v>0</v>
      </c>
      <c r="BG48" s="353">
        <f ca="1">SUMIFS(bddres_pieces,'BDD RESERVATIONS'!$G:$G,'SUIVI STOCKS PAR PAYSAN'!$BF$7,bddres_c_prod_type_aff,'SUIVI STOCKS PAR PAYSAN'!J48,'BDD RESERVATIONS'!$B:$B,"&gt;"&amp;date_inventaire)</f>
        <v>0</v>
      </c>
    </row>
    <row r="49" spans="1:59" ht="18.75" customHeight="1" x14ac:dyDescent="0.25">
      <c r="A49" s="331">
        <f ca="1">OFFSET('BDD PAYSANS'!$B$1,B49,0,1,1)</f>
        <v>0</v>
      </c>
      <c r="B49" s="325">
        <v>38</v>
      </c>
      <c r="C49" s="325" t="str">
        <f t="shared" ca="1" si="2"/>
        <v>0FERMIER&lt;3 mois</v>
      </c>
      <c r="D49" s="325" t="str">
        <f t="shared" ca="1" si="2"/>
        <v>0FERMIER3-6 mois</v>
      </c>
      <c r="E49" s="325" t="str">
        <f t="shared" ca="1" si="2"/>
        <v>0FERMIER6-9 mois</v>
      </c>
      <c r="F49" s="325" t="str">
        <f t="shared" ca="1" si="2"/>
        <v>0FERMIER&gt;9 mois</v>
      </c>
      <c r="G49" s="325" t="str">
        <f t="shared" ca="1" si="2"/>
        <v>0ESTIVE&lt;3 mois</v>
      </c>
      <c r="H49" s="325" t="str">
        <f t="shared" ca="1" si="2"/>
        <v>0ESTIVE3-6 mois</v>
      </c>
      <c r="I49" s="325" t="str">
        <f t="shared" ca="1" si="2"/>
        <v>0ESTIVE6-9 mois</v>
      </c>
      <c r="J49" s="325" t="str">
        <f t="shared" ca="1" si="2"/>
        <v>0ESTIVE&gt;9 mois</v>
      </c>
      <c r="K49" s="325"/>
      <c r="L49" s="352">
        <f ca="1">SUMIFS(es_poids,es_prod_type_affinage,'SUIVI STOCKS PAR PAYSAN'!$C49,es_date_entree,"&gt;"&amp;date_inventaire)-SUMIFS(v_Poids,v_conc_prod_tye_affinage,'SUIVI STOCKS PAR PAYSAN'!$C49,v_Date_commande,"&gt;"&amp;date_inventaire)</f>
        <v>0</v>
      </c>
      <c r="M49" s="341">
        <f ca="1">SUMIFS(bddres_c_qte,bddres_c_prod_type_aff,'SUIVI STOCKS PAR PAYSAN'!C49,'BDD RESERVATIONS'!$B:$B,"&gt;"&amp;date_inventaire)</f>
        <v>0</v>
      </c>
      <c r="N49" s="342">
        <f ca="1">SUMIFS(bddres_pieces,es_prod_type_affinage,'SUIVI STOCKS PAR PAYSAN'!$C49,es_date_entree,"&gt;"&amp;date_inventaire,es_taille,'SUIVI STOCKS PAR PAYSAN'!$N$7)-SUMIFS(v_Pièces,v_Taille,'SUIVI STOCKS PAR PAYSAN'!$N$7,v_conc_prod_tye_affinage,'SUIVI STOCKS PAR PAYSAN'!$C49,v_Date_commande,"&gt;"&amp;date_inventaire)</f>
        <v>0</v>
      </c>
      <c r="O49" s="342">
        <f ca="1">SUMIFS(bddres_pieces,'BDD RESERVATIONS'!$G:$G,'SUIVI STOCKS PAR PAYSAN'!$N$7,bddres_c_prod_type_aff,'SUIVI STOCKS PAR PAYSAN'!$C49,'BDD RESERVATIONS'!$B:$B,"&gt;"&amp;date_inventaire)</f>
        <v>0</v>
      </c>
      <c r="P49" s="343">
        <f ca="1">SUMIFS(es_pieces,es_prod_type_affinage,'SUIVI STOCKS PAR PAYSAN'!$C49,es_date_entree,"&gt;"&amp;date_inventaire,es_taille,'SUIVI STOCKS PAR PAYSAN'!$P$7)-SUMIFS(v_Pièces,v_Taille,'SUIVI STOCKS PAR PAYSAN'!$P$7,v_conc_prod_tye_affinage,'SUIVI STOCKS PAR PAYSAN'!$C49,v_Date_commande,"&gt;"&amp;date_inventaire)</f>
        <v>0</v>
      </c>
      <c r="Q49" s="353">
        <f ca="1">SUMIFS(bddres_pieces,'BDD RESERVATIONS'!$G:$G,'SUIVI STOCKS PAR PAYSAN'!$P$7,bddres_c_prod_type_aff,'SUIVI STOCKS PAR PAYSAN'!$C49,'BDD RESERVATIONS'!$B:$B,"&gt;"&amp;date_inventaire)</f>
        <v>0</v>
      </c>
      <c r="R49" s="340">
        <f ca="1">SUMIFS(es_poids,es_prod_type_affinage,'SUIVI STOCKS PAR PAYSAN'!$D49,es_date_entree,"&gt;"&amp;date_inventaire)-SUMIFS(v_Poids,v_conc_prod_tye_affinage,'SUIVI STOCKS PAR PAYSAN'!$D49,v_Date_commande,"&gt;"&amp;date_inventaire)</f>
        <v>0</v>
      </c>
      <c r="S49" s="341">
        <f ca="1">SUMIFS(bddres_c_qte,bddres_c_prod_type_aff,'SUIVI STOCKS PAR PAYSAN'!D49,'BDD RESERVATIONS'!$B:$B,"&gt;"&amp;date_inventaire)</f>
        <v>0</v>
      </c>
      <c r="T49" s="342">
        <f ca="1">SUMIFS(bddres_pieces,es_prod_type_affinage,'SUIVI STOCKS PAR PAYSAN'!$D49,es_date_entree,"&gt;"&amp;date_inventaire,es_taille,'SUIVI STOCKS PAR PAYSAN'!$T$7)-SUMIFS(v_Pièces,v_Taille,'SUIVI STOCKS PAR PAYSAN'!$T$7,v_conc_prod_tye_affinage,'SUIVI STOCKS PAR PAYSAN'!$D49,v_Date_commande,"&gt;"&amp;date_inventaire)</f>
        <v>0</v>
      </c>
      <c r="U49" s="342">
        <f ca="1">SUMIFS(bddres_pieces,'BDD RESERVATIONS'!$G:$G,'SUIVI STOCKS PAR PAYSAN'!$T$7,bddres_c_prod_type_aff,'SUIVI STOCKS PAR PAYSAN'!$D49,'BDD RESERVATIONS'!$B:$B,"&gt;"&amp;date_inventaire)</f>
        <v>0</v>
      </c>
      <c r="V49" s="343">
        <f ca="1">SUMIFS(es_pieces,es_prod_type_affinage,'SUIVI STOCKS PAR PAYSAN'!$D49,es_date_entree,"&gt;"&amp;date_inventaire,es_taille,'SUIVI STOCKS PAR PAYSAN'!$V$7)-SUMIFS(v_Pièces,v_Taille,'SUIVI STOCKS PAR PAYSAN'!$V$7,v_conc_prod_tye_affinage,'SUIVI STOCKS PAR PAYSAN'!$D49,v_Date_commande,"&gt;"&amp;date_inventaire)</f>
        <v>0</v>
      </c>
      <c r="W49" s="353">
        <f ca="1">SUMIFS(bddres_pieces,'BDD RESERVATIONS'!$G:$G,'SUIVI STOCKS PAR PAYSAN'!$V$7,bddres_c_prod_type_aff,'SUIVI STOCKS PAR PAYSAN'!$D49,'BDD RESERVATIONS'!$B:$B,"&gt;"&amp;date_inventaire)</f>
        <v>0</v>
      </c>
      <c r="X49" s="313">
        <f ca="1">SUMIFS(es_poids,es_prod_type_affinage,'SUIVI STOCKS PAR PAYSAN'!$E49,es_date_entree,"&gt;"&amp;date_inventaire)-SUMIFS(v_Poids,v_conc_prod_tye_affinage,'SUIVI STOCKS PAR PAYSAN'!$E49,v_Date_commande,"&gt;"&amp;date_inventaire)</f>
        <v>0</v>
      </c>
      <c r="Y49" s="341">
        <f ca="1">SUMIFS(bddres_c_qte,bddres_c_prod_type_aff,'SUIVI STOCKS PAR PAYSAN'!E49,'BDD RESERVATIONS'!$B:$B,"&gt;"&amp;date_inventaire)</f>
        <v>0</v>
      </c>
      <c r="Z49" s="342">
        <f ca="1">SUMIFS(bddres_pieces,es_prod_type_affinage,'SUIVI STOCKS PAR PAYSAN'!$E49,es_date_entree,"&gt;"&amp;date_inventaire,es_taille,'SUIVI STOCKS PAR PAYSAN'!$Z$7)-SUMIFS(v_Pièces,v_Taille,'SUIVI STOCKS PAR PAYSAN'!$Z$7,v_conc_prod_tye_affinage,'SUIVI STOCKS PAR PAYSAN'!$E49,v_Date_commande,"&gt;"&amp;date_inventaire)</f>
        <v>0</v>
      </c>
      <c r="AA49" s="342">
        <f ca="1">SUMIFS(bddres_pieces,'BDD RESERVATIONS'!$G:$G,'SUIVI STOCKS PAR PAYSAN'!$Z$7,bddres_c_prod_type_aff,'SUIVI STOCKS PAR PAYSAN'!$E49,'BDD RESERVATIONS'!$B:$B,"&gt;"&amp;date_inventaire)</f>
        <v>0</v>
      </c>
      <c r="AB49" s="343">
        <f ca="1">SUMIFS(es_pieces,es_prod_type_affinage,'SUIVI STOCKS PAR PAYSAN'!$E49,es_date_entree,"&gt;"&amp;date_inventaire,es_taille,'SUIVI STOCKS PAR PAYSAN'!$AB$7)-SUMIFS(v_Pièces,v_Taille,'SUIVI STOCKS PAR PAYSAN'!$AB$7,v_conc_prod_tye_affinage,'SUIVI STOCKS PAR PAYSAN'!$E49,v_Date_commande,"&gt;"&amp;date_inventaire)</f>
        <v>0</v>
      </c>
      <c r="AC49" s="353">
        <f ca="1">SUMIFS(bddres_pieces,'BDD RESERVATIONS'!$G:$G,'SUIVI STOCKS PAR PAYSAN'!$AB$7,bddres_c_prod_type_aff,'SUIVI STOCKS PAR PAYSAN'!$E49,'BDD RESERVATIONS'!$B:$B,"&gt;"&amp;date_inventaire)</f>
        <v>0</v>
      </c>
      <c r="AD49" s="313">
        <f ca="1">SUMIFS(es_poids,es_prod_type_affinage,'SUIVI STOCKS PAR PAYSAN'!$F49,es_date_entree,"&gt;"&amp;date_inventaire)-SUMIFS(v_Poids,v_conc_prod_tye_affinage,'SUIVI STOCKS PAR PAYSAN'!$F49,v_Date_commande,"&gt;"&amp;date_inventaire)</f>
        <v>0</v>
      </c>
      <c r="AE49" s="341">
        <f ca="1">SUMIFS(bddres_c_qte,bddres_c_prod_type_aff,'SUIVI STOCKS PAR PAYSAN'!F49,'BDD RESERVATIONS'!$B:$B,"&gt;"&amp;date_inventaire)</f>
        <v>0</v>
      </c>
      <c r="AF49" s="342">
        <f ca="1">SUMIFS(bddres_pieces,es_prod_type_affinage,'SUIVI STOCKS PAR PAYSAN'!$F49,es_date_entree,"&gt;"&amp;date_inventaire,es_taille,'SUIVI STOCKS PAR PAYSAN'!$Z$7)-SUMIFS(v_Pièces,v_Taille,'SUIVI STOCKS PAR PAYSAN'!$Z$7,v_conc_prod_tye_affinage,'SUIVI STOCKS PAR PAYSAN'!$F49,v_Date_commande,"&gt;"&amp;date_inventaire)</f>
        <v>0</v>
      </c>
      <c r="AG49" s="342">
        <f ca="1">SUMIFS(bddres_pieces,'BDD RESERVATIONS'!$G:$G,'SUIVI STOCKS PAR PAYSAN'!$Z$7,bddres_c_prod_type_aff,'SUIVI STOCKS PAR PAYSAN'!$F49,'BDD RESERVATIONS'!$B:$B,"&gt;"&amp;date_inventaire)</f>
        <v>0</v>
      </c>
      <c r="AH49" s="343">
        <f ca="1">SUMIFS(es_pieces,es_prod_type_affinage,'SUIVI STOCKS PAR PAYSAN'!$F49,es_date_entree,"&gt;"&amp;date_inventaire,es_taille,'SUIVI STOCKS PAR PAYSAN'!$AH$7)-SUMIFS(v_Pièces,v_Taille,'SUIVI STOCKS PAR PAYSAN'!$AH$7,v_conc_prod_tye_affinage,'SUIVI STOCKS PAR PAYSAN'!$F49,v_Date_commande,"&gt;"&amp;date_inventaire)</f>
        <v>0</v>
      </c>
      <c r="AI49" s="353">
        <f ca="1">SUMIFS(bddres_pieces,'BDD RESERVATIONS'!$G:$G,'SUIVI STOCKS PAR PAYSAN'!$AB$7,bddres_c_prod_type_aff,'SUIVI STOCKS PAR PAYSAN'!$F49,'BDD RESERVATIONS'!$B:$B,"&gt;"&amp;date_inventaire)</f>
        <v>0</v>
      </c>
      <c r="AJ49" s="352">
        <f ca="1">SUMIFS(es_poids,es_prod_type_affinage,'SUIVI STOCKS PAR PAYSAN'!$G49,es_date_entree,"&gt;"&amp;date_inventaire)-SUMIFS(v_Poids,v_conc_prod_tye_affinage,'SUIVI STOCKS PAR PAYSAN'!$G49,v_Date_commande,"&gt;"&amp;date_inventaire)</f>
        <v>0</v>
      </c>
      <c r="AK49" s="341">
        <f ca="1">SUMIFS(bddres_c_qte,bddres_c_prod_type_aff,'SUIVI STOCKS PAR PAYSAN'!G49,'BDD RESERVATIONS'!$B:$B,"&gt;"&amp;date_inventaire)</f>
        <v>0</v>
      </c>
      <c r="AL49" s="342">
        <f ca="1">SUMIFS(bddres_pieces,es_prod_type_affinage,'SUIVI STOCKS PAR PAYSAN'!$G49,es_date_entree,"&gt;"&amp;date_inventaire,es_taille,'SUIVI STOCKS PAR PAYSAN'!$AL$7)-SUMIFS(v_Pièces,v_Taille,'SUIVI STOCKS PAR PAYSAN'!$AL$7,v_conc_prod_tye_affinage,'SUIVI STOCKS PAR PAYSAN'!$G49,v_Date_commande,"&gt;"&amp;date_inventaire)</f>
        <v>0</v>
      </c>
      <c r="AM49" s="342">
        <f ca="1">SUMIFS(bddres_pieces,'BDD RESERVATIONS'!$G:$G,'SUIVI STOCKS PAR PAYSAN'!$AL$7,bddres_c_prod_type_aff,'SUIVI STOCKS PAR PAYSAN'!$G49,'BDD RESERVATIONS'!$B:$B,"&gt;"&amp;date_inventaire)</f>
        <v>0</v>
      </c>
      <c r="AN49" s="343">
        <f ca="1">SUMIFS(es_pieces,es_prod_type_affinage,'SUIVI STOCKS PAR PAYSAN'!$G49,es_date_entree,"&gt;"&amp;date_inventaire,es_taille,'SUIVI STOCKS PAR PAYSAN'!$AN$7)-SUMIFS(v_Pièces,v_Taille,'SUIVI STOCKS PAR PAYSAN'!$AN$7,v_conc_prod_tye_affinage,'SUIVI STOCKS PAR PAYSAN'!$G49,v_Date_commande,"&gt;"&amp;date_inventaire)</f>
        <v>0</v>
      </c>
      <c r="AO49" s="353">
        <f ca="1">SUMIFS(bddres_pieces,'BDD RESERVATIONS'!$G:$G,'SUIVI STOCKS PAR PAYSAN'!$AN$7,bddres_c_prod_type_aff,'SUIVI STOCKS PAR PAYSAN'!$G49,'BDD RESERVATIONS'!$B:$B,"&gt;"&amp;date_inventaire)</f>
        <v>0</v>
      </c>
      <c r="AP49" s="313">
        <f ca="1">SUMIFS(es_poids,es_prod_type_affinage,'SUIVI STOCKS PAR PAYSAN'!$H49,es_date_entree,"&gt;"&amp;date_inventaire)-SUMIFS(v_Poids,v_conc_prod_tye_affinage,'SUIVI STOCKS PAR PAYSAN'!$H49,v_Date_commande,"&gt;"&amp;date_inventaire)</f>
        <v>0</v>
      </c>
      <c r="AQ49" s="341">
        <f ca="1">SUMIFS(bddres_c_qte,bddres_c_prod_type_aff,'SUIVI STOCKS PAR PAYSAN'!H49,'BDD RESERVATIONS'!$B:$B,"&gt;"&amp;date_inventaire)</f>
        <v>0</v>
      </c>
      <c r="AR49" s="342">
        <f ca="1">SUMIFS(bddres_pieces,es_prod_type_affinage,'SUIVI STOCKS PAR PAYSAN'!$H49,es_date_entree,"&gt;"&amp;date_inventaire,es_taille,'SUIVI STOCKS PAR PAYSAN'!$AR$7)-SUMIFS(v_Pièces,v_Taille,'SUIVI STOCKS PAR PAYSAN'!$AR$7,v_conc_prod_tye_affinage,'SUIVI STOCKS PAR PAYSAN'!$H49,v_Date_commande,"&gt;"&amp;date_inventaire)</f>
        <v>0</v>
      </c>
      <c r="AS49" s="326">
        <f ca="1">SUMIFS(bddres_pieces,'BDD RESERVATIONS'!$G:$G,'SUIVI STOCKS PAR PAYSAN'!AR44,bddres_c_prod_type_aff,'SUIVI STOCKS PAR PAYSAN'!$H49,'BDD RESERVATIONS'!$B:$B,"&gt;"&amp;date_inventaire)</f>
        <v>0</v>
      </c>
      <c r="AT49" s="343">
        <f ca="1">SUMIFS(es_pieces,es_prod_type_affinage,'SUIVI STOCKS PAR PAYSAN'!$H49,es_date_entree,"&gt;"&amp;date_inventaire,es_taille,'SUIVI STOCKS PAR PAYSAN'!$AT$7)-SUMIFS(v_Pièces,v_Taille,'SUIVI STOCKS PAR PAYSAN'!$AT$7,v_conc_prod_tye_affinage,'SUIVI STOCKS PAR PAYSAN'!$H49,v_Date_commande,"&gt;"&amp;date_inventaire)</f>
        <v>0</v>
      </c>
      <c r="AU49" s="353">
        <f ca="1">SUMIFS(bddres_pieces,'BDD RESERVATIONS'!$G:$G,'SUIVI STOCKS PAR PAYSAN'!$AT$7,bddres_c_prod_type_aff,'SUIVI STOCKS PAR PAYSAN'!$H49,'BDD RESERVATIONS'!$B:$B,"&gt;"&amp;date_inventaire)</f>
        <v>0</v>
      </c>
      <c r="AV49" s="313">
        <f ca="1">SUMIFS(es_poids,es_prod_type_affinage,'SUIVI STOCKS PAR PAYSAN'!$I49,es_date_entree,"&gt;"&amp;date_inventaire)-SUMIFS(v_Poids,v_conc_prod_tye_affinage,'SUIVI STOCKS PAR PAYSAN'!$E49,v_Date_commande,"&gt;"&amp;date_inventaire)</f>
        <v>0</v>
      </c>
      <c r="AW49" s="313">
        <f ca="1">SUMIFS(bddres_c_qte,bddres_c_prod_type_aff,'SUIVI STOCKS PAR PAYSAN'!I49,'BDD RESERVATIONS'!$B:$B,"&gt;"&amp;date_inventaire)</f>
        <v>0</v>
      </c>
      <c r="AX49" s="342">
        <f ca="1">SUMIFS(bddres_pieces,es_prod_type_affinage,'SUIVI STOCKS PAR PAYSAN'!$I49,es_date_entree,"&gt;"&amp;date_inventaire,es_taille,'SUIVI STOCKS PAR PAYSAN'!$AX$7)-SUMIFS(v_Pièces,v_Taille,'SUIVI STOCKS PAR PAYSAN'!$AX$7,v_conc_prod_tye_affinage,'SUIVI STOCKS PAR PAYSAN'!$I49,v_Date_commande,"&gt;"&amp;date_inventaire)</f>
        <v>0</v>
      </c>
      <c r="AY49" s="342">
        <f ca="1">SUMIFS(bddres_pieces,'BDD RESERVATIONS'!$G:$G,'SUIVI STOCKS PAR PAYSAN'!$AX$7,bddres_c_prod_type_aff,'SUIVI STOCKS PAR PAYSAN'!$I49,'BDD RESERVATIONS'!$B:$B,"&gt;"&amp;date_inventaire)</f>
        <v>0</v>
      </c>
      <c r="AZ49" s="343">
        <f ca="1">SUMIFS(es_pieces,es_prod_type_affinage,'SUIVI STOCKS PAR PAYSAN'!$I49,es_date_entree,"&gt;"&amp;date_inventaire,es_taille,'SUIVI STOCKS PAR PAYSAN'!$AZ$7)-SUMIFS(v_Pièces,v_Taille,'SUIVI STOCKS PAR PAYSAN'!$AZ$7,v_conc_prod_tye_affinage,'SUIVI STOCKS PAR PAYSAN'!$I49,v_Date_commande,"&gt;"&amp;date_inventaire)</f>
        <v>0</v>
      </c>
      <c r="BA49" s="353">
        <f ca="1">SUMIFS(bddres_pieces,'BDD RESERVATIONS'!$G:$G,'SUIVI STOCKS PAR PAYSAN'!$AZ$7,bddres_c_prod_type_aff,'SUIVI STOCKS PAR PAYSAN'!$I49,'BDD RESERVATIONS'!$B:$B,"&gt;"&amp;date_inventaire)</f>
        <v>0</v>
      </c>
      <c r="BB49" s="313">
        <f ca="1">SUMIFS(es_poids,es_prod_type_affinage,'SUIVI STOCKS PAR PAYSAN'!$J49,es_date_entree,"&gt;"&amp;date_inventaire)-SUMIFS(v_Poids,v_conc_prod_tye_affinage,'SUIVI STOCKS PAR PAYSAN'!$J49,v_Date_commande,"&gt;"&amp;date_inventaire)</f>
        <v>0</v>
      </c>
      <c r="BC49" s="313">
        <f ca="1">SUMIFS(bddres_c_qte,bddres_c_prod_type_aff,'SUIVI STOCKS PAR PAYSAN'!J49,'BDD RESERVATIONS'!$B:$B,"&gt;"&amp;date_inventaire)</f>
        <v>0</v>
      </c>
      <c r="BD49" s="342">
        <f ca="1">SUMIFS(bddres_pieces,es_prod_type_affinage,'SUIVI STOCKS PAR PAYSAN'!$J49,es_date_entree,"&gt;"&amp;date_inventaire,es_taille,'SUIVI STOCKS PAR PAYSAN'!$BD$7)-SUMIFS(v_Pièces,v_Taille,'SUIVI STOCKS PAR PAYSAN'!$BD$7,v_conc_prod_tye_affinage,'SUIVI STOCKS PAR PAYSAN'!$J49,v_Date_commande,"&gt;"&amp;date_inventaire)</f>
        <v>0</v>
      </c>
      <c r="BE49" s="326">
        <f ca="1">SUMIFS(bddres_pieces,'BDD RESERVATIONS'!$G:$G,'SUIVI STOCKS PAR PAYSAN'!BD44,bddres_c_prod_type_aff,'SUIVI STOCKS PAR PAYSAN'!J49,'BDD RESERVATIONS'!$B:$B,"&gt;"&amp;date_inventaire)</f>
        <v>0</v>
      </c>
      <c r="BF49" s="343">
        <f ca="1">SUMIFS(es_pieces,es_prod_type_affinage,'SUIVI STOCKS PAR PAYSAN'!J49,es_date_entree,"&gt;"&amp;date_inventaire,es_taille,'SUIVI STOCKS PAR PAYSAN'!$BF$7)-SUMIFS(v_Pièces,v_Taille,'SUIVI STOCKS PAR PAYSAN'!$BF$7,v_conc_prod_tye_affinage,'SUIVI STOCKS PAR PAYSAN'!J49,v_Date_commande,"&gt;"&amp;date_inventaire)</f>
        <v>0</v>
      </c>
      <c r="BG49" s="353">
        <f ca="1">SUMIFS(bddres_pieces,'BDD RESERVATIONS'!$G:$G,'SUIVI STOCKS PAR PAYSAN'!$BF$7,bddres_c_prod_type_aff,'SUIVI STOCKS PAR PAYSAN'!J49,'BDD RESERVATIONS'!$B:$B,"&gt;"&amp;date_inventaire)</f>
        <v>0</v>
      </c>
    </row>
    <row r="50" spans="1:59" ht="18.75" customHeight="1" x14ac:dyDescent="0.25">
      <c r="A50" s="331">
        <f ca="1">OFFSET('BDD PAYSANS'!$B$1,B50,0,1,1)</f>
        <v>0</v>
      </c>
      <c r="B50" s="325">
        <v>39</v>
      </c>
      <c r="C50" s="325" t="str">
        <f t="shared" ca="1" si="2"/>
        <v>0FERMIER&lt;3 mois</v>
      </c>
      <c r="D50" s="325" t="str">
        <f t="shared" ca="1" si="2"/>
        <v>0FERMIER3-6 mois</v>
      </c>
      <c r="E50" s="325" t="str">
        <f t="shared" ca="1" si="2"/>
        <v>0FERMIER6-9 mois</v>
      </c>
      <c r="F50" s="325" t="str">
        <f t="shared" ca="1" si="2"/>
        <v>0FERMIER&gt;9 mois</v>
      </c>
      <c r="G50" s="325" t="str">
        <f t="shared" ca="1" si="2"/>
        <v>0ESTIVE&lt;3 mois</v>
      </c>
      <c r="H50" s="325" t="str">
        <f t="shared" ca="1" si="2"/>
        <v>0ESTIVE3-6 mois</v>
      </c>
      <c r="I50" s="325" t="str">
        <f t="shared" ca="1" si="2"/>
        <v>0ESTIVE6-9 mois</v>
      </c>
      <c r="J50" s="325" t="str">
        <f t="shared" ca="1" si="2"/>
        <v>0ESTIVE&gt;9 mois</v>
      </c>
      <c r="K50" s="325"/>
      <c r="L50" s="352">
        <f ca="1">SUMIFS(es_poids,es_prod_type_affinage,'SUIVI STOCKS PAR PAYSAN'!$C50,es_date_entree,"&gt;"&amp;date_inventaire)-SUMIFS(v_Poids,v_conc_prod_tye_affinage,'SUIVI STOCKS PAR PAYSAN'!$C50,v_Date_commande,"&gt;"&amp;date_inventaire)</f>
        <v>0</v>
      </c>
      <c r="M50" s="341">
        <f ca="1">SUMIFS(bddres_c_qte,bddres_c_prod_type_aff,'SUIVI STOCKS PAR PAYSAN'!C50,'BDD RESERVATIONS'!$B:$B,"&gt;"&amp;date_inventaire)</f>
        <v>0</v>
      </c>
      <c r="N50" s="342">
        <f ca="1">SUMIFS(bddres_pieces,es_prod_type_affinage,'SUIVI STOCKS PAR PAYSAN'!$C50,es_date_entree,"&gt;"&amp;date_inventaire,es_taille,'SUIVI STOCKS PAR PAYSAN'!$N$7)-SUMIFS(v_Pièces,v_Taille,'SUIVI STOCKS PAR PAYSAN'!$N$7,v_conc_prod_tye_affinage,'SUIVI STOCKS PAR PAYSAN'!$C50,v_Date_commande,"&gt;"&amp;date_inventaire)</f>
        <v>0</v>
      </c>
      <c r="O50" s="342">
        <f ca="1">SUMIFS(bddres_pieces,'BDD RESERVATIONS'!$G:$G,'SUIVI STOCKS PAR PAYSAN'!$N$7,bddres_c_prod_type_aff,'SUIVI STOCKS PAR PAYSAN'!$C50,'BDD RESERVATIONS'!$B:$B,"&gt;"&amp;date_inventaire)</f>
        <v>0</v>
      </c>
      <c r="P50" s="343">
        <f ca="1">SUMIFS(es_pieces,es_prod_type_affinage,'SUIVI STOCKS PAR PAYSAN'!$C50,es_date_entree,"&gt;"&amp;date_inventaire,es_taille,'SUIVI STOCKS PAR PAYSAN'!$P$7)-SUMIFS(v_Pièces,v_Taille,'SUIVI STOCKS PAR PAYSAN'!$P$7,v_conc_prod_tye_affinage,'SUIVI STOCKS PAR PAYSAN'!$C50,v_Date_commande,"&gt;"&amp;date_inventaire)</f>
        <v>0</v>
      </c>
      <c r="Q50" s="353">
        <f ca="1">SUMIFS(bddres_pieces,'BDD RESERVATIONS'!$G:$G,'SUIVI STOCKS PAR PAYSAN'!$P$7,bddres_c_prod_type_aff,'SUIVI STOCKS PAR PAYSAN'!$C50,'BDD RESERVATIONS'!$B:$B,"&gt;"&amp;date_inventaire)</f>
        <v>0</v>
      </c>
      <c r="R50" s="340">
        <f ca="1">SUMIFS(es_poids,es_prod_type_affinage,'SUIVI STOCKS PAR PAYSAN'!$D50,es_date_entree,"&gt;"&amp;date_inventaire)-SUMIFS(v_Poids,v_conc_prod_tye_affinage,'SUIVI STOCKS PAR PAYSAN'!$D50,v_Date_commande,"&gt;"&amp;date_inventaire)</f>
        <v>0</v>
      </c>
      <c r="S50" s="341">
        <f ca="1">SUMIFS(bddres_c_qte,bddres_c_prod_type_aff,'SUIVI STOCKS PAR PAYSAN'!D50,'BDD RESERVATIONS'!$B:$B,"&gt;"&amp;date_inventaire)</f>
        <v>0</v>
      </c>
      <c r="T50" s="342">
        <f ca="1">SUMIFS(bddres_pieces,es_prod_type_affinage,'SUIVI STOCKS PAR PAYSAN'!$D50,es_date_entree,"&gt;"&amp;date_inventaire,es_taille,'SUIVI STOCKS PAR PAYSAN'!$T$7)-SUMIFS(v_Pièces,v_Taille,'SUIVI STOCKS PAR PAYSAN'!$T$7,v_conc_prod_tye_affinage,'SUIVI STOCKS PAR PAYSAN'!$D50,v_Date_commande,"&gt;"&amp;date_inventaire)</f>
        <v>0</v>
      </c>
      <c r="U50" s="342">
        <f ca="1">SUMIFS(bddres_pieces,'BDD RESERVATIONS'!$G:$G,'SUIVI STOCKS PAR PAYSAN'!$T$7,bddres_c_prod_type_aff,'SUIVI STOCKS PAR PAYSAN'!$D50,'BDD RESERVATIONS'!$B:$B,"&gt;"&amp;date_inventaire)</f>
        <v>0</v>
      </c>
      <c r="V50" s="343">
        <f ca="1">SUMIFS(es_pieces,es_prod_type_affinage,'SUIVI STOCKS PAR PAYSAN'!$D50,es_date_entree,"&gt;"&amp;date_inventaire,es_taille,'SUIVI STOCKS PAR PAYSAN'!$V$7)-SUMIFS(v_Pièces,v_Taille,'SUIVI STOCKS PAR PAYSAN'!$V$7,v_conc_prod_tye_affinage,'SUIVI STOCKS PAR PAYSAN'!$D50,v_Date_commande,"&gt;"&amp;date_inventaire)</f>
        <v>0</v>
      </c>
      <c r="W50" s="353">
        <f ca="1">SUMIFS(bddres_pieces,'BDD RESERVATIONS'!$G:$G,'SUIVI STOCKS PAR PAYSAN'!$V$7,bddres_c_prod_type_aff,'SUIVI STOCKS PAR PAYSAN'!$D50,'BDD RESERVATIONS'!$B:$B,"&gt;"&amp;date_inventaire)</f>
        <v>0</v>
      </c>
      <c r="X50" s="313">
        <f ca="1">SUMIFS(es_poids,es_prod_type_affinage,'SUIVI STOCKS PAR PAYSAN'!$E50,es_date_entree,"&gt;"&amp;date_inventaire)-SUMIFS(v_Poids,v_conc_prod_tye_affinage,'SUIVI STOCKS PAR PAYSAN'!$E50,v_Date_commande,"&gt;"&amp;date_inventaire)</f>
        <v>0</v>
      </c>
      <c r="Y50" s="341">
        <f ca="1">SUMIFS(bddres_c_qte,bddres_c_prod_type_aff,'SUIVI STOCKS PAR PAYSAN'!E50,'BDD RESERVATIONS'!$B:$B,"&gt;"&amp;date_inventaire)</f>
        <v>0</v>
      </c>
      <c r="Z50" s="342">
        <f ca="1">SUMIFS(bddres_pieces,es_prod_type_affinage,'SUIVI STOCKS PAR PAYSAN'!$E50,es_date_entree,"&gt;"&amp;date_inventaire,es_taille,'SUIVI STOCKS PAR PAYSAN'!$Z$7)-SUMIFS(v_Pièces,v_Taille,'SUIVI STOCKS PAR PAYSAN'!$Z$7,v_conc_prod_tye_affinage,'SUIVI STOCKS PAR PAYSAN'!$E50,v_Date_commande,"&gt;"&amp;date_inventaire)</f>
        <v>0</v>
      </c>
      <c r="AA50" s="342">
        <f ca="1">SUMIFS(bddres_pieces,'BDD RESERVATIONS'!$G:$G,'SUIVI STOCKS PAR PAYSAN'!$Z$7,bddres_c_prod_type_aff,'SUIVI STOCKS PAR PAYSAN'!$E50,'BDD RESERVATIONS'!$B:$B,"&gt;"&amp;date_inventaire)</f>
        <v>0</v>
      </c>
      <c r="AB50" s="343">
        <f ca="1">SUMIFS(es_pieces,es_prod_type_affinage,'SUIVI STOCKS PAR PAYSAN'!$E50,es_date_entree,"&gt;"&amp;date_inventaire,es_taille,'SUIVI STOCKS PAR PAYSAN'!$AB$7)-SUMIFS(v_Pièces,v_Taille,'SUIVI STOCKS PAR PAYSAN'!$AB$7,v_conc_prod_tye_affinage,'SUIVI STOCKS PAR PAYSAN'!$E50,v_Date_commande,"&gt;"&amp;date_inventaire)</f>
        <v>0</v>
      </c>
      <c r="AC50" s="353">
        <f ca="1">SUMIFS(bddres_pieces,'BDD RESERVATIONS'!$G:$G,'SUIVI STOCKS PAR PAYSAN'!$AB$7,bddres_c_prod_type_aff,'SUIVI STOCKS PAR PAYSAN'!$E50,'BDD RESERVATIONS'!$B:$B,"&gt;"&amp;date_inventaire)</f>
        <v>0</v>
      </c>
      <c r="AD50" s="313">
        <f ca="1">SUMIFS(es_poids,es_prod_type_affinage,'SUIVI STOCKS PAR PAYSAN'!$F50,es_date_entree,"&gt;"&amp;date_inventaire)-SUMIFS(v_Poids,v_conc_prod_tye_affinage,'SUIVI STOCKS PAR PAYSAN'!$F50,v_Date_commande,"&gt;"&amp;date_inventaire)</f>
        <v>0</v>
      </c>
      <c r="AE50" s="341">
        <f ca="1">SUMIFS(bddres_c_qte,bddres_c_prod_type_aff,'SUIVI STOCKS PAR PAYSAN'!F50,'BDD RESERVATIONS'!$B:$B,"&gt;"&amp;date_inventaire)</f>
        <v>0</v>
      </c>
      <c r="AF50" s="342">
        <f ca="1">SUMIFS(bddres_pieces,es_prod_type_affinage,'SUIVI STOCKS PAR PAYSAN'!$F50,es_date_entree,"&gt;"&amp;date_inventaire,es_taille,'SUIVI STOCKS PAR PAYSAN'!$Z$7)-SUMIFS(v_Pièces,v_Taille,'SUIVI STOCKS PAR PAYSAN'!$Z$7,v_conc_prod_tye_affinage,'SUIVI STOCKS PAR PAYSAN'!$F50,v_Date_commande,"&gt;"&amp;date_inventaire)</f>
        <v>0</v>
      </c>
      <c r="AG50" s="342">
        <f ca="1">SUMIFS(bddres_pieces,'BDD RESERVATIONS'!$G:$G,'SUIVI STOCKS PAR PAYSAN'!$Z$7,bddres_c_prod_type_aff,'SUIVI STOCKS PAR PAYSAN'!$F50,'BDD RESERVATIONS'!$B:$B,"&gt;"&amp;date_inventaire)</f>
        <v>0</v>
      </c>
      <c r="AH50" s="343">
        <f ca="1">SUMIFS(es_pieces,es_prod_type_affinage,'SUIVI STOCKS PAR PAYSAN'!$F50,es_date_entree,"&gt;"&amp;date_inventaire,es_taille,'SUIVI STOCKS PAR PAYSAN'!$AH$7)-SUMIFS(v_Pièces,v_Taille,'SUIVI STOCKS PAR PAYSAN'!$AH$7,v_conc_prod_tye_affinage,'SUIVI STOCKS PAR PAYSAN'!$F50,v_Date_commande,"&gt;"&amp;date_inventaire)</f>
        <v>0</v>
      </c>
      <c r="AI50" s="353">
        <f ca="1">SUMIFS(bddres_pieces,'BDD RESERVATIONS'!$G:$G,'SUIVI STOCKS PAR PAYSAN'!$AB$7,bddres_c_prod_type_aff,'SUIVI STOCKS PAR PAYSAN'!$F50,'BDD RESERVATIONS'!$B:$B,"&gt;"&amp;date_inventaire)</f>
        <v>0</v>
      </c>
      <c r="AJ50" s="352">
        <f ca="1">SUMIFS(es_poids,es_prod_type_affinage,'SUIVI STOCKS PAR PAYSAN'!$G50,es_date_entree,"&gt;"&amp;date_inventaire)-SUMIFS(v_Poids,v_conc_prod_tye_affinage,'SUIVI STOCKS PAR PAYSAN'!$G50,v_Date_commande,"&gt;"&amp;date_inventaire)</f>
        <v>0</v>
      </c>
      <c r="AK50" s="341">
        <f ca="1">SUMIFS(bddres_c_qte,bddres_c_prod_type_aff,'SUIVI STOCKS PAR PAYSAN'!G50,'BDD RESERVATIONS'!$B:$B,"&gt;"&amp;date_inventaire)</f>
        <v>0</v>
      </c>
      <c r="AL50" s="342">
        <f ca="1">SUMIFS(bddres_pieces,es_prod_type_affinage,'SUIVI STOCKS PAR PAYSAN'!$G50,es_date_entree,"&gt;"&amp;date_inventaire,es_taille,'SUIVI STOCKS PAR PAYSAN'!$AL$7)-SUMIFS(v_Pièces,v_Taille,'SUIVI STOCKS PAR PAYSAN'!$AL$7,v_conc_prod_tye_affinage,'SUIVI STOCKS PAR PAYSAN'!$G50,v_Date_commande,"&gt;"&amp;date_inventaire)</f>
        <v>0</v>
      </c>
      <c r="AM50" s="342">
        <f ca="1">SUMIFS(bddres_pieces,'BDD RESERVATIONS'!$G:$G,'SUIVI STOCKS PAR PAYSAN'!$AL$7,bddres_c_prod_type_aff,'SUIVI STOCKS PAR PAYSAN'!$G50,'BDD RESERVATIONS'!$B:$B,"&gt;"&amp;date_inventaire)</f>
        <v>0</v>
      </c>
      <c r="AN50" s="343">
        <f ca="1">SUMIFS(es_pieces,es_prod_type_affinage,'SUIVI STOCKS PAR PAYSAN'!$G50,es_date_entree,"&gt;"&amp;date_inventaire,es_taille,'SUIVI STOCKS PAR PAYSAN'!$AN$7)-SUMIFS(v_Pièces,v_Taille,'SUIVI STOCKS PAR PAYSAN'!$AN$7,v_conc_prod_tye_affinage,'SUIVI STOCKS PAR PAYSAN'!$G50,v_Date_commande,"&gt;"&amp;date_inventaire)</f>
        <v>0</v>
      </c>
      <c r="AO50" s="353">
        <f ca="1">SUMIFS(bddres_pieces,'BDD RESERVATIONS'!$G:$G,'SUIVI STOCKS PAR PAYSAN'!$AN$7,bddres_c_prod_type_aff,'SUIVI STOCKS PAR PAYSAN'!$G50,'BDD RESERVATIONS'!$B:$B,"&gt;"&amp;date_inventaire)</f>
        <v>0</v>
      </c>
      <c r="AP50" s="313">
        <f ca="1">SUMIFS(es_poids,es_prod_type_affinage,'SUIVI STOCKS PAR PAYSAN'!$H50,es_date_entree,"&gt;"&amp;date_inventaire)-SUMIFS(v_Poids,v_conc_prod_tye_affinage,'SUIVI STOCKS PAR PAYSAN'!$H50,v_Date_commande,"&gt;"&amp;date_inventaire)</f>
        <v>0</v>
      </c>
      <c r="AQ50" s="341">
        <f ca="1">SUMIFS(bddres_c_qte,bddres_c_prod_type_aff,'SUIVI STOCKS PAR PAYSAN'!H50,'BDD RESERVATIONS'!$B:$B,"&gt;"&amp;date_inventaire)</f>
        <v>0</v>
      </c>
      <c r="AR50" s="342">
        <f ca="1">SUMIFS(bddres_pieces,es_prod_type_affinage,'SUIVI STOCKS PAR PAYSAN'!$H50,es_date_entree,"&gt;"&amp;date_inventaire,es_taille,'SUIVI STOCKS PAR PAYSAN'!$AR$7)-SUMIFS(v_Pièces,v_Taille,'SUIVI STOCKS PAR PAYSAN'!$AR$7,v_conc_prod_tye_affinage,'SUIVI STOCKS PAR PAYSAN'!$H50,v_Date_commande,"&gt;"&amp;date_inventaire)</f>
        <v>0</v>
      </c>
      <c r="AS50" s="326">
        <f ca="1">SUMIFS(bddres_pieces,'BDD RESERVATIONS'!$G:$G,'SUIVI STOCKS PAR PAYSAN'!AR45,bddres_c_prod_type_aff,'SUIVI STOCKS PAR PAYSAN'!$H50,'BDD RESERVATIONS'!$B:$B,"&gt;"&amp;date_inventaire)</f>
        <v>0</v>
      </c>
      <c r="AT50" s="343">
        <f ca="1">SUMIFS(es_pieces,es_prod_type_affinage,'SUIVI STOCKS PAR PAYSAN'!$H50,es_date_entree,"&gt;"&amp;date_inventaire,es_taille,'SUIVI STOCKS PAR PAYSAN'!$AT$7)-SUMIFS(v_Pièces,v_Taille,'SUIVI STOCKS PAR PAYSAN'!$AT$7,v_conc_prod_tye_affinage,'SUIVI STOCKS PAR PAYSAN'!$H50,v_Date_commande,"&gt;"&amp;date_inventaire)</f>
        <v>0</v>
      </c>
      <c r="AU50" s="353">
        <f ca="1">SUMIFS(bddres_pieces,'BDD RESERVATIONS'!$G:$G,'SUIVI STOCKS PAR PAYSAN'!$AT$7,bddres_c_prod_type_aff,'SUIVI STOCKS PAR PAYSAN'!$H50,'BDD RESERVATIONS'!$B:$B,"&gt;"&amp;date_inventaire)</f>
        <v>0</v>
      </c>
      <c r="AV50" s="313">
        <f ca="1">SUMIFS(es_poids,es_prod_type_affinage,'SUIVI STOCKS PAR PAYSAN'!$I50,es_date_entree,"&gt;"&amp;date_inventaire)-SUMIFS(v_Poids,v_conc_prod_tye_affinage,'SUIVI STOCKS PAR PAYSAN'!$E50,v_Date_commande,"&gt;"&amp;date_inventaire)</f>
        <v>0</v>
      </c>
      <c r="AW50" s="313">
        <f ca="1">SUMIFS(bddres_c_qte,bddres_c_prod_type_aff,'SUIVI STOCKS PAR PAYSAN'!I50,'BDD RESERVATIONS'!$B:$B,"&gt;"&amp;date_inventaire)</f>
        <v>0</v>
      </c>
      <c r="AX50" s="342">
        <f ca="1">SUMIFS(bddres_pieces,es_prod_type_affinage,'SUIVI STOCKS PAR PAYSAN'!$I50,es_date_entree,"&gt;"&amp;date_inventaire,es_taille,'SUIVI STOCKS PAR PAYSAN'!$AX$7)-SUMIFS(v_Pièces,v_Taille,'SUIVI STOCKS PAR PAYSAN'!$AX$7,v_conc_prod_tye_affinage,'SUIVI STOCKS PAR PAYSAN'!$I50,v_Date_commande,"&gt;"&amp;date_inventaire)</f>
        <v>0</v>
      </c>
      <c r="AY50" s="342">
        <f ca="1">SUMIFS(bddres_pieces,'BDD RESERVATIONS'!$G:$G,'SUIVI STOCKS PAR PAYSAN'!$AX$7,bddres_c_prod_type_aff,'SUIVI STOCKS PAR PAYSAN'!$I50,'BDD RESERVATIONS'!$B:$B,"&gt;"&amp;date_inventaire)</f>
        <v>0</v>
      </c>
      <c r="AZ50" s="343">
        <f ca="1">SUMIFS(es_pieces,es_prod_type_affinage,'SUIVI STOCKS PAR PAYSAN'!$I50,es_date_entree,"&gt;"&amp;date_inventaire,es_taille,'SUIVI STOCKS PAR PAYSAN'!$AZ$7)-SUMIFS(v_Pièces,v_Taille,'SUIVI STOCKS PAR PAYSAN'!$AZ$7,v_conc_prod_tye_affinage,'SUIVI STOCKS PAR PAYSAN'!$I50,v_Date_commande,"&gt;"&amp;date_inventaire)</f>
        <v>0</v>
      </c>
      <c r="BA50" s="353">
        <f ca="1">SUMIFS(bddres_pieces,'BDD RESERVATIONS'!$G:$G,'SUIVI STOCKS PAR PAYSAN'!$AZ$7,bddres_c_prod_type_aff,'SUIVI STOCKS PAR PAYSAN'!$I50,'BDD RESERVATIONS'!$B:$B,"&gt;"&amp;date_inventaire)</f>
        <v>0</v>
      </c>
      <c r="BB50" s="313">
        <f ca="1">SUMIFS(es_poids,es_prod_type_affinage,'SUIVI STOCKS PAR PAYSAN'!$J50,es_date_entree,"&gt;"&amp;date_inventaire)-SUMIFS(v_Poids,v_conc_prod_tye_affinage,'SUIVI STOCKS PAR PAYSAN'!$J50,v_Date_commande,"&gt;"&amp;date_inventaire)</f>
        <v>0</v>
      </c>
      <c r="BC50" s="313">
        <f ca="1">SUMIFS(bddres_c_qte,bddres_c_prod_type_aff,'SUIVI STOCKS PAR PAYSAN'!J50,'BDD RESERVATIONS'!$B:$B,"&gt;"&amp;date_inventaire)</f>
        <v>0</v>
      </c>
      <c r="BD50" s="342">
        <f ca="1">SUMIFS(bddres_pieces,es_prod_type_affinage,'SUIVI STOCKS PAR PAYSAN'!$J50,es_date_entree,"&gt;"&amp;date_inventaire,es_taille,'SUIVI STOCKS PAR PAYSAN'!$BD$7)-SUMIFS(v_Pièces,v_Taille,'SUIVI STOCKS PAR PAYSAN'!$BD$7,v_conc_prod_tye_affinage,'SUIVI STOCKS PAR PAYSAN'!$J50,v_Date_commande,"&gt;"&amp;date_inventaire)</f>
        <v>0</v>
      </c>
      <c r="BE50" s="326">
        <f ca="1">SUMIFS(bddres_pieces,'BDD RESERVATIONS'!$G:$G,'SUIVI STOCKS PAR PAYSAN'!BD45,bddres_c_prod_type_aff,'SUIVI STOCKS PAR PAYSAN'!J50,'BDD RESERVATIONS'!$B:$B,"&gt;"&amp;date_inventaire)</f>
        <v>0</v>
      </c>
      <c r="BF50" s="343">
        <f ca="1">SUMIFS(es_pieces,es_prod_type_affinage,'SUIVI STOCKS PAR PAYSAN'!J50,es_date_entree,"&gt;"&amp;date_inventaire,es_taille,'SUIVI STOCKS PAR PAYSAN'!$BF$7)-SUMIFS(v_Pièces,v_Taille,'SUIVI STOCKS PAR PAYSAN'!$BF$7,v_conc_prod_tye_affinage,'SUIVI STOCKS PAR PAYSAN'!J50,v_Date_commande,"&gt;"&amp;date_inventaire)</f>
        <v>0</v>
      </c>
      <c r="BG50" s="353">
        <f ca="1">SUMIFS(bddres_pieces,'BDD RESERVATIONS'!$G:$G,'SUIVI STOCKS PAR PAYSAN'!$BF$7,bddres_c_prod_type_aff,'SUIVI STOCKS PAR PAYSAN'!J50,'BDD RESERVATIONS'!$B:$B,"&gt;"&amp;date_inventaire)</f>
        <v>0</v>
      </c>
    </row>
    <row r="51" spans="1:59" ht="18.75" customHeight="1" x14ac:dyDescent="0.25">
      <c r="A51" s="331">
        <f ca="1">OFFSET('BDD PAYSANS'!$B$1,B51,0,1,1)</f>
        <v>0</v>
      </c>
      <c r="B51" s="325">
        <v>40</v>
      </c>
      <c r="C51" s="325" t="str">
        <f t="shared" ca="1" si="2"/>
        <v>0FERMIER&lt;3 mois</v>
      </c>
      <c r="D51" s="325" t="str">
        <f t="shared" ca="1" si="2"/>
        <v>0FERMIER3-6 mois</v>
      </c>
      <c r="E51" s="325" t="str">
        <f t="shared" ca="1" si="2"/>
        <v>0FERMIER6-9 mois</v>
      </c>
      <c r="F51" s="325" t="str">
        <f t="shared" ca="1" si="2"/>
        <v>0FERMIER&gt;9 mois</v>
      </c>
      <c r="G51" s="325" t="str">
        <f t="shared" ca="1" si="2"/>
        <v>0ESTIVE&lt;3 mois</v>
      </c>
      <c r="H51" s="325" t="str">
        <f t="shared" ca="1" si="2"/>
        <v>0ESTIVE3-6 mois</v>
      </c>
      <c r="I51" s="325" t="str">
        <f t="shared" ca="1" si="2"/>
        <v>0ESTIVE6-9 mois</v>
      </c>
      <c r="J51" s="325" t="str">
        <f t="shared" ca="1" si="2"/>
        <v>0ESTIVE&gt;9 mois</v>
      </c>
      <c r="K51" s="325"/>
      <c r="L51" s="352">
        <f ca="1">SUMIFS(es_poids,es_prod_type_affinage,'SUIVI STOCKS PAR PAYSAN'!$C51,es_date_entree,"&gt;"&amp;date_inventaire)-SUMIFS(v_Poids,v_conc_prod_tye_affinage,'SUIVI STOCKS PAR PAYSAN'!$C51,v_Date_commande,"&gt;"&amp;date_inventaire)</f>
        <v>0</v>
      </c>
      <c r="M51" s="341">
        <f ca="1">SUMIFS(bddres_c_qte,bddres_c_prod_type_aff,'SUIVI STOCKS PAR PAYSAN'!C51,'BDD RESERVATIONS'!$B:$B,"&gt;"&amp;date_inventaire)</f>
        <v>0</v>
      </c>
      <c r="N51" s="342">
        <f ca="1">SUMIFS(bddres_pieces,es_prod_type_affinage,'SUIVI STOCKS PAR PAYSAN'!$C51,es_date_entree,"&gt;"&amp;date_inventaire,es_taille,'SUIVI STOCKS PAR PAYSAN'!$N$7)-SUMIFS(v_Pièces,v_Taille,'SUIVI STOCKS PAR PAYSAN'!$N$7,v_conc_prod_tye_affinage,'SUIVI STOCKS PAR PAYSAN'!$C51,v_Date_commande,"&gt;"&amp;date_inventaire)</f>
        <v>0</v>
      </c>
      <c r="O51" s="342">
        <f ca="1">SUMIFS(bddres_pieces,'BDD RESERVATIONS'!$G:$G,'SUIVI STOCKS PAR PAYSAN'!$N$7,bddres_c_prod_type_aff,'SUIVI STOCKS PAR PAYSAN'!$C51,'BDD RESERVATIONS'!$B:$B,"&gt;"&amp;date_inventaire)</f>
        <v>0</v>
      </c>
      <c r="P51" s="343">
        <f ca="1">SUMIFS(es_pieces,es_prod_type_affinage,'SUIVI STOCKS PAR PAYSAN'!$C51,es_date_entree,"&gt;"&amp;date_inventaire,es_taille,'SUIVI STOCKS PAR PAYSAN'!$P$7)-SUMIFS(v_Pièces,v_Taille,'SUIVI STOCKS PAR PAYSAN'!$P$7,v_conc_prod_tye_affinage,'SUIVI STOCKS PAR PAYSAN'!$C51,v_Date_commande,"&gt;"&amp;date_inventaire)</f>
        <v>0</v>
      </c>
      <c r="Q51" s="353">
        <f ca="1">SUMIFS(bddres_pieces,'BDD RESERVATIONS'!$G:$G,'SUIVI STOCKS PAR PAYSAN'!$P$7,bddres_c_prod_type_aff,'SUIVI STOCKS PAR PAYSAN'!$C51,'BDD RESERVATIONS'!$B:$B,"&gt;"&amp;date_inventaire)</f>
        <v>0</v>
      </c>
      <c r="R51" s="340">
        <f ca="1">SUMIFS(es_poids,es_prod_type_affinage,'SUIVI STOCKS PAR PAYSAN'!$D51,es_date_entree,"&gt;"&amp;date_inventaire)-SUMIFS(v_Poids,v_conc_prod_tye_affinage,'SUIVI STOCKS PAR PAYSAN'!$D51,v_Date_commande,"&gt;"&amp;date_inventaire)</f>
        <v>0</v>
      </c>
      <c r="S51" s="341">
        <f ca="1">SUMIFS(bddres_c_qte,bddres_c_prod_type_aff,'SUIVI STOCKS PAR PAYSAN'!D51,'BDD RESERVATIONS'!$B:$B,"&gt;"&amp;date_inventaire)</f>
        <v>0</v>
      </c>
      <c r="T51" s="342">
        <f ca="1">SUMIFS(bddres_pieces,es_prod_type_affinage,'SUIVI STOCKS PAR PAYSAN'!$D51,es_date_entree,"&gt;"&amp;date_inventaire,es_taille,'SUIVI STOCKS PAR PAYSAN'!$T$7)-SUMIFS(v_Pièces,v_Taille,'SUIVI STOCKS PAR PAYSAN'!$T$7,v_conc_prod_tye_affinage,'SUIVI STOCKS PAR PAYSAN'!$D51,v_Date_commande,"&gt;"&amp;date_inventaire)</f>
        <v>0</v>
      </c>
      <c r="U51" s="342">
        <f ca="1">SUMIFS(bddres_pieces,'BDD RESERVATIONS'!$G:$G,'SUIVI STOCKS PAR PAYSAN'!$T$7,bddres_c_prod_type_aff,'SUIVI STOCKS PAR PAYSAN'!$D51,'BDD RESERVATIONS'!$B:$B,"&gt;"&amp;date_inventaire)</f>
        <v>0</v>
      </c>
      <c r="V51" s="343">
        <f ca="1">SUMIFS(es_pieces,es_prod_type_affinage,'SUIVI STOCKS PAR PAYSAN'!$D51,es_date_entree,"&gt;"&amp;date_inventaire,es_taille,'SUIVI STOCKS PAR PAYSAN'!$V$7)-SUMIFS(v_Pièces,v_Taille,'SUIVI STOCKS PAR PAYSAN'!$V$7,v_conc_prod_tye_affinage,'SUIVI STOCKS PAR PAYSAN'!$D51,v_Date_commande,"&gt;"&amp;date_inventaire)</f>
        <v>0</v>
      </c>
      <c r="W51" s="353">
        <f ca="1">SUMIFS(bddres_pieces,'BDD RESERVATIONS'!$G:$G,'SUIVI STOCKS PAR PAYSAN'!$V$7,bddres_c_prod_type_aff,'SUIVI STOCKS PAR PAYSAN'!$D51,'BDD RESERVATIONS'!$B:$B,"&gt;"&amp;date_inventaire)</f>
        <v>0</v>
      </c>
      <c r="X51" s="313">
        <f ca="1">SUMIFS(es_poids,es_prod_type_affinage,'SUIVI STOCKS PAR PAYSAN'!$E51,es_date_entree,"&gt;"&amp;date_inventaire)-SUMIFS(v_Poids,v_conc_prod_tye_affinage,'SUIVI STOCKS PAR PAYSAN'!$E51,v_Date_commande,"&gt;"&amp;date_inventaire)</f>
        <v>0</v>
      </c>
      <c r="Y51" s="341">
        <f ca="1">SUMIFS(bddres_c_qte,bddres_c_prod_type_aff,'SUIVI STOCKS PAR PAYSAN'!E51,'BDD RESERVATIONS'!$B:$B,"&gt;"&amp;date_inventaire)</f>
        <v>0</v>
      </c>
      <c r="Z51" s="342">
        <f ca="1">SUMIFS(bddres_pieces,es_prod_type_affinage,'SUIVI STOCKS PAR PAYSAN'!$E51,es_date_entree,"&gt;"&amp;date_inventaire,es_taille,'SUIVI STOCKS PAR PAYSAN'!$Z$7)-SUMIFS(v_Pièces,v_Taille,'SUIVI STOCKS PAR PAYSAN'!$Z$7,v_conc_prod_tye_affinage,'SUIVI STOCKS PAR PAYSAN'!$E51,v_Date_commande,"&gt;"&amp;date_inventaire)</f>
        <v>0</v>
      </c>
      <c r="AA51" s="342">
        <f ca="1">SUMIFS(bddres_pieces,'BDD RESERVATIONS'!$G:$G,'SUIVI STOCKS PAR PAYSAN'!$Z$7,bddres_c_prod_type_aff,'SUIVI STOCKS PAR PAYSAN'!$E51,'BDD RESERVATIONS'!$B:$B,"&gt;"&amp;date_inventaire)</f>
        <v>0</v>
      </c>
      <c r="AB51" s="343">
        <f ca="1">SUMIFS(es_pieces,es_prod_type_affinage,'SUIVI STOCKS PAR PAYSAN'!$E51,es_date_entree,"&gt;"&amp;date_inventaire,es_taille,'SUIVI STOCKS PAR PAYSAN'!$AB$7)-SUMIFS(v_Pièces,v_Taille,'SUIVI STOCKS PAR PAYSAN'!$AB$7,v_conc_prod_tye_affinage,'SUIVI STOCKS PAR PAYSAN'!$E51,v_Date_commande,"&gt;"&amp;date_inventaire)</f>
        <v>0</v>
      </c>
      <c r="AC51" s="353">
        <f ca="1">SUMIFS(bddres_pieces,'BDD RESERVATIONS'!$G:$G,'SUIVI STOCKS PAR PAYSAN'!$AB$7,bddres_c_prod_type_aff,'SUIVI STOCKS PAR PAYSAN'!$E51,'BDD RESERVATIONS'!$B:$B,"&gt;"&amp;date_inventaire)</f>
        <v>0</v>
      </c>
      <c r="AD51" s="313">
        <f ca="1">SUMIFS(es_poids,es_prod_type_affinage,'SUIVI STOCKS PAR PAYSAN'!$F51,es_date_entree,"&gt;"&amp;date_inventaire)-SUMIFS(v_Poids,v_conc_prod_tye_affinage,'SUIVI STOCKS PAR PAYSAN'!$F51,v_Date_commande,"&gt;"&amp;date_inventaire)</f>
        <v>0</v>
      </c>
      <c r="AE51" s="341">
        <f ca="1">SUMIFS(bddres_c_qte,bddres_c_prod_type_aff,'SUIVI STOCKS PAR PAYSAN'!F51,'BDD RESERVATIONS'!$B:$B,"&gt;"&amp;date_inventaire)</f>
        <v>0</v>
      </c>
      <c r="AF51" s="342">
        <f ca="1">SUMIFS(bddres_pieces,es_prod_type_affinage,'SUIVI STOCKS PAR PAYSAN'!$F51,es_date_entree,"&gt;"&amp;date_inventaire,es_taille,'SUIVI STOCKS PAR PAYSAN'!$Z$7)-SUMIFS(v_Pièces,v_Taille,'SUIVI STOCKS PAR PAYSAN'!$Z$7,v_conc_prod_tye_affinage,'SUIVI STOCKS PAR PAYSAN'!$F51,v_Date_commande,"&gt;"&amp;date_inventaire)</f>
        <v>0</v>
      </c>
      <c r="AG51" s="342">
        <f ca="1">SUMIFS(bddres_pieces,'BDD RESERVATIONS'!$G:$G,'SUIVI STOCKS PAR PAYSAN'!$Z$7,bddres_c_prod_type_aff,'SUIVI STOCKS PAR PAYSAN'!$F51,'BDD RESERVATIONS'!$B:$B,"&gt;"&amp;date_inventaire)</f>
        <v>0</v>
      </c>
      <c r="AH51" s="343">
        <f ca="1">SUMIFS(es_pieces,es_prod_type_affinage,'SUIVI STOCKS PAR PAYSAN'!$F51,es_date_entree,"&gt;"&amp;date_inventaire,es_taille,'SUIVI STOCKS PAR PAYSAN'!$AH$7)-SUMIFS(v_Pièces,v_Taille,'SUIVI STOCKS PAR PAYSAN'!$AH$7,v_conc_prod_tye_affinage,'SUIVI STOCKS PAR PAYSAN'!$F51,v_Date_commande,"&gt;"&amp;date_inventaire)</f>
        <v>0</v>
      </c>
      <c r="AI51" s="353">
        <f ca="1">SUMIFS(bddres_pieces,'BDD RESERVATIONS'!$G:$G,'SUIVI STOCKS PAR PAYSAN'!$AB$7,bddres_c_prod_type_aff,'SUIVI STOCKS PAR PAYSAN'!$F51,'BDD RESERVATIONS'!$B:$B,"&gt;"&amp;date_inventaire)</f>
        <v>0</v>
      </c>
      <c r="AJ51" s="352">
        <f ca="1">SUMIFS(es_poids,es_prod_type_affinage,'SUIVI STOCKS PAR PAYSAN'!$G51,es_date_entree,"&gt;"&amp;date_inventaire)-SUMIFS(v_Poids,v_conc_prod_tye_affinage,'SUIVI STOCKS PAR PAYSAN'!$G51,v_Date_commande,"&gt;"&amp;date_inventaire)</f>
        <v>0</v>
      </c>
      <c r="AK51" s="341">
        <f ca="1">SUMIFS(bddres_c_qte,bddres_c_prod_type_aff,'SUIVI STOCKS PAR PAYSAN'!G51,'BDD RESERVATIONS'!$B:$B,"&gt;"&amp;date_inventaire)</f>
        <v>0</v>
      </c>
      <c r="AL51" s="342">
        <f ca="1">SUMIFS(bddres_pieces,es_prod_type_affinage,'SUIVI STOCKS PAR PAYSAN'!$G51,es_date_entree,"&gt;"&amp;date_inventaire,es_taille,'SUIVI STOCKS PAR PAYSAN'!$AL$7)-SUMIFS(v_Pièces,v_Taille,'SUIVI STOCKS PAR PAYSAN'!$AL$7,v_conc_prod_tye_affinage,'SUIVI STOCKS PAR PAYSAN'!$G51,v_Date_commande,"&gt;"&amp;date_inventaire)</f>
        <v>0</v>
      </c>
      <c r="AM51" s="342">
        <f ca="1">SUMIFS(bddres_pieces,'BDD RESERVATIONS'!$G:$G,'SUIVI STOCKS PAR PAYSAN'!$AL$7,bddres_c_prod_type_aff,'SUIVI STOCKS PAR PAYSAN'!$G51,'BDD RESERVATIONS'!$B:$B,"&gt;"&amp;date_inventaire)</f>
        <v>0</v>
      </c>
      <c r="AN51" s="343">
        <f ca="1">SUMIFS(es_pieces,es_prod_type_affinage,'SUIVI STOCKS PAR PAYSAN'!$G51,es_date_entree,"&gt;"&amp;date_inventaire,es_taille,'SUIVI STOCKS PAR PAYSAN'!$AN$7)-SUMIFS(v_Pièces,v_Taille,'SUIVI STOCKS PAR PAYSAN'!$AN$7,v_conc_prod_tye_affinage,'SUIVI STOCKS PAR PAYSAN'!$G51,v_Date_commande,"&gt;"&amp;date_inventaire)</f>
        <v>0</v>
      </c>
      <c r="AO51" s="353">
        <f ca="1">SUMIFS(bddres_pieces,'BDD RESERVATIONS'!$G:$G,'SUIVI STOCKS PAR PAYSAN'!$AN$7,bddres_c_prod_type_aff,'SUIVI STOCKS PAR PAYSAN'!$G51,'BDD RESERVATIONS'!$B:$B,"&gt;"&amp;date_inventaire)</f>
        <v>0</v>
      </c>
      <c r="AP51" s="313">
        <f ca="1">SUMIFS(es_poids,es_prod_type_affinage,'SUIVI STOCKS PAR PAYSAN'!$H51,es_date_entree,"&gt;"&amp;date_inventaire)-SUMIFS(v_Poids,v_conc_prod_tye_affinage,'SUIVI STOCKS PAR PAYSAN'!$H51,v_Date_commande,"&gt;"&amp;date_inventaire)</f>
        <v>0</v>
      </c>
      <c r="AQ51" s="341">
        <f ca="1">SUMIFS(bddres_c_qte,bddres_c_prod_type_aff,'SUIVI STOCKS PAR PAYSAN'!H51,'BDD RESERVATIONS'!$B:$B,"&gt;"&amp;date_inventaire)</f>
        <v>0</v>
      </c>
      <c r="AR51" s="342">
        <f ca="1">SUMIFS(bddres_pieces,es_prod_type_affinage,'SUIVI STOCKS PAR PAYSAN'!$H51,es_date_entree,"&gt;"&amp;date_inventaire,es_taille,'SUIVI STOCKS PAR PAYSAN'!$AR$7)-SUMIFS(v_Pièces,v_Taille,'SUIVI STOCKS PAR PAYSAN'!$AR$7,v_conc_prod_tye_affinage,'SUIVI STOCKS PAR PAYSAN'!$H51,v_Date_commande,"&gt;"&amp;date_inventaire)</f>
        <v>0</v>
      </c>
      <c r="AS51" s="326">
        <f ca="1">SUMIFS(bddres_pieces,'BDD RESERVATIONS'!$G:$G,'SUIVI STOCKS PAR PAYSAN'!AR46,bddres_c_prod_type_aff,'SUIVI STOCKS PAR PAYSAN'!$H51,'BDD RESERVATIONS'!$B:$B,"&gt;"&amp;date_inventaire)</f>
        <v>0</v>
      </c>
      <c r="AT51" s="343">
        <f ca="1">SUMIFS(es_pieces,es_prod_type_affinage,'SUIVI STOCKS PAR PAYSAN'!$H51,es_date_entree,"&gt;"&amp;date_inventaire,es_taille,'SUIVI STOCKS PAR PAYSAN'!$AT$7)-SUMIFS(v_Pièces,v_Taille,'SUIVI STOCKS PAR PAYSAN'!$AT$7,v_conc_prod_tye_affinage,'SUIVI STOCKS PAR PAYSAN'!$H51,v_Date_commande,"&gt;"&amp;date_inventaire)</f>
        <v>0</v>
      </c>
      <c r="AU51" s="353">
        <f ca="1">SUMIFS(bddres_pieces,'BDD RESERVATIONS'!$G:$G,'SUIVI STOCKS PAR PAYSAN'!$AT$7,bddres_c_prod_type_aff,'SUIVI STOCKS PAR PAYSAN'!$H51,'BDD RESERVATIONS'!$B:$B,"&gt;"&amp;date_inventaire)</f>
        <v>0</v>
      </c>
      <c r="AV51" s="313">
        <f ca="1">SUMIFS(es_poids,es_prod_type_affinage,'SUIVI STOCKS PAR PAYSAN'!$I51,es_date_entree,"&gt;"&amp;date_inventaire)-SUMIFS(v_Poids,v_conc_prod_tye_affinage,'SUIVI STOCKS PAR PAYSAN'!$E51,v_Date_commande,"&gt;"&amp;date_inventaire)</f>
        <v>0</v>
      </c>
      <c r="AW51" s="313">
        <f ca="1">SUMIFS(bddres_c_qte,bddres_c_prod_type_aff,'SUIVI STOCKS PAR PAYSAN'!I51,'BDD RESERVATIONS'!$B:$B,"&gt;"&amp;date_inventaire)</f>
        <v>0</v>
      </c>
      <c r="AX51" s="342">
        <f ca="1">SUMIFS(bddres_pieces,es_prod_type_affinage,'SUIVI STOCKS PAR PAYSAN'!$I51,es_date_entree,"&gt;"&amp;date_inventaire,es_taille,'SUIVI STOCKS PAR PAYSAN'!$AX$7)-SUMIFS(v_Pièces,v_Taille,'SUIVI STOCKS PAR PAYSAN'!$AX$7,v_conc_prod_tye_affinage,'SUIVI STOCKS PAR PAYSAN'!$I51,v_Date_commande,"&gt;"&amp;date_inventaire)</f>
        <v>0</v>
      </c>
      <c r="AY51" s="342">
        <f ca="1">SUMIFS(bddres_pieces,'BDD RESERVATIONS'!$G:$G,'SUIVI STOCKS PAR PAYSAN'!$AX$7,bddres_c_prod_type_aff,'SUIVI STOCKS PAR PAYSAN'!$I51,'BDD RESERVATIONS'!$B:$B,"&gt;"&amp;date_inventaire)</f>
        <v>0</v>
      </c>
      <c r="AZ51" s="343">
        <f ca="1">SUMIFS(es_pieces,es_prod_type_affinage,'SUIVI STOCKS PAR PAYSAN'!$I51,es_date_entree,"&gt;"&amp;date_inventaire,es_taille,'SUIVI STOCKS PAR PAYSAN'!$AZ$7)-SUMIFS(v_Pièces,v_Taille,'SUIVI STOCKS PAR PAYSAN'!$AZ$7,v_conc_prod_tye_affinage,'SUIVI STOCKS PAR PAYSAN'!$I51,v_Date_commande,"&gt;"&amp;date_inventaire)</f>
        <v>0</v>
      </c>
      <c r="BA51" s="353">
        <f ca="1">SUMIFS(bddres_pieces,'BDD RESERVATIONS'!$G:$G,'SUIVI STOCKS PAR PAYSAN'!$AZ$7,bddres_c_prod_type_aff,'SUIVI STOCKS PAR PAYSAN'!$I51,'BDD RESERVATIONS'!$B:$B,"&gt;"&amp;date_inventaire)</f>
        <v>0</v>
      </c>
      <c r="BB51" s="313">
        <f ca="1">SUMIFS(es_poids,es_prod_type_affinage,'SUIVI STOCKS PAR PAYSAN'!$J51,es_date_entree,"&gt;"&amp;date_inventaire)-SUMIFS(v_Poids,v_conc_prod_tye_affinage,'SUIVI STOCKS PAR PAYSAN'!$J51,v_Date_commande,"&gt;"&amp;date_inventaire)</f>
        <v>0</v>
      </c>
      <c r="BC51" s="313">
        <f ca="1">SUMIFS(bddres_c_qte,bddres_c_prod_type_aff,'SUIVI STOCKS PAR PAYSAN'!J51,'BDD RESERVATIONS'!$B:$B,"&gt;"&amp;date_inventaire)</f>
        <v>0</v>
      </c>
      <c r="BD51" s="342">
        <f ca="1">SUMIFS(bddres_pieces,es_prod_type_affinage,'SUIVI STOCKS PAR PAYSAN'!$J51,es_date_entree,"&gt;"&amp;date_inventaire,es_taille,'SUIVI STOCKS PAR PAYSAN'!$BD$7)-SUMIFS(v_Pièces,v_Taille,'SUIVI STOCKS PAR PAYSAN'!$BD$7,v_conc_prod_tye_affinage,'SUIVI STOCKS PAR PAYSAN'!$J51,v_Date_commande,"&gt;"&amp;date_inventaire)</f>
        <v>0</v>
      </c>
      <c r="BE51" s="326">
        <f ca="1">SUMIFS(bddres_pieces,'BDD RESERVATIONS'!$G:$G,'SUIVI STOCKS PAR PAYSAN'!BD46,bddres_c_prod_type_aff,'SUIVI STOCKS PAR PAYSAN'!J51,'BDD RESERVATIONS'!$B:$B,"&gt;"&amp;date_inventaire)</f>
        <v>0</v>
      </c>
      <c r="BF51" s="343">
        <f ca="1">SUMIFS(es_pieces,es_prod_type_affinage,'SUIVI STOCKS PAR PAYSAN'!J51,es_date_entree,"&gt;"&amp;date_inventaire,es_taille,'SUIVI STOCKS PAR PAYSAN'!$BF$7)-SUMIFS(v_Pièces,v_Taille,'SUIVI STOCKS PAR PAYSAN'!$BF$7,v_conc_prod_tye_affinage,'SUIVI STOCKS PAR PAYSAN'!J51,v_Date_commande,"&gt;"&amp;date_inventaire)</f>
        <v>0</v>
      </c>
      <c r="BG51" s="353">
        <f ca="1">SUMIFS(bddres_pieces,'BDD RESERVATIONS'!$G:$G,'SUIVI STOCKS PAR PAYSAN'!$BF$7,bddres_c_prod_type_aff,'SUIVI STOCKS PAR PAYSAN'!J51,'BDD RESERVATIONS'!$B:$B,"&gt;"&amp;date_inventaire)</f>
        <v>0</v>
      </c>
    </row>
    <row r="52" spans="1:59" ht="18.75" customHeight="1" x14ac:dyDescent="0.25">
      <c r="A52" s="331">
        <f ca="1">OFFSET('BDD PAYSANS'!$B$1,B52,0,1,1)</f>
        <v>0</v>
      </c>
      <c r="B52" s="325">
        <v>41</v>
      </c>
      <c r="C52" s="325" t="str">
        <f t="shared" ca="1" si="2"/>
        <v>0FERMIER&lt;3 mois</v>
      </c>
      <c r="D52" s="325" t="str">
        <f t="shared" ca="1" si="2"/>
        <v>0FERMIER3-6 mois</v>
      </c>
      <c r="E52" s="325" t="str">
        <f t="shared" ca="1" si="2"/>
        <v>0FERMIER6-9 mois</v>
      </c>
      <c r="F52" s="325" t="str">
        <f t="shared" ca="1" si="2"/>
        <v>0FERMIER&gt;9 mois</v>
      </c>
      <c r="G52" s="325" t="str">
        <f t="shared" ca="1" si="2"/>
        <v>0ESTIVE&lt;3 mois</v>
      </c>
      <c r="H52" s="325" t="str">
        <f t="shared" ca="1" si="2"/>
        <v>0ESTIVE3-6 mois</v>
      </c>
      <c r="I52" s="325" t="str">
        <f t="shared" ca="1" si="2"/>
        <v>0ESTIVE6-9 mois</v>
      </c>
      <c r="J52" s="325" t="str">
        <f t="shared" ca="1" si="2"/>
        <v>0ESTIVE&gt;9 mois</v>
      </c>
      <c r="K52" s="325"/>
      <c r="L52" s="352">
        <f ca="1">SUMIFS(es_poids,es_prod_type_affinage,'SUIVI STOCKS PAR PAYSAN'!$C52,es_date_entree,"&gt;"&amp;date_inventaire)-SUMIFS(v_Poids,v_conc_prod_tye_affinage,'SUIVI STOCKS PAR PAYSAN'!$C52,v_Date_commande,"&gt;"&amp;date_inventaire)</f>
        <v>0</v>
      </c>
      <c r="M52" s="341">
        <f ca="1">SUMIFS(bddres_c_qte,bddres_c_prod_type_aff,'SUIVI STOCKS PAR PAYSAN'!C52,'BDD RESERVATIONS'!$B:$B,"&gt;"&amp;date_inventaire)</f>
        <v>0</v>
      </c>
      <c r="N52" s="342">
        <f ca="1">SUMIFS(bddres_pieces,es_prod_type_affinage,'SUIVI STOCKS PAR PAYSAN'!$C52,es_date_entree,"&gt;"&amp;date_inventaire,es_taille,'SUIVI STOCKS PAR PAYSAN'!$N$7)-SUMIFS(v_Pièces,v_Taille,'SUIVI STOCKS PAR PAYSAN'!$N$7,v_conc_prod_tye_affinage,'SUIVI STOCKS PAR PAYSAN'!$C52,v_Date_commande,"&gt;"&amp;date_inventaire)</f>
        <v>0</v>
      </c>
      <c r="O52" s="342">
        <f ca="1">SUMIFS(bddres_pieces,'BDD RESERVATIONS'!$G:$G,'SUIVI STOCKS PAR PAYSAN'!$N$7,bddres_c_prod_type_aff,'SUIVI STOCKS PAR PAYSAN'!$C52,'BDD RESERVATIONS'!$B:$B,"&gt;"&amp;date_inventaire)</f>
        <v>0</v>
      </c>
      <c r="P52" s="343">
        <f ca="1">SUMIFS(es_pieces,es_prod_type_affinage,'SUIVI STOCKS PAR PAYSAN'!$C52,es_date_entree,"&gt;"&amp;date_inventaire,es_taille,'SUIVI STOCKS PAR PAYSAN'!$P$7)-SUMIFS(v_Pièces,v_Taille,'SUIVI STOCKS PAR PAYSAN'!$P$7,v_conc_prod_tye_affinage,'SUIVI STOCKS PAR PAYSAN'!$C52,v_Date_commande,"&gt;"&amp;date_inventaire)</f>
        <v>0</v>
      </c>
      <c r="Q52" s="353">
        <f ca="1">SUMIFS(bddres_pieces,'BDD RESERVATIONS'!$G:$G,'SUIVI STOCKS PAR PAYSAN'!$P$7,bddres_c_prod_type_aff,'SUIVI STOCKS PAR PAYSAN'!$C52,'BDD RESERVATIONS'!$B:$B,"&gt;"&amp;date_inventaire)</f>
        <v>0</v>
      </c>
      <c r="R52" s="340">
        <f ca="1">SUMIFS(es_poids,es_prod_type_affinage,'SUIVI STOCKS PAR PAYSAN'!$D52,es_date_entree,"&gt;"&amp;date_inventaire)-SUMIFS(v_Poids,v_conc_prod_tye_affinage,'SUIVI STOCKS PAR PAYSAN'!$D52,v_Date_commande,"&gt;"&amp;date_inventaire)</f>
        <v>0</v>
      </c>
      <c r="S52" s="341">
        <f ca="1">SUMIFS(bddres_c_qte,bddres_c_prod_type_aff,'SUIVI STOCKS PAR PAYSAN'!D52,'BDD RESERVATIONS'!$B:$B,"&gt;"&amp;date_inventaire)</f>
        <v>0</v>
      </c>
      <c r="T52" s="342">
        <f ca="1">SUMIFS(bddres_pieces,es_prod_type_affinage,'SUIVI STOCKS PAR PAYSAN'!$D52,es_date_entree,"&gt;"&amp;date_inventaire,es_taille,'SUIVI STOCKS PAR PAYSAN'!$T$7)-SUMIFS(v_Pièces,v_Taille,'SUIVI STOCKS PAR PAYSAN'!$T$7,v_conc_prod_tye_affinage,'SUIVI STOCKS PAR PAYSAN'!$D52,v_Date_commande,"&gt;"&amp;date_inventaire)</f>
        <v>0</v>
      </c>
      <c r="U52" s="342">
        <f ca="1">SUMIFS(bddres_pieces,'BDD RESERVATIONS'!$G:$G,'SUIVI STOCKS PAR PAYSAN'!$T$7,bddres_c_prod_type_aff,'SUIVI STOCKS PAR PAYSAN'!$D52,'BDD RESERVATIONS'!$B:$B,"&gt;"&amp;date_inventaire)</f>
        <v>0</v>
      </c>
      <c r="V52" s="343">
        <f ca="1">SUMIFS(es_pieces,es_prod_type_affinage,'SUIVI STOCKS PAR PAYSAN'!$D52,es_date_entree,"&gt;"&amp;date_inventaire,es_taille,'SUIVI STOCKS PAR PAYSAN'!$V$7)-SUMIFS(v_Pièces,v_Taille,'SUIVI STOCKS PAR PAYSAN'!$V$7,v_conc_prod_tye_affinage,'SUIVI STOCKS PAR PAYSAN'!$D52,v_Date_commande,"&gt;"&amp;date_inventaire)</f>
        <v>0</v>
      </c>
      <c r="W52" s="353">
        <f ca="1">SUMIFS(bddres_pieces,'BDD RESERVATIONS'!$G:$G,'SUIVI STOCKS PAR PAYSAN'!$V$7,bddres_c_prod_type_aff,'SUIVI STOCKS PAR PAYSAN'!$D52,'BDD RESERVATIONS'!$B:$B,"&gt;"&amp;date_inventaire)</f>
        <v>0</v>
      </c>
      <c r="X52" s="313">
        <f ca="1">SUMIFS(es_poids,es_prod_type_affinage,'SUIVI STOCKS PAR PAYSAN'!$E52,es_date_entree,"&gt;"&amp;date_inventaire)-SUMIFS(v_Poids,v_conc_prod_tye_affinage,'SUIVI STOCKS PAR PAYSAN'!$E52,v_Date_commande,"&gt;"&amp;date_inventaire)</f>
        <v>0</v>
      </c>
      <c r="Y52" s="341">
        <f ca="1">SUMIFS(bddres_c_qte,bddres_c_prod_type_aff,'SUIVI STOCKS PAR PAYSAN'!E52,'BDD RESERVATIONS'!$B:$B,"&gt;"&amp;date_inventaire)</f>
        <v>0</v>
      </c>
      <c r="Z52" s="342">
        <f ca="1">SUMIFS(bddres_pieces,es_prod_type_affinage,'SUIVI STOCKS PAR PAYSAN'!$E52,es_date_entree,"&gt;"&amp;date_inventaire,es_taille,'SUIVI STOCKS PAR PAYSAN'!$Z$7)-SUMIFS(v_Pièces,v_Taille,'SUIVI STOCKS PAR PAYSAN'!$Z$7,v_conc_prod_tye_affinage,'SUIVI STOCKS PAR PAYSAN'!$E52,v_Date_commande,"&gt;"&amp;date_inventaire)</f>
        <v>0</v>
      </c>
      <c r="AA52" s="342">
        <f ca="1">SUMIFS(bddres_pieces,'BDD RESERVATIONS'!$G:$G,'SUIVI STOCKS PAR PAYSAN'!$Z$7,bddres_c_prod_type_aff,'SUIVI STOCKS PAR PAYSAN'!$E52,'BDD RESERVATIONS'!$B:$B,"&gt;"&amp;date_inventaire)</f>
        <v>0</v>
      </c>
      <c r="AB52" s="343">
        <f ca="1">SUMIFS(es_pieces,es_prod_type_affinage,'SUIVI STOCKS PAR PAYSAN'!$E52,es_date_entree,"&gt;"&amp;date_inventaire,es_taille,'SUIVI STOCKS PAR PAYSAN'!$AB$7)-SUMIFS(v_Pièces,v_Taille,'SUIVI STOCKS PAR PAYSAN'!$AB$7,v_conc_prod_tye_affinage,'SUIVI STOCKS PAR PAYSAN'!$E52,v_Date_commande,"&gt;"&amp;date_inventaire)</f>
        <v>0</v>
      </c>
      <c r="AC52" s="353">
        <f ca="1">SUMIFS(bddres_pieces,'BDD RESERVATIONS'!$G:$G,'SUIVI STOCKS PAR PAYSAN'!$AB$7,bddres_c_prod_type_aff,'SUIVI STOCKS PAR PAYSAN'!$E52,'BDD RESERVATIONS'!$B:$B,"&gt;"&amp;date_inventaire)</f>
        <v>0</v>
      </c>
      <c r="AD52" s="313">
        <f ca="1">SUMIFS(es_poids,es_prod_type_affinage,'SUIVI STOCKS PAR PAYSAN'!$F52,es_date_entree,"&gt;"&amp;date_inventaire)-SUMIFS(v_Poids,v_conc_prod_tye_affinage,'SUIVI STOCKS PAR PAYSAN'!$F52,v_Date_commande,"&gt;"&amp;date_inventaire)</f>
        <v>0</v>
      </c>
      <c r="AE52" s="341">
        <f ca="1">SUMIFS(bddres_c_qte,bddres_c_prod_type_aff,'SUIVI STOCKS PAR PAYSAN'!F52,'BDD RESERVATIONS'!$B:$B,"&gt;"&amp;date_inventaire)</f>
        <v>0</v>
      </c>
      <c r="AF52" s="342">
        <f ca="1">SUMIFS(bddres_pieces,es_prod_type_affinage,'SUIVI STOCKS PAR PAYSAN'!$F52,es_date_entree,"&gt;"&amp;date_inventaire,es_taille,'SUIVI STOCKS PAR PAYSAN'!$Z$7)-SUMIFS(v_Pièces,v_Taille,'SUIVI STOCKS PAR PAYSAN'!$Z$7,v_conc_prod_tye_affinage,'SUIVI STOCKS PAR PAYSAN'!$F52,v_Date_commande,"&gt;"&amp;date_inventaire)</f>
        <v>0</v>
      </c>
      <c r="AG52" s="342">
        <f ca="1">SUMIFS(bddres_pieces,'BDD RESERVATIONS'!$G:$G,'SUIVI STOCKS PAR PAYSAN'!$Z$7,bddres_c_prod_type_aff,'SUIVI STOCKS PAR PAYSAN'!$F52,'BDD RESERVATIONS'!$B:$B,"&gt;"&amp;date_inventaire)</f>
        <v>0</v>
      </c>
      <c r="AH52" s="343">
        <f ca="1">SUMIFS(es_pieces,es_prod_type_affinage,'SUIVI STOCKS PAR PAYSAN'!$F52,es_date_entree,"&gt;"&amp;date_inventaire,es_taille,'SUIVI STOCKS PAR PAYSAN'!$AH$7)-SUMIFS(v_Pièces,v_Taille,'SUIVI STOCKS PAR PAYSAN'!$AH$7,v_conc_prod_tye_affinage,'SUIVI STOCKS PAR PAYSAN'!$F52,v_Date_commande,"&gt;"&amp;date_inventaire)</f>
        <v>0</v>
      </c>
      <c r="AI52" s="353">
        <f ca="1">SUMIFS(bddres_pieces,'BDD RESERVATIONS'!$G:$G,'SUIVI STOCKS PAR PAYSAN'!$AB$7,bddres_c_prod_type_aff,'SUIVI STOCKS PAR PAYSAN'!$F52,'BDD RESERVATIONS'!$B:$B,"&gt;"&amp;date_inventaire)</f>
        <v>0</v>
      </c>
      <c r="AJ52" s="352">
        <f ca="1">SUMIFS(es_poids,es_prod_type_affinage,'SUIVI STOCKS PAR PAYSAN'!$G52,es_date_entree,"&gt;"&amp;date_inventaire)-SUMIFS(v_Poids,v_conc_prod_tye_affinage,'SUIVI STOCKS PAR PAYSAN'!$G52,v_Date_commande,"&gt;"&amp;date_inventaire)</f>
        <v>0</v>
      </c>
      <c r="AK52" s="341">
        <f ca="1">SUMIFS(bddres_c_qte,bddres_c_prod_type_aff,'SUIVI STOCKS PAR PAYSAN'!G52,'BDD RESERVATIONS'!$B:$B,"&gt;"&amp;date_inventaire)</f>
        <v>0</v>
      </c>
      <c r="AL52" s="342">
        <f ca="1">SUMIFS(bddres_pieces,es_prod_type_affinage,'SUIVI STOCKS PAR PAYSAN'!$G52,es_date_entree,"&gt;"&amp;date_inventaire,es_taille,'SUIVI STOCKS PAR PAYSAN'!$AL$7)-SUMIFS(v_Pièces,v_Taille,'SUIVI STOCKS PAR PAYSAN'!$AL$7,v_conc_prod_tye_affinage,'SUIVI STOCKS PAR PAYSAN'!$G52,v_Date_commande,"&gt;"&amp;date_inventaire)</f>
        <v>0</v>
      </c>
      <c r="AM52" s="342">
        <f ca="1">SUMIFS(bddres_pieces,'BDD RESERVATIONS'!$G:$G,'SUIVI STOCKS PAR PAYSAN'!$AL$7,bddres_c_prod_type_aff,'SUIVI STOCKS PAR PAYSAN'!$G52,'BDD RESERVATIONS'!$B:$B,"&gt;"&amp;date_inventaire)</f>
        <v>0</v>
      </c>
      <c r="AN52" s="343">
        <f ca="1">SUMIFS(es_pieces,es_prod_type_affinage,'SUIVI STOCKS PAR PAYSAN'!$G52,es_date_entree,"&gt;"&amp;date_inventaire,es_taille,'SUIVI STOCKS PAR PAYSAN'!$AN$7)-SUMIFS(v_Pièces,v_Taille,'SUIVI STOCKS PAR PAYSAN'!$AN$7,v_conc_prod_tye_affinage,'SUIVI STOCKS PAR PAYSAN'!$G52,v_Date_commande,"&gt;"&amp;date_inventaire)</f>
        <v>0</v>
      </c>
      <c r="AO52" s="353">
        <f ca="1">SUMIFS(bddres_pieces,'BDD RESERVATIONS'!$G:$G,'SUIVI STOCKS PAR PAYSAN'!$AN$7,bddres_c_prod_type_aff,'SUIVI STOCKS PAR PAYSAN'!$G52,'BDD RESERVATIONS'!$B:$B,"&gt;"&amp;date_inventaire)</f>
        <v>0</v>
      </c>
      <c r="AP52" s="313">
        <f ca="1">SUMIFS(es_poids,es_prod_type_affinage,'SUIVI STOCKS PAR PAYSAN'!$H52,es_date_entree,"&gt;"&amp;date_inventaire)-SUMIFS(v_Poids,v_conc_prod_tye_affinage,'SUIVI STOCKS PAR PAYSAN'!$H52,v_Date_commande,"&gt;"&amp;date_inventaire)</f>
        <v>0</v>
      </c>
      <c r="AQ52" s="341">
        <f ca="1">SUMIFS(bddres_c_qte,bddres_c_prod_type_aff,'SUIVI STOCKS PAR PAYSAN'!H52,'BDD RESERVATIONS'!$B:$B,"&gt;"&amp;date_inventaire)</f>
        <v>0</v>
      </c>
      <c r="AR52" s="342">
        <f ca="1">SUMIFS(bddres_pieces,es_prod_type_affinage,'SUIVI STOCKS PAR PAYSAN'!$H52,es_date_entree,"&gt;"&amp;date_inventaire,es_taille,'SUIVI STOCKS PAR PAYSAN'!$AR$7)-SUMIFS(v_Pièces,v_Taille,'SUIVI STOCKS PAR PAYSAN'!$AR$7,v_conc_prod_tye_affinage,'SUIVI STOCKS PAR PAYSAN'!$H52,v_Date_commande,"&gt;"&amp;date_inventaire)</f>
        <v>0</v>
      </c>
      <c r="AS52" s="326">
        <f ca="1">SUMIFS(bddres_pieces,'BDD RESERVATIONS'!$G:$G,'SUIVI STOCKS PAR PAYSAN'!AR47,bddres_c_prod_type_aff,'SUIVI STOCKS PAR PAYSAN'!$H52,'BDD RESERVATIONS'!$B:$B,"&gt;"&amp;date_inventaire)</f>
        <v>0</v>
      </c>
      <c r="AT52" s="343">
        <f ca="1">SUMIFS(es_pieces,es_prod_type_affinage,'SUIVI STOCKS PAR PAYSAN'!$H52,es_date_entree,"&gt;"&amp;date_inventaire,es_taille,'SUIVI STOCKS PAR PAYSAN'!$AT$7)-SUMIFS(v_Pièces,v_Taille,'SUIVI STOCKS PAR PAYSAN'!$AT$7,v_conc_prod_tye_affinage,'SUIVI STOCKS PAR PAYSAN'!$H52,v_Date_commande,"&gt;"&amp;date_inventaire)</f>
        <v>0</v>
      </c>
      <c r="AU52" s="353">
        <f ca="1">SUMIFS(bddres_pieces,'BDD RESERVATIONS'!$G:$G,'SUIVI STOCKS PAR PAYSAN'!$AT$7,bddres_c_prod_type_aff,'SUIVI STOCKS PAR PAYSAN'!$H52,'BDD RESERVATIONS'!$B:$B,"&gt;"&amp;date_inventaire)</f>
        <v>0</v>
      </c>
      <c r="AV52" s="313">
        <f ca="1">SUMIFS(es_poids,es_prod_type_affinage,'SUIVI STOCKS PAR PAYSAN'!$I52,es_date_entree,"&gt;"&amp;date_inventaire)-SUMIFS(v_Poids,v_conc_prod_tye_affinage,'SUIVI STOCKS PAR PAYSAN'!$E52,v_Date_commande,"&gt;"&amp;date_inventaire)</f>
        <v>0</v>
      </c>
      <c r="AW52" s="313">
        <f ca="1">SUMIFS(bddres_c_qte,bddres_c_prod_type_aff,'SUIVI STOCKS PAR PAYSAN'!I52,'BDD RESERVATIONS'!$B:$B,"&gt;"&amp;date_inventaire)</f>
        <v>0</v>
      </c>
      <c r="AX52" s="342">
        <f ca="1">SUMIFS(bddres_pieces,es_prod_type_affinage,'SUIVI STOCKS PAR PAYSAN'!$I52,es_date_entree,"&gt;"&amp;date_inventaire,es_taille,'SUIVI STOCKS PAR PAYSAN'!$AX$7)-SUMIFS(v_Pièces,v_Taille,'SUIVI STOCKS PAR PAYSAN'!$AX$7,v_conc_prod_tye_affinage,'SUIVI STOCKS PAR PAYSAN'!$I52,v_Date_commande,"&gt;"&amp;date_inventaire)</f>
        <v>0</v>
      </c>
      <c r="AY52" s="342">
        <f ca="1">SUMIFS(bddres_pieces,'BDD RESERVATIONS'!$G:$G,'SUIVI STOCKS PAR PAYSAN'!$AX$7,bddres_c_prod_type_aff,'SUIVI STOCKS PAR PAYSAN'!$I52,'BDD RESERVATIONS'!$B:$B,"&gt;"&amp;date_inventaire)</f>
        <v>0</v>
      </c>
      <c r="AZ52" s="343">
        <f ca="1">SUMIFS(es_pieces,es_prod_type_affinage,'SUIVI STOCKS PAR PAYSAN'!$I52,es_date_entree,"&gt;"&amp;date_inventaire,es_taille,'SUIVI STOCKS PAR PAYSAN'!$AZ$7)-SUMIFS(v_Pièces,v_Taille,'SUIVI STOCKS PAR PAYSAN'!$AZ$7,v_conc_prod_tye_affinage,'SUIVI STOCKS PAR PAYSAN'!$I52,v_Date_commande,"&gt;"&amp;date_inventaire)</f>
        <v>0</v>
      </c>
      <c r="BA52" s="353">
        <f ca="1">SUMIFS(bddres_pieces,'BDD RESERVATIONS'!$G:$G,'SUIVI STOCKS PAR PAYSAN'!$AZ$7,bddres_c_prod_type_aff,'SUIVI STOCKS PAR PAYSAN'!$I52,'BDD RESERVATIONS'!$B:$B,"&gt;"&amp;date_inventaire)</f>
        <v>0</v>
      </c>
      <c r="BB52" s="313">
        <f ca="1">SUMIFS(es_poids,es_prod_type_affinage,'SUIVI STOCKS PAR PAYSAN'!$J52,es_date_entree,"&gt;"&amp;date_inventaire)-SUMIFS(v_Poids,v_conc_prod_tye_affinage,'SUIVI STOCKS PAR PAYSAN'!$J52,v_Date_commande,"&gt;"&amp;date_inventaire)</f>
        <v>0</v>
      </c>
      <c r="BC52" s="313">
        <f ca="1">SUMIFS(bddres_c_qte,bddres_c_prod_type_aff,'SUIVI STOCKS PAR PAYSAN'!J52,'BDD RESERVATIONS'!$B:$B,"&gt;"&amp;date_inventaire)</f>
        <v>0</v>
      </c>
      <c r="BD52" s="342">
        <f ca="1">SUMIFS(bddres_pieces,es_prod_type_affinage,'SUIVI STOCKS PAR PAYSAN'!$J52,es_date_entree,"&gt;"&amp;date_inventaire,es_taille,'SUIVI STOCKS PAR PAYSAN'!$BD$7)-SUMIFS(v_Pièces,v_Taille,'SUIVI STOCKS PAR PAYSAN'!$BD$7,v_conc_prod_tye_affinage,'SUIVI STOCKS PAR PAYSAN'!$J52,v_Date_commande,"&gt;"&amp;date_inventaire)</f>
        <v>0</v>
      </c>
      <c r="BE52" s="326">
        <f ca="1">SUMIFS(bddres_pieces,'BDD RESERVATIONS'!$G:$G,'SUIVI STOCKS PAR PAYSAN'!BD47,bddres_c_prod_type_aff,'SUIVI STOCKS PAR PAYSAN'!J52,'BDD RESERVATIONS'!$B:$B,"&gt;"&amp;date_inventaire)</f>
        <v>0</v>
      </c>
      <c r="BF52" s="343">
        <f ca="1">SUMIFS(es_pieces,es_prod_type_affinage,'SUIVI STOCKS PAR PAYSAN'!J52,es_date_entree,"&gt;"&amp;date_inventaire,es_taille,'SUIVI STOCKS PAR PAYSAN'!$BF$7)-SUMIFS(v_Pièces,v_Taille,'SUIVI STOCKS PAR PAYSAN'!$BF$7,v_conc_prod_tye_affinage,'SUIVI STOCKS PAR PAYSAN'!J52,v_Date_commande,"&gt;"&amp;date_inventaire)</f>
        <v>0</v>
      </c>
      <c r="BG52" s="353">
        <f ca="1">SUMIFS(bddres_pieces,'BDD RESERVATIONS'!$G:$G,'SUIVI STOCKS PAR PAYSAN'!$BF$7,bddres_c_prod_type_aff,'SUIVI STOCKS PAR PAYSAN'!J52,'BDD RESERVATIONS'!$B:$B,"&gt;"&amp;date_inventaire)</f>
        <v>0</v>
      </c>
    </row>
    <row r="53" spans="1:59" ht="18.75" customHeight="1" x14ac:dyDescent="0.25">
      <c r="A53" s="331">
        <f ca="1">OFFSET('BDD PAYSANS'!$B$1,B53,0,1,1)</f>
        <v>0</v>
      </c>
      <c r="B53" s="325">
        <v>42</v>
      </c>
      <c r="C53" s="325" t="str">
        <f t="shared" ca="1" si="2"/>
        <v>0FERMIER&lt;3 mois</v>
      </c>
      <c r="D53" s="325" t="str">
        <f t="shared" ca="1" si="2"/>
        <v>0FERMIER3-6 mois</v>
      </c>
      <c r="E53" s="325" t="str">
        <f t="shared" ca="1" si="2"/>
        <v>0FERMIER6-9 mois</v>
      </c>
      <c r="F53" s="325" t="str">
        <f t="shared" ca="1" si="2"/>
        <v>0FERMIER&gt;9 mois</v>
      </c>
      <c r="G53" s="325" t="str">
        <f t="shared" ca="1" si="2"/>
        <v>0ESTIVE&lt;3 mois</v>
      </c>
      <c r="H53" s="325" t="str">
        <f t="shared" ca="1" si="2"/>
        <v>0ESTIVE3-6 mois</v>
      </c>
      <c r="I53" s="325" t="str">
        <f t="shared" ca="1" si="2"/>
        <v>0ESTIVE6-9 mois</v>
      </c>
      <c r="J53" s="325" t="str">
        <f t="shared" ca="1" si="2"/>
        <v>0ESTIVE&gt;9 mois</v>
      </c>
      <c r="K53" s="325"/>
      <c r="L53" s="352">
        <f ca="1">SUMIFS(es_poids,es_prod_type_affinage,'SUIVI STOCKS PAR PAYSAN'!$C53,es_date_entree,"&gt;"&amp;date_inventaire)-SUMIFS(v_Poids,v_conc_prod_tye_affinage,'SUIVI STOCKS PAR PAYSAN'!$C53,v_Date_commande,"&gt;"&amp;date_inventaire)</f>
        <v>0</v>
      </c>
      <c r="M53" s="341">
        <f ca="1">SUMIFS(bddres_c_qte,bddres_c_prod_type_aff,'SUIVI STOCKS PAR PAYSAN'!C53,'BDD RESERVATIONS'!$B:$B,"&gt;"&amp;date_inventaire)</f>
        <v>0</v>
      </c>
      <c r="N53" s="342">
        <f ca="1">SUMIFS(bddres_pieces,es_prod_type_affinage,'SUIVI STOCKS PAR PAYSAN'!$C53,es_date_entree,"&gt;"&amp;date_inventaire,es_taille,'SUIVI STOCKS PAR PAYSAN'!$N$7)-SUMIFS(v_Pièces,v_Taille,'SUIVI STOCKS PAR PAYSAN'!$N$7,v_conc_prod_tye_affinage,'SUIVI STOCKS PAR PAYSAN'!$C53,v_Date_commande,"&gt;"&amp;date_inventaire)</f>
        <v>0</v>
      </c>
      <c r="O53" s="342">
        <f ca="1">SUMIFS(bddres_pieces,'BDD RESERVATIONS'!$G:$G,'SUIVI STOCKS PAR PAYSAN'!$N$7,bddres_c_prod_type_aff,'SUIVI STOCKS PAR PAYSAN'!$C53,'BDD RESERVATIONS'!$B:$B,"&gt;"&amp;date_inventaire)</f>
        <v>0</v>
      </c>
      <c r="P53" s="343">
        <f ca="1">SUMIFS(es_pieces,es_prod_type_affinage,'SUIVI STOCKS PAR PAYSAN'!$C53,es_date_entree,"&gt;"&amp;date_inventaire,es_taille,'SUIVI STOCKS PAR PAYSAN'!$P$7)-SUMIFS(v_Pièces,v_Taille,'SUIVI STOCKS PAR PAYSAN'!$P$7,v_conc_prod_tye_affinage,'SUIVI STOCKS PAR PAYSAN'!$C53,v_Date_commande,"&gt;"&amp;date_inventaire)</f>
        <v>0</v>
      </c>
      <c r="Q53" s="353">
        <f ca="1">SUMIFS(bddres_pieces,'BDD RESERVATIONS'!$G:$G,'SUIVI STOCKS PAR PAYSAN'!$P$7,bddres_c_prod_type_aff,'SUIVI STOCKS PAR PAYSAN'!$C53,'BDD RESERVATIONS'!$B:$B,"&gt;"&amp;date_inventaire)</f>
        <v>0</v>
      </c>
      <c r="R53" s="340">
        <f ca="1">SUMIFS(es_poids,es_prod_type_affinage,'SUIVI STOCKS PAR PAYSAN'!$D53,es_date_entree,"&gt;"&amp;date_inventaire)-SUMIFS(v_Poids,v_conc_prod_tye_affinage,'SUIVI STOCKS PAR PAYSAN'!$D53,v_Date_commande,"&gt;"&amp;date_inventaire)</f>
        <v>0</v>
      </c>
      <c r="S53" s="341">
        <f ca="1">SUMIFS(bddres_c_qte,bddres_c_prod_type_aff,'SUIVI STOCKS PAR PAYSAN'!D53,'BDD RESERVATIONS'!$B:$B,"&gt;"&amp;date_inventaire)</f>
        <v>0</v>
      </c>
      <c r="T53" s="342">
        <f ca="1">SUMIFS(bddres_pieces,es_prod_type_affinage,'SUIVI STOCKS PAR PAYSAN'!$D53,es_date_entree,"&gt;"&amp;date_inventaire,es_taille,'SUIVI STOCKS PAR PAYSAN'!$T$7)-SUMIFS(v_Pièces,v_Taille,'SUIVI STOCKS PAR PAYSAN'!$T$7,v_conc_prod_tye_affinage,'SUIVI STOCKS PAR PAYSAN'!$D53,v_Date_commande,"&gt;"&amp;date_inventaire)</f>
        <v>0</v>
      </c>
      <c r="U53" s="342">
        <f ca="1">SUMIFS(bddres_pieces,'BDD RESERVATIONS'!$G:$G,'SUIVI STOCKS PAR PAYSAN'!$T$7,bddres_c_prod_type_aff,'SUIVI STOCKS PAR PAYSAN'!$D53,'BDD RESERVATIONS'!$B:$B,"&gt;"&amp;date_inventaire)</f>
        <v>0</v>
      </c>
      <c r="V53" s="343">
        <f ca="1">SUMIFS(es_pieces,es_prod_type_affinage,'SUIVI STOCKS PAR PAYSAN'!$D53,es_date_entree,"&gt;"&amp;date_inventaire,es_taille,'SUIVI STOCKS PAR PAYSAN'!$V$7)-SUMIFS(v_Pièces,v_Taille,'SUIVI STOCKS PAR PAYSAN'!$V$7,v_conc_prod_tye_affinage,'SUIVI STOCKS PAR PAYSAN'!$D53,v_Date_commande,"&gt;"&amp;date_inventaire)</f>
        <v>0</v>
      </c>
      <c r="W53" s="353">
        <f ca="1">SUMIFS(bddres_pieces,'BDD RESERVATIONS'!$G:$G,'SUIVI STOCKS PAR PAYSAN'!$V$7,bddres_c_prod_type_aff,'SUIVI STOCKS PAR PAYSAN'!$D53,'BDD RESERVATIONS'!$B:$B,"&gt;"&amp;date_inventaire)</f>
        <v>0</v>
      </c>
      <c r="X53" s="313">
        <f ca="1">SUMIFS(es_poids,es_prod_type_affinage,'SUIVI STOCKS PAR PAYSAN'!$E53,es_date_entree,"&gt;"&amp;date_inventaire)-SUMIFS(v_Poids,v_conc_prod_tye_affinage,'SUIVI STOCKS PAR PAYSAN'!$E53,v_Date_commande,"&gt;"&amp;date_inventaire)</f>
        <v>0</v>
      </c>
      <c r="Y53" s="341">
        <f ca="1">SUMIFS(bddres_c_qte,bddres_c_prod_type_aff,'SUIVI STOCKS PAR PAYSAN'!E53,'BDD RESERVATIONS'!$B:$B,"&gt;"&amp;date_inventaire)</f>
        <v>0</v>
      </c>
      <c r="Z53" s="342">
        <f ca="1">SUMIFS(bddres_pieces,es_prod_type_affinage,'SUIVI STOCKS PAR PAYSAN'!$E53,es_date_entree,"&gt;"&amp;date_inventaire,es_taille,'SUIVI STOCKS PAR PAYSAN'!$Z$7)-SUMIFS(v_Pièces,v_Taille,'SUIVI STOCKS PAR PAYSAN'!$Z$7,v_conc_prod_tye_affinage,'SUIVI STOCKS PAR PAYSAN'!$E53,v_Date_commande,"&gt;"&amp;date_inventaire)</f>
        <v>0</v>
      </c>
      <c r="AA53" s="342">
        <f ca="1">SUMIFS(bddres_pieces,'BDD RESERVATIONS'!$G:$G,'SUIVI STOCKS PAR PAYSAN'!$Z$7,bddres_c_prod_type_aff,'SUIVI STOCKS PAR PAYSAN'!$E53,'BDD RESERVATIONS'!$B:$B,"&gt;"&amp;date_inventaire)</f>
        <v>0</v>
      </c>
      <c r="AB53" s="343">
        <f ca="1">SUMIFS(es_pieces,es_prod_type_affinage,'SUIVI STOCKS PAR PAYSAN'!$E53,es_date_entree,"&gt;"&amp;date_inventaire,es_taille,'SUIVI STOCKS PAR PAYSAN'!$AB$7)-SUMIFS(v_Pièces,v_Taille,'SUIVI STOCKS PAR PAYSAN'!$AB$7,v_conc_prod_tye_affinage,'SUIVI STOCKS PAR PAYSAN'!$E53,v_Date_commande,"&gt;"&amp;date_inventaire)</f>
        <v>0</v>
      </c>
      <c r="AC53" s="353">
        <f ca="1">SUMIFS(bddres_pieces,'BDD RESERVATIONS'!$G:$G,'SUIVI STOCKS PAR PAYSAN'!$AB$7,bddres_c_prod_type_aff,'SUIVI STOCKS PAR PAYSAN'!$E53,'BDD RESERVATIONS'!$B:$B,"&gt;"&amp;date_inventaire)</f>
        <v>0</v>
      </c>
      <c r="AD53" s="313">
        <f ca="1">SUMIFS(es_poids,es_prod_type_affinage,'SUIVI STOCKS PAR PAYSAN'!$F53,es_date_entree,"&gt;"&amp;date_inventaire)-SUMIFS(v_Poids,v_conc_prod_tye_affinage,'SUIVI STOCKS PAR PAYSAN'!$F53,v_Date_commande,"&gt;"&amp;date_inventaire)</f>
        <v>0</v>
      </c>
      <c r="AE53" s="341">
        <f ca="1">SUMIFS(bddres_c_qte,bddres_c_prod_type_aff,'SUIVI STOCKS PAR PAYSAN'!F53,'BDD RESERVATIONS'!$B:$B,"&gt;"&amp;date_inventaire)</f>
        <v>0</v>
      </c>
      <c r="AF53" s="342">
        <f ca="1">SUMIFS(bddres_pieces,es_prod_type_affinage,'SUIVI STOCKS PAR PAYSAN'!$F53,es_date_entree,"&gt;"&amp;date_inventaire,es_taille,'SUIVI STOCKS PAR PAYSAN'!$Z$7)-SUMIFS(v_Pièces,v_Taille,'SUIVI STOCKS PAR PAYSAN'!$Z$7,v_conc_prod_tye_affinage,'SUIVI STOCKS PAR PAYSAN'!$F53,v_Date_commande,"&gt;"&amp;date_inventaire)</f>
        <v>0</v>
      </c>
      <c r="AG53" s="342">
        <f ca="1">SUMIFS(bddres_pieces,'BDD RESERVATIONS'!$G:$G,'SUIVI STOCKS PAR PAYSAN'!$Z$7,bddres_c_prod_type_aff,'SUIVI STOCKS PAR PAYSAN'!$F53,'BDD RESERVATIONS'!$B:$B,"&gt;"&amp;date_inventaire)</f>
        <v>0</v>
      </c>
      <c r="AH53" s="343">
        <f ca="1">SUMIFS(es_pieces,es_prod_type_affinage,'SUIVI STOCKS PAR PAYSAN'!$F53,es_date_entree,"&gt;"&amp;date_inventaire,es_taille,'SUIVI STOCKS PAR PAYSAN'!$AH$7)-SUMIFS(v_Pièces,v_Taille,'SUIVI STOCKS PAR PAYSAN'!$AH$7,v_conc_prod_tye_affinage,'SUIVI STOCKS PAR PAYSAN'!$F53,v_Date_commande,"&gt;"&amp;date_inventaire)</f>
        <v>0</v>
      </c>
      <c r="AI53" s="353">
        <f ca="1">SUMIFS(bddres_pieces,'BDD RESERVATIONS'!$G:$G,'SUIVI STOCKS PAR PAYSAN'!$AB$7,bddres_c_prod_type_aff,'SUIVI STOCKS PAR PAYSAN'!$F53,'BDD RESERVATIONS'!$B:$B,"&gt;"&amp;date_inventaire)</f>
        <v>0</v>
      </c>
      <c r="AJ53" s="352">
        <f ca="1">SUMIFS(es_poids,es_prod_type_affinage,'SUIVI STOCKS PAR PAYSAN'!$G53,es_date_entree,"&gt;"&amp;date_inventaire)-SUMIFS(v_Poids,v_conc_prod_tye_affinage,'SUIVI STOCKS PAR PAYSAN'!$G53,v_Date_commande,"&gt;"&amp;date_inventaire)</f>
        <v>0</v>
      </c>
      <c r="AK53" s="341">
        <f ca="1">SUMIFS(bddres_c_qte,bddres_c_prod_type_aff,'SUIVI STOCKS PAR PAYSAN'!G53,'BDD RESERVATIONS'!$B:$B,"&gt;"&amp;date_inventaire)</f>
        <v>0</v>
      </c>
      <c r="AL53" s="342">
        <f ca="1">SUMIFS(bddres_pieces,es_prod_type_affinage,'SUIVI STOCKS PAR PAYSAN'!$G53,es_date_entree,"&gt;"&amp;date_inventaire,es_taille,'SUIVI STOCKS PAR PAYSAN'!$AL$7)-SUMIFS(v_Pièces,v_Taille,'SUIVI STOCKS PAR PAYSAN'!$AL$7,v_conc_prod_tye_affinage,'SUIVI STOCKS PAR PAYSAN'!$G53,v_Date_commande,"&gt;"&amp;date_inventaire)</f>
        <v>0</v>
      </c>
      <c r="AM53" s="342">
        <f ca="1">SUMIFS(bddres_pieces,'BDD RESERVATIONS'!$G:$G,'SUIVI STOCKS PAR PAYSAN'!$AL$7,bddres_c_prod_type_aff,'SUIVI STOCKS PAR PAYSAN'!$G53,'BDD RESERVATIONS'!$B:$B,"&gt;"&amp;date_inventaire)</f>
        <v>0</v>
      </c>
      <c r="AN53" s="343">
        <f ca="1">SUMIFS(es_pieces,es_prod_type_affinage,'SUIVI STOCKS PAR PAYSAN'!$G53,es_date_entree,"&gt;"&amp;date_inventaire,es_taille,'SUIVI STOCKS PAR PAYSAN'!$AN$7)-SUMIFS(v_Pièces,v_Taille,'SUIVI STOCKS PAR PAYSAN'!$AN$7,v_conc_prod_tye_affinage,'SUIVI STOCKS PAR PAYSAN'!$G53,v_Date_commande,"&gt;"&amp;date_inventaire)</f>
        <v>0</v>
      </c>
      <c r="AO53" s="353">
        <f ca="1">SUMIFS(bddres_pieces,'BDD RESERVATIONS'!$G:$G,'SUIVI STOCKS PAR PAYSAN'!$AN$7,bddres_c_prod_type_aff,'SUIVI STOCKS PAR PAYSAN'!$G53,'BDD RESERVATIONS'!$B:$B,"&gt;"&amp;date_inventaire)</f>
        <v>0</v>
      </c>
      <c r="AP53" s="313">
        <f ca="1">SUMIFS(es_poids,es_prod_type_affinage,'SUIVI STOCKS PAR PAYSAN'!$H53,es_date_entree,"&gt;"&amp;date_inventaire)-SUMIFS(v_Poids,v_conc_prod_tye_affinage,'SUIVI STOCKS PAR PAYSAN'!$H53,v_Date_commande,"&gt;"&amp;date_inventaire)</f>
        <v>0</v>
      </c>
      <c r="AQ53" s="341">
        <f ca="1">SUMIFS(bddres_c_qte,bddres_c_prod_type_aff,'SUIVI STOCKS PAR PAYSAN'!H53,'BDD RESERVATIONS'!$B:$B,"&gt;"&amp;date_inventaire)</f>
        <v>0</v>
      </c>
      <c r="AR53" s="342">
        <f ca="1">SUMIFS(bddres_pieces,es_prod_type_affinage,'SUIVI STOCKS PAR PAYSAN'!$H53,es_date_entree,"&gt;"&amp;date_inventaire,es_taille,'SUIVI STOCKS PAR PAYSAN'!$AR$7)-SUMIFS(v_Pièces,v_Taille,'SUIVI STOCKS PAR PAYSAN'!$AR$7,v_conc_prod_tye_affinage,'SUIVI STOCKS PAR PAYSAN'!$H53,v_Date_commande,"&gt;"&amp;date_inventaire)</f>
        <v>0</v>
      </c>
      <c r="AS53" s="326">
        <f ca="1">SUMIFS(bddres_pieces,'BDD RESERVATIONS'!$G:$G,'SUIVI STOCKS PAR PAYSAN'!AR48,bddres_c_prod_type_aff,'SUIVI STOCKS PAR PAYSAN'!$H53,'BDD RESERVATIONS'!$B:$B,"&gt;"&amp;date_inventaire)</f>
        <v>0</v>
      </c>
      <c r="AT53" s="343">
        <f ca="1">SUMIFS(es_pieces,es_prod_type_affinage,'SUIVI STOCKS PAR PAYSAN'!$H53,es_date_entree,"&gt;"&amp;date_inventaire,es_taille,'SUIVI STOCKS PAR PAYSAN'!$AT$7)-SUMIFS(v_Pièces,v_Taille,'SUIVI STOCKS PAR PAYSAN'!$AT$7,v_conc_prod_tye_affinage,'SUIVI STOCKS PAR PAYSAN'!$H53,v_Date_commande,"&gt;"&amp;date_inventaire)</f>
        <v>0</v>
      </c>
      <c r="AU53" s="353">
        <f ca="1">SUMIFS(bddres_pieces,'BDD RESERVATIONS'!$G:$G,'SUIVI STOCKS PAR PAYSAN'!$AT$7,bddres_c_prod_type_aff,'SUIVI STOCKS PAR PAYSAN'!$H53,'BDD RESERVATIONS'!$B:$B,"&gt;"&amp;date_inventaire)</f>
        <v>0</v>
      </c>
      <c r="AV53" s="313">
        <f ca="1">SUMIFS(es_poids,es_prod_type_affinage,'SUIVI STOCKS PAR PAYSAN'!$I53,es_date_entree,"&gt;"&amp;date_inventaire)-SUMIFS(v_Poids,v_conc_prod_tye_affinage,'SUIVI STOCKS PAR PAYSAN'!$E53,v_Date_commande,"&gt;"&amp;date_inventaire)</f>
        <v>0</v>
      </c>
      <c r="AW53" s="313">
        <f ca="1">SUMIFS(bddres_c_qte,bddres_c_prod_type_aff,'SUIVI STOCKS PAR PAYSAN'!I53,'BDD RESERVATIONS'!$B:$B,"&gt;"&amp;date_inventaire)</f>
        <v>0</v>
      </c>
      <c r="AX53" s="342">
        <f ca="1">SUMIFS(bddres_pieces,es_prod_type_affinage,'SUIVI STOCKS PAR PAYSAN'!$I53,es_date_entree,"&gt;"&amp;date_inventaire,es_taille,'SUIVI STOCKS PAR PAYSAN'!$AX$7)-SUMIFS(v_Pièces,v_Taille,'SUIVI STOCKS PAR PAYSAN'!$AX$7,v_conc_prod_tye_affinage,'SUIVI STOCKS PAR PAYSAN'!$I53,v_Date_commande,"&gt;"&amp;date_inventaire)</f>
        <v>0</v>
      </c>
      <c r="AY53" s="342">
        <f ca="1">SUMIFS(bddres_pieces,'BDD RESERVATIONS'!$G:$G,'SUIVI STOCKS PAR PAYSAN'!$AX$7,bddres_c_prod_type_aff,'SUIVI STOCKS PAR PAYSAN'!$I53,'BDD RESERVATIONS'!$B:$B,"&gt;"&amp;date_inventaire)</f>
        <v>0</v>
      </c>
      <c r="AZ53" s="343">
        <f ca="1">SUMIFS(es_pieces,es_prod_type_affinage,'SUIVI STOCKS PAR PAYSAN'!$I53,es_date_entree,"&gt;"&amp;date_inventaire,es_taille,'SUIVI STOCKS PAR PAYSAN'!$AZ$7)-SUMIFS(v_Pièces,v_Taille,'SUIVI STOCKS PAR PAYSAN'!$AZ$7,v_conc_prod_tye_affinage,'SUIVI STOCKS PAR PAYSAN'!$I53,v_Date_commande,"&gt;"&amp;date_inventaire)</f>
        <v>0</v>
      </c>
      <c r="BA53" s="353">
        <f ca="1">SUMIFS(bddres_pieces,'BDD RESERVATIONS'!$G:$G,'SUIVI STOCKS PAR PAYSAN'!$AZ$7,bddres_c_prod_type_aff,'SUIVI STOCKS PAR PAYSAN'!$I53,'BDD RESERVATIONS'!$B:$B,"&gt;"&amp;date_inventaire)</f>
        <v>0</v>
      </c>
      <c r="BB53" s="313">
        <f ca="1">SUMIFS(es_poids,es_prod_type_affinage,'SUIVI STOCKS PAR PAYSAN'!$J53,es_date_entree,"&gt;"&amp;date_inventaire)-SUMIFS(v_Poids,v_conc_prod_tye_affinage,'SUIVI STOCKS PAR PAYSAN'!$J53,v_Date_commande,"&gt;"&amp;date_inventaire)</f>
        <v>0</v>
      </c>
      <c r="BC53" s="313">
        <f ca="1">SUMIFS(bddres_c_qte,bddres_c_prod_type_aff,'SUIVI STOCKS PAR PAYSAN'!J53,'BDD RESERVATIONS'!$B:$B,"&gt;"&amp;date_inventaire)</f>
        <v>0</v>
      </c>
      <c r="BD53" s="342">
        <f ca="1">SUMIFS(bddres_pieces,es_prod_type_affinage,'SUIVI STOCKS PAR PAYSAN'!$J53,es_date_entree,"&gt;"&amp;date_inventaire,es_taille,'SUIVI STOCKS PAR PAYSAN'!$BD$7)-SUMIFS(v_Pièces,v_Taille,'SUIVI STOCKS PAR PAYSAN'!$BD$7,v_conc_prod_tye_affinage,'SUIVI STOCKS PAR PAYSAN'!$J53,v_Date_commande,"&gt;"&amp;date_inventaire)</f>
        <v>0</v>
      </c>
      <c r="BE53" s="326">
        <f ca="1">SUMIFS(bddres_pieces,'BDD RESERVATIONS'!$G:$G,'SUIVI STOCKS PAR PAYSAN'!BD48,bddres_c_prod_type_aff,'SUIVI STOCKS PAR PAYSAN'!J53,'BDD RESERVATIONS'!$B:$B,"&gt;"&amp;date_inventaire)</f>
        <v>0</v>
      </c>
      <c r="BF53" s="343">
        <f ca="1">SUMIFS(es_pieces,es_prod_type_affinage,'SUIVI STOCKS PAR PAYSAN'!J53,es_date_entree,"&gt;"&amp;date_inventaire,es_taille,'SUIVI STOCKS PAR PAYSAN'!$BF$7)-SUMIFS(v_Pièces,v_Taille,'SUIVI STOCKS PAR PAYSAN'!$BF$7,v_conc_prod_tye_affinage,'SUIVI STOCKS PAR PAYSAN'!J53,v_Date_commande,"&gt;"&amp;date_inventaire)</f>
        <v>0</v>
      </c>
      <c r="BG53" s="353">
        <f ca="1">SUMIFS(bddres_pieces,'BDD RESERVATIONS'!$G:$G,'SUIVI STOCKS PAR PAYSAN'!$BF$7,bddres_c_prod_type_aff,'SUIVI STOCKS PAR PAYSAN'!J53,'BDD RESERVATIONS'!$B:$B,"&gt;"&amp;date_inventaire)</f>
        <v>0</v>
      </c>
    </row>
    <row r="54" spans="1:59" ht="18.75" customHeight="1" x14ac:dyDescent="0.25">
      <c r="A54" s="331">
        <f ca="1">OFFSET('BDD PAYSANS'!$B$1,B54,0,1,1)</f>
        <v>0</v>
      </c>
      <c r="B54" s="325">
        <v>43</v>
      </c>
      <c r="C54" s="325" t="str">
        <f t="shared" ca="1" si="2"/>
        <v>0FERMIER&lt;3 mois</v>
      </c>
      <c r="D54" s="325" t="str">
        <f t="shared" ca="1" si="2"/>
        <v>0FERMIER3-6 mois</v>
      </c>
      <c r="E54" s="325" t="str">
        <f t="shared" ca="1" si="2"/>
        <v>0FERMIER6-9 mois</v>
      </c>
      <c r="F54" s="325" t="str">
        <f t="shared" ca="1" si="2"/>
        <v>0FERMIER&gt;9 mois</v>
      </c>
      <c r="G54" s="325" t="str">
        <f t="shared" ca="1" si="2"/>
        <v>0ESTIVE&lt;3 mois</v>
      </c>
      <c r="H54" s="325" t="str">
        <f t="shared" ca="1" si="2"/>
        <v>0ESTIVE3-6 mois</v>
      </c>
      <c r="I54" s="325" t="str">
        <f t="shared" ca="1" si="2"/>
        <v>0ESTIVE6-9 mois</v>
      </c>
      <c r="J54" s="325" t="str">
        <f t="shared" ca="1" si="2"/>
        <v>0ESTIVE&gt;9 mois</v>
      </c>
      <c r="K54" s="325"/>
      <c r="L54" s="352">
        <f ca="1">SUMIFS(es_poids,es_prod_type_affinage,'SUIVI STOCKS PAR PAYSAN'!$C54,es_date_entree,"&gt;"&amp;date_inventaire)-SUMIFS(v_Poids,v_conc_prod_tye_affinage,'SUIVI STOCKS PAR PAYSAN'!$C54,v_Date_commande,"&gt;"&amp;date_inventaire)</f>
        <v>0</v>
      </c>
      <c r="M54" s="341">
        <f ca="1">SUMIFS(bddres_c_qte,bddres_c_prod_type_aff,'SUIVI STOCKS PAR PAYSAN'!C54,'BDD RESERVATIONS'!$B:$B,"&gt;"&amp;date_inventaire)</f>
        <v>0</v>
      </c>
      <c r="N54" s="342">
        <f ca="1">SUMIFS(bddres_pieces,es_prod_type_affinage,'SUIVI STOCKS PAR PAYSAN'!$C54,es_date_entree,"&gt;"&amp;date_inventaire,es_taille,'SUIVI STOCKS PAR PAYSAN'!$N$7)-SUMIFS(v_Pièces,v_Taille,'SUIVI STOCKS PAR PAYSAN'!$N$7,v_conc_prod_tye_affinage,'SUIVI STOCKS PAR PAYSAN'!$C54,v_Date_commande,"&gt;"&amp;date_inventaire)</f>
        <v>0</v>
      </c>
      <c r="O54" s="342">
        <f ca="1">SUMIFS(bddres_pieces,'BDD RESERVATIONS'!$G:$G,'SUIVI STOCKS PAR PAYSAN'!$N$7,bddres_c_prod_type_aff,'SUIVI STOCKS PAR PAYSAN'!$C54,'BDD RESERVATIONS'!$B:$B,"&gt;"&amp;date_inventaire)</f>
        <v>0</v>
      </c>
      <c r="P54" s="343">
        <f ca="1">SUMIFS(es_pieces,es_prod_type_affinage,'SUIVI STOCKS PAR PAYSAN'!$C54,es_date_entree,"&gt;"&amp;date_inventaire,es_taille,'SUIVI STOCKS PAR PAYSAN'!$P$7)-SUMIFS(v_Pièces,v_Taille,'SUIVI STOCKS PAR PAYSAN'!$P$7,v_conc_prod_tye_affinage,'SUIVI STOCKS PAR PAYSAN'!$C54,v_Date_commande,"&gt;"&amp;date_inventaire)</f>
        <v>0</v>
      </c>
      <c r="Q54" s="353">
        <f ca="1">SUMIFS(bddres_pieces,'BDD RESERVATIONS'!$G:$G,'SUIVI STOCKS PAR PAYSAN'!$P$7,bddres_c_prod_type_aff,'SUIVI STOCKS PAR PAYSAN'!$C54,'BDD RESERVATIONS'!$B:$B,"&gt;"&amp;date_inventaire)</f>
        <v>0</v>
      </c>
      <c r="R54" s="340">
        <f ca="1">SUMIFS(es_poids,es_prod_type_affinage,'SUIVI STOCKS PAR PAYSAN'!$D54,es_date_entree,"&gt;"&amp;date_inventaire)-SUMIFS(v_Poids,v_conc_prod_tye_affinage,'SUIVI STOCKS PAR PAYSAN'!$D54,v_Date_commande,"&gt;"&amp;date_inventaire)</f>
        <v>0</v>
      </c>
      <c r="S54" s="341">
        <f ca="1">SUMIFS(bddres_c_qte,bddres_c_prod_type_aff,'SUIVI STOCKS PAR PAYSAN'!D54,'BDD RESERVATIONS'!$B:$B,"&gt;"&amp;date_inventaire)</f>
        <v>0</v>
      </c>
      <c r="T54" s="342">
        <f ca="1">SUMIFS(bddres_pieces,es_prod_type_affinage,'SUIVI STOCKS PAR PAYSAN'!$D54,es_date_entree,"&gt;"&amp;date_inventaire,es_taille,'SUIVI STOCKS PAR PAYSAN'!$T$7)-SUMIFS(v_Pièces,v_Taille,'SUIVI STOCKS PAR PAYSAN'!$T$7,v_conc_prod_tye_affinage,'SUIVI STOCKS PAR PAYSAN'!$D54,v_Date_commande,"&gt;"&amp;date_inventaire)</f>
        <v>0</v>
      </c>
      <c r="U54" s="342">
        <f ca="1">SUMIFS(bddres_pieces,'BDD RESERVATIONS'!$G:$G,'SUIVI STOCKS PAR PAYSAN'!$T$7,bddres_c_prod_type_aff,'SUIVI STOCKS PAR PAYSAN'!$D54,'BDD RESERVATIONS'!$B:$B,"&gt;"&amp;date_inventaire)</f>
        <v>0</v>
      </c>
      <c r="V54" s="343">
        <f ca="1">SUMIFS(es_pieces,es_prod_type_affinage,'SUIVI STOCKS PAR PAYSAN'!$D54,es_date_entree,"&gt;"&amp;date_inventaire,es_taille,'SUIVI STOCKS PAR PAYSAN'!$V$7)-SUMIFS(v_Pièces,v_Taille,'SUIVI STOCKS PAR PAYSAN'!$V$7,v_conc_prod_tye_affinage,'SUIVI STOCKS PAR PAYSAN'!$D54,v_Date_commande,"&gt;"&amp;date_inventaire)</f>
        <v>0</v>
      </c>
      <c r="W54" s="353">
        <f ca="1">SUMIFS(bddres_pieces,'BDD RESERVATIONS'!$G:$G,'SUIVI STOCKS PAR PAYSAN'!$V$7,bddres_c_prod_type_aff,'SUIVI STOCKS PAR PAYSAN'!$D54,'BDD RESERVATIONS'!$B:$B,"&gt;"&amp;date_inventaire)</f>
        <v>0</v>
      </c>
      <c r="X54" s="313">
        <f ca="1">SUMIFS(es_poids,es_prod_type_affinage,'SUIVI STOCKS PAR PAYSAN'!$E54,es_date_entree,"&gt;"&amp;date_inventaire)-SUMIFS(v_Poids,v_conc_prod_tye_affinage,'SUIVI STOCKS PAR PAYSAN'!$E54,v_Date_commande,"&gt;"&amp;date_inventaire)</f>
        <v>0</v>
      </c>
      <c r="Y54" s="341">
        <f ca="1">SUMIFS(bddres_c_qte,bddres_c_prod_type_aff,'SUIVI STOCKS PAR PAYSAN'!E54,'BDD RESERVATIONS'!$B:$B,"&gt;"&amp;date_inventaire)</f>
        <v>0</v>
      </c>
      <c r="Z54" s="342">
        <f ca="1">SUMIFS(bddres_pieces,es_prod_type_affinage,'SUIVI STOCKS PAR PAYSAN'!$E54,es_date_entree,"&gt;"&amp;date_inventaire,es_taille,'SUIVI STOCKS PAR PAYSAN'!$Z$7)-SUMIFS(v_Pièces,v_Taille,'SUIVI STOCKS PAR PAYSAN'!$Z$7,v_conc_prod_tye_affinage,'SUIVI STOCKS PAR PAYSAN'!$E54,v_Date_commande,"&gt;"&amp;date_inventaire)</f>
        <v>0</v>
      </c>
      <c r="AA54" s="342">
        <f ca="1">SUMIFS(bddres_pieces,'BDD RESERVATIONS'!$G:$G,'SUIVI STOCKS PAR PAYSAN'!$Z$7,bddres_c_prod_type_aff,'SUIVI STOCKS PAR PAYSAN'!$E54,'BDD RESERVATIONS'!$B:$B,"&gt;"&amp;date_inventaire)</f>
        <v>0</v>
      </c>
      <c r="AB54" s="343">
        <f ca="1">SUMIFS(es_pieces,es_prod_type_affinage,'SUIVI STOCKS PAR PAYSAN'!$E54,es_date_entree,"&gt;"&amp;date_inventaire,es_taille,'SUIVI STOCKS PAR PAYSAN'!$AB$7)-SUMIFS(v_Pièces,v_Taille,'SUIVI STOCKS PAR PAYSAN'!$AB$7,v_conc_prod_tye_affinage,'SUIVI STOCKS PAR PAYSAN'!$E54,v_Date_commande,"&gt;"&amp;date_inventaire)</f>
        <v>0</v>
      </c>
      <c r="AC54" s="353">
        <f ca="1">SUMIFS(bddres_pieces,'BDD RESERVATIONS'!$G:$G,'SUIVI STOCKS PAR PAYSAN'!$AB$7,bddres_c_prod_type_aff,'SUIVI STOCKS PAR PAYSAN'!$E54,'BDD RESERVATIONS'!$B:$B,"&gt;"&amp;date_inventaire)</f>
        <v>0</v>
      </c>
      <c r="AD54" s="313">
        <f ca="1">SUMIFS(es_poids,es_prod_type_affinage,'SUIVI STOCKS PAR PAYSAN'!$F54,es_date_entree,"&gt;"&amp;date_inventaire)-SUMIFS(v_Poids,v_conc_prod_tye_affinage,'SUIVI STOCKS PAR PAYSAN'!$F54,v_Date_commande,"&gt;"&amp;date_inventaire)</f>
        <v>0</v>
      </c>
      <c r="AE54" s="341">
        <f ca="1">SUMIFS(bddres_c_qte,bddres_c_prod_type_aff,'SUIVI STOCKS PAR PAYSAN'!F54,'BDD RESERVATIONS'!$B:$B,"&gt;"&amp;date_inventaire)</f>
        <v>0</v>
      </c>
      <c r="AF54" s="342">
        <f ca="1">SUMIFS(bddres_pieces,es_prod_type_affinage,'SUIVI STOCKS PAR PAYSAN'!$F54,es_date_entree,"&gt;"&amp;date_inventaire,es_taille,'SUIVI STOCKS PAR PAYSAN'!$Z$7)-SUMIFS(v_Pièces,v_Taille,'SUIVI STOCKS PAR PAYSAN'!$Z$7,v_conc_prod_tye_affinage,'SUIVI STOCKS PAR PAYSAN'!$F54,v_Date_commande,"&gt;"&amp;date_inventaire)</f>
        <v>0</v>
      </c>
      <c r="AG54" s="342">
        <f ca="1">SUMIFS(bddres_pieces,'BDD RESERVATIONS'!$G:$G,'SUIVI STOCKS PAR PAYSAN'!$Z$7,bddres_c_prod_type_aff,'SUIVI STOCKS PAR PAYSAN'!$F54,'BDD RESERVATIONS'!$B:$B,"&gt;"&amp;date_inventaire)</f>
        <v>0</v>
      </c>
      <c r="AH54" s="343">
        <f ca="1">SUMIFS(es_pieces,es_prod_type_affinage,'SUIVI STOCKS PAR PAYSAN'!$F54,es_date_entree,"&gt;"&amp;date_inventaire,es_taille,'SUIVI STOCKS PAR PAYSAN'!$AH$7)-SUMIFS(v_Pièces,v_Taille,'SUIVI STOCKS PAR PAYSAN'!$AH$7,v_conc_prod_tye_affinage,'SUIVI STOCKS PAR PAYSAN'!$F54,v_Date_commande,"&gt;"&amp;date_inventaire)</f>
        <v>0</v>
      </c>
      <c r="AI54" s="353">
        <f ca="1">SUMIFS(bddres_pieces,'BDD RESERVATIONS'!$G:$G,'SUIVI STOCKS PAR PAYSAN'!$AB$7,bddres_c_prod_type_aff,'SUIVI STOCKS PAR PAYSAN'!$F54,'BDD RESERVATIONS'!$B:$B,"&gt;"&amp;date_inventaire)</f>
        <v>0</v>
      </c>
      <c r="AJ54" s="352">
        <f ca="1">SUMIFS(es_poids,es_prod_type_affinage,'SUIVI STOCKS PAR PAYSAN'!$G54,es_date_entree,"&gt;"&amp;date_inventaire)-SUMIFS(v_Poids,v_conc_prod_tye_affinage,'SUIVI STOCKS PAR PAYSAN'!$G54,v_Date_commande,"&gt;"&amp;date_inventaire)</f>
        <v>0</v>
      </c>
      <c r="AK54" s="341">
        <f ca="1">SUMIFS(bddres_c_qte,bddres_c_prod_type_aff,'SUIVI STOCKS PAR PAYSAN'!G54,'BDD RESERVATIONS'!$B:$B,"&gt;"&amp;date_inventaire)</f>
        <v>0</v>
      </c>
      <c r="AL54" s="342">
        <f ca="1">SUMIFS(bddres_pieces,es_prod_type_affinage,'SUIVI STOCKS PAR PAYSAN'!$G54,es_date_entree,"&gt;"&amp;date_inventaire,es_taille,'SUIVI STOCKS PAR PAYSAN'!$AL$7)-SUMIFS(v_Pièces,v_Taille,'SUIVI STOCKS PAR PAYSAN'!$AL$7,v_conc_prod_tye_affinage,'SUIVI STOCKS PAR PAYSAN'!$G54,v_Date_commande,"&gt;"&amp;date_inventaire)</f>
        <v>0</v>
      </c>
      <c r="AM54" s="342">
        <f ca="1">SUMIFS(bddres_pieces,'BDD RESERVATIONS'!$G:$G,'SUIVI STOCKS PAR PAYSAN'!$AL$7,bddres_c_prod_type_aff,'SUIVI STOCKS PAR PAYSAN'!$G54,'BDD RESERVATIONS'!$B:$B,"&gt;"&amp;date_inventaire)</f>
        <v>0</v>
      </c>
      <c r="AN54" s="343">
        <f ca="1">SUMIFS(es_pieces,es_prod_type_affinage,'SUIVI STOCKS PAR PAYSAN'!$G54,es_date_entree,"&gt;"&amp;date_inventaire,es_taille,'SUIVI STOCKS PAR PAYSAN'!$AN$7)-SUMIFS(v_Pièces,v_Taille,'SUIVI STOCKS PAR PAYSAN'!$AN$7,v_conc_prod_tye_affinage,'SUIVI STOCKS PAR PAYSAN'!$G54,v_Date_commande,"&gt;"&amp;date_inventaire)</f>
        <v>0</v>
      </c>
      <c r="AO54" s="353">
        <f ca="1">SUMIFS(bddres_pieces,'BDD RESERVATIONS'!$G:$G,'SUIVI STOCKS PAR PAYSAN'!$AN$7,bddres_c_prod_type_aff,'SUIVI STOCKS PAR PAYSAN'!$G54,'BDD RESERVATIONS'!$B:$B,"&gt;"&amp;date_inventaire)</f>
        <v>0</v>
      </c>
      <c r="AP54" s="313">
        <f ca="1">SUMIFS(es_poids,es_prod_type_affinage,'SUIVI STOCKS PAR PAYSAN'!$H54,es_date_entree,"&gt;"&amp;date_inventaire)-SUMIFS(v_Poids,v_conc_prod_tye_affinage,'SUIVI STOCKS PAR PAYSAN'!$H54,v_Date_commande,"&gt;"&amp;date_inventaire)</f>
        <v>0</v>
      </c>
      <c r="AQ54" s="341">
        <f ca="1">SUMIFS(bddres_c_qte,bddres_c_prod_type_aff,'SUIVI STOCKS PAR PAYSAN'!H54,'BDD RESERVATIONS'!$B:$B,"&gt;"&amp;date_inventaire)</f>
        <v>0</v>
      </c>
      <c r="AR54" s="342">
        <f ca="1">SUMIFS(bddres_pieces,es_prod_type_affinage,'SUIVI STOCKS PAR PAYSAN'!$H54,es_date_entree,"&gt;"&amp;date_inventaire,es_taille,'SUIVI STOCKS PAR PAYSAN'!$AR$7)-SUMIFS(v_Pièces,v_Taille,'SUIVI STOCKS PAR PAYSAN'!$AR$7,v_conc_prod_tye_affinage,'SUIVI STOCKS PAR PAYSAN'!$H54,v_Date_commande,"&gt;"&amp;date_inventaire)</f>
        <v>0</v>
      </c>
      <c r="AS54" s="326">
        <f ca="1">SUMIFS(bddres_pieces,'BDD RESERVATIONS'!$G:$G,'SUIVI STOCKS PAR PAYSAN'!AR49,bddres_c_prod_type_aff,'SUIVI STOCKS PAR PAYSAN'!$H54,'BDD RESERVATIONS'!$B:$B,"&gt;"&amp;date_inventaire)</f>
        <v>0</v>
      </c>
      <c r="AT54" s="343">
        <f ca="1">SUMIFS(es_pieces,es_prod_type_affinage,'SUIVI STOCKS PAR PAYSAN'!$H54,es_date_entree,"&gt;"&amp;date_inventaire,es_taille,'SUIVI STOCKS PAR PAYSAN'!$AT$7)-SUMIFS(v_Pièces,v_Taille,'SUIVI STOCKS PAR PAYSAN'!$AT$7,v_conc_prod_tye_affinage,'SUIVI STOCKS PAR PAYSAN'!$H54,v_Date_commande,"&gt;"&amp;date_inventaire)</f>
        <v>0</v>
      </c>
      <c r="AU54" s="353">
        <f ca="1">SUMIFS(bddres_pieces,'BDD RESERVATIONS'!$G:$G,'SUIVI STOCKS PAR PAYSAN'!$AT$7,bddres_c_prod_type_aff,'SUIVI STOCKS PAR PAYSAN'!$H54,'BDD RESERVATIONS'!$B:$B,"&gt;"&amp;date_inventaire)</f>
        <v>0</v>
      </c>
      <c r="AV54" s="313">
        <f ca="1">SUMIFS(es_poids,es_prod_type_affinage,'SUIVI STOCKS PAR PAYSAN'!$I54,es_date_entree,"&gt;"&amp;date_inventaire)-SUMIFS(v_Poids,v_conc_prod_tye_affinage,'SUIVI STOCKS PAR PAYSAN'!$E54,v_Date_commande,"&gt;"&amp;date_inventaire)</f>
        <v>0</v>
      </c>
      <c r="AW54" s="313">
        <f ca="1">SUMIFS(bddres_c_qte,bddres_c_prod_type_aff,'SUIVI STOCKS PAR PAYSAN'!I54,'BDD RESERVATIONS'!$B:$B,"&gt;"&amp;date_inventaire)</f>
        <v>0</v>
      </c>
      <c r="AX54" s="342">
        <f ca="1">SUMIFS(bddres_pieces,es_prod_type_affinage,'SUIVI STOCKS PAR PAYSAN'!$I54,es_date_entree,"&gt;"&amp;date_inventaire,es_taille,'SUIVI STOCKS PAR PAYSAN'!$AX$7)-SUMIFS(v_Pièces,v_Taille,'SUIVI STOCKS PAR PAYSAN'!$AX$7,v_conc_prod_tye_affinage,'SUIVI STOCKS PAR PAYSAN'!$I54,v_Date_commande,"&gt;"&amp;date_inventaire)</f>
        <v>0</v>
      </c>
      <c r="AY54" s="342">
        <f ca="1">SUMIFS(bddres_pieces,'BDD RESERVATIONS'!$G:$G,'SUIVI STOCKS PAR PAYSAN'!$AX$7,bddres_c_prod_type_aff,'SUIVI STOCKS PAR PAYSAN'!$I54,'BDD RESERVATIONS'!$B:$B,"&gt;"&amp;date_inventaire)</f>
        <v>0</v>
      </c>
      <c r="AZ54" s="343">
        <f ca="1">SUMIFS(es_pieces,es_prod_type_affinage,'SUIVI STOCKS PAR PAYSAN'!$I54,es_date_entree,"&gt;"&amp;date_inventaire,es_taille,'SUIVI STOCKS PAR PAYSAN'!$AZ$7)-SUMIFS(v_Pièces,v_Taille,'SUIVI STOCKS PAR PAYSAN'!$AZ$7,v_conc_prod_tye_affinage,'SUIVI STOCKS PAR PAYSAN'!$I54,v_Date_commande,"&gt;"&amp;date_inventaire)</f>
        <v>0</v>
      </c>
      <c r="BA54" s="353">
        <f ca="1">SUMIFS(bddres_pieces,'BDD RESERVATIONS'!$G:$G,'SUIVI STOCKS PAR PAYSAN'!$AZ$7,bddres_c_prod_type_aff,'SUIVI STOCKS PAR PAYSAN'!$I54,'BDD RESERVATIONS'!$B:$B,"&gt;"&amp;date_inventaire)</f>
        <v>0</v>
      </c>
      <c r="BB54" s="313">
        <f ca="1">SUMIFS(es_poids,es_prod_type_affinage,'SUIVI STOCKS PAR PAYSAN'!$J54,es_date_entree,"&gt;"&amp;date_inventaire)-SUMIFS(v_Poids,v_conc_prod_tye_affinage,'SUIVI STOCKS PAR PAYSAN'!$J54,v_Date_commande,"&gt;"&amp;date_inventaire)</f>
        <v>0</v>
      </c>
      <c r="BC54" s="313">
        <f ca="1">SUMIFS(bddres_c_qte,bddres_c_prod_type_aff,'SUIVI STOCKS PAR PAYSAN'!J54,'BDD RESERVATIONS'!$B:$B,"&gt;"&amp;date_inventaire)</f>
        <v>0</v>
      </c>
      <c r="BD54" s="342">
        <f ca="1">SUMIFS(bddres_pieces,es_prod_type_affinage,'SUIVI STOCKS PAR PAYSAN'!$J54,es_date_entree,"&gt;"&amp;date_inventaire,es_taille,'SUIVI STOCKS PAR PAYSAN'!$BD$7)-SUMIFS(v_Pièces,v_Taille,'SUIVI STOCKS PAR PAYSAN'!$BD$7,v_conc_prod_tye_affinage,'SUIVI STOCKS PAR PAYSAN'!$J54,v_Date_commande,"&gt;"&amp;date_inventaire)</f>
        <v>0</v>
      </c>
      <c r="BE54" s="326">
        <f ca="1">SUMIFS(bddres_pieces,'BDD RESERVATIONS'!$G:$G,'SUIVI STOCKS PAR PAYSAN'!BD49,bddres_c_prod_type_aff,'SUIVI STOCKS PAR PAYSAN'!J54,'BDD RESERVATIONS'!$B:$B,"&gt;"&amp;date_inventaire)</f>
        <v>0</v>
      </c>
      <c r="BF54" s="343">
        <f ca="1">SUMIFS(es_pieces,es_prod_type_affinage,'SUIVI STOCKS PAR PAYSAN'!J54,es_date_entree,"&gt;"&amp;date_inventaire,es_taille,'SUIVI STOCKS PAR PAYSAN'!$BF$7)-SUMIFS(v_Pièces,v_Taille,'SUIVI STOCKS PAR PAYSAN'!$BF$7,v_conc_prod_tye_affinage,'SUIVI STOCKS PAR PAYSAN'!J54,v_Date_commande,"&gt;"&amp;date_inventaire)</f>
        <v>0</v>
      </c>
      <c r="BG54" s="353">
        <f ca="1">SUMIFS(bddres_pieces,'BDD RESERVATIONS'!$G:$G,'SUIVI STOCKS PAR PAYSAN'!$BF$7,bddres_c_prod_type_aff,'SUIVI STOCKS PAR PAYSAN'!J54,'BDD RESERVATIONS'!$B:$B,"&gt;"&amp;date_inventaire)</f>
        <v>0</v>
      </c>
    </row>
    <row r="55" spans="1:59" ht="18.75" customHeight="1" x14ac:dyDescent="0.25">
      <c r="A55" s="331">
        <f ca="1">OFFSET('BDD PAYSANS'!$B$1,B55,0,1,1)</f>
        <v>0</v>
      </c>
      <c r="B55" s="325">
        <v>44</v>
      </c>
      <c r="C55" s="325" t="str">
        <f t="shared" ca="1" si="2"/>
        <v>0FERMIER&lt;3 mois</v>
      </c>
      <c r="D55" s="325" t="str">
        <f t="shared" ca="1" si="2"/>
        <v>0FERMIER3-6 mois</v>
      </c>
      <c r="E55" s="325" t="str">
        <f t="shared" ca="1" si="2"/>
        <v>0FERMIER6-9 mois</v>
      </c>
      <c r="F55" s="325" t="str">
        <f t="shared" ca="1" si="2"/>
        <v>0FERMIER&gt;9 mois</v>
      </c>
      <c r="G55" s="325" t="str">
        <f t="shared" ca="1" si="2"/>
        <v>0ESTIVE&lt;3 mois</v>
      </c>
      <c r="H55" s="325" t="str">
        <f t="shared" ca="1" si="2"/>
        <v>0ESTIVE3-6 mois</v>
      </c>
      <c r="I55" s="325" t="str">
        <f t="shared" ca="1" si="2"/>
        <v>0ESTIVE6-9 mois</v>
      </c>
      <c r="J55" s="325" t="str">
        <f t="shared" ca="1" si="2"/>
        <v>0ESTIVE&gt;9 mois</v>
      </c>
      <c r="K55" s="325"/>
      <c r="L55" s="352">
        <f ca="1">SUMIFS(es_poids,es_prod_type_affinage,'SUIVI STOCKS PAR PAYSAN'!$C55,es_date_entree,"&gt;"&amp;date_inventaire)-SUMIFS(v_Poids,v_conc_prod_tye_affinage,'SUIVI STOCKS PAR PAYSAN'!$C55,v_Date_commande,"&gt;"&amp;date_inventaire)</f>
        <v>0</v>
      </c>
      <c r="M55" s="341">
        <f ca="1">SUMIFS(bddres_c_qte,bddres_c_prod_type_aff,'SUIVI STOCKS PAR PAYSAN'!C55,'BDD RESERVATIONS'!$B:$B,"&gt;"&amp;date_inventaire)</f>
        <v>0</v>
      </c>
      <c r="N55" s="342">
        <f ca="1">SUMIFS(bddres_pieces,es_prod_type_affinage,'SUIVI STOCKS PAR PAYSAN'!$C55,es_date_entree,"&gt;"&amp;date_inventaire,es_taille,'SUIVI STOCKS PAR PAYSAN'!$N$7)-SUMIFS(v_Pièces,v_Taille,'SUIVI STOCKS PAR PAYSAN'!$N$7,v_conc_prod_tye_affinage,'SUIVI STOCKS PAR PAYSAN'!$C55,v_Date_commande,"&gt;"&amp;date_inventaire)</f>
        <v>0</v>
      </c>
      <c r="O55" s="342">
        <f ca="1">SUMIFS(bddres_pieces,'BDD RESERVATIONS'!$G:$G,'SUIVI STOCKS PAR PAYSAN'!$N$7,bddres_c_prod_type_aff,'SUIVI STOCKS PAR PAYSAN'!$C55,'BDD RESERVATIONS'!$B:$B,"&gt;"&amp;date_inventaire)</f>
        <v>0</v>
      </c>
      <c r="P55" s="343">
        <f ca="1">SUMIFS(es_pieces,es_prod_type_affinage,'SUIVI STOCKS PAR PAYSAN'!$C55,es_date_entree,"&gt;"&amp;date_inventaire,es_taille,'SUIVI STOCKS PAR PAYSAN'!$P$7)-SUMIFS(v_Pièces,v_Taille,'SUIVI STOCKS PAR PAYSAN'!$P$7,v_conc_prod_tye_affinage,'SUIVI STOCKS PAR PAYSAN'!$C55,v_Date_commande,"&gt;"&amp;date_inventaire)</f>
        <v>0</v>
      </c>
      <c r="Q55" s="353">
        <f ca="1">SUMIFS(bddres_pieces,'BDD RESERVATIONS'!$G:$G,'SUIVI STOCKS PAR PAYSAN'!$P$7,bddres_c_prod_type_aff,'SUIVI STOCKS PAR PAYSAN'!$C55,'BDD RESERVATIONS'!$B:$B,"&gt;"&amp;date_inventaire)</f>
        <v>0</v>
      </c>
      <c r="R55" s="340">
        <f ca="1">SUMIFS(es_poids,es_prod_type_affinage,'SUIVI STOCKS PAR PAYSAN'!$D55,es_date_entree,"&gt;"&amp;date_inventaire)-SUMIFS(v_Poids,v_conc_prod_tye_affinage,'SUIVI STOCKS PAR PAYSAN'!$D55,v_Date_commande,"&gt;"&amp;date_inventaire)</f>
        <v>0</v>
      </c>
      <c r="S55" s="341">
        <f ca="1">SUMIFS(bddres_c_qte,bddres_c_prod_type_aff,'SUIVI STOCKS PAR PAYSAN'!D55,'BDD RESERVATIONS'!$B:$B,"&gt;"&amp;date_inventaire)</f>
        <v>0</v>
      </c>
      <c r="T55" s="342">
        <f ca="1">SUMIFS(bddres_pieces,es_prod_type_affinage,'SUIVI STOCKS PAR PAYSAN'!$D55,es_date_entree,"&gt;"&amp;date_inventaire,es_taille,'SUIVI STOCKS PAR PAYSAN'!$T$7)-SUMIFS(v_Pièces,v_Taille,'SUIVI STOCKS PAR PAYSAN'!$T$7,v_conc_prod_tye_affinage,'SUIVI STOCKS PAR PAYSAN'!$D55,v_Date_commande,"&gt;"&amp;date_inventaire)</f>
        <v>0</v>
      </c>
      <c r="U55" s="342">
        <f ca="1">SUMIFS(bddres_pieces,'BDD RESERVATIONS'!$G:$G,'SUIVI STOCKS PAR PAYSAN'!$T$7,bddres_c_prod_type_aff,'SUIVI STOCKS PAR PAYSAN'!$D55,'BDD RESERVATIONS'!$B:$B,"&gt;"&amp;date_inventaire)</f>
        <v>0</v>
      </c>
      <c r="V55" s="343">
        <f ca="1">SUMIFS(es_pieces,es_prod_type_affinage,'SUIVI STOCKS PAR PAYSAN'!$D55,es_date_entree,"&gt;"&amp;date_inventaire,es_taille,'SUIVI STOCKS PAR PAYSAN'!$V$7)-SUMIFS(v_Pièces,v_Taille,'SUIVI STOCKS PAR PAYSAN'!$V$7,v_conc_prod_tye_affinage,'SUIVI STOCKS PAR PAYSAN'!$D55,v_Date_commande,"&gt;"&amp;date_inventaire)</f>
        <v>0</v>
      </c>
      <c r="W55" s="353">
        <f ca="1">SUMIFS(bddres_pieces,'BDD RESERVATIONS'!$G:$G,'SUIVI STOCKS PAR PAYSAN'!$V$7,bddres_c_prod_type_aff,'SUIVI STOCKS PAR PAYSAN'!$D55,'BDD RESERVATIONS'!$B:$B,"&gt;"&amp;date_inventaire)</f>
        <v>0</v>
      </c>
      <c r="X55" s="313">
        <f ca="1">SUMIFS(es_poids,es_prod_type_affinage,'SUIVI STOCKS PAR PAYSAN'!$E55,es_date_entree,"&gt;"&amp;date_inventaire)-SUMIFS(v_Poids,v_conc_prod_tye_affinage,'SUIVI STOCKS PAR PAYSAN'!$E55,v_Date_commande,"&gt;"&amp;date_inventaire)</f>
        <v>0</v>
      </c>
      <c r="Y55" s="341">
        <f ca="1">SUMIFS(bddres_c_qte,bddres_c_prod_type_aff,'SUIVI STOCKS PAR PAYSAN'!E55,'BDD RESERVATIONS'!$B:$B,"&gt;"&amp;date_inventaire)</f>
        <v>0</v>
      </c>
      <c r="Z55" s="342">
        <f ca="1">SUMIFS(bddres_pieces,es_prod_type_affinage,'SUIVI STOCKS PAR PAYSAN'!$E55,es_date_entree,"&gt;"&amp;date_inventaire,es_taille,'SUIVI STOCKS PAR PAYSAN'!$Z$7)-SUMIFS(v_Pièces,v_Taille,'SUIVI STOCKS PAR PAYSAN'!$Z$7,v_conc_prod_tye_affinage,'SUIVI STOCKS PAR PAYSAN'!$E55,v_Date_commande,"&gt;"&amp;date_inventaire)</f>
        <v>0</v>
      </c>
      <c r="AA55" s="342">
        <f ca="1">SUMIFS(bddres_pieces,'BDD RESERVATIONS'!$G:$G,'SUIVI STOCKS PAR PAYSAN'!$Z$7,bddres_c_prod_type_aff,'SUIVI STOCKS PAR PAYSAN'!$E55,'BDD RESERVATIONS'!$B:$B,"&gt;"&amp;date_inventaire)</f>
        <v>0</v>
      </c>
      <c r="AB55" s="343">
        <f ca="1">SUMIFS(es_pieces,es_prod_type_affinage,'SUIVI STOCKS PAR PAYSAN'!$E55,es_date_entree,"&gt;"&amp;date_inventaire,es_taille,'SUIVI STOCKS PAR PAYSAN'!$AB$7)-SUMIFS(v_Pièces,v_Taille,'SUIVI STOCKS PAR PAYSAN'!$AB$7,v_conc_prod_tye_affinage,'SUIVI STOCKS PAR PAYSAN'!$E55,v_Date_commande,"&gt;"&amp;date_inventaire)</f>
        <v>0</v>
      </c>
      <c r="AC55" s="353">
        <f ca="1">SUMIFS(bddres_pieces,'BDD RESERVATIONS'!$G:$G,'SUIVI STOCKS PAR PAYSAN'!$AB$7,bddres_c_prod_type_aff,'SUIVI STOCKS PAR PAYSAN'!$E55,'BDD RESERVATIONS'!$B:$B,"&gt;"&amp;date_inventaire)</f>
        <v>0</v>
      </c>
      <c r="AD55" s="313">
        <f ca="1">SUMIFS(es_poids,es_prod_type_affinage,'SUIVI STOCKS PAR PAYSAN'!$F55,es_date_entree,"&gt;"&amp;date_inventaire)-SUMIFS(v_Poids,v_conc_prod_tye_affinage,'SUIVI STOCKS PAR PAYSAN'!$F55,v_Date_commande,"&gt;"&amp;date_inventaire)</f>
        <v>0</v>
      </c>
      <c r="AE55" s="341">
        <f ca="1">SUMIFS(bddres_c_qte,bddres_c_prod_type_aff,'SUIVI STOCKS PAR PAYSAN'!F55,'BDD RESERVATIONS'!$B:$B,"&gt;"&amp;date_inventaire)</f>
        <v>0</v>
      </c>
      <c r="AF55" s="342">
        <f ca="1">SUMIFS(bddres_pieces,es_prod_type_affinage,'SUIVI STOCKS PAR PAYSAN'!$F55,es_date_entree,"&gt;"&amp;date_inventaire,es_taille,'SUIVI STOCKS PAR PAYSAN'!$Z$7)-SUMIFS(v_Pièces,v_Taille,'SUIVI STOCKS PAR PAYSAN'!$Z$7,v_conc_prod_tye_affinage,'SUIVI STOCKS PAR PAYSAN'!$F55,v_Date_commande,"&gt;"&amp;date_inventaire)</f>
        <v>0</v>
      </c>
      <c r="AG55" s="342">
        <f ca="1">SUMIFS(bddres_pieces,'BDD RESERVATIONS'!$G:$G,'SUIVI STOCKS PAR PAYSAN'!$Z$7,bddres_c_prod_type_aff,'SUIVI STOCKS PAR PAYSAN'!$F55,'BDD RESERVATIONS'!$B:$B,"&gt;"&amp;date_inventaire)</f>
        <v>0</v>
      </c>
      <c r="AH55" s="343">
        <f ca="1">SUMIFS(es_pieces,es_prod_type_affinage,'SUIVI STOCKS PAR PAYSAN'!$F55,es_date_entree,"&gt;"&amp;date_inventaire,es_taille,'SUIVI STOCKS PAR PAYSAN'!$AH$7)-SUMIFS(v_Pièces,v_Taille,'SUIVI STOCKS PAR PAYSAN'!$AH$7,v_conc_prod_tye_affinage,'SUIVI STOCKS PAR PAYSAN'!$F55,v_Date_commande,"&gt;"&amp;date_inventaire)</f>
        <v>0</v>
      </c>
      <c r="AI55" s="353">
        <f ca="1">SUMIFS(bddres_pieces,'BDD RESERVATIONS'!$G:$G,'SUIVI STOCKS PAR PAYSAN'!$AB$7,bddres_c_prod_type_aff,'SUIVI STOCKS PAR PAYSAN'!$F55,'BDD RESERVATIONS'!$B:$B,"&gt;"&amp;date_inventaire)</f>
        <v>0</v>
      </c>
      <c r="AJ55" s="352">
        <f ca="1">SUMIFS(es_poids,es_prod_type_affinage,'SUIVI STOCKS PAR PAYSAN'!$G55,es_date_entree,"&gt;"&amp;date_inventaire)-SUMIFS(v_Poids,v_conc_prod_tye_affinage,'SUIVI STOCKS PAR PAYSAN'!$G55,v_Date_commande,"&gt;"&amp;date_inventaire)</f>
        <v>0</v>
      </c>
      <c r="AK55" s="341">
        <f ca="1">SUMIFS(bddres_c_qte,bddres_c_prod_type_aff,'SUIVI STOCKS PAR PAYSAN'!G55,'BDD RESERVATIONS'!$B:$B,"&gt;"&amp;date_inventaire)</f>
        <v>0</v>
      </c>
      <c r="AL55" s="342">
        <f ca="1">SUMIFS(bddres_pieces,es_prod_type_affinage,'SUIVI STOCKS PAR PAYSAN'!$G55,es_date_entree,"&gt;"&amp;date_inventaire,es_taille,'SUIVI STOCKS PAR PAYSAN'!$AL$7)-SUMIFS(v_Pièces,v_Taille,'SUIVI STOCKS PAR PAYSAN'!$AL$7,v_conc_prod_tye_affinage,'SUIVI STOCKS PAR PAYSAN'!$G55,v_Date_commande,"&gt;"&amp;date_inventaire)</f>
        <v>0</v>
      </c>
      <c r="AM55" s="342">
        <f ca="1">SUMIFS(bddres_pieces,'BDD RESERVATIONS'!$G:$G,'SUIVI STOCKS PAR PAYSAN'!$AL$7,bddres_c_prod_type_aff,'SUIVI STOCKS PAR PAYSAN'!$G55,'BDD RESERVATIONS'!$B:$B,"&gt;"&amp;date_inventaire)</f>
        <v>0</v>
      </c>
      <c r="AN55" s="343">
        <f ca="1">SUMIFS(es_pieces,es_prod_type_affinage,'SUIVI STOCKS PAR PAYSAN'!$G55,es_date_entree,"&gt;"&amp;date_inventaire,es_taille,'SUIVI STOCKS PAR PAYSAN'!$AN$7)-SUMIFS(v_Pièces,v_Taille,'SUIVI STOCKS PAR PAYSAN'!$AN$7,v_conc_prod_tye_affinage,'SUIVI STOCKS PAR PAYSAN'!$G55,v_Date_commande,"&gt;"&amp;date_inventaire)</f>
        <v>0</v>
      </c>
      <c r="AO55" s="353">
        <f ca="1">SUMIFS(bddres_pieces,'BDD RESERVATIONS'!$G:$G,'SUIVI STOCKS PAR PAYSAN'!$AN$7,bddres_c_prod_type_aff,'SUIVI STOCKS PAR PAYSAN'!$G55,'BDD RESERVATIONS'!$B:$B,"&gt;"&amp;date_inventaire)</f>
        <v>0</v>
      </c>
      <c r="AP55" s="313">
        <f ca="1">SUMIFS(es_poids,es_prod_type_affinage,'SUIVI STOCKS PAR PAYSAN'!$H55,es_date_entree,"&gt;"&amp;date_inventaire)-SUMIFS(v_Poids,v_conc_prod_tye_affinage,'SUIVI STOCKS PAR PAYSAN'!$H55,v_Date_commande,"&gt;"&amp;date_inventaire)</f>
        <v>0</v>
      </c>
      <c r="AQ55" s="341">
        <f ca="1">SUMIFS(bddres_c_qte,bddres_c_prod_type_aff,'SUIVI STOCKS PAR PAYSAN'!H55,'BDD RESERVATIONS'!$B:$B,"&gt;"&amp;date_inventaire)</f>
        <v>0</v>
      </c>
      <c r="AR55" s="342">
        <f ca="1">SUMIFS(bddres_pieces,es_prod_type_affinage,'SUIVI STOCKS PAR PAYSAN'!$H55,es_date_entree,"&gt;"&amp;date_inventaire,es_taille,'SUIVI STOCKS PAR PAYSAN'!$AR$7)-SUMIFS(v_Pièces,v_Taille,'SUIVI STOCKS PAR PAYSAN'!$AR$7,v_conc_prod_tye_affinage,'SUIVI STOCKS PAR PAYSAN'!$H55,v_Date_commande,"&gt;"&amp;date_inventaire)</f>
        <v>0</v>
      </c>
      <c r="AS55" s="326">
        <f ca="1">SUMIFS(bddres_pieces,'BDD RESERVATIONS'!$G:$G,'SUIVI STOCKS PAR PAYSAN'!AR50,bddres_c_prod_type_aff,'SUIVI STOCKS PAR PAYSAN'!$H55,'BDD RESERVATIONS'!$B:$B,"&gt;"&amp;date_inventaire)</f>
        <v>0</v>
      </c>
      <c r="AT55" s="343">
        <f ca="1">SUMIFS(es_pieces,es_prod_type_affinage,'SUIVI STOCKS PAR PAYSAN'!$H55,es_date_entree,"&gt;"&amp;date_inventaire,es_taille,'SUIVI STOCKS PAR PAYSAN'!$AT$7)-SUMIFS(v_Pièces,v_Taille,'SUIVI STOCKS PAR PAYSAN'!$AT$7,v_conc_prod_tye_affinage,'SUIVI STOCKS PAR PAYSAN'!$H55,v_Date_commande,"&gt;"&amp;date_inventaire)</f>
        <v>0</v>
      </c>
      <c r="AU55" s="353">
        <f ca="1">SUMIFS(bddres_pieces,'BDD RESERVATIONS'!$G:$G,'SUIVI STOCKS PAR PAYSAN'!$AT$7,bddres_c_prod_type_aff,'SUIVI STOCKS PAR PAYSAN'!$H55,'BDD RESERVATIONS'!$B:$B,"&gt;"&amp;date_inventaire)</f>
        <v>0</v>
      </c>
      <c r="AV55" s="313">
        <f ca="1">SUMIFS(es_poids,es_prod_type_affinage,'SUIVI STOCKS PAR PAYSAN'!$I55,es_date_entree,"&gt;"&amp;date_inventaire)-SUMIFS(v_Poids,v_conc_prod_tye_affinage,'SUIVI STOCKS PAR PAYSAN'!$E55,v_Date_commande,"&gt;"&amp;date_inventaire)</f>
        <v>0</v>
      </c>
      <c r="AW55" s="313">
        <f ca="1">SUMIFS(bddres_c_qte,bddres_c_prod_type_aff,'SUIVI STOCKS PAR PAYSAN'!I55,'BDD RESERVATIONS'!$B:$B,"&gt;"&amp;date_inventaire)</f>
        <v>0</v>
      </c>
      <c r="AX55" s="342">
        <f ca="1">SUMIFS(bddres_pieces,es_prod_type_affinage,'SUIVI STOCKS PAR PAYSAN'!$I55,es_date_entree,"&gt;"&amp;date_inventaire,es_taille,'SUIVI STOCKS PAR PAYSAN'!$AX$7)-SUMIFS(v_Pièces,v_Taille,'SUIVI STOCKS PAR PAYSAN'!$AX$7,v_conc_prod_tye_affinage,'SUIVI STOCKS PAR PAYSAN'!$I55,v_Date_commande,"&gt;"&amp;date_inventaire)</f>
        <v>0</v>
      </c>
      <c r="AY55" s="342">
        <f ca="1">SUMIFS(bddres_pieces,'BDD RESERVATIONS'!$G:$G,'SUIVI STOCKS PAR PAYSAN'!$AX$7,bddres_c_prod_type_aff,'SUIVI STOCKS PAR PAYSAN'!$I55,'BDD RESERVATIONS'!$B:$B,"&gt;"&amp;date_inventaire)</f>
        <v>0</v>
      </c>
      <c r="AZ55" s="343">
        <f ca="1">SUMIFS(es_pieces,es_prod_type_affinage,'SUIVI STOCKS PAR PAYSAN'!$I55,es_date_entree,"&gt;"&amp;date_inventaire,es_taille,'SUIVI STOCKS PAR PAYSAN'!$AZ$7)-SUMIFS(v_Pièces,v_Taille,'SUIVI STOCKS PAR PAYSAN'!$AZ$7,v_conc_prod_tye_affinage,'SUIVI STOCKS PAR PAYSAN'!$I55,v_Date_commande,"&gt;"&amp;date_inventaire)</f>
        <v>0</v>
      </c>
      <c r="BA55" s="353">
        <f ca="1">SUMIFS(bddres_pieces,'BDD RESERVATIONS'!$G:$G,'SUIVI STOCKS PAR PAYSAN'!$AZ$7,bddres_c_prod_type_aff,'SUIVI STOCKS PAR PAYSAN'!$I55,'BDD RESERVATIONS'!$B:$B,"&gt;"&amp;date_inventaire)</f>
        <v>0</v>
      </c>
      <c r="BB55" s="313">
        <f ca="1">SUMIFS(es_poids,es_prod_type_affinage,'SUIVI STOCKS PAR PAYSAN'!$J55,es_date_entree,"&gt;"&amp;date_inventaire)-SUMIFS(v_Poids,v_conc_prod_tye_affinage,'SUIVI STOCKS PAR PAYSAN'!$J55,v_Date_commande,"&gt;"&amp;date_inventaire)</f>
        <v>0</v>
      </c>
      <c r="BC55" s="313">
        <f ca="1">SUMIFS(bddres_c_qte,bddres_c_prod_type_aff,'SUIVI STOCKS PAR PAYSAN'!J55,'BDD RESERVATIONS'!$B:$B,"&gt;"&amp;date_inventaire)</f>
        <v>0</v>
      </c>
      <c r="BD55" s="342">
        <f ca="1">SUMIFS(bddres_pieces,es_prod_type_affinage,'SUIVI STOCKS PAR PAYSAN'!$J55,es_date_entree,"&gt;"&amp;date_inventaire,es_taille,'SUIVI STOCKS PAR PAYSAN'!$BD$7)-SUMIFS(v_Pièces,v_Taille,'SUIVI STOCKS PAR PAYSAN'!$BD$7,v_conc_prod_tye_affinage,'SUIVI STOCKS PAR PAYSAN'!$J55,v_Date_commande,"&gt;"&amp;date_inventaire)</f>
        <v>0</v>
      </c>
      <c r="BE55" s="326">
        <f ca="1">SUMIFS(bddres_pieces,'BDD RESERVATIONS'!$G:$G,'SUIVI STOCKS PAR PAYSAN'!BD50,bddres_c_prod_type_aff,'SUIVI STOCKS PAR PAYSAN'!J55,'BDD RESERVATIONS'!$B:$B,"&gt;"&amp;date_inventaire)</f>
        <v>0</v>
      </c>
      <c r="BF55" s="343">
        <f ca="1">SUMIFS(es_pieces,es_prod_type_affinage,'SUIVI STOCKS PAR PAYSAN'!J55,es_date_entree,"&gt;"&amp;date_inventaire,es_taille,'SUIVI STOCKS PAR PAYSAN'!$BF$7)-SUMIFS(v_Pièces,v_Taille,'SUIVI STOCKS PAR PAYSAN'!$BF$7,v_conc_prod_tye_affinage,'SUIVI STOCKS PAR PAYSAN'!J55,v_Date_commande,"&gt;"&amp;date_inventaire)</f>
        <v>0</v>
      </c>
      <c r="BG55" s="353">
        <f ca="1">SUMIFS(bddres_pieces,'BDD RESERVATIONS'!$G:$G,'SUIVI STOCKS PAR PAYSAN'!$BF$7,bddres_c_prod_type_aff,'SUIVI STOCKS PAR PAYSAN'!J55,'BDD RESERVATIONS'!$B:$B,"&gt;"&amp;date_inventaire)</f>
        <v>0</v>
      </c>
    </row>
    <row r="56" spans="1:59" ht="18.75" customHeight="1" x14ac:dyDescent="0.25">
      <c r="A56" s="331">
        <f ca="1">OFFSET('BDD PAYSANS'!$B$1,B56,0,1,1)</f>
        <v>0</v>
      </c>
      <c r="B56" s="325">
        <v>45</v>
      </c>
      <c r="C56" s="325" t="str">
        <f t="shared" ca="1" si="2"/>
        <v>0FERMIER&lt;3 mois</v>
      </c>
      <c r="D56" s="325" t="str">
        <f t="shared" ca="1" si="2"/>
        <v>0FERMIER3-6 mois</v>
      </c>
      <c r="E56" s="325" t="str">
        <f t="shared" ca="1" si="2"/>
        <v>0FERMIER6-9 mois</v>
      </c>
      <c r="F56" s="325" t="str">
        <f t="shared" ca="1" si="2"/>
        <v>0FERMIER&gt;9 mois</v>
      </c>
      <c r="G56" s="325" t="str">
        <f t="shared" ca="1" si="2"/>
        <v>0ESTIVE&lt;3 mois</v>
      </c>
      <c r="H56" s="325" t="str">
        <f t="shared" ca="1" si="2"/>
        <v>0ESTIVE3-6 mois</v>
      </c>
      <c r="I56" s="325" t="str">
        <f t="shared" ca="1" si="2"/>
        <v>0ESTIVE6-9 mois</v>
      </c>
      <c r="J56" s="325" t="str">
        <f t="shared" ca="1" si="2"/>
        <v>0ESTIVE&gt;9 mois</v>
      </c>
      <c r="K56" s="325"/>
      <c r="L56" s="352">
        <f ca="1">SUMIFS(es_poids,es_prod_type_affinage,'SUIVI STOCKS PAR PAYSAN'!$C56,es_date_entree,"&gt;"&amp;date_inventaire)-SUMIFS(v_Poids,v_conc_prod_tye_affinage,'SUIVI STOCKS PAR PAYSAN'!$C56,v_Date_commande,"&gt;"&amp;date_inventaire)</f>
        <v>0</v>
      </c>
      <c r="M56" s="341">
        <f ca="1">SUMIFS(bddres_c_qte,bddres_c_prod_type_aff,'SUIVI STOCKS PAR PAYSAN'!C56,'BDD RESERVATIONS'!$B:$B,"&gt;"&amp;date_inventaire)</f>
        <v>0</v>
      </c>
      <c r="N56" s="342">
        <f ca="1">SUMIFS(bddres_pieces,es_prod_type_affinage,'SUIVI STOCKS PAR PAYSAN'!$C56,es_date_entree,"&gt;"&amp;date_inventaire,es_taille,'SUIVI STOCKS PAR PAYSAN'!$N$7)-SUMIFS(v_Pièces,v_Taille,'SUIVI STOCKS PAR PAYSAN'!$N$7,v_conc_prod_tye_affinage,'SUIVI STOCKS PAR PAYSAN'!$C56,v_Date_commande,"&gt;"&amp;date_inventaire)</f>
        <v>0</v>
      </c>
      <c r="O56" s="342">
        <f ca="1">SUMIFS(bddres_pieces,'BDD RESERVATIONS'!$G:$G,'SUIVI STOCKS PAR PAYSAN'!$N$7,bddres_c_prod_type_aff,'SUIVI STOCKS PAR PAYSAN'!$C56,'BDD RESERVATIONS'!$B:$B,"&gt;"&amp;date_inventaire)</f>
        <v>0</v>
      </c>
      <c r="P56" s="343">
        <f ca="1">SUMIFS(es_pieces,es_prod_type_affinage,'SUIVI STOCKS PAR PAYSAN'!$C56,es_date_entree,"&gt;"&amp;date_inventaire,es_taille,'SUIVI STOCKS PAR PAYSAN'!$P$7)-SUMIFS(v_Pièces,v_Taille,'SUIVI STOCKS PAR PAYSAN'!$P$7,v_conc_prod_tye_affinage,'SUIVI STOCKS PAR PAYSAN'!$C56,v_Date_commande,"&gt;"&amp;date_inventaire)</f>
        <v>0</v>
      </c>
      <c r="Q56" s="353">
        <f ca="1">SUMIFS(bddres_pieces,'BDD RESERVATIONS'!$G:$G,'SUIVI STOCKS PAR PAYSAN'!$P$7,bddres_c_prod_type_aff,'SUIVI STOCKS PAR PAYSAN'!$C56,'BDD RESERVATIONS'!$B:$B,"&gt;"&amp;date_inventaire)</f>
        <v>0</v>
      </c>
      <c r="R56" s="340">
        <f ca="1">SUMIFS(es_poids,es_prod_type_affinage,'SUIVI STOCKS PAR PAYSAN'!$D56,es_date_entree,"&gt;"&amp;date_inventaire)-SUMIFS(v_Poids,v_conc_prod_tye_affinage,'SUIVI STOCKS PAR PAYSAN'!$D56,v_Date_commande,"&gt;"&amp;date_inventaire)</f>
        <v>0</v>
      </c>
      <c r="S56" s="341">
        <f ca="1">SUMIFS(bddres_c_qte,bddres_c_prod_type_aff,'SUIVI STOCKS PAR PAYSAN'!D56,'BDD RESERVATIONS'!$B:$B,"&gt;"&amp;date_inventaire)</f>
        <v>0</v>
      </c>
      <c r="T56" s="342">
        <f ca="1">SUMIFS(bddres_pieces,es_prod_type_affinage,'SUIVI STOCKS PAR PAYSAN'!$D56,es_date_entree,"&gt;"&amp;date_inventaire,es_taille,'SUIVI STOCKS PAR PAYSAN'!$T$7)-SUMIFS(v_Pièces,v_Taille,'SUIVI STOCKS PAR PAYSAN'!$T$7,v_conc_prod_tye_affinage,'SUIVI STOCKS PAR PAYSAN'!$D56,v_Date_commande,"&gt;"&amp;date_inventaire)</f>
        <v>0</v>
      </c>
      <c r="U56" s="342">
        <f ca="1">SUMIFS(bddres_pieces,'BDD RESERVATIONS'!$G:$G,'SUIVI STOCKS PAR PAYSAN'!$T$7,bddres_c_prod_type_aff,'SUIVI STOCKS PAR PAYSAN'!$D56,'BDD RESERVATIONS'!$B:$B,"&gt;"&amp;date_inventaire)</f>
        <v>0</v>
      </c>
      <c r="V56" s="343">
        <f ca="1">SUMIFS(es_pieces,es_prod_type_affinage,'SUIVI STOCKS PAR PAYSAN'!$D56,es_date_entree,"&gt;"&amp;date_inventaire,es_taille,'SUIVI STOCKS PAR PAYSAN'!$V$7)-SUMIFS(v_Pièces,v_Taille,'SUIVI STOCKS PAR PAYSAN'!$V$7,v_conc_prod_tye_affinage,'SUIVI STOCKS PAR PAYSAN'!$D56,v_Date_commande,"&gt;"&amp;date_inventaire)</f>
        <v>0</v>
      </c>
      <c r="W56" s="353">
        <f ca="1">SUMIFS(bddres_pieces,'BDD RESERVATIONS'!$G:$G,'SUIVI STOCKS PAR PAYSAN'!$V$7,bddres_c_prod_type_aff,'SUIVI STOCKS PAR PAYSAN'!$D56,'BDD RESERVATIONS'!$B:$B,"&gt;"&amp;date_inventaire)</f>
        <v>0</v>
      </c>
      <c r="X56" s="313">
        <f ca="1">SUMIFS(es_poids,es_prod_type_affinage,'SUIVI STOCKS PAR PAYSAN'!$E56,es_date_entree,"&gt;"&amp;date_inventaire)-SUMIFS(v_Poids,v_conc_prod_tye_affinage,'SUIVI STOCKS PAR PAYSAN'!$E56,v_Date_commande,"&gt;"&amp;date_inventaire)</f>
        <v>0</v>
      </c>
      <c r="Y56" s="341">
        <f ca="1">SUMIFS(bddres_c_qte,bddres_c_prod_type_aff,'SUIVI STOCKS PAR PAYSAN'!E56,'BDD RESERVATIONS'!$B:$B,"&gt;"&amp;date_inventaire)</f>
        <v>0</v>
      </c>
      <c r="Z56" s="342">
        <f ca="1">SUMIFS(bddres_pieces,es_prod_type_affinage,'SUIVI STOCKS PAR PAYSAN'!$E56,es_date_entree,"&gt;"&amp;date_inventaire,es_taille,'SUIVI STOCKS PAR PAYSAN'!$Z$7)-SUMIFS(v_Pièces,v_Taille,'SUIVI STOCKS PAR PAYSAN'!$Z$7,v_conc_prod_tye_affinage,'SUIVI STOCKS PAR PAYSAN'!$E56,v_Date_commande,"&gt;"&amp;date_inventaire)</f>
        <v>0</v>
      </c>
      <c r="AA56" s="342">
        <f ca="1">SUMIFS(bddres_pieces,'BDD RESERVATIONS'!$G:$G,'SUIVI STOCKS PAR PAYSAN'!$Z$7,bddres_c_prod_type_aff,'SUIVI STOCKS PAR PAYSAN'!$E56,'BDD RESERVATIONS'!$B:$B,"&gt;"&amp;date_inventaire)</f>
        <v>0</v>
      </c>
      <c r="AB56" s="343">
        <f ca="1">SUMIFS(es_pieces,es_prod_type_affinage,'SUIVI STOCKS PAR PAYSAN'!$E56,es_date_entree,"&gt;"&amp;date_inventaire,es_taille,'SUIVI STOCKS PAR PAYSAN'!$AB$7)-SUMIFS(v_Pièces,v_Taille,'SUIVI STOCKS PAR PAYSAN'!$AB$7,v_conc_prod_tye_affinage,'SUIVI STOCKS PAR PAYSAN'!$E56,v_Date_commande,"&gt;"&amp;date_inventaire)</f>
        <v>0</v>
      </c>
      <c r="AC56" s="353">
        <f ca="1">SUMIFS(bddres_pieces,'BDD RESERVATIONS'!$G:$G,'SUIVI STOCKS PAR PAYSAN'!$AB$7,bddres_c_prod_type_aff,'SUIVI STOCKS PAR PAYSAN'!$E56,'BDD RESERVATIONS'!$B:$B,"&gt;"&amp;date_inventaire)</f>
        <v>0</v>
      </c>
      <c r="AD56" s="313">
        <f ca="1">SUMIFS(es_poids,es_prod_type_affinage,'SUIVI STOCKS PAR PAYSAN'!$F56,es_date_entree,"&gt;"&amp;date_inventaire)-SUMIFS(v_Poids,v_conc_prod_tye_affinage,'SUIVI STOCKS PAR PAYSAN'!$F56,v_Date_commande,"&gt;"&amp;date_inventaire)</f>
        <v>0</v>
      </c>
      <c r="AE56" s="341">
        <f ca="1">SUMIFS(bddres_c_qte,bddres_c_prod_type_aff,'SUIVI STOCKS PAR PAYSAN'!F56,'BDD RESERVATIONS'!$B:$B,"&gt;"&amp;date_inventaire)</f>
        <v>0</v>
      </c>
      <c r="AF56" s="342">
        <f ca="1">SUMIFS(bddres_pieces,es_prod_type_affinage,'SUIVI STOCKS PAR PAYSAN'!$F56,es_date_entree,"&gt;"&amp;date_inventaire,es_taille,'SUIVI STOCKS PAR PAYSAN'!$Z$7)-SUMIFS(v_Pièces,v_Taille,'SUIVI STOCKS PAR PAYSAN'!$Z$7,v_conc_prod_tye_affinage,'SUIVI STOCKS PAR PAYSAN'!$F56,v_Date_commande,"&gt;"&amp;date_inventaire)</f>
        <v>0</v>
      </c>
      <c r="AG56" s="342">
        <f ca="1">SUMIFS(bddres_pieces,'BDD RESERVATIONS'!$G:$G,'SUIVI STOCKS PAR PAYSAN'!$Z$7,bddres_c_prod_type_aff,'SUIVI STOCKS PAR PAYSAN'!$F56,'BDD RESERVATIONS'!$B:$B,"&gt;"&amp;date_inventaire)</f>
        <v>0</v>
      </c>
      <c r="AH56" s="343">
        <f ca="1">SUMIFS(es_pieces,es_prod_type_affinage,'SUIVI STOCKS PAR PAYSAN'!$F56,es_date_entree,"&gt;"&amp;date_inventaire,es_taille,'SUIVI STOCKS PAR PAYSAN'!$AH$7)-SUMIFS(v_Pièces,v_Taille,'SUIVI STOCKS PAR PAYSAN'!$AH$7,v_conc_prod_tye_affinage,'SUIVI STOCKS PAR PAYSAN'!$F56,v_Date_commande,"&gt;"&amp;date_inventaire)</f>
        <v>0</v>
      </c>
      <c r="AI56" s="353">
        <f ca="1">SUMIFS(bddres_pieces,'BDD RESERVATIONS'!$G:$G,'SUIVI STOCKS PAR PAYSAN'!$AB$7,bddres_c_prod_type_aff,'SUIVI STOCKS PAR PAYSAN'!$F56,'BDD RESERVATIONS'!$B:$B,"&gt;"&amp;date_inventaire)</f>
        <v>0</v>
      </c>
      <c r="AJ56" s="352">
        <f ca="1">SUMIFS(es_poids,es_prod_type_affinage,'SUIVI STOCKS PAR PAYSAN'!$G56,es_date_entree,"&gt;"&amp;date_inventaire)-SUMIFS(v_Poids,v_conc_prod_tye_affinage,'SUIVI STOCKS PAR PAYSAN'!$G56,v_Date_commande,"&gt;"&amp;date_inventaire)</f>
        <v>0</v>
      </c>
      <c r="AK56" s="341">
        <f ca="1">SUMIFS(bddres_c_qte,bddres_c_prod_type_aff,'SUIVI STOCKS PAR PAYSAN'!G56,'BDD RESERVATIONS'!$B:$B,"&gt;"&amp;date_inventaire)</f>
        <v>0</v>
      </c>
      <c r="AL56" s="342">
        <f ca="1">SUMIFS(bddres_pieces,es_prod_type_affinage,'SUIVI STOCKS PAR PAYSAN'!$G56,es_date_entree,"&gt;"&amp;date_inventaire,es_taille,'SUIVI STOCKS PAR PAYSAN'!$AL$7)-SUMIFS(v_Pièces,v_Taille,'SUIVI STOCKS PAR PAYSAN'!$AL$7,v_conc_prod_tye_affinage,'SUIVI STOCKS PAR PAYSAN'!$G56,v_Date_commande,"&gt;"&amp;date_inventaire)</f>
        <v>0</v>
      </c>
      <c r="AM56" s="342">
        <f ca="1">SUMIFS(bddres_pieces,'BDD RESERVATIONS'!$G:$G,'SUIVI STOCKS PAR PAYSAN'!$AL$7,bddres_c_prod_type_aff,'SUIVI STOCKS PAR PAYSAN'!$G56,'BDD RESERVATIONS'!$B:$B,"&gt;"&amp;date_inventaire)</f>
        <v>0</v>
      </c>
      <c r="AN56" s="343">
        <f ca="1">SUMIFS(es_pieces,es_prod_type_affinage,'SUIVI STOCKS PAR PAYSAN'!$G56,es_date_entree,"&gt;"&amp;date_inventaire,es_taille,'SUIVI STOCKS PAR PAYSAN'!$AN$7)-SUMIFS(v_Pièces,v_Taille,'SUIVI STOCKS PAR PAYSAN'!$AN$7,v_conc_prod_tye_affinage,'SUIVI STOCKS PAR PAYSAN'!$G56,v_Date_commande,"&gt;"&amp;date_inventaire)</f>
        <v>0</v>
      </c>
      <c r="AO56" s="353">
        <f ca="1">SUMIFS(bddres_pieces,'BDD RESERVATIONS'!$G:$G,'SUIVI STOCKS PAR PAYSAN'!$AN$7,bddres_c_prod_type_aff,'SUIVI STOCKS PAR PAYSAN'!$G56,'BDD RESERVATIONS'!$B:$B,"&gt;"&amp;date_inventaire)</f>
        <v>0</v>
      </c>
      <c r="AP56" s="313">
        <f ca="1">SUMIFS(es_poids,es_prod_type_affinage,'SUIVI STOCKS PAR PAYSAN'!$H56,es_date_entree,"&gt;"&amp;date_inventaire)-SUMIFS(v_Poids,v_conc_prod_tye_affinage,'SUIVI STOCKS PAR PAYSAN'!$H56,v_Date_commande,"&gt;"&amp;date_inventaire)</f>
        <v>0</v>
      </c>
      <c r="AQ56" s="341">
        <f ca="1">SUMIFS(bddres_c_qte,bddres_c_prod_type_aff,'SUIVI STOCKS PAR PAYSAN'!H56,'BDD RESERVATIONS'!$B:$B,"&gt;"&amp;date_inventaire)</f>
        <v>0</v>
      </c>
      <c r="AR56" s="342">
        <f ca="1">SUMIFS(bddres_pieces,es_prod_type_affinage,'SUIVI STOCKS PAR PAYSAN'!$H56,es_date_entree,"&gt;"&amp;date_inventaire,es_taille,'SUIVI STOCKS PAR PAYSAN'!$AR$7)-SUMIFS(v_Pièces,v_Taille,'SUIVI STOCKS PAR PAYSAN'!$AR$7,v_conc_prod_tye_affinage,'SUIVI STOCKS PAR PAYSAN'!$H56,v_Date_commande,"&gt;"&amp;date_inventaire)</f>
        <v>0</v>
      </c>
      <c r="AS56" s="326">
        <f ca="1">SUMIFS(bddres_pieces,'BDD RESERVATIONS'!$G:$G,'SUIVI STOCKS PAR PAYSAN'!AR51,bddres_c_prod_type_aff,'SUIVI STOCKS PAR PAYSAN'!$H56,'BDD RESERVATIONS'!$B:$B,"&gt;"&amp;date_inventaire)</f>
        <v>0</v>
      </c>
      <c r="AT56" s="343">
        <f ca="1">SUMIFS(es_pieces,es_prod_type_affinage,'SUIVI STOCKS PAR PAYSAN'!$H56,es_date_entree,"&gt;"&amp;date_inventaire,es_taille,'SUIVI STOCKS PAR PAYSAN'!$AT$7)-SUMIFS(v_Pièces,v_Taille,'SUIVI STOCKS PAR PAYSAN'!$AT$7,v_conc_prod_tye_affinage,'SUIVI STOCKS PAR PAYSAN'!$H56,v_Date_commande,"&gt;"&amp;date_inventaire)</f>
        <v>0</v>
      </c>
      <c r="AU56" s="353">
        <f ca="1">SUMIFS(bddres_pieces,'BDD RESERVATIONS'!$G:$G,'SUIVI STOCKS PAR PAYSAN'!$AT$7,bddres_c_prod_type_aff,'SUIVI STOCKS PAR PAYSAN'!$H56,'BDD RESERVATIONS'!$B:$B,"&gt;"&amp;date_inventaire)</f>
        <v>0</v>
      </c>
      <c r="AV56" s="313">
        <f ca="1">SUMIFS(es_poids,es_prod_type_affinage,'SUIVI STOCKS PAR PAYSAN'!$I56,es_date_entree,"&gt;"&amp;date_inventaire)-SUMIFS(v_Poids,v_conc_prod_tye_affinage,'SUIVI STOCKS PAR PAYSAN'!$E56,v_Date_commande,"&gt;"&amp;date_inventaire)</f>
        <v>0</v>
      </c>
      <c r="AW56" s="313">
        <f ca="1">SUMIFS(bddres_c_qte,bddres_c_prod_type_aff,'SUIVI STOCKS PAR PAYSAN'!I56,'BDD RESERVATIONS'!$B:$B,"&gt;"&amp;date_inventaire)</f>
        <v>0</v>
      </c>
      <c r="AX56" s="342">
        <f ca="1">SUMIFS(bddres_pieces,es_prod_type_affinage,'SUIVI STOCKS PAR PAYSAN'!$I56,es_date_entree,"&gt;"&amp;date_inventaire,es_taille,'SUIVI STOCKS PAR PAYSAN'!$AX$7)-SUMIFS(v_Pièces,v_Taille,'SUIVI STOCKS PAR PAYSAN'!$AX$7,v_conc_prod_tye_affinage,'SUIVI STOCKS PAR PAYSAN'!$I56,v_Date_commande,"&gt;"&amp;date_inventaire)</f>
        <v>0</v>
      </c>
      <c r="AY56" s="342">
        <f ca="1">SUMIFS(bddres_pieces,'BDD RESERVATIONS'!$G:$G,'SUIVI STOCKS PAR PAYSAN'!$AX$7,bddres_c_prod_type_aff,'SUIVI STOCKS PAR PAYSAN'!$I56,'BDD RESERVATIONS'!$B:$B,"&gt;"&amp;date_inventaire)</f>
        <v>0</v>
      </c>
      <c r="AZ56" s="343">
        <f ca="1">SUMIFS(es_pieces,es_prod_type_affinage,'SUIVI STOCKS PAR PAYSAN'!$I56,es_date_entree,"&gt;"&amp;date_inventaire,es_taille,'SUIVI STOCKS PAR PAYSAN'!$AZ$7)-SUMIFS(v_Pièces,v_Taille,'SUIVI STOCKS PAR PAYSAN'!$AZ$7,v_conc_prod_tye_affinage,'SUIVI STOCKS PAR PAYSAN'!$I56,v_Date_commande,"&gt;"&amp;date_inventaire)</f>
        <v>0</v>
      </c>
      <c r="BA56" s="353">
        <f ca="1">SUMIFS(bddres_pieces,'BDD RESERVATIONS'!$G:$G,'SUIVI STOCKS PAR PAYSAN'!$AZ$7,bddres_c_prod_type_aff,'SUIVI STOCKS PAR PAYSAN'!$I56,'BDD RESERVATIONS'!$B:$B,"&gt;"&amp;date_inventaire)</f>
        <v>0</v>
      </c>
      <c r="BB56" s="313">
        <f ca="1">SUMIFS(es_poids,es_prod_type_affinage,'SUIVI STOCKS PAR PAYSAN'!$J56,es_date_entree,"&gt;"&amp;date_inventaire)-SUMIFS(v_Poids,v_conc_prod_tye_affinage,'SUIVI STOCKS PAR PAYSAN'!$J56,v_Date_commande,"&gt;"&amp;date_inventaire)</f>
        <v>0</v>
      </c>
      <c r="BC56" s="313">
        <f ca="1">SUMIFS(bddres_c_qte,bddres_c_prod_type_aff,'SUIVI STOCKS PAR PAYSAN'!J56,'BDD RESERVATIONS'!$B:$B,"&gt;"&amp;date_inventaire)</f>
        <v>0</v>
      </c>
      <c r="BD56" s="342">
        <f ca="1">SUMIFS(bddres_pieces,es_prod_type_affinage,'SUIVI STOCKS PAR PAYSAN'!$J56,es_date_entree,"&gt;"&amp;date_inventaire,es_taille,'SUIVI STOCKS PAR PAYSAN'!$BD$7)-SUMIFS(v_Pièces,v_Taille,'SUIVI STOCKS PAR PAYSAN'!$BD$7,v_conc_prod_tye_affinage,'SUIVI STOCKS PAR PAYSAN'!$J56,v_Date_commande,"&gt;"&amp;date_inventaire)</f>
        <v>0</v>
      </c>
      <c r="BE56" s="326">
        <f ca="1">SUMIFS(bddres_pieces,'BDD RESERVATIONS'!$G:$G,'SUIVI STOCKS PAR PAYSAN'!BD51,bddres_c_prod_type_aff,'SUIVI STOCKS PAR PAYSAN'!J56,'BDD RESERVATIONS'!$B:$B,"&gt;"&amp;date_inventaire)</f>
        <v>0</v>
      </c>
      <c r="BF56" s="343">
        <f ca="1">SUMIFS(es_pieces,es_prod_type_affinage,'SUIVI STOCKS PAR PAYSAN'!J56,es_date_entree,"&gt;"&amp;date_inventaire,es_taille,'SUIVI STOCKS PAR PAYSAN'!$BF$7)-SUMIFS(v_Pièces,v_Taille,'SUIVI STOCKS PAR PAYSAN'!$BF$7,v_conc_prod_tye_affinage,'SUIVI STOCKS PAR PAYSAN'!J56,v_Date_commande,"&gt;"&amp;date_inventaire)</f>
        <v>0</v>
      </c>
      <c r="BG56" s="353">
        <f ca="1">SUMIFS(bddres_pieces,'BDD RESERVATIONS'!$G:$G,'SUIVI STOCKS PAR PAYSAN'!$BF$7,bddres_c_prod_type_aff,'SUIVI STOCKS PAR PAYSAN'!J56,'BDD RESERVATIONS'!$B:$B,"&gt;"&amp;date_inventaire)</f>
        <v>0</v>
      </c>
    </row>
    <row r="57" spans="1:59" ht="18.75" customHeight="1" x14ac:dyDescent="0.25">
      <c r="A57" s="331">
        <f ca="1">OFFSET('BDD PAYSANS'!$B$1,B57,0,1,1)</f>
        <v>0</v>
      </c>
      <c r="B57" s="325">
        <v>46</v>
      </c>
      <c r="C57" s="325" t="str">
        <f t="shared" ca="1" si="2"/>
        <v>0FERMIER&lt;3 mois</v>
      </c>
      <c r="D57" s="325" t="str">
        <f t="shared" ca="1" si="2"/>
        <v>0FERMIER3-6 mois</v>
      </c>
      <c r="E57" s="325" t="str">
        <f t="shared" ca="1" si="2"/>
        <v>0FERMIER6-9 mois</v>
      </c>
      <c r="F57" s="325" t="str">
        <f t="shared" ca="1" si="2"/>
        <v>0FERMIER&gt;9 mois</v>
      </c>
      <c r="G57" s="325" t="str">
        <f t="shared" ca="1" si="2"/>
        <v>0ESTIVE&lt;3 mois</v>
      </c>
      <c r="H57" s="325" t="str">
        <f t="shared" ca="1" si="2"/>
        <v>0ESTIVE3-6 mois</v>
      </c>
      <c r="I57" s="325" t="str">
        <f t="shared" ca="1" si="2"/>
        <v>0ESTIVE6-9 mois</v>
      </c>
      <c r="J57" s="325" t="str">
        <f t="shared" ca="1" si="2"/>
        <v>0ESTIVE&gt;9 mois</v>
      </c>
      <c r="K57" s="325"/>
      <c r="L57" s="352">
        <f ca="1">SUMIFS(es_poids,es_prod_type_affinage,'SUIVI STOCKS PAR PAYSAN'!$C57,es_date_entree,"&gt;"&amp;date_inventaire)-SUMIFS(v_Poids,v_conc_prod_tye_affinage,'SUIVI STOCKS PAR PAYSAN'!$C57,v_Date_commande,"&gt;"&amp;date_inventaire)</f>
        <v>0</v>
      </c>
      <c r="M57" s="341">
        <f ca="1">SUMIFS(bddres_c_qte,bddres_c_prod_type_aff,'SUIVI STOCKS PAR PAYSAN'!C57,'BDD RESERVATIONS'!$B:$B,"&gt;"&amp;date_inventaire)</f>
        <v>0</v>
      </c>
      <c r="N57" s="342">
        <f ca="1">SUMIFS(bddres_pieces,es_prod_type_affinage,'SUIVI STOCKS PAR PAYSAN'!$C57,es_date_entree,"&gt;"&amp;date_inventaire,es_taille,'SUIVI STOCKS PAR PAYSAN'!$N$7)-SUMIFS(v_Pièces,v_Taille,'SUIVI STOCKS PAR PAYSAN'!$N$7,v_conc_prod_tye_affinage,'SUIVI STOCKS PAR PAYSAN'!$C57,v_Date_commande,"&gt;"&amp;date_inventaire)</f>
        <v>0</v>
      </c>
      <c r="O57" s="342">
        <f ca="1">SUMIFS(bddres_pieces,'BDD RESERVATIONS'!$G:$G,'SUIVI STOCKS PAR PAYSAN'!$N$7,bddres_c_prod_type_aff,'SUIVI STOCKS PAR PAYSAN'!$C57,'BDD RESERVATIONS'!$B:$B,"&gt;"&amp;date_inventaire)</f>
        <v>0</v>
      </c>
      <c r="P57" s="343">
        <f ca="1">SUMIFS(es_pieces,es_prod_type_affinage,'SUIVI STOCKS PAR PAYSAN'!$C57,es_date_entree,"&gt;"&amp;date_inventaire,es_taille,'SUIVI STOCKS PAR PAYSAN'!$P$7)-SUMIFS(v_Pièces,v_Taille,'SUIVI STOCKS PAR PAYSAN'!$P$7,v_conc_prod_tye_affinage,'SUIVI STOCKS PAR PAYSAN'!$C57,v_Date_commande,"&gt;"&amp;date_inventaire)</f>
        <v>0</v>
      </c>
      <c r="Q57" s="353">
        <f ca="1">SUMIFS(bddres_pieces,'BDD RESERVATIONS'!$G:$G,'SUIVI STOCKS PAR PAYSAN'!$P$7,bddres_c_prod_type_aff,'SUIVI STOCKS PAR PAYSAN'!$C57,'BDD RESERVATIONS'!$B:$B,"&gt;"&amp;date_inventaire)</f>
        <v>0</v>
      </c>
      <c r="R57" s="340">
        <f ca="1">SUMIFS(es_poids,es_prod_type_affinage,'SUIVI STOCKS PAR PAYSAN'!$D57,es_date_entree,"&gt;"&amp;date_inventaire)-SUMIFS(v_Poids,v_conc_prod_tye_affinage,'SUIVI STOCKS PAR PAYSAN'!$D57,v_Date_commande,"&gt;"&amp;date_inventaire)</f>
        <v>0</v>
      </c>
      <c r="S57" s="341">
        <f ca="1">SUMIFS(bddres_c_qte,bddres_c_prod_type_aff,'SUIVI STOCKS PAR PAYSAN'!D57,'BDD RESERVATIONS'!$B:$B,"&gt;"&amp;date_inventaire)</f>
        <v>0</v>
      </c>
      <c r="T57" s="342">
        <f ca="1">SUMIFS(bddres_pieces,es_prod_type_affinage,'SUIVI STOCKS PAR PAYSAN'!$D57,es_date_entree,"&gt;"&amp;date_inventaire,es_taille,'SUIVI STOCKS PAR PAYSAN'!$T$7)-SUMIFS(v_Pièces,v_Taille,'SUIVI STOCKS PAR PAYSAN'!$T$7,v_conc_prod_tye_affinage,'SUIVI STOCKS PAR PAYSAN'!$D57,v_Date_commande,"&gt;"&amp;date_inventaire)</f>
        <v>0</v>
      </c>
      <c r="U57" s="342">
        <f ca="1">SUMIFS(bddres_pieces,'BDD RESERVATIONS'!$G:$G,'SUIVI STOCKS PAR PAYSAN'!$T$7,bddres_c_prod_type_aff,'SUIVI STOCKS PAR PAYSAN'!$D57,'BDD RESERVATIONS'!$B:$B,"&gt;"&amp;date_inventaire)</f>
        <v>0</v>
      </c>
      <c r="V57" s="343">
        <f ca="1">SUMIFS(es_pieces,es_prod_type_affinage,'SUIVI STOCKS PAR PAYSAN'!$D57,es_date_entree,"&gt;"&amp;date_inventaire,es_taille,'SUIVI STOCKS PAR PAYSAN'!$V$7)-SUMIFS(v_Pièces,v_Taille,'SUIVI STOCKS PAR PAYSAN'!$V$7,v_conc_prod_tye_affinage,'SUIVI STOCKS PAR PAYSAN'!$D57,v_Date_commande,"&gt;"&amp;date_inventaire)</f>
        <v>0</v>
      </c>
      <c r="W57" s="353">
        <f ca="1">SUMIFS(bddres_pieces,'BDD RESERVATIONS'!$G:$G,'SUIVI STOCKS PAR PAYSAN'!$V$7,bddres_c_prod_type_aff,'SUIVI STOCKS PAR PAYSAN'!$D57,'BDD RESERVATIONS'!$B:$B,"&gt;"&amp;date_inventaire)</f>
        <v>0</v>
      </c>
      <c r="X57" s="313">
        <f ca="1">SUMIFS(es_poids,es_prod_type_affinage,'SUIVI STOCKS PAR PAYSAN'!$E57,es_date_entree,"&gt;"&amp;date_inventaire)-SUMIFS(v_Poids,v_conc_prod_tye_affinage,'SUIVI STOCKS PAR PAYSAN'!$E57,v_Date_commande,"&gt;"&amp;date_inventaire)</f>
        <v>0</v>
      </c>
      <c r="Y57" s="341">
        <f ca="1">SUMIFS(bddres_c_qte,bddres_c_prod_type_aff,'SUIVI STOCKS PAR PAYSAN'!E57,'BDD RESERVATIONS'!$B:$B,"&gt;"&amp;date_inventaire)</f>
        <v>0</v>
      </c>
      <c r="Z57" s="342">
        <f ca="1">SUMIFS(bddres_pieces,es_prod_type_affinage,'SUIVI STOCKS PAR PAYSAN'!$E57,es_date_entree,"&gt;"&amp;date_inventaire,es_taille,'SUIVI STOCKS PAR PAYSAN'!$Z$7)-SUMIFS(v_Pièces,v_Taille,'SUIVI STOCKS PAR PAYSAN'!$Z$7,v_conc_prod_tye_affinage,'SUIVI STOCKS PAR PAYSAN'!$E57,v_Date_commande,"&gt;"&amp;date_inventaire)</f>
        <v>0</v>
      </c>
      <c r="AA57" s="342">
        <f ca="1">SUMIFS(bddres_pieces,'BDD RESERVATIONS'!$G:$G,'SUIVI STOCKS PAR PAYSAN'!$Z$7,bddres_c_prod_type_aff,'SUIVI STOCKS PAR PAYSAN'!$E57,'BDD RESERVATIONS'!$B:$B,"&gt;"&amp;date_inventaire)</f>
        <v>0</v>
      </c>
      <c r="AB57" s="343">
        <f ca="1">SUMIFS(es_pieces,es_prod_type_affinage,'SUIVI STOCKS PAR PAYSAN'!$E57,es_date_entree,"&gt;"&amp;date_inventaire,es_taille,'SUIVI STOCKS PAR PAYSAN'!$AB$7)-SUMIFS(v_Pièces,v_Taille,'SUIVI STOCKS PAR PAYSAN'!$AB$7,v_conc_prod_tye_affinage,'SUIVI STOCKS PAR PAYSAN'!$E57,v_Date_commande,"&gt;"&amp;date_inventaire)</f>
        <v>0</v>
      </c>
      <c r="AC57" s="353">
        <f ca="1">SUMIFS(bddres_pieces,'BDD RESERVATIONS'!$G:$G,'SUIVI STOCKS PAR PAYSAN'!$AB$7,bddres_c_prod_type_aff,'SUIVI STOCKS PAR PAYSAN'!$E57,'BDD RESERVATIONS'!$B:$B,"&gt;"&amp;date_inventaire)</f>
        <v>0</v>
      </c>
      <c r="AD57" s="313">
        <f ca="1">SUMIFS(es_poids,es_prod_type_affinage,'SUIVI STOCKS PAR PAYSAN'!$F57,es_date_entree,"&gt;"&amp;date_inventaire)-SUMIFS(v_Poids,v_conc_prod_tye_affinage,'SUIVI STOCKS PAR PAYSAN'!$F57,v_Date_commande,"&gt;"&amp;date_inventaire)</f>
        <v>0</v>
      </c>
      <c r="AE57" s="341">
        <f ca="1">SUMIFS(bddres_c_qte,bddres_c_prod_type_aff,'SUIVI STOCKS PAR PAYSAN'!F57,'BDD RESERVATIONS'!$B:$B,"&gt;"&amp;date_inventaire)</f>
        <v>0</v>
      </c>
      <c r="AF57" s="342">
        <f ca="1">SUMIFS(bddres_pieces,es_prod_type_affinage,'SUIVI STOCKS PAR PAYSAN'!$F57,es_date_entree,"&gt;"&amp;date_inventaire,es_taille,'SUIVI STOCKS PAR PAYSAN'!$Z$7)-SUMIFS(v_Pièces,v_Taille,'SUIVI STOCKS PAR PAYSAN'!$Z$7,v_conc_prod_tye_affinage,'SUIVI STOCKS PAR PAYSAN'!$F57,v_Date_commande,"&gt;"&amp;date_inventaire)</f>
        <v>0</v>
      </c>
      <c r="AG57" s="342">
        <f ca="1">SUMIFS(bddres_pieces,'BDD RESERVATIONS'!$G:$G,'SUIVI STOCKS PAR PAYSAN'!$Z$7,bddres_c_prod_type_aff,'SUIVI STOCKS PAR PAYSAN'!$F57,'BDD RESERVATIONS'!$B:$B,"&gt;"&amp;date_inventaire)</f>
        <v>0</v>
      </c>
      <c r="AH57" s="343">
        <f ca="1">SUMIFS(es_pieces,es_prod_type_affinage,'SUIVI STOCKS PAR PAYSAN'!$F57,es_date_entree,"&gt;"&amp;date_inventaire,es_taille,'SUIVI STOCKS PAR PAYSAN'!$AH$7)-SUMIFS(v_Pièces,v_Taille,'SUIVI STOCKS PAR PAYSAN'!$AH$7,v_conc_prod_tye_affinage,'SUIVI STOCKS PAR PAYSAN'!$F57,v_Date_commande,"&gt;"&amp;date_inventaire)</f>
        <v>0</v>
      </c>
      <c r="AI57" s="353">
        <f ca="1">SUMIFS(bddres_pieces,'BDD RESERVATIONS'!$G:$G,'SUIVI STOCKS PAR PAYSAN'!$AB$7,bddres_c_prod_type_aff,'SUIVI STOCKS PAR PAYSAN'!$F57,'BDD RESERVATIONS'!$B:$B,"&gt;"&amp;date_inventaire)</f>
        <v>0</v>
      </c>
      <c r="AJ57" s="352">
        <f ca="1">SUMIFS(es_poids,es_prod_type_affinage,'SUIVI STOCKS PAR PAYSAN'!$G57,es_date_entree,"&gt;"&amp;date_inventaire)-SUMIFS(v_Poids,v_conc_prod_tye_affinage,'SUIVI STOCKS PAR PAYSAN'!$G57,v_Date_commande,"&gt;"&amp;date_inventaire)</f>
        <v>0</v>
      </c>
      <c r="AK57" s="341">
        <f ca="1">SUMIFS(bddres_c_qte,bddres_c_prod_type_aff,'SUIVI STOCKS PAR PAYSAN'!G57,'BDD RESERVATIONS'!$B:$B,"&gt;"&amp;date_inventaire)</f>
        <v>0</v>
      </c>
      <c r="AL57" s="342">
        <f ca="1">SUMIFS(bddres_pieces,es_prod_type_affinage,'SUIVI STOCKS PAR PAYSAN'!$G57,es_date_entree,"&gt;"&amp;date_inventaire,es_taille,'SUIVI STOCKS PAR PAYSAN'!$AL$7)-SUMIFS(v_Pièces,v_Taille,'SUIVI STOCKS PAR PAYSAN'!$AL$7,v_conc_prod_tye_affinage,'SUIVI STOCKS PAR PAYSAN'!$G57,v_Date_commande,"&gt;"&amp;date_inventaire)</f>
        <v>0</v>
      </c>
      <c r="AM57" s="342">
        <f ca="1">SUMIFS(bddres_pieces,'BDD RESERVATIONS'!$G:$G,'SUIVI STOCKS PAR PAYSAN'!$AL$7,bddres_c_prod_type_aff,'SUIVI STOCKS PAR PAYSAN'!$G57,'BDD RESERVATIONS'!$B:$B,"&gt;"&amp;date_inventaire)</f>
        <v>0</v>
      </c>
      <c r="AN57" s="343">
        <f ca="1">SUMIFS(es_pieces,es_prod_type_affinage,'SUIVI STOCKS PAR PAYSAN'!$G57,es_date_entree,"&gt;"&amp;date_inventaire,es_taille,'SUIVI STOCKS PAR PAYSAN'!$AN$7)-SUMIFS(v_Pièces,v_Taille,'SUIVI STOCKS PAR PAYSAN'!$AN$7,v_conc_prod_tye_affinage,'SUIVI STOCKS PAR PAYSAN'!$G57,v_Date_commande,"&gt;"&amp;date_inventaire)</f>
        <v>0</v>
      </c>
      <c r="AO57" s="353">
        <f ca="1">SUMIFS(bddres_pieces,'BDD RESERVATIONS'!$G:$G,'SUIVI STOCKS PAR PAYSAN'!$AN$7,bddres_c_prod_type_aff,'SUIVI STOCKS PAR PAYSAN'!$G57,'BDD RESERVATIONS'!$B:$B,"&gt;"&amp;date_inventaire)</f>
        <v>0</v>
      </c>
      <c r="AP57" s="313">
        <f ca="1">SUMIFS(es_poids,es_prod_type_affinage,'SUIVI STOCKS PAR PAYSAN'!$H57,es_date_entree,"&gt;"&amp;date_inventaire)-SUMIFS(v_Poids,v_conc_prod_tye_affinage,'SUIVI STOCKS PAR PAYSAN'!$H57,v_Date_commande,"&gt;"&amp;date_inventaire)</f>
        <v>0</v>
      </c>
      <c r="AQ57" s="341">
        <f ca="1">SUMIFS(bddres_c_qte,bddres_c_prod_type_aff,'SUIVI STOCKS PAR PAYSAN'!H57,'BDD RESERVATIONS'!$B:$B,"&gt;"&amp;date_inventaire)</f>
        <v>0</v>
      </c>
      <c r="AR57" s="342">
        <f ca="1">SUMIFS(bddres_pieces,es_prod_type_affinage,'SUIVI STOCKS PAR PAYSAN'!$H57,es_date_entree,"&gt;"&amp;date_inventaire,es_taille,'SUIVI STOCKS PAR PAYSAN'!$AR$7)-SUMIFS(v_Pièces,v_Taille,'SUIVI STOCKS PAR PAYSAN'!$AR$7,v_conc_prod_tye_affinage,'SUIVI STOCKS PAR PAYSAN'!$H57,v_Date_commande,"&gt;"&amp;date_inventaire)</f>
        <v>0</v>
      </c>
      <c r="AS57" s="326">
        <f ca="1">SUMIFS(bddres_pieces,'BDD RESERVATIONS'!$G:$G,'SUIVI STOCKS PAR PAYSAN'!AR52,bddres_c_prod_type_aff,'SUIVI STOCKS PAR PAYSAN'!$H57,'BDD RESERVATIONS'!$B:$B,"&gt;"&amp;date_inventaire)</f>
        <v>0</v>
      </c>
      <c r="AT57" s="343">
        <f ca="1">SUMIFS(es_pieces,es_prod_type_affinage,'SUIVI STOCKS PAR PAYSAN'!$H57,es_date_entree,"&gt;"&amp;date_inventaire,es_taille,'SUIVI STOCKS PAR PAYSAN'!$AT$7)-SUMIFS(v_Pièces,v_Taille,'SUIVI STOCKS PAR PAYSAN'!$AT$7,v_conc_prod_tye_affinage,'SUIVI STOCKS PAR PAYSAN'!$H57,v_Date_commande,"&gt;"&amp;date_inventaire)</f>
        <v>0</v>
      </c>
      <c r="AU57" s="353">
        <f ca="1">SUMIFS(bddres_pieces,'BDD RESERVATIONS'!$G:$G,'SUIVI STOCKS PAR PAYSAN'!$AT$7,bddres_c_prod_type_aff,'SUIVI STOCKS PAR PAYSAN'!$H57,'BDD RESERVATIONS'!$B:$B,"&gt;"&amp;date_inventaire)</f>
        <v>0</v>
      </c>
      <c r="AV57" s="313">
        <f ca="1">SUMIFS(es_poids,es_prod_type_affinage,'SUIVI STOCKS PAR PAYSAN'!$I57,es_date_entree,"&gt;"&amp;date_inventaire)-SUMIFS(v_Poids,v_conc_prod_tye_affinage,'SUIVI STOCKS PAR PAYSAN'!$E57,v_Date_commande,"&gt;"&amp;date_inventaire)</f>
        <v>0</v>
      </c>
      <c r="AW57" s="313">
        <f ca="1">SUMIFS(bddres_c_qte,bddres_c_prod_type_aff,'SUIVI STOCKS PAR PAYSAN'!I57,'BDD RESERVATIONS'!$B:$B,"&gt;"&amp;date_inventaire)</f>
        <v>0</v>
      </c>
      <c r="AX57" s="342">
        <f ca="1">SUMIFS(bddres_pieces,es_prod_type_affinage,'SUIVI STOCKS PAR PAYSAN'!$I57,es_date_entree,"&gt;"&amp;date_inventaire,es_taille,'SUIVI STOCKS PAR PAYSAN'!$AX$7)-SUMIFS(v_Pièces,v_Taille,'SUIVI STOCKS PAR PAYSAN'!$AX$7,v_conc_prod_tye_affinage,'SUIVI STOCKS PAR PAYSAN'!$I57,v_Date_commande,"&gt;"&amp;date_inventaire)</f>
        <v>0</v>
      </c>
      <c r="AY57" s="342">
        <f ca="1">SUMIFS(bddres_pieces,'BDD RESERVATIONS'!$G:$G,'SUIVI STOCKS PAR PAYSAN'!$AX$7,bddres_c_prod_type_aff,'SUIVI STOCKS PAR PAYSAN'!$I57,'BDD RESERVATIONS'!$B:$B,"&gt;"&amp;date_inventaire)</f>
        <v>0</v>
      </c>
      <c r="AZ57" s="343">
        <f ca="1">SUMIFS(es_pieces,es_prod_type_affinage,'SUIVI STOCKS PAR PAYSAN'!$I57,es_date_entree,"&gt;"&amp;date_inventaire,es_taille,'SUIVI STOCKS PAR PAYSAN'!$AZ$7)-SUMIFS(v_Pièces,v_Taille,'SUIVI STOCKS PAR PAYSAN'!$AZ$7,v_conc_prod_tye_affinage,'SUIVI STOCKS PAR PAYSAN'!$I57,v_Date_commande,"&gt;"&amp;date_inventaire)</f>
        <v>0</v>
      </c>
      <c r="BA57" s="353">
        <f ca="1">SUMIFS(bddres_pieces,'BDD RESERVATIONS'!$G:$G,'SUIVI STOCKS PAR PAYSAN'!$AZ$7,bddres_c_prod_type_aff,'SUIVI STOCKS PAR PAYSAN'!$I57,'BDD RESERVATIONS'!$B:$B,"&gt;"&amp;date_inventaire)</f>
        <v>0</v>
      </c>
      <c r="BB57" s="313">
        <f ca="1">SUMIFS(es_poids,es_prod_type_affinage,'SUIVI STOCKS PAR PAYSAN'!$J57,es_date_entree,"&gt;"&amp;date_inventaire)-SUMIFS(v_Poids,v_conc_prod_tye_affinage,'SUIVI STOCKS PAR PAYSAN'!$J57,v_Date_commande,"&gt;"&amp;date_inventaire)</f>
        <v>0</v>
      </c>
      <c r="BC57" s="313">
        <f ca="1">SUMIFS(bddres_c_qte,bddres_c_prod_type_aff,'SUIVI STOCKS PAR PAYSAN'!J57,'BDD RESERVATIONS'!$B:$B,"&gt;"&amp;date_inventaire)</f>
        <v>0</v>
      </c>
      <c r="BD57" s="342">
        <f ca="1">SUMIFS(bddres_pieces,es_prod_type_affinage,'SUIVI STOCKS PAR PAYSAN'!$J57,es_date_entree,"&gt;"&amp;date_inventaire,es_taille,'SUIVI STOCKS PAR PAYSAN'!$BD$7)-SUMIFS(v_Pièces,v_Taille,'SUIVI STOCKS PAR PAYSAN'!$BD$7,v_conc_prod_tye_affinage,'SUIVI STOCKS PAR PAYSAN'!$J57,v_Date_commande,"&gt;"&amp;date_inventaire)</f>
        <v>0</v>
      </c>
      <c r="BE57" s="326">
        <f ca="1">SUMIFS(bddres_pieces,'BDD RESERVATIONS'!$G:$G,'SUIVI STOCKS PAR PAYSAN'!BD52,bddres_c_prod_type_aff,'SUIVI STOCKS PAR PAYSAN'!J57,'BDD RESERVATIONS'!$B:$B,"&gt;"&amp;date_inventaire)</f>
        <v>0</v>
      </c>
      <c r="BF57" s="343">
        <f ca="1">SUMIFS(es_pieces,es_prod_type_affinage,'SUIVI STOCKS PAR PAYSAN'!J57,es_date_entree,"&gt;"&amp;date_inventaire,es_taille,'SUIVI STOCKS PAR PAYSAN'!$BF$7)-SUMIFS(v_Pièces,v_Taille,'SUIVI STOCKS PAR PAYSAN'!$BF$7,v_conc_prod_tye_affinage,'SUIVI STOCKS PAR PAYSAN'!J57,v_Date_commande,"&gt;"&amp;date_inventaire)</f>
        <v>0</v>
      </c>
      <c r="BG57" s="353">
        <f ca="1">SUMIFS(bddres_pieces,'BDD RESERVATIONS'!$G:$G,'SUIVI STOCKS PAR PAYSAN'!$BF$7,bddres_c_prod_type_aff,'SUIVI STOCKS PAR PAYSAN'!J57,'BDD RESERVATIONS'!$B:$B,"&gt;"&amp;date_inventaire)</f>
        <v>0</v>
      </c>
    </row>
    <row r="58" spans="1:59" ht="18.75" customHeight="1" x14ac:dyDescent="0.25">
      <c r="A58" s="331">
        <f ca="1">OFFSET('BDD PAYSANS'!$B$1,B58,0,1,1)</f>
        <v>0</v>
      </c>
      <c r="B58" s="325">
        <v>47</v>
      </c>
      <c r="C58" s="325" t="str">
        <f t="shared" ca="1" si="2"/>
        <v>0FERMIER&lt;3 mois</v>
      </c>
      <c r="D58" s="325" t="str">
        <f t="shared" ca="1" si="2"/>
        <v>0FERMIER3-6 mois</v>
      </c>
      <c r="E58" s="325" t="str">
        <f t="shared" ca="1" si="2"/>
        <v>0FERMIER6-9 mois</v>
      </c>
      <c r="F58" s="325" t="str">
        <f t="shared" ca="1" si="2"/>
        <v>0FERMIER&gt;9 mois</v>
      </c>
      <c r="G58" s="325" t="str">
        <f t="shared" ca="1" si="2"/>
        <v>0ESTIVE&lt;3 mois</v>
      </c>
      <c r="H58" s="325" t="str">
        <f t="shared" ca="1" si="2"/>
        <v>0ESTIVE3-6 mois</v>
      </c>
      <c r="I58" s="325" t="str">
        <f t="shared" ca="1" si="2"/>
        <v>0ESTIVE6-9 mois</v>
      </c>
      <c r="J58" s="325" t="str">
        <f t="shared" ca="1" si="2"/>
        <v>0ESTIVE&gt;9 mois</v>
      </c>
      <c r="K58" s="325"/>
      <c r="L58" s="352">
        <f ca="1">SUMIFS(es_poids,es_prod_type_affinage,'SUIVI STOCKS PAR PAYSAN'!$C58,es_date_entree,"&gt;"&amp;date_inventaire)-SUMIFS(v_Poids,v_conc_prod_tye_affinage,'SUIVI STOCKS PAR PAYSAN'!$C58,v_Date_commande,"&gt;"&amp;date_inventaire)</f>
        <v>0</v>
      </c>
      <c r="M58" s="341">
        <f ca="1">SUMIFS(bddres_c_qte,bddres_c_prod_type_aff,'SUIVI STOCKS PAR PAYSAN'!C58,'BDD RESERVATIONS'!$B:$B,"&gt;"&amp;date_inventaire)</f>
        <v>0</v>
      </c>
      <c r="N58" s="342">
        <f ca="1">SUMIFS(bddres_pieces,es_prod_type_affinage,'SUIVI STOCKS PAR PAYSAN'!$C58,es_date_entree,"&gt;"&amp;date_inventaire,es_taille,'SUIVI STOCKS PAR PAYSAN'!$N$7)-SUMIFS(v_Pièces,v_Taille,'SUIVI STOCKS PAR PAYSAN'!$N$7,v_conc_prod_tye_affinage,'SUIVI STOCKS PAR PAYSAN'!$C58,v_Date_commande,"&gt;"&amp;date_inventaire)</f>
        <v>0</v>
      </c>
      <c r="O58" s="342">
        <f ca="1">SUMIFS(bddres_pieces,'BDD RESERVATIONS'!$G:$G,'SUIVI STOCKS PAR PAYSAN'!$N$7,bddres_c_prod_type_aff,'SUIVI STOCKS PAR PAYSAN'!$C58,'BDD RESERVATIONS'!$B:$B,"&gt;"&amp;date_inventaire)</f>
        <v>0</v>
      </c>
      <c r="P58" s="343">
        <f ca="1">SUMIFS(es_pieces,es_prod_type_affinage,'SUIVI STOCKS PAR PAYSAN'!$C58,es_date_entree,"&gt;"&amp;date_inventaire,es_taille,'SUIVI STOCKS PAR PAYSAN'!$P$7)-SUMIFS(v_Pièces,v_Taille,'SUIVI STOCKS PAR PAYSAN'!$P$7,v_conc_prod_tye_affinage,'SUIVI STOCKS PAR PAYSAN'!$C58,v_Date_commande,"&gt;"&amp;date_inventaire)</f>
        <v>0</v>
      </c>
      <c r="Q58" s="353">
        <f ca="1">SUMIFS(bddres_pieces,'BDD RESERVATIONS'!$G:$G,'SUIVI STOCKS PAR PAYSAN'!$P$7,bddres_c_prod_type_aff,'SUIVI STOCKS PAR PAYSAN'!$C58,'BDD RESERVATIONS'!$B:$B,"&gt;"&amp;date_inventaire)</f>
        <v>0</v>
      </c>
      <c r="R58" s="340">
        <f ca="1">SUMIFS(es_poids,es_prod_type_affinage,'SUIVI STOCKS PAR PAYSAN'!$D58,es_date_entree,"&gt;"&amp;date_inventaire)-SUMIFS(v_Poids,v_conc_prod_tye_affinage,'SUIVI STOCKS PAR PAYSAN'!$D58,v_Date_commande,"&gt;"&amp;date_inventaire)</f>
        <v>0</v>
      </c>
      <c r="S58" s="341">
        <f ca="1">SUMIFS(bddres_c_qte,bddres_c_prod_type_aff,'SUIVI STOCKS PAR PAYSAN'!D58,'BDD RESERVATIONS'!$B:$B,"&gt;"&amp;date_inventaire)</f>
        <v>0</v>
      </c>
      <c r="T58" s="342">
        <f ca="1">SUMIFS(bddres_pieces,es_prod_type_affinage,'SUIVI STOCKS PAR PAYSAN'!$D58,es_date_entree,"&gt;"&amp;date_inventaire,es_taille,'SUIVI STOCKS PAR PAYSAN'!$T$7)-SUMIFS(v_Pièces,v_Taille,'SUIVI STOCKS PAR PAYSAN'!$T$7,v_conc_prod_tye_affinage,'SUIVI STOCKS PAR PAYSAN'!$D58,v_Date_commande,"&gt;"&amp;date_inventaire)</f>
        <v>0</v>
      </c>
      <c r="U58" s="342">
        <f ca="1">SUMIFS(bddres_pieces,'BDD RESERVATIONS'!$G:$G,'SUIVI STOCKS PAR PAYSAN'!$T$7,bddres_c_prod_type_aff,'SUIVI STOCKS PAR PAYSAN'!$D58,'BDD RESERVATIONS'!$B:$B,"&gt;"&amp;date_inventaire)</f>
        <v>0</v>
      </c>
      <c r="V58" s="343">
        <f ca="1">SUMIFS(es_pieces,es_prod_type_affinage,'SUIVI STOCKS PAR PAYSAN'!$D58,es_date_entree,"&gt;"&amp;date_inventaire,es_taille,'SUIVI STOCKS PAR PAYSAN'!$V$7)-SUMIFS(v_Pièces,v_Taille,'SUIVI STOCKS PAR PAYSAN'!$V$7,v_conc_prod_tye_affinage,'SUIVI STOCKS PAR PAYSAN'!$D58,v_Date_commande,"&gt;"&amp;date_inventaire)</f>
        <v>0</v>
      </c>
      <c r="W58" s="353">
        <f ca="1">SUMIFS(bddres_pieces,'BDD RESERVATIONS'!$G:$G,'SUIVI STOCKS PAR PAYSAN'!$V$7,bddres_c_prod_type_aff,'SUIVI STOCKS PAR PAYSAN'!$D58,'BDD RESERVATIONS'!$B:$B,"&gt;"&amp;date_inventaire)</f>
        <v>0</v>
      </c>
      <c r="X58" s="313">
        <f ca="1">SUMIFS(es_poids,es_prod_type_affinage,'SUIVI STOCKS PAR PAYSAN'!$E58,es_date_entree,"&gt;"&amp;date_inventaire)-SUMIFS(v_Poids,v_conc_prod_tye_affinage,'SUIVI STOCKS PAR PAYSAN'!$E58,v_Date_commande,"&gt;"&amp;date_inventaire)</f>
        <v>0</v>
      </c>
      <c r="Y58" s="341">
        <f ca="1">SUMIFS(bddres_c_qte,bddres_c_prod_type_aff,'SUIVI STOCKS PAR PAYSAN'!E58,'BDD RESERVATIONS'!$B:$B,"&gt;"&amp;date_inventaire)</f>
        <v>0</v>
      </c>
      <c r="Z58" s="342">
        <f ca="1">SUMIFS(bddres_pieces,es_prod_type_affinage,'SUIVI STOCKS PAR PAYSAN'!$E58,es_date_entree,"&gt;"&amp;date_inventaire,es_taille,'SUIVI STOCKS PAR PAYSAN'!$Z$7)-SUMIFS(v_Pièces,v_Taille,'SUIVI STOCKS PAR PAYSAN'!$Z$7,v_conc_prod_tye_affinage,'SUIVI STOCKS PAR PAYSAN'!$E58,v_Date_commande,"&gt;"&amp;date_inventaire)</f>
        <v>0</v>
      </c>
      <c r="AA58" s="342">
        <f ca="1">SUMIFS(bddres_pieces,'BDD RESERVATIONS'!$G:$G,'SUIVI STOCKS PAR PAYSAN'!$Z$7,bddres_c_prod_type_aff,'SUIVI STOCKS PAR PAYSAN'!$E58,'BDD RESERVATIONS'!$B:$B,"&gt;"&amp;date_inventaire)</f>
        <v>0</v>
      </c>
      <c r="AB58" s="343">
        <f ca="1">SUMIFS(es_pieces,es_prod_type_affinage,'SUIVI STOCKS PAR PAYSAN'!$E58,es_date_entree,"&gt;"&amp;date_inventaire,es_taille,'SUIVI STOCKS PAR PAYSAN'!$AB$7)-SUMIFS(v_Pièces,v_Taille,'SUIVI STOCKS PAR PAYSAN'!$AB$7,v_conc_prod_tye_affinage,'SUIVI STOCKS PAR PAYSAN'!$E58,v_Date_commande,"&gt;"&amp;date_inventaire)</f>
        <v>0</v>
      </c>
      <c r="AC58" s="353">
        <f ca="1">SUMIFS(bddres_pieces,'BDD RESERVATIONS'!$G:$G,'SUIVI STOCKS PAR PAYSAN'!$AB$7,bddres_c_prod_type_aff,'SUIVI STOCKS PAR PAYSAN'!$E58,'BDD RESERVATIONS'!$B:$B,"&gt;"&amp;date_inventaire)</f>
        <v>0</v>
      </c>
      <c r="AD58" s="313">
        <f ca="1">SUMIFS(es_poids,es_prod_type_affinage,'SUIVI STOCKS PAR PAYSAN'!$F58,es_date_entree,"&gt;"&amp;date_inventaire)-SUMIFS(v_Poids,v_conc_prod_tye_affinage,'SUIVI STOCKS PAR PAYSAN'!$F58,v_Date_commande,"&gt;"&amp;date_inventaire)</f>
        <v>0</v>
      </c>
      <c r="AE58" s="341">
        <f ca="1">SUMIFS(bddres_c_qte,bddres_c_prod_type_aff,'SUIVI STOCKS PAR PAYSAN'!F58,'BDD RESERVATIONS'!$B:$B,"&gt;"&amp;date_inventaire)</f>
        <v>0</v>
      </c>
      <c r="AF58" s="342">
        <f ca="1">SUMIFS(bddres_pieces,es_prod_type_affinage,'SUIVI STOCKS PAR PAYSAN'!$F58,es_date_entree,"&gt;"&amp;date_inventaire,es_taille,'SUIVI STOCKS PAR PAYSAN'!$Z$7)-SUMIFS(v_Pièces,v_Taille,'SUIVI STOCKS PAR PAYSAN'!$Z$7,v_conc_prod_tye_affinage,'SUIVI STOCKS PAR PAYSAN'!$F58,v_Date_commande,"&gt;"&amp;date_inventaire)</f>
        <v>0</v>
      </c>
      <c r="AG58" s="342">
        <f ca="1">SUMIFS(bddres_pieces,'BDD RESERVATIONS'!$G:$G,'SUIVI STOCKS PAR PAYSAN'!$Z$7,bddres_c_prod_type_aff,'SUIVI STOCKS PAR PAYSAN'!$F58,'BDD RESERVATIONS'!$B:$B,"&gt;"&amp;date_inventaire)</f>
        <v>0</v>
      </c>
      <c r="AH58" s="343">
        <f ca="1">SUMIFS(es_pieces,es_prod_type_affinage,'SUIVI STOCKS PAR PAYSAN'!$F58,es_date_entree,"&gt;"&amp;date_inventaire,es_taille,'SUIVI STOCKS PAR PAYSAN'!$AH$7)-SUMIFS(v_Pièces,v_Taille,'SUIVI STOCKS PAR PAYSAN'!$AH$7,v_conc_prod_tye_affinage,'SUIVI STOCKS PAR PAYSAN'!$F58,v_Date_commande,"&gt;"&amp;date_inventaire)</f>
        <v>0</v>
      </c>
      <c r="AI58" s="353">
        <f ca="1">SUMIFS(bddres_pieces,'BDD RESERVATIONS'!$G:$G,'SUIVI STOCKS PAR PAYSAN'!$AB$7,bddres_c_prod_type_aff,'SUIVI STOCKS PAR PAYSAN'!$F58,'BDD RESERVATIONS'!$B:$B,"&gt;"&amp;date_inventaire)</f>
        <v>0</v>
      </c>
      <c r="AJ58" s="352">
        <f ca="1">SUMIFS(es_poids,es_prod_type_affinage,'SUIVI STOCKS PAR PAYSAN'!$G58,es_date_entree,"&gt;"&amp;date_inventaire)-SUMIFS(v_Poids,v_conc_prod_tye_affinage,'SUIVI STOCKS PAR PAYSAN'!$G58,v_Date_commande,"&gt;"&amp;date_inventaire)</f>
        <v>0</v>
      </c>
      <c r="AK58" s="341">
        <f ca="1">SUMIFS(bddres_c_qte,bddres_c_prod_type_aff,'SUIVI STOCKS PAR PAYSAN'!G58,'BDD RESERVATIONS'!$B:$B,"&gt;"&amp;date_inventaire)</f>
        <v>0</v>
      </c>
      <c r="AL58" s="342">
        <f ca="1">SUMIFS(bddres_pieces,es_prod_type_affinage,'SUIVI STOCKS PAR PAYSAN'!$G58,es_date_entree,"&gt;"&amp;date_inventaire,es_taille,'SUIVI STOCKS PAR PAYSAN'!$AL$7)-SUMIFS(v_Pièces,v_Taille,'SUIVI STOCKS PAR PAYSAN'!$AL$7,v_conc_prod_tye_affinage,'SUIVI STOCKS PAR PAYSAN'!$G58,v_Date_commande,"&gt;"&amp;date_inventaire)</f>
        <v>0</v>
      </c>
      <c r="AM58" s="342">
        <f ca="1">SUMIFS(bddres_pieces,'BDD RESERVATIONS'!$G:$G,'SUIVI STOCKS PAR PAYSAN'!$AL$7,bddres_c_prod_type_aff,'SUIVI STOCKS PAR PAYSAN'!$G58,'BDD RESERVATIONS'!$B:$B,"&gt;"&amp;date_inventaire)</f>
        <v>0</v>
      </c>
      <c r="AN58" s="343">
        <f ca="1">SUMIFS(es_pieces,es_prod_type_affinage,'SUIVI STOCKS PAR PAYSAN'!$G58,es_date_entree,"&gt;"&amp;date_inventaire,es_taille,'SUIVI STOCKS PAR PAYSAN'!$AN$7)-SUMIFS(v_Pièces,v_Taille,'SUIVI STOCKS PAR PAYSAN'!$AN$7,v_conc_prod_tye_affinage,'SUIVI STOCKS PAR PAYSAN'!$G58,v_Date_commande,"&gt;"&amp;date_inventaire)</f>
        <v>0</v>
      </c>
      <c r="AO58" s="353">
        <f ca="1">SUMIFS(bddres_pieces,'BDD RESERVATIONS'!$G:$G,'SUIVI STOCKS PAR PAYSAN'!$AN$7,bddres_c_prod_type_aff,'SUIVI STOCKS PAR PAYSAN'!$G58,'BDD RESERVATIONS'!$B:$B,"&gt;"&amp;date_inventaire)</f>
        <v>0</v>
      </c>
      <c r="AP58" s="313">
        <f ca="1">SUMIFS(es_poids,es_prod_type_affinage,'SUIVI STOCKS PAR PAYSAN'!$H58,es_date_entree,"&gt;"&amp;date_inventaire)-SUMIFS(v_Poids,v_conc_prod_tye_affinage,'SUIVI STOCKS PAR PAYSAN'!$H58,v_Date_commande,"&gt;"&amp;date_inventaire)</f>
        <v>0</v>
      </c>
      <c r="AQ58" s="341">
        <f ca="1">SUMIFS(bddres_c_qte,bddres_c_prod_type_aff,'SUIVI STOCKS PAR PAYSAN'!H58,'BDD RESERVATIONS'!$B:$B,"&gt;"&amp;date_inventaire)</f>
        <v>0</v>
      </c>
      <c r="AR58" s="342">
        <f ca="1">SUMIFS(bddres_pieces,es_prod_type_affinage,'SUIVI STOCKS PAR PAYSAN'!$H58,es_date_entree,"&gt;"&amp;date_inventaire,es_taille,'SUIVI STOCKS PAR PAYSAN'!$AR$7)-SUMIFS(v_Pièces,v_Taille,'SUIVI STOCKS PAR PAYSAN'!$AR$7,v_conc_prod_tye_affinage,'SUIVI STOCKS PAR PAYSAN'!$H58,v_Date_commande,"&gt;"&amp;date_inventaire)</f>
        <v>0</v>
      </c>
      <c r="AS58" s="326">
        <f ca="1">SUMIFS(bddres_pieces,'BDD RESERVATIONS'!$G:$G,'SUIVI STOCKS PAR PAYSAN'!AR53,bddres_c_prod_type_aff,'SUIVI STOCKS PAR PAYSAN'!$H58,'BDD RESERVATIONS'!$B:$B,"&gt;"&amp;date_inventaire)</f>
        <v>0</v>
      </c>
      <c r="AT58" s="343">
        <f ca="1">SUMIFS(es_pieces,es_prod_type_affinage,'SUIVI STOCKS PAR PAYSAN'!$H58,es_date_entree,"&gt;"&amp;date_inventaire,es_taille,'SUIVI STOCKS PAR PAYSAN'!$AT$7)-SUMIFS(v_Pièces,v_Taille,'SUIVI STOCKS PAR PAYSAN'!$AT$7,v_conc_prod_tye_affinage,'SUIVI STOCKS PAR PAYSAN'!$H58,v_Date_commande,"&gt;"&amp;date_inventaire)</f>
        <v>0</v>
      </c>
      <c r="AU58" s="353">
        <f ca="1">SUMIFS(bddres_pieces,'BDD RESERVATIONS'!$G:$G,'SUIVI STOCKS PAR PAYSAN'!$AT$7,bddres_c_prod_type_aff,'SUIVI STOCKS PAR PAYSAN'!$H58,'BDD RESERVATIONS'!$B:$B,"&gt;"&amp;date_inventaire)</f>
        <v>0</v>
      </c>
      <c r="AV58" s="313">
        <f ca="1">SUMIFS(es_poids,es_prod_type_affinage,'SUIVI STOCKS PAR PAYSAN'!$I58,es_date_entree,"&gt;"&amp;date_inventaire)-SUMIFS(v_Poids,v_conc_prod_tye_affinage,'SUIVI STOCKS PAR PAYSAN'!$E58,v_Date_commande,"&gt;"&amp;date_inventaire)</f>
        <v>0</v>
      </c>
      <c r="AW58" s="313">
        <f ca="1">SUMIFS(bddres_c_qte,bddres_c_prod_type_aff,'SUIVI STOCKS PAR PAYSAN'!I58,'BDD RESERVATIONS'!$B:$B,"&gt;"&amp;date_inventaire)</f>
        <v>0</v>
      </c>
      <c r="AX58" s="342">
        <f ca="1">SUMIFS(bddres_pieces,es_prod_type_affinage,'SUIVI STOCKS PAR PAYSAN'!$I58,es_date_entree,"&gt;"&amp;date_inventaire,es_taille,'SUIVI STOCKS PAR PAYSAN'!$AX$7)-SUMIFS(v_Pièces,v_Taille,'SUIVI STOCKS PAR PAYSAN'!$AX$7,v_conc_prod_tye_affinage,'SUIVI STOCKS PAR PAYSAN'!$I58,v_Date_commande,"&gt;"&amp;date_inventaire)</f>
        <v>0</v>
      </c>
      <c r="AY58" s="342">
        <f ca="1">SUMIFS(bddres_pieces,'BDD RESERVATIONS'!$G:$G,'SUIVI STOCKS PAR PAYSAN'!$AX$7,bddres_c_prod_type_aff,'SUIVI STOCKS PAR PAYSAN'!$I58,'BDD RESERVATIONS'!$B:$B,"&gt;"&amp;date_inventaire)</f>
        <v>0</v>
      </c>
      <c r="AZ58" s="343">
        <f ca="1">SUMIFS(es_pieces,es_prod_type_affinage,'SUIVI STOCKS PAR PAYSAN'!$I58,es_date_entree,"&gt;"&amp;date_inventaire,es_taille,'SUIVI STOCKS PAR PAYSAN'!$AZ$7)-SUMIFS(v_Pièces,v_Taille,'SUIVI STOCKS PAR PAYSAN'!$AZ$7,v_conc_prod_tye_affinage,'SUIVI STOCKS PAR PAYSAN'!$I58,v_Date_commande,"&gt;"&amp;date_inventaire)</f>
        <v>0</v>
      </c>
      <c r="BA58" s="353">
        <f ca="1">SUMIFS(bddres_pieces,'BDD RESERVATIONS'!$G:$G,'SUIVI STOCKS PAR PAYSAN'!$AZ$7,bddres_c_prod_type_aff,'SUIVI STOCKS PAR PAYSAN'!$I58,'BDD RESERVATIONS'!$B:$B,"&gt;"&amp;date_inventaire)</f>
        <v>0</v>
      </c>
      <c r="BB58" s="313">
        <f ca="1">SUMIFS(es_poids,es_prod_type_affinage,'SUIVI STOCKS PAR PAYSAN'!$J58,es_date_entree,"&gt;"&amp;date_inventaire)-SUMIFS(v_Poids,v_conc_prod_tye_affinage,'SUIVI STOCKS PAR PAYSAN'!$J58,v_Date_commande,"&gt;"&amp;date_inventaire)</f>
        <v>0</v>
      </c>
      <c r="BC58" s="313">
        <f ca="1">SUMIFS(bddres_c_qte,bddres_c_prod_type_aff,'SUIVI STOCKS PAR PAYSAN'!J58,'BDD RESERVATIONS'!$B:$B,"&gt;"&amp;date_inventaire)</f>
        <v>0</v>
      </c>
      <c r="BD58" s="342">
        <f ca="1">SUMIFS(bddres_pieces,es_prod_type_affinage,'SUIVI STOCKS PAR PAYSAN'!$J58,es_date_entree,"&gt;"&amp;date_inventaire,es_taille,'SUIVI STOCKS PAR PAYSAN'!$BD$7)-SUMIFS(v_Pièces,v_Taille,'SUIVI STOCKS PAR PAYSAN'!$BD$7,v_conc_prod_tye_affinage,'SUIVI STOCKS PAR PAYSAN'!$J58,v_Date_commande,"&gt;"&amp;date_inventaire)</f>
        <v>0</v>
      </c>
      <c r="BE58" s="326">
        <f ca="1">SUMIFS(bddres_pieces,'BDD RESERVATIONS'!$G:$G,'SUIVI STOCKS PAR PAYSAN'!BD53,bddres_c_prod_type_aff,'SUIVI STOCKS PAR PAYSAN'!J58,'BDD RESERVATIONS'!$B:$B,"&gt;"&amp;date_inventaire)</f>
        <v>0</v>
      </c>
      <c r="BF58" s="343">
        <f ca="1">SUMIFS(es_pieces,es_prod_type_affinage,'SUIVI STOCKS PAR PAYSAN'!J58,es_date_entree,"&gt;"&amp;date_inventaire,es_taille,'SUIVI STOCKS PAR PAYSAN'!$BF$7)-SUMIFS(v_Pièces,v_Taille,'SUIVI STOCKS PAR PAYSAN'!$BF$7,v_conc_prod_tye_affinage,'SUIVI STOCKS PAR PAYSAN'!J58,v_Date_commande,"&gt;"&amp;date_inventaire)</f>
        <v>0</v>
      </c>
      <c r="BG58" s="353">
        <f ca="1">SUMIFS(bddres_pieces,'BDD RESERVATIONS'!$G:$G,'SUIVI STOCKS PAR PAYSAN'!$BF$7,bddres_c_prod_type_aff,'SUIVI STOCKS PAR PAYSAN'!J58,'BDD RESERVATIONS'!$B:$B,"&gt;"&amp;date_inventaire)</f>
        <v>0</v>
      </c>
    </row>
    <row r="59" spans="1:59" ht="18.75" customHeight="1" x14ac:dyDescent="0.25">
      <c r="A59" s="331">
        <f ca="1">OFFSET('BDD PAYSANS'!$B$1,B59,0,1,1)</f>
        <v>0</v>
      </c>
      <c r="B59" s="325">
        <v>48</v>
      </c>
      <c r="C59" s="325" t="str">
        <f t="shared" ca="1" si="2"/>
        <v>0FERMIER&lt;3 mois</v>
      </c>
      <c r="D59" s="325" t="str">
        <f t="shared" ca="1" si="2"/>
        <v>0FERMIER3-6 mois</v>
      </c>
      <c r="E59" s="325" t="str">
        <f t="shared" ca="1" si="2"/>
        <v>0FERMIER6-9 mois</v>
      </c>
      <c r="F59" s="325" t="str">
        <f t="shared" ca="1" si="2"/>
        <v>0FERMIER&gt;9 mois</v>
      </c>
      <c r="G59" s="325" t="str">
        <f t="shared" ca="1" si="2"/>
        <v>0ESTIVE&lt;3 mois</v>
      </c>
      <c r="H59" s="325" t="str">
        <f t="shared" ca="1" si="2"/>
        <v>0ESTIVE3-6 mois</v>
      </c>
      <c r="I59" s="325" t="str">
        <f t="shared" ca="1" si="2"/>
        <v>0ESTIVE6-9 mois</v>
      </c>
      <c r="J59" s="325" t="str">
        <f t="shared" ref="C59:J91" ca="1" si="3">CONCATENATE($A59,J$9,J$8)</f>
        <v>0ESTIVE&gt;9 mois</v>
      </c>
      <c r="K59" s="325"/>
      <c r="L59" s="352">
        <f ca="1">SUMIFS(es_poids,es_prod_type_affinage,'SUIVI STOCKS PAR PAYSAN'!$C59,es_date_entree,"&gt;"&amp;date_inventaire)-SUMIFS(v_Poids,v_conc_prod_tye_affinage,'SUIVI STOCKS PAR PAYSAN'!$C59,v_Date_commande,"&gt;"&amp;date_inventaire)</f>
        <v>0</v>
      </c>
      <c r="M59" s="341">
        <f ca="1">SUMIFS(bddres_c_qte,bddres_c_prod_type_aff,'SUIVI STOCKS PAR PAYSAN'!C59,'BDD RESERVATIONS'!$B:$B,"&gt;"&amp;date_inventaire)</f>
        <v>0</v>
      </c>
      <c r="N59" s="342">
        <f ca="1">SUMIFS(bddres_pieces,es_prod_type_affinage,'SUIVI STOCKS PAR PAYSAN'!$C59,es_date_entree,"&gt;"&amp;date_inventaire,es_taille,'SUIVI STOCKS PAR PAYSAN'!$N$7)-SUMIFS(v_Pièces,v_Taille,'SUIVI STOCKS PAR PAYSAN'!$N$7,v_conc_prod_tye_affinage,'SUIVI STOCKS PAR PAYSAN'!$C59,v_Date_commande,"&gt;"&amp;date_inventaire)</f>
        <v>0</v>
      </c>
      <c r="O59" s="342">
        <f ca="1">SUMIFS(bddres_pieces,'BDD RESERVATIONS'!$G:$G,'SUIVI STOCKS PAR PAYSAN'!$N$7,bddres_c_prod_type_aff,'SUIVI STOCKS PAR PAYSAN'!$C59,'BDD RESERVATIONS'!$B:$B,"&gt;"&amp;date_inventaire)</f>
        <v>0</v>
      </c>
      <c r="P59" s="343">
        <f ca="1">SUMIFS(es_pieces,es_prod_type_affinage,'SUIVI STOCKS PAR PAYSAN'!$C59,es_date_entree,"&gt;"&amp;date_inventaire,es_taille,'SUIVI STOCKS PAR PAYSAN'!$P$7)-SUMIFS(v_Pièces,v_Taille,'SUIVI STOCKS PAR PAYSAN'!$P$7,v_conc_prod_tye_affinage,'SUIVI STOCKS PAR PAYSAN'!$C59,v_Date_commande,"&gt;"&amp;date_inventaire)</f>
        <v>0</v>
      </c>
      <c r="Q59" s="353">
        <f ca="1">SUMIFS(bddres_pieces,'BDD RESERVATIONS'!$G:$G,'SUIVI STOCKS PAR PAYSAN'!$P$7,bddres_c_prod_type_aff,'SUIVI STOCKS PAR PAYSAN'!$C59,'BDD RESERVATIONS'!$B:$B,"&gt;"&amp;date_inventaire)</f>
        <v>0</v>
      </c>
      <c r="R59" s="340">
        <f ca="1">SUMIFS(es_poids,es_prod_type_affinage,'SUIVI STOCKS PAR PAYSAN'!$D59,es_date_entree,"&gt;"&amp;date_inventaire)-SUMIFS(v_Poids,v_conc_prod_tye_affinage,'SUIVI STOCKS PAR PAYSAN'!$D59,v_Date_commande,"&gt;"&amp;date_inventaire)</f>
        <v>0</v>
      </c>
      <c r="S59" s="341">
        <f ca="1">SUMIFS(bddres_c_qte,bddres_c_prod_type_aff,'SUIVI STOCKS PAR PAYSAN'!D59,'BDD RESERVATIONS'!$B:$B,"&gt;"&amp;date_inventaire)</f>
        <v>0</v>
      </c>
      <c r="T59" s="342">
        <f ca="1">SUMIFS(bddres_pieces,es_prod_type_affinage,'SUIVI STOCKS PAR PAYSAN'!$D59,es_date_entree,"&gt;"&amp;date_inventaire,es_taille,'SUIVI STOCKS PAR PAYSAN'!$T$7)-SUMIFS(v_Pièces,v_Taille,'SUIVI STOCKS PAR PAYSAN'!$T$7,v_conc_prod_tye_affinage,'SUIVI STOCKS PAR PAYSAN'!$D59,v_Date_commande,"&gt;"&amp;date_inventaire)</f>
        <v>0</v>
      </c>
      <c r="U59" s="342">
        <f ca="1">SUMIFS(bddres_pieces,'BDD RESERVATIONS'!$G:$G,'SUIVI STOCKS PAR PAYSAN'!$T$7,bddres_c_prod_type_aff,'SUIVI STOCKS PAR PAYSAN'!$D59,'BDD RESERVATIONS'!$B:$B,"&gt;"&amp;date_inventaire)</f>
        <v>0</v>
      </c>
      <c r="V59" s="343">
        <f ca="1">SUMIFS(es_pieces,es_prod_type_affinage,'SUIVI STOCKS PAR PAYSAN'!$D59,es_date_entree,"&gt;"&amp;date_inventaire,es_taille,'SUIVI STOCKS PAR PAYSAN'!$V$7)-SUMIFS(v_Pièces,v_Taille,'SUIVI STOCKS PAR PAYSAN'!$V$7,v_conc_prod_tye_affinage,'SUIVI STOCKS PAR PAYSAN'!$D59,v_Date_commande,"&gt;"&amp;date_inventaire)</f>
        <v>0</v>
      </c>
      <c r="W59" s="353">
        <f ca="1">SUMIFS(bddres_pieces,'BDD RESERVATIONS'!$G:$G,'SUIVI STOCKS PAR PAYSAN'!$V$7,bddres_c_prod_type_aff,'SUIVI STOCKS PAR PAYSAN'!$D59,'BDD RESERVATIONS'!$B:$B,"&gt;"&amp;date_inventaire)</f>
        <v>0</v>
      </c>
      <c r="X59" s="313">
        <f ca="1">SUMIFS(es_poids,es_prod_type_affinage,'SUIVI STOCKS PAR PAYSAN'!$E59,es_date_entree,"&gt;"&amp;date_inventaire)-SUMIFS(v_Poids,v_conc_prod_tye_affinage,'SUIVI STOCKS PAR PAYSAN'!$E59,v_Date_commande,"&gt;"&amp;date_inventaire)</f>
        <v>0</v>
      </c>
      <c r="Y59" s="341">
        <f ca="1">SUMIFS(bddres_c_qte,bddres_c_prod_type_aff,'SUIVI STOCKS PAR PAYSAN'!E59,'BDD RESERVATIONS'!$B:$B,"&gt;"&amp;date_inventaire)</f>
        <v>0</v>
      </c>
      <c r="Z59" s="342">
        <f ca="1">SUMIFS(bddres_pieces,es_prod_type_affinage,'SUIVI STOCKS PAR PAYSAN'!$E59,es_date_entree,"&gt;"&amp;date_inventaire,es_taille,'SUIVI STOCKS PAR PAYSAN'!$Z$7)-SUMIFS(v_Pièces,v_Taille,'SUIVI STOCKS PAR PAYSAN'!$Z$7,v_conc_prod_tye_affinage,'SUIVI STOCKS PAR PAYSAN'!$E59,v_Date_commande,"&gt;"&amp;date_inventaire)</f>
        <v>0</v>
      </c>
      <c r="AA59" s="342">
        <f ca="1">SUMIFS(bddres_pieces,'BDD RESERVATIONS'!$G:$G,'SUIVI STOCKS PAR PAYSAN'!$Z$7,bddres_c_prod_type_aff,'SUIVI STOCKS PAR PAYSAN'!$E59,'BDD RESERVATIONS'!$B:$B,"&gt;"&amp;date_inventaire)</f>
        <v>0</v>
      </c>
      <c r="AB59" s="343">
        <f ca="1">SUMIFS(es_pieces,es_prod_type_affinage,'SUIVI STOCKS PAR PAYSAN'!$E59,es_date_entree,"&gt;"&amp;date_inventaire,es_taille,'SUIVI STOCKS PAR PAYSAN'!$AB$7)-SUMIFS(v_Pièces,v_Taille,'SUIVI STOCKS PAR PAYSAN'!$AB$7,v_conc_prod_tye_affinage,'SUIVI STOCKS PAR PAYSAN'!$E59,v_Date_commande,"&gt;"&amp;date_inventaire)</f>
        <v>0</v>
      </c>
      <c r="AC59" s="353">
        <f ca="1">SUMIFS(bddres_pieces,'BDD RESERVATIONS'!$G:$G,'SUIVI STOCKS PAR PAYSAN'!$AB$7,bddres_c_prod_type_aff,'SUIVI STOCKS PAR PAYSAN'!$E59,'BDD RESERVATIONS'!$B:$B,"&gt;"&amp;date_inventaire)</f>
        <v>0</v>
      </c>
      <c r="AD59" s="313">
        <f ca="1">SUMIFS(es_poids,es_prod_type_affinage,'SUIVI STOCKS PAR PAYSAN'!$F59,es_date_entree,"&gt;"&amp;date_inventaire)-SUMIFS(v_Poids,v_conc_prod_tye_affinage,'SUIVI STOCKS PAR PAYSAN'!$F59,v_Date_commande,"&gt;"&amp;date_inventaire)</f>
        <v>0</v>
      </c>
      <c r="AE59" s="341">
        <f ca="1">SUMIFS(bddres_c_qte,bddres_c_prod_type_aff,'SUIVI STOCKS PAR PAYSAN'!F59,'BDD RESERVATIONS'!$B:$B,"&gt;"&amp;date_inventaire)</f>
        <v>0</v>
      </c>
      <c r="AF59" s="342">
        <f ca="1">SUMIFS(bddres_pieces,es_prod_type_affinage,'SUIVI STOCKS PAR PAYSAN'!$F59,es_date_entree,"&gt;"&amp;date_inventaire,es_taille,'SUIVI STOCKS PAR PAYSAN'!$Z$7)-SUMIFS(v_Pièces,v_Taille,'SUIVI STOCKS PAR PAYSAN'!$Z$7,v_conc_prod_tye_affinage,'SUIVI STOCKS PAR PAYSAN'!$F59,v_Date_commande,"&gt;"&amp;date_inventaire)</f>
        <v>0</v>
      </c>
      <c r="AG59" s="342">
        <f ca="1">SUMIFS(bddres_pieces,'BDD RESERVATIONS'!$G:$G,'SUIVI STOCKS PAR PAYSAN'!$Z$7,bddres_c_prod_type_aff,'SUIVI STOCKS PAR PAYSAN'!$F59,'BDD RESERVATIONS'!$B:$B,"&gt;"&amp;date_inventaire)</f>
        <v>0</v>
      </c>
      <c r="AH59" s="343">
        <f ca="1">SUMIFS(es_pieces,es_prod_type_affinage,'SUIVI STOCKS PAR PAYSAN'!$F59,es_date_entree,"&gt;"&amp;date_inventaire,es_taille,'SUIVI STOCKS PAR PAYSAN'!$AH$7)-SUMIFS(v_Pièces,v_Taille,'SUIVI STOCKS PAR PAYSAN'!$AH$7,v_conc_prod_tye_affinage,'SUIVI STOCKS PAR PAYSAN'!$F59,v_Date_commande,"&gt;"&amp;date_inventaire)</f>
        <v>0</v>
      </c>
      <c r="AI59" s="353">
        <f ca="1">SUMIFS(bddres_pieces,'BDD RESERVATIONS'!$G:$G,'SUIVI STOCKS PAR PAYSAN'!$AB$7,bddres_c_prod_type_aff,'SUIVI STOCKS PAR PAYSAN'!$F59,'BDD RESERVATIONS'!$B:$B,"&gt;"&amp;date_inventaire)</f>
        <v>0</v>
      </c>
      <c r="AJ59" s="352">
        <f ca="1">SUMIFS(es_poids,es_prod_type_affinage,'SUIVI STOCKS PAR PAYSAN'!$G59,es_date_entree,"&gt;"&amp;date_inventaire)-SUMIFS(v_Poids,v_conc_prod_tye_affinage,'SUIVI STOCKS PAR PAYSAN'!$G59,v_Date_commande,"&gt;"&amp;date_inventaire)</f>
        <v>0</v>
      </c>
      <c r="AK59" s="341">
        <f ca="1">SUMIFS(bddres_c_qte,bddres_c_prod_type_aff,'SUIVI STOCKS PAR PAYSAN'!G59,'BDD RESERVATIONS'!$B:$B,"&gt;"&amp;date_inventaire)</f>
        <v>0</v>
      </c>
      <c r="AL59" s="342">
        <f ca="1">SUMIFS(bddres_pieces,es_prod_type_affinage,'SUIVI STOCKS PAR PAYSAN'!$G59,es_date_entree,"&gt;"&amp;date_inventaire,es_taille,'SUIVI STOCKS PAR PAYSAN'!$AL$7)-SUMIFS(v_Pièces,v_Taille,'SUIVI STOCKS PAR PAYSAN'!$AL$7,v_conc_prod_tye_affinage,'SUIVI STOCKS PAR PAYSAN'!$G59,v_Date_commande,"&gt;"&amp;date_inventaire)</f>
        <v>0</v>
      </c>
      <c r="AM59" s="342">
        <f ca="1">SUMIFS(bddres_pieces,'BDD RESERVATIONS'!$G:$G,'SUIVI STOCKS PAR PAYSAN'!$AL$7,bddres_c_prod_type_aff,'SUIVI STOCKS PAR PAYSAN'!$G59,'BDD RESERVATIONS'!$B:$B,"&gt;"&amp;date_inventaire)</f>
        <v>0</v>
      </c>
      <c r="AN59" s="343">
        <f ca="1">SUMIFS(es_pieces,es_prod_type_affinage,'SUIVI STOCKS PAR PAYSAN'!$G59,es_date_entree,"&gt;"&amp;date_inventaire,es_taille,'SUIVI STOCKS PAR PAYSAN'!$AN$7)-SUMIFS(v_Pièces,v_Taille,'SUIVI STOCKS PAR PAYSAN'!$AN$7,v_conc_prod_tye_affinage,'SUIVI STOCKS PAR PAYSAN'!$G59,v_Date_commande,"&gt;"&amp;date_inventaire)</f>
        <v>0</v>
      </c>
      <c r="AO59" s="353">
        <f ca="1">SUMIFS(bddres_pieces,'BDD RESERVATIONS'!$G:$G,'SUIVI STOCKS PAR PAYSAN'!$AN$7,bddres_c_prod_type_aff,'SUIVI STOCKS PAR PAYSAN'!$G59,'BDD RESERVATIONS'!$B:$B,"&gt;"&amp;date_inventaire)</f>
        <v>0</v>
      </c>
      <c r="AP59" s="313">
        <f ca="1">SUMIFS(es_poids,es_prod_type_affinage,'SUIVI STOCKS PAR PAYSAN'!$H59,es_date_entree,"&gt;"&amp;date_inventaire)-SUMIFS(v_Poids,v_conc_prod_tye_affinage,'SUIVI STOCKS PAR PAYSAN'!$H59,v_Date_commande,"&gt;"&amp;date_inventaire)</f>
        <v>0</v>
      </c>
      <c r="AQ59" s="341">
        <f ca="1">SUMIFS(bddres_c_qte,bddres_c_prod_type_aff,'SUIVI STOCKS PAR PAYSAN'!H59,'BDD RESERVATIONS'!$B:$B,"&gt;"&amp;date_inventaire)</f>
        <v>0</v>
      </c>
      <c r="AR59" s="342">
        <f ca="1">SUMIFS(bddres_pieces,es_prod_type_affinage,'SUIVI STOCKS PAR PAYSAN'!$H59,es_date_entree,"&gt;"&amp;date_inventaire,es_taille,'SUIVI STOCKS PAR PAYSAN'!$AR$7)-SUMIFS(v_Pièces,v_Taille,'SUIVI STOCKS PAR PAYSAN'!$AR$7,v_conc_prod_tye_affinage,'SUIVI STOCKS PAR PAYSAN'!$H59,v_Date_commande,"&gt;"&amp;date_inventaire)</f>
        <v>0</v>
      </c>
      <c r="AS59" s="326">
        <f ca="1">SUMIFS(bddres_pieces,'BDD RESERVATIONS'!$G:$G,'SUIVI STOCKS PAR PAYSAN'!AR54,bddres_c_prod_type_aff,'SUIVI STOCKS PAR PAYSAN'!$H59,'BDD RESERVATIONS'!$B:$B,"&gt;"&amp;date_inventaire)</f>
        <v>0</v>
      </c>
      <c r="AT59" s="343">
        <f ca="1">SUMIFS(es_pieces,es_prod_type_affinage,'SUIVI STOCKS PAR PAYSAN'!$H59,es_date_entree,"&gt;"&amp;date_inventaire,es_taille,'SUIVI STOCKS PAR PAYSAN'!$AT$7)-SUMIFS(v_Pièces,v_Taille,'SUIVI STOCKS PAR PAYSAN'!$AT$7,v_conc_prod_tye_affinage,'SUIVI STOCKS PAR PAYSAN'!$H59,v_Date_commande,"&gt;"&amp;date_inventaire)</f>
        <v>0</v>
      </c>
      <c r="AU59" s="353">
        <f ca="1">SUMIFS(bddres_pieces,'BDD RESERVATIONS'!$G:$G,'SUIVI STOCKS PAR PAYSAN'!$AT$7,bddres_c_prod_type_aff,'SUIVI STOCKS PAR PAYSAN'!$H59,'BDD RESERVATIONS'!$B:$B,"&gt;"&amp;date_inventaire)</f>
        <v>0</v>
      </c>
      <c r="AV59" s="313">
        <f ca="1">SUMIFS(es_poids,es_prod_type_affinage,'SUIVI STOCKS PAR PAYSAN'!$I59,es_date_entree,"&gt;"&amp;date_inventaire)-SUMIFS(v_Poids,v_conc_prod_tye_affinage,'SUIVI STOCKS PAR PAYSAN'!$E59,v_Date_commande,"&gt;"&amp;date_inventaire)</f>
        <v>0</v>
      </c>
      <c r="AW59" s="313">
        <f ca="1">SUMIFS(bddres_c_qte,bddres_c_prod_type_aff,'SUIVI STOCKS PAR PAYSAN'!I59,'BDD RESERVATIONS'!$B:$B,"&gt;"&amp;date_inventaire)</f>
        <v>0</v>
      </c>
      <c r="AX59" s="342">
        <f ca="1">SUMIFS(bddres_pieces,es_prod_type_affinage,'SUIVI STOCKS PAR PAYSAN'!$I59,es_date_entree,"&gt;"&amp;date_inventaire,es_taille,'SUIVI STOCKS PAR PAYSAN'!$AX$7)-SUMIFS(v_Pièces,v_Taille,'SUIVI STOCKS PAR PAYSAN'!$AX$7,v_conc_prod_tye_affinage,'SUIVI STOCKS PAR PAYSAN'!$I59,v_Date_commande,"&gt;"&amp;date_inventaire)</f>
        <v>0</v>
      </c>
      <c r="AY59" s="342">
        <f ca="1">SUMIFS(bddres_pieces,'BDD RESERVATIONS'!$G:$G,'SUIVI STOCKS PAR PAYSAN'!$AX$7,bddres_c_prod_type_aff,'SUIVI STOCKS PAR PAYSAN'!$I59,'BDD RESERVATIONS'!$B:$B,"&gt;"&amp;date_inventaire)</f>
        <v>0</v>
      </c>
      <c r="AZ59" s="343">
        <f ca="1">SUMIFS(es_pieces,es_prod_type_affinage,'SUIVI STOCKS PAR PAYSAN'!$I59,es_date_entree,"&gt;"&amp;date_inventaire,es_taille,'SUIVI STOCKS PAR PAYSAN'!$AZ$7)-SUMIFS(v_Pièces,v_Taille,'SUIVI STOCKS PAR PAYSAN'!$AZ$7,v_conc_prod_tye_affinage,'SUIVI STOCKS PAR PAYSAN'!$I59,v_Date_commande,"&gt;"&amp;date_inventaire)</f>
        <v>0</v>
      </c>
      <c r="BA59" s="353">
        <f ca="1">SUMIFS(bddres_pieces,'BDD RESERVATIONS'!$G:$G,'SUIVI STOCKS PAR PAYSAN'!$AZ$7,bddres_c_prod_type_aff,'SUIVI STOCKS PAR PAYSAN'!$I59,'BDD RESERVATIONS'!$B:$B,"&gt;"&amp;date_inventaire)</f>
        <v>0</v>
      </c>
      <c r="BB59" s="313">
        <f ca="1">SUMIFS(es_poids,es_prod_type_affinage,'SUIVI STOCKS PAR PAYSAN'!$J59,es_date_entree,"&gt;"&amp;date_inventaire)-SUMIFS(v_Poids,v_conc_prod_tye_affinage,'SUIVI STOCKS PAR PAYSAN'!$J59,v_Date_commande,"&gt;"&amp;date_inventaire)</f>
        <v>0</v>
      </c>
      <c r="BC59" s="313">
        <f ca="1">SUMIFS(bddres_c_qte,bddres_c_prod_type_aff,'SUIVI STOCKS PAR PAYSAN'!J59,'BDD RESERVATIONS'!$B:$B,"&gt;"&amp;date_inventaire)</f>
        <v>0</v>
      </c>
      <c r="BD59" s="342">
        <f ca="1">SUMIFS(bddres_pieces,es_prod_type_affinage,'SUIVI STOCKS PAR PAYSAN'!$J59,es_date_entree,"&gt;"&amp;date_inventaire,es_taille,'SUIVI STOCKS PAR PAYSAN'!$BD$7)-SUMIFS(v_Pièces,v_Taille,'SUIVI STOCKS PAR PAYSAN'!$BD$7,v_conc_prod_tye_affinage,'SUIVI STOCKS PAR PAYSAN'!$J59,v_Date_commande,"&gt;"&amp;date_inventaire)</f>
        <v>0</v>
      </c>
      <c r="BE59" s="326">
        <f ca="1">SUMIFS(bddres_pieces,'BDD RESERVATIONS'!$G:$G,'SUIVI STOCKS PAR PAYSAN'!BD54,bddres_c_prod_type_aff,'SUIVI STOCKS PAR PAYSAN'!J59,'BDD RESERVATIONS'!$B:$B,"&gt;"&amp;date_inventaire)</f>
        <v>0</v>
      </c>
      <c r="BF59" s="343">
        <f ca="1">SUMIFS(es_pieces,es_prod_type_affinage,'SUIVI STOCKS PAR PAYSAN'!J59,es_date_entree,"&gt;"&amp;date_inventaire,es_taille,'SUIVI STOCKS PAR PAYSAN'!$BF$7)-SUMIFS(v_Pièces,v_Taille,'SUIVI STOCKS PAR PAYSAN'!$BF$7,v_conc_prod_tye_affinage,'SUIVI STOCKS PAR PAYSAN'!J59,v_Date_commande,"&gt;"&amp;date_inventaire)</f>
        <v>0</v>
      </c>
      <c r="BG59" s="353">
        <f ca="1">SUMIFS(bddres_pieces,'BDD RESERVATIONS'!$G:$G,'SUIVI STOCKS PAR PAYSAN'!$BF$7,bddres_c_prod_type_aff,'SUIVI STOCKS PAR PAYSAN'!J59,'BDD RESERVATIONS'!$B:$B,"&gt;"&amp;date_inventaire)</f>
        <v>0</v>
      </c>
    </row>
    <row r="60" spans="1:59" ht="18.75" customHeight="1" x14ac:dyDescent="0.25">
      <c r="A60" s="331">
        <f ca="1">OFFSET('BDD PAYSANS'!$B$1,B60,0,1,1)</f>
        <v>0</v>
      </c>
      <c r="B60" s="325">
        <v>49</v>
      </c>
      <c r="C60" s="325" t="str">
        <f t="shared" ca="1" si="3"/>
        <v>0FERMIER&lt;3 mois</v>
      </c>
      <c r="D60" s="325" t="str">
        <f t="shared" ca="1" si="3"/>
        <v>0FERMIER3-6 mois</v>
      </c>
      <c r="E60" s="325" t="str">
        <f t="shared" ca="1" si="3"/>
        <v>0FERMIER6-9 mois</v>
      </c>
      <c r="F60" s="325" t="str">
        <f t="shared" ca="1" si="3"/>
        <v>0FERMIER&gt;9 mois</v>
      </c>
      <c r="G60" s="325" t="str">
        <f t="shared" ca="1" si="3"/>
        <v>0ESTIVE&lt;3 mois</v>
      </c>
      <c r="H60" s="325" t="str">
        <f t="shared" ca="1" si="3"/>
        <v>0ESTIVE3-6 mois</v>
      </c>
      <c r="I60" s="325" t="str">
        <f t="shared" ca="1" si="3"/>
        <v>0ESTIVE6-9 mois</v>
      </c>
      <c r="J60" s="325" t="str">
        <f t="shared" ca="1" si="3"/>
        <v>0ESTIVE&gt;9 mois</v>
      </c>
      <c r="K60" s="325"/>
      <c r="L60" s="352">
        <f ca="1">SUMIFS(es_poids,es_prod_type_affinage,'SUIVI STOCKS PAR PAYSAN'!$C60,es_date_entree,"&gt;"&amp;date_inventaire)-SUMIFS(v_Poids,v_conc_prod_tye_affinage,'SUIVI STOCKS PAR PAYSAN'!$C60,v_Date_commande,"&gt;"&amp;date_inventaire)</f>
        <v>0</v>
      </c>
      <c r="M60" s="341">
        <f ca="1">SUMIFS(bddres_c_qte,bddres_c_prod_type_aff,'SUIVI STOCKS PAR PAYSAN'!C60,'BDD RESERVATIONS'!$B:$B,"&gt;"&amp;date_inventaire)</f>
        <v>0</v>
      </c>
      <c r="N60" s="342">
        <f ca="1">SUMIFS(bddres_pieces,es_prod_type_affinage,'SUIVI STOCKS PAR PAYSAN'!$C60,es_date_entree,"&gt;"&amp;date_inventaire,es_taille,'SUIVI STOCKS PAR PAYSAN'!$N$7)-SUMIFS(v_Pièces,v_Taille,'SUIVI STOCKS PAR PAYSAN'!$N$7,v_conc_prod_tye_affinage,'SUIVI STOCKS PAR PAYSAN'!$C60,v_Date_commande,"&gt;"&amp;date_inventaire)</f>
        <v>0</v>
      </c>
      <c r="O60" s="342">
        <f ca="1">SUMIFS(bddres_pieces,'BDD RESERVATIONS'!$G:$G,'SUIVI STOCKS PAR PAYSAN'!$N$7,bddres_c_prod_type_aff,'SUIVI STOCKS PAR PAYSAN'!$C60,'BDD RESERVATIONS'!$B:$B,"&gt;"&amp;date_inventaire)</f>
        <v>0</v>
      </c>
      <c r="P60" s="343">
        <f ca="1">SUMIFS(es_pieces,es_prod_type_affinage,'SUIVI STOCKS PAR PAYSAN'!$C60,es_date_entree,"&gt;"&amp;date_inventaire,es_taille,'SUIVI STOCKS PAR PAYSAN'!$P$7)-SUMIFS(v_Pièces,v_Taille,'SUIVI STOCKS PAR PAYSAN'!$P$7,v_conc_prod_tye_affinage,'SUIVI STOCKS PAR PAYSAN'!$C60,v_Date_commande,"&gt;"&amp;date_inventaire)</f>
        <v>0</v>
      </c>
      <c r="Q60" s="353">
        <f ca="1">SUMIFS(bddres_pieces,'BDD RESERVATIONS'!$G:$G,'SUIVI STOCKS PAR PAYSAN'!$P$7,bddres_c_prod_type_aff,'SUIVI STOCKS PAR PAYSAN'!$C60,'BDD RESERVATIONS'!$B:$B,"&gt;"&amp;date_inventaire)</f>
        <v>0</v>
      </c>
      <c r="R60" s="340">
        <f ca="1">SUMIFS(es_poids,es_prod_type_affinage,'SUIVI STOCKS PAR PAYSAN'!$D60,es_date_entree,"&gt;"&amp;date_inventaire)-SUMIFS(v_Poids,v_conc_prod_tye_affinage,'SUIVI STOCKS PAR PAYSAN'!$D60,v_Date_commande,"&gt;"&amp;date_inventaire)</f>
        <v>0</v>
      </c>
      <c r="S60" s="341">
        <f ca="1">SUMIFS(bddres_c_qte,bddres_c_prod_type_aff,'SUIVI STOCKS PAR PAYSAN'!D60,'BDD RESERVATIONS'!$B:$B,"&gt;"&amp;date_inventaire)</f>
        <v>0</v>
      </c>
      <c r="T60" s="342">
        <f ca="1">SUMIFS(bddres_pieces,es_prod_type_affinage,'SUIVI STOCKS PAR PAYSAN'!$D60,es_date_entree,"&gt;"&amp;date_inventaire,es_taille,'SUIVI STOCKS PAR PAYSAN'!$T$7)-SUMIFS(v_Pièces,v_Taille,'SUIVI STOCKS PAR PAYSAN'!$T$7,v_conc_prod_tye_affinage,'SUIVI STOCKS PAR PAYSAN'!$D60,v_Date_commande,"&gt;"&amp;date_inventaire)</f>
        <v>0</v>
      </c>
      <c r="U60" s="342">
        <f ca="1">SUMIFS(bddres_pieces,'BDD RESERVATIONS'!$G:$G,'SUIVI STOCKS PAR PAYSAN'!$T$7,bddres_c_prod_type_aff,'SUIVI STOCKS PAR PAYSAN'!$D60,'BDD RESERVATIONS'!$B:$B,"&gt;"&amp;date_inventaire)</f>
        <v>0</v>
      </c>
      <c r="V60" s="343">
        <f ca="1">SUMIFS(es_pieces,es_prod_type_affinage,'SUIVI STOCKS PAR PAYSAN'!$D60,es_date_entree,"&gt;"&amp;date_inventaire,es_taille,'SUIVI STOCKS PAR PAYSAN'!$V$7)-SUMIFS(v_Pièces,v_Taille,'SUIVI STOCKS PAR PAYSAN'!$V$7,v_conc_prod_tye_affinage,'SUIVI STOCKS PAR PAYSAN'!$D60,v_Date_commande,"&gt;"&amp;date_inventaire)</f>
        <v>0</v>
      </c>
      <c r="W60" s="353">
        <f ca="1">SUMIFS(bddres_pieces,'BDD RESERVATIONS'!$G:$G,'SUIVI STOCKS PAR PAYSAN'!$V$7,bddres_c_prod_type_aff,'SUIVI STOCKS PAR PAYSAN'!$D60,'BDD RESERVATIONS'!$B:$B,"&gt;"&amp;date_inventaire)</f>
        <v>0</v>
      </c>
      <c r="X60" s="313">
        <f ca="1">SUMIFS(es_poids,es_prod_type_affinage,'SUIVI STOCKS PAR PAYSAN'!$E60,es_date_entree,"&gt;"&amp;date_inventaire)-SUMIFS(v_Poids,v_conc_prod_tye_affinage,'SUIVI STOCKS PAR PAYSAN'!$E60,v_Date_commande,"&gt;"&amp;date_inventaire)</f>
        <v>0</v>
      </c>
      <c r="Y60" s="341">
        <f ca="1">SUMIFS(bddres_c_qte,bddres_c_prod_type_aff,'SUIVI STOCKS PAR PAYSAN'!E60,'BDD RESERVATIONS'!$B:$B,"&gt;"&amp;date_inventaire)</f>
        <v>0</v>
      </c>
      <c r="Z60" s="342">
        <f ca="1">SUMIFS(bddres_pieces,es_prod_type_affinage,'SUIVI STOCKS PAR PAYSAN'!$E60,es_date_entree,"&gt;"&amp;date_inventaire,es_taille,'SUIVI STOCKS PAR PAYSAN'!$Z$7)-SUMIFS(v_Pièces,v_Taille,'SUIVI STOCKS PAR PAYSAN'!$Z$7,v_conc_prod_tye_affinage,'SUIVI STOCKS PAR PAYSAN'!$E60,v_Date_commande,"&gt;"&amp;date_inventaire)</f>
        <v>0</v>
      </c>
      <c r="AA60" s="342">
        <f ca="1">SUMIFS(bddres_pieces,'BDD RESERVATIONS'!$G:$G,'SUIVI STOCKS PAR PAYSAN'!$Z$7,bddres_c_prod_type_aff,'SUIVI STOCKS PAR PAYSAN'!$E60,'BDD RESERVATIONS'!$B:$B,"&gt;"&amp;date_inventaire)</f>
        <v>0</v>
      </c>
      <c r="AB60" s="343">
        <f ca="1">SUMIFS(es_pieces,es_prod_type_affinage,'SUIVI STOCKS PAR PAYSAN'!$E60,es_date_entree,"&gt;"&amp;date_inventaire,es_taille,'SUIVI STOCKS PAR PAYSAN'!$AB$7)-SUMIFS(v_Pièces,v_Taille,'SUIVI STOCKS PAR PAYSAN'!$AB$7,v_conc_prod_tye_affinage,'SUIVI STOCKS PAR PAYSAN'!$E60,v_Date_commande,"&gt;"&amp;date_inventaire)</f>
        <v>0</v>
      </c>
      <c r="AC60" s="353">
        <f ca="1">SUMIFS(bddres_pieces,'BDD RESERVATIONS'!$G:$G,'SUIVI STOCKS PAR PAYSAN'!$AB$7,bddres_c_prod_type_aff,'SUIVI STOCKS PAR PAYSAN'!$E60,'BDD RESERVATIONS'!$B:$B,"&gt;"&amp;date_inventaire)</f>
        <v>0</v>
      </c>
      <c r="AD60" s="313">
        <f ca="1">SUMIFS(es_poids,es_prod_type_affinage,'SUIVI STOCKS PAR PAYSAN'!$F60,es_date_entree,"&gt;"&amp;date_inventaire)-SUMIFS(v_Poids,v_conc_prod_tye_affinage,'SUIVI STOCKS PAR PAYSAN'!$F60,v_Date_commande,"&gt;"&amp;date_inventaire)</f>
        <v>0</v>
      </c>
      <c r="AE60" s="341">
        <f ca="1">SUMIFS(bddres_c_qte,bddres_c_prod_type_aff,'SUIVI STOCKS PAR PAYSAN'!F60,'BDD RESERVATIONS'!$B:$B,"&gt;"&amp;date_inventaire)</f>
        <v>0</v>
      </c>
      <c r="AF60" s="342">
        <f ca="1">SUMIFS(bddres_pieces,es_prod_type_affinage,'SUIVI STOCKS PAR PAYSAN'!$F60,es_date_entree,"&gt;"&amp;date_inventaire,es_taille,'SUIVI STOCKS PAR PAYSAN'!$Z$7)-SUMIFS(v_Pièces,v_Taille,'SUIVI STOCKS PAR PAYSAN'!$Z$7,v_conc_prod_tye_affinage,'SUIVI STOCKS PAR PAYSAN'!$F60,v_Date_commande,"&gt;"&amp;date_inventaire)</f>
        <v>0</v>
      </c>
      <c r="AG60" s="342">
        <f ca="1">SUMIFS(bddres_pieces,'BDD RESERVATIONS'!$G:$G,'SUIVI STOCKS PAR PAYSAN'!$Z$7,bddres_c_prod_type_aff,'SUIVI STOCKS PAR PAYSAN'!$F60,'BDD RESERVATIONS'!$B:$B,"&gt;"&amp;date_inventaire)</f>
        <v>0</v>
      </c>
      <c r="AH60" s="343">
        <f ca="1">SUMIFS(es_pieces,es_prod_type_affinage,'SUIVI STOCKS PAR PAYSAN'!$F60,es_date_entree,"&gt;"&amp;date_inventaire,es_taille,'SUIVI STOCKS PAR PAYSAN'!$AH$7)-SUMIFS(v_Pièces,v_Taille,'SUIVI STOCKS PAR PAYSAN'!$AH$7,v_conc_prod_tye_affinage,'SUIVI STOCKS PAR PAYSAN'!$F60,v_Date_commande,"&gt;"&amp;date_inventaire)</f>
        <v>0</v>
      </c>
      <c r="AI60" s="353">
        <f ca="1">SUMIFS(bddres_pieces,'BDD RESERVATIONS'!$G:$G,'SUIVI STOCKS PAR PAYSAN'!$AB$7,bddres_c_prod_type_aff,'SUIVI STOCKS PAR PAYSAN'!$F60,'BDD RESERVATIONS'!$B:$B,"&gt;"&amp;date_inventaire)</f>
        <v>0</v>
      </c>
      <c r="AJ60" s="352">
        <f ca="1">SUMIFS(es_poids,es_prod_type_affinage,'SUIVI STOCKS PAR PAYSAN'!$G60,es_date_entree,"&gt;"&amp;date_inventaire)-SUMIFS(v_Poids,v_conc_prod_tye_affinage,'SUIVI STOCKS PAR PAYSAN'!$G60,v_Date_commande,"&gt;"&amp;date_inventaire)</f>
        <v>0</v>
      </c>
      <c r="AK60" s="341">
        <f ca="1">SUMIFS(bddres_c_qte,bddres_c_prod_type_aff,'SUIVI STOCKS PAR PAYSAN'!G60,'BDD RESERVATIONS'!$B:$B,"&gt;"&amp;date_inventaire)</f>
        <v>0</v>
      </c>
      <c r="AL60" s="342">
        <f ca="1">SUMIFS(bddres_pieces,es_prod_type_affinage,'SUIVI STOCKS PAR PAYSAN'!$G60,es_date_entree,"&gt;"&amp;date_inventaire,es_taille,'SUIVI STOCKS PAR PAYSAN'!$AL$7)-SUMIFS(v_Pièces,v_Taille,'SUIVI STOCKS PAR PAYSAN'!$AL$7,v_conc_prod_tye_affinage,'SUIVI STOCKS PAR PAYSAN'!$G60,v_Date_commande,"&gt;"&amp;date_inventaire)</f>
        <v>0</v>
      </c>
      <c r="AM60" s="342">
        <f ca="1">SUMIFS(bddres_pieces,'BDD RESERVATIONS'!$G:$G,'SUIVI STOCKS PAR PAYSAN'!$AL$7,bddres_c_prod_type_aff,'SUIVI STOCKS PAR PAYSAN'!$G60,'BDD RESERVATIONS'!$B:$B,"&gt;"&amp;date_inventaire)</f>
        <v>0</v>
      </c>
      <c r="AN60" s="343">
        <f ca="1">SUMIFS(es_pieces,es_prod_type_affinage,'SUIVI STOCKS PAR PAYSAN'!$G60,es_date_entree,"&gt;"&amp;date_inventaire,es_taille,'SUIVI STOCKS PAR PAYSAN'!$AN$7)-SUMIFS(v_Pièces,v_Taille,'SUIVI STOCKS PAR PAYSAN'!$AN$7,v_conc_prod_tye_affinage,'SUIVI STOCKS PAR PAYSAN'!$G60,v_Date_commande,"&gt;"&amp;date_inventaire)</f>
        <v>0</v>
      </c>
      <c r="AO60" s="353">
        <f ca="1">SUMIFS(bddres_pieces,'BDD RESERVATIONS'!$G:$G,'SUIVI STOCKS PAR PAYSAN'!$AN$7,bddres_c_prod_type_aff,'SUIVI STOCKS PAR PAYSAN'!$G60,'BDD RESERVATIONS'!$B:$B,"&gt;"&amp;date_inventaire)</f>
        <v>0</v>
      </c>
      <c r="AP60" s="313">
        <f ca="1">SUMIFS(es_poids,es_prod_type_affinage,'SUIVI STOCKS PAR PAYSAN'!$H60,es_date_entree,"&gt;"&amp;date_inventaire)-SUMIFS(v_Poids,v_conc_prod_tye_affinage,'SUIVI STOCKS PAR PAYSAN'!$H60,v_Date_commande,"&gt;"&amp;date_inventaire)</f>
        <v>0</v>
      </c>
      <c r="AQ60" s="341">
        <f ca="1">SUMIFS(bddres_c_qte,bddres_c_prod_type_aff,'SUIVI STOCKS PAR PAYSAN'!H60,'BDD RESERVATIONS'!$B:$B,"&gt;"&amp;date_inventaire)</f>
        <v>0</v>
      </c>
      <c r="AR60" s="342">
        <f ca="1">SUMIFS(bddres_pieces,es_prod_type_affinage,'SUIVI STOCKS PAR PAYSAN'!$H60,es_date_entree,"&gt;"&amp;date_inventaire,es_taille,'SUIVI STOCKS PAR PAYSAN'!$AR$7)-SUMIFS(v_Pièces,v_Taille,'SUIVI STOCKS PAR PAYSAN'!$AR$7,v_conc_prod_tye_affinage,'SUIVI STOCKS PAR PAYSAN'!$H60,v_Date_commande,"&gt;"&amp;date_inventaire)</f>
        <v>0</v>
      </c>
      <c r="AS60" s="326">
        <f ca="1">SUMIFS(bddres_pieces,'BDD RESERVATIONS'!$G:$G,'SUIVI STOCKS PAR PAYSAN'!AR55,bddres_c_prod_type_aff,'SUIVI STOCKS PAR PAYSAN'!$H60,'BDD RESERVATIONS'!$B:$B,"&gt;"&amp;date_inventaire)</f>
        <v>0</v>
      </c>
      <c r="AT60" s="343">
        <f ca="1">SUMIFS(es_pieces,es_prod_type_affinage,'SUIVI STOCKS PAR PAYSAN'!$H60,es_date_entree,"&gt;"&amp;date_inventaire,es_taille,'SUIVI STOCKS PAR PAYSAN'!$AT$7)-SUMIFS(v_Pièces,v_Taille,'SUIVI STOCKS PAR PAYSAN'!$AT$7,v_conc_prod_tye_affinage,'SUIVI STOCKS PAR PAYSAN'!$H60,v_Date_commande,"&gt;"&amp;date_inventaire)</f>
        <v>0</v>
      </c>
      <c r="AU60" s="353">
        <f ca="1">SUMIFS(bddres_pieces,'BDD RESERVATIONS'!$G:$G,'SUIVI STOCKS PAR PAYSAN'!$AT$7,bddres_c_prod_type_aff,'SUIVI STOCKS PAR PAYSAN'!$H60,'BDD RESERVATIONS'!$B:$B,"&gt;"&amp;date_inventaire)</f>
        <v>0</v>
      </c>
      <c r="AV60" s="313">
        <f ca="1">SUMIFS(es_poids,es_prod_type_affinage,'SUIVI STOCKS PAR PAYSAN'!$I60,es_date_entree,"&gt;"&amp;date_inventaire)-SUMIFS(v_Poids,v_conc_prod_tye_affinage,'SUIVI STOCKS PAR PAYSAN'!$E60,v_Date_commande,"&gt;"&amp;date_inventaire)</f>
        <v>0</v>
      </c>
      <c r="AW60" s="313">
        <f ca="1">SUMIFS(bddres_c_qte,bddres_c_prod_type_aff,'SUIVI STOCKS PAR PAYSAN'!I60,'BDD RESERVATIONS'!$B:$B,"&gt;"&amp;date_inventaire)</f>
        <v>0</v>
      </c>
      <c r="AX60" s="342">
        <f ca="1">SUMIFS(bddres_pieces,es_prod_type_affinage,'SUIVI STOCKS PAR PAYSAN'!$I60,es_date_entree,"&gt;"&amp;date_inventaire,es_taille,'SUIVI STOCKS PAR PAYSAN'!$AX$7)-SUMIFS(v_Pièces,v_Taille,'SUIVI STOCKS PAR PAYSAN'!$AX$7,v_conc_prod_tye_affinage,'SUIVI STOCKS PAR PAYSAN'!$I60,v_Date_commande,"&gt;"&amp;date_inventaire)</f>
        <v>0</v>
      </c>
      <c r="AY60" s="342">
        <f ca="1">SUMIFS(bddres_pieces,'BDD RESERVATIONS'!$G:$G,'SUIVI STOCKS PAR PAYSAN'!$AX$7,bddres_c_prod_type_aff,'SUIVI STOCKS PAR PAYSAN'!$I60,'BDD RESERVATIONS'!$B:$B,"&gt;"&amp;date_inventaire)</f>
        <v>0</v>
      </c>
      <c r="AZ60" s="343">
        <f ca="1">SUMIFS(es_pieces,es_prod_type_affinage,'SUIVI STOCKS PAR PAYSAN'!$I60,es_date_entree,"&gt;"&amp;date_inventaire,es_taille,'SUIVI STOCKS PAR PAYSAN'!$AZ$7)-SUMIFS(v_Pièces,v_Taille,'SUIVI STOCKS PAR PAYSAN'!$AZ$7,v_conc_prod_tye_affinage,'SUIVI STOCKS PAR PAYSAN'!$I60,v_Date_commande,"&gt;"&amp;date_inventaire)</f>
        <v>0</v>
      </c>
      <c r="BA60" s="353">
        <f ca="1">SUMIFS(bddres_pieces,'BDD RESERVATIONS'!$G:$G,'SUIVI STOCKS PAR PAYSAN'!$AZ$7,bddres_c_prod_type_aff,'SUIVI STOCKS PAR PAYSAN'!$I60,'BDD RESERVATIONS'!$B:$B,"&gt;"&amp;date_inventaire)</f>
        <v>0</v>
      </c>
      <c r="BB60" s="313">
        <f ca="1">SUMIFS(es_poids,es_prod_type_affinage,'SUIVI STOCKS PAR PAYSAN'!$J60,es_date_entree,"&gt;"&amp;date_inventaire)-SUMIFS(v_Poids,v_conc_prod_tye_affinage,'SUIVI STOCKS PAR PAYSAN'!$J60,v_Date_commande,"&gt;"&amp;date_inventaire)</f>
        <v>0</v>
      </c>
      <c r="BC60" s="313">
        <f ca="1">SUMIFS(bddres_c_qte,bddres_c_prod_type_aff,'SUIVI STOCKS PAR PAYSAN'!J60,'BDD RESERVATIONS'!$B:$B,"&gt;"&amp;date_inventaire)</f>
        <v>0</v>
      </c>
      <c r="BD60" s="342">
        <f ca="1">SUMIFS(bddres_pieces,es_prod_type_affinage,'SUIVI STOCKS PAR PAYSAN'!$J60,es_date_entree,"&gt;"&amp;date_inventaire,es_taille,'SUIVI STOCKS PAR PAYSAN'!$BD$7)-SUMIFS(v_Pièces,v_Taille,'SUIVI STOCKS PAR PAYSAN'!$BD$7,v_conc_prod_tye_affinage,'SUIVI STOCKS PAR PAYSAN'!$J60,v_Date_commande,"&gt;"&amp;date_inventaire)</f>
        <v>0</v>
      </c>
      <c r="BE60" s="326">
        <f ca="1">SUMIFS(bddres_pieces,'BDD RESERVATIONS'!$G:$G,'SUIVI STOCKS PAR PAYSAN'!BD55,bddres_c_prod_type_aff,'SUIVI STOCKS PAR PAYSAN'!J60,'BDD RESERVATIONS'!$B:$B,"&gt;"&amp;date_inventaire)</f>
        <v>0</v>
      </c>
      <c r="BF60" s="343">
        <f ca="1">SUMIFS(es_pieces,es_prod_type_affinage,'SUIVI STOCKS PAR PAYSAN'!J60,es_date_entree,"&gt;"&amp;date_inventaire,es_taille,'SUIVI STOCKS PAR PAYSAN'!$BF$7)-SUMIFS(v_Pièces,v_Taille,'SUIVI STOCKS PAR PAYSAN'!$BF$7,v_conc_prod_tye_affinage,'SUIVI STOCKS PAR PAYSAN'!J60,v_Date_commande,"&gt;"&amp;date_inventaire)</f>
        <v>0</v>
      </c>
      <c r="BG60" s="353">
        <f ca="1">SUMIFS(bddres_pieces,'BDD RESERVATIONS'!$G:$G,'SUIVI STOCKS PAR PAYSAN'!$BF$7,bddres_c_prod_type_aff,'SUIVI STOCKS PAR PAYSAN'!J60,'BDD RESERVATIONS'!$B:$B,"&gt;"&amp;date_inventaire)</f>
        <v>0</v>
      </c>
    </row>
    <row r="61" spans="1:59" ht="18.75" customHeight="1" x14ac:dyDescent="0.25">
      <c r="A61" s="331">
        <f ca="1">OFFSET('BDD PAYSANS'!$B$1,B61,0,1,1)</f>
        <v>0</v>
      </c>
      <c r="B61" s="325">
        <v>50</v>
      </c>
      <c r="C61" s="325" t="str">
        <f t="shared" ca="1" si="3"/>
        <v>0FERMIER&lt;3 mois</v>
      </c>
      <c r="D61" s="325" t="str">
        <f t="shared" ca="1" si="3"/>
        <v>0FERMIER3-6 mois</v>
      </c>
      <c r="E61" s="325" t="str">
        <f t="shared" ca="1" si="3"/>
        <v>0FERMIER6-9 mois</v>
      </c>
      <c r="F61" s="325" t="str">
        <f t="shared" ca="1" si="3"/>
        <v>0FERMIER&gt;9 mois</v>
      </c>
      <c r="G61" s="325" t="str">
        <f t="shared" ca="1" si="3"/>
        <v>0ESTIVE&lt;3 mois</v>
      </c>
      <c r="H61" s="325" t="str">
        <f t="shared" ca="1" si="3"/>
        <v>0ESTIVE3-6 mois</v>
      </c>
      <c r="I61" s="325" t="str">
        <f t="shared" ca="1" si="3"/>
        <v>0ESTIVE6-9 mois</v>
      </c>
      <c r="J61" s="325" t="str">
        <f t="shared" ca="1" si="3"/>
        <v>0ESTIVE&gt;9 mois</v>
      </c>
      <c r="K61" s="325"/>
      <c r="L61" s="352">
        <f ca="1">SUMIFS(es_poids,es_prod_type_affinage,'SUIVI STOCKS PAR PAYSAN'!$C61,es_date_entree,"&gt;"&amp;date_inventaire)-SUMIFS(v_Poids,v_conc_prod_tye_affinage,'SUIVI STOCKS PAR PAYSAN'!$C61,v_Date_commande,"&gt;"&amp;date_inventaire)</f>
        <v>0</v>
      </c>
      <c r="M61" s="341">
        <f ca="1">SUMIFS(bddres_c_qte,bddres_c_prod_type_aff,'SUIVI STOCKS PAR PAYSAN'!C61,'BDD RESERVATIONS'!$B:$B,"&gt;"&amp;date_inventaire)</f>
        <v>0</v>
      </c>
      <c r="N61" s="342">
        <f ca="1">SUMIFS(bddres_pieces,es_prod_type_affinage,'SUIVI STOCKS PAR PAYSAN'!$C61,es_date_entree,"&gt;"&amp;date_inventaire,es_taille,'SUIVI STOCKS PAR PAYSAN'!$N$7)-SUMIFS(v_Pièces,v_Taille,'SUIVI STOCKS PAR PAYSAN'!$N$7,v_conc_prod_tye_affinage,'SUIVI STOCKS PAR PAYSAN'!$C61,v_Date_commande,"&gt;"&amp;date_inventaire)</f>
        <v>0</v>
      </c>
      <c r="O61" s="342">
        <f ca="1">SUMIFS(bddres_pieces,'BDD RESERVATIONS'!$G:$G,'SUIVI STOCKS PAR PAYSAN'!$N$7,bddres_c_prod_type_aff,'SUIVI STOCKS PAR PAYSAN'!$C61,'BDD RESERVATIONS'!$B:$B,"&gt;"&amp;date_inventaire)</f>
        <v>0</v>
      </c>
      <c r="P61" s="343">
        <f ca="1">SUMIFS(es_pieces,es_prod_type_affinage,'SUIVI STOCKS PAR PAYSAN'!$C61,es_date_entree,"&gt;"&amp;date_inventaire,es_taille,'SUIVI STOCKS PAR PAYSAN'!$P$7)-SUMIFS(v_Pièces,v_Taille,'SUIVI STOCKS PAR PAYSAN'!$P$7,v_conc_prod_tye_affinage,'SUIVI STOCKS PAR PAYSAN'!$C61,v_Date_commande,"&gt;"&amp;date_inventaire)</f>
        <v>0</v>
      </c>
      <c r="Q61" s="353">
        <f ca="1">SUMIFS(bddres_pieces,'BDD RESERVATIONS'!$G:$G,'SUIVI STOCKS PAR PAYSAN'!$P$7,bddres_c_prod_type_aff,'SUIVI STOCKS PAR PAYSAN'!$C61,'BDD RESERVATIONS'!$B:$B,"&gt;"&amp;date_inventaire)</f>
        <v>0</v>
      </c>
      <c r="R61" s="340">
        <f ca="1">SUMIFS(es_poids,es_prod_type_affinage,'SUIVI STOCKS PAR PAYSAN'!$D61,es_date_entree,"&gt;"&amp;date_inventaire)-SUMIFS(v_Poids,v_conc_prod_tye_affinage,'SUIVI STOCKS PAR PAYSAN'!$D61,v_Date_commande,"&gt;"&amp;date_inventaire)</f>
        <v>0</v>
      </c>
      <c r="S61" s="341">
        <f ca="1">SUMIFS(bddres_c_qte,bddres_c_prod_type_aff,'SUIVI STOCKS PAR PAYSAN'!D61,'BDD RESERVATIONS'!$B:$B,"&gt;"&amp;date_inventaire)</f>
        <v>0</v>
      </c>
      <c r="T61" s="342">
        <f ca="1">SUMIFS(bddres_pieces,es_prod_type_affinage,'SUIVI STOCKS PAR PAYSAN'!$D61,es_date_entree,"&gt;"&amp;date_inventaire,es_taille,'SUIVI STOCKS PAR PAYSAN'!$T$7)-SUMIFS(v_Pièces,v_Taille,'SUIVI STOCKS PAR PAYSAN'!$T$7,v_conc_prod_tye_affinage,'SUIVI STOCKS PAR PAYSAN'!$D61,v_Date_commande,"&gt;"&amp;date_inventaire)</f>
        <v>0</v>
      </c>
      <c r="U61" s="342">
        <f ca="1">SUMIFS(bddres_pieces,'BDD RESERVATIONS'!$G:$G,'SUIVI STOCKS PAR PAYSAN'!$T$7,bddres_c_prod_type_aff,'SUIVI STOCKS PAR PAYSAN'!$D61,'BDD RESERVATIONS'!$B:$B,"&gt;"&amp;date_inventaire)</f>
        <v>0</v>
      </c>
      <c r="V61" s="343">
        <f ca="1">SUMIFS(es_pieces,es_prod_type_affinage,'SUIVI STOCKS PAR PAYSAN'!$D61,es_date_entree,"&gt;"&amp;date_inventaire,es_taille,'SUIVI STOCKS PAR PAYSAN'!$V$7)-SUMIFS(v_Pièces,v_Taille,'SUIVI STOCKS PAR PAYSAN'!$V$7,v_conc_prod_tye_affinage,'SUIVI STOCKS PAR PAYSAN'!$D61,v_Date_commande,"&gt;"&amp;date_inventaire)</f>
        <v>0</v>
      </c>
      <c r="W61" s="353">
        <f ca="1">SUMIFS(bddres_pieces,'BDD RESERVATIONS'!$G:$G,'SUIVI STOCKS PAR PAYSAN'!$V$7,bddres_c_prod_type_aff,'SUIVI STOCKS PAR PAYSAN'!$D61,'BDD RESERVATIONS'!$B:$B,"&gt;"&amp;date_inventaire)</f>
        <v>0</v>
      </c>
      <c r="X61" s="313">
        <f ca="1">SUMIFS(es_poids,es_prod_type_affinage,'SUIVI STOCKS PAR PAYSAN'!$E61,es_date_entree,"&gt;"&amp;date_inventaire)-SUMIFS(v_Poids,v_conc_prod_tye_affinage,'SUIVI STOCKS PAR PAYSAN'!$E61,v_Date_commande,"&gt;"&amp;date_inventaire)</f>
        <v>0</v>
      </c>
      <c r="Y61" s="341">
        <f ca="1">SUMIFS(bddres_c_qte,bddres_c_prod_type_aff,'SUIVI STOCKS PAR PAYSAN'!E61,'BDD RESERVATIONS'!$B:$B,"&gt;"&amp;date_inventaire)</f>
        <v>0</v>
      </c>
      <c r="Z61" s="342">
        <f ca="1">SUMIFS(bddres_pieces,es_prod_type_affinage,'SUIVI STOCKS PAR PAYSAN'!$E61,es_date_entree,"&gt;"&amp;date_inventaire,es_taille,'SUIVI STOCKS PAR PAYSAN'!$Z$7)-SUMIFS(v_Pièces,v_Taille,'SUIVI STOCKS PAR PAYSAN'!$Z$7,v_conc_prod_tye_affinage,'SUIVI STOCKS PAR PAYSAN'!$E61,v_Date_commande,"&gt;"&amp;date_inventaire)</f>
        <v>0</v>
      </c>
      <c r="AA61" s="342">
        <f ca="1">SUMIFS(bddres_pieces,'BDD RESERVATIONS'!$G:$G,'SUIVI STOCKS PAR PAYSAN'!$Z$7,bddres_c_prod_type_aff,'SUIVI STOCKS PAR PAYSAN'!$E61,'BDD RESERVATIONS'!$B:$B,"&gt;"&amp;date_inventaire)</f>
        <v>0</v>
      </c>
      <c r="AB61" s="343">
        <f ca="1">SUMIFS(es_pieces,es_prod_type_affinage,'SUIVI STOCKS PAR PAYSAN'!$E61,es_date_entree,"&gt;"&amp;date_inventaire,es_taille,'SUIVI STOCKS PAR PAYSAN'!$AB$7)-SUMIFS(v_Pièces,v_Taille,'SUIVI STOCKS PAR PAYSAN'!$AB$7,v_conc_prod_tye_affinage,'SUIVI STOCKS PAR PAYSAN'!$E61,v_Date_commande,"&gt;"&amp;date_inventaire)</f>
        <v>0</v>
      </c>
      <c r="AC61" s="353">
        <f ca="1">SUMIFS(bddres_pieces,'BDD RESERVATIONS'!$G:$G,'SUIVI STOCKS PAR PAYSAN'!$AB$7,bddres_c_prod_type_aff,'SUIVI STOCKS PAR PAYSAN'!$E61,'BDD RESERVATIONS'!$B:$B,"&gt;"&amp;date_inventaire)</f>
        <v>0</v>
      </c>
      <c r="AD61" s="313">
        <f ca="1">SUMIFS(es_poids,es_prod_type_affinage,'SUIVI STOCKS PAR PAYSAN'!$F61,es_date_entree,"&gt;"&amp;date_inventaire)-SUMIFS(v_Poids,v_conc_prod_tye_affinage,'SUIVI STOCKS PAR PAYSAN'!$F61,v_Date_commande,"&gt;"&amp;date_inventaire)</f>
        <v>0</v>
      </c>
      <c r="AE61" s="341">
        <f ca="1">SUMIFS(bddres_c_qte,bddres_c_prod_type_aff,'SUIVI STOCKS PAR PAYSAN'!F61,'BDD RESERVATIONS'!$B:$B,"&gt;"&amp;date_inventaire)</f>
        <v>0</v>
      </c>
      <c r="AF61" s="342">
        <f ca="1">SUMIFS(bddres_pieces,es_prod_type_affinage,'SUIVI STOCKS PAR PAYSAN'!$F61,es_date_entree,"&gt;"&amp;date_inventaire,es_taille,'SUIVI STOCKS PAR PAYSAN'!$Z$7)-SUMIFS(v_Pièces,v_Taille,'SUIVI STOCKS PAR PAYSAN'!$Z$7,v_conc_prod_tye_affinage,'SUIVI STOCKS PAR PAYSAN'!$F61,v_Date_commande,"&gt;"&amp;date_inventaire)</f>
        <v>0</v>
      </c>
      <c r="AG61" s="342">
        <f ca="1">SUMIFS(bddres_pieces,'BDD RESERVATIONS'!$G:$G,'SUIVI STOCKS PAR PAYSAN'!$Z$7,bddres_c_prod_type_aff,'SUIVI STOCKS PAR PAYSAN'!$F61,'BDD RESERVATIONS'!$B:$B,"&gt;"&amp;date_inventaire)</f>
        <v>0</v>
      </c>
      <c r="AH61" s="343">
        <f ca="1">SUMIFS(es_pieces,es_prod_type_affinage,'SUIVI STOCKS PAR PAYSAN'!$F61,es_date_entree,"&gt;"&amp;date_inventaire,es_taille,'SUIVI STOCKS PAR PAYSAN'!$AH$7)-SUMIFS(v_Pièces,v_Taille,'SUIVI STOCKS PAR PAYSAN'!$AH$7,v_conc_prod_tye_affinage,'SUIVI STOCKS PAR PAYSAN'!$F61,v_Date_commande,"&gt;"&amp;date_inventaire)</f>
        <v>0</v>
      </c>
      <c r="AI61" s="353">
        <f ca="1">SUMIFS(bddres_pieces,'BDD RESERVATIONS'!$G:$G,'SUIVI STOCKS PAR PAYSAN'!$AB$7,bddres_c_prod_type_aff,'SUIVI STOCKS PAR PAYSAN'!$F61,'BDD RESERVATIONS'!$B:$B,"&gt;"&amp;date_inventaire)</f>
        <v>0</v>
      </c>
      <c r="AJ61" s="352">
        <f ca="1">SUMIFS(es_poids,es_prod_type_affinage,'SUIVI STOCKS PAR PAYSAN'!$G61,es_date_entree,"&gt;"&amp;date_inventaire)-SUMIFS(v_Poids,v_conc_prod_tye_affinage,'SUIVI STOCKS PAR PAYSAN'!$G61,v_Date_commande,"&gt;"&amp;date_inventaire)</f>
        <v>0</v>
      </c>
      <c r="AK61" s="341">
        <f ca="1">SUMIFS(bddres_c_qte,bddres_c_prod_type_aff,'SUIVI STOCKS PAR PAYSAN'!G61,'BDD RESERVATIONS'!$B:$B,"&gt;"&amp;date_inventaire)</f>
        <v>0</v>
      </c>
      <c r="AL61" s="342">
        <f ca="1">SUMIFS(bddres_pieces,es_prod_type_affinage,'SUIVI STOCKS PAR PAYSAN'!$G61,es_date_entree,"&gt;"&amp;date_inventaire,es_taille,'SUIVI STOCKS PAR PAYSAN'!$AL$7)-SUMIFS(v_Pièces,v_Taille,'SUIVI STOCKS PAR PAYSAN'!$AL$7,v_conc_prod_tye_affinage,'SUIVI STOCKS PAR PAYSAN'!$G61,v_Date_commande,"&gt;"&amp;date_inventaire)</f>
        <v>0</v>
      </c>
      <c r="AM61" s="342">
        <f ca="1">SUMIFS(bddres_pieces,'BDD RESERVATIONS'!$G:$G,'SUIVI STOCKS PAR PAYSAN'!$AL$7,bddres_c_prod_type_aff,'SUIVI STOCKS PAR PAYSAN'!$G61,'BDD RESERVATIONS'!$B:$B,"&gt;"&amp;date_inventaire)</f>
        <v>0</v>
      </c>
      <c r="AN61" s="343">
        <f ca="1">SUMIFS(es_pieces,es_prod_type_affinage,'SUIVI STOCKS PAR PAYSAN'!$G61,es_date_entree,"&gt;"&amp;date_inventaire,es_taille,'SUIVI STOCKS PAR PAYSAN'!$AN$7)-SUMIFS(v_Pièces,v_Taille,'SUIVI STOCKS PAR PAYSAN'!$AN$7,v_conc_prod_tye_affinage,'SUIVI STOCKS PAR PAYSAN'!$G61,v_Date_commande,"&gt;"&amp;date_inventaire)</f>
        <v>0</v>
      </c>
      <c r="AO61" s="353">
        <f ca="1">SUMIFS(bddres_pieces,'BDD RESERVATIONS'!$G:$G,'SUIVI STOCKS PAR PAYSAN'!$AN$7,bddres_c_prod_type_aff,'SUIVI STOCKS PAR PAYSAN'!$G61,'BDD RESERVATIONS'!$B:$B,"&gt;"&amp;date_inventaire)</f>
        <v>0</v>
      </c>
      <c r="AP61" s="313">
        <f ca="1">SUMIFS(es_poids,es_prod_type_affinage,'SUIVI STOCKS PAR PAYSAN'!$H61,es_date_entree,"&gt;"&amp;date_inventaire)-SUMIFS(v_Poids,v_conc_prod_tye_affinage,'SUIVI STOCKS PAR PAYSAN'!$H61,v_Date_commande,"&gt;"&amp;date_inventaire)</f>
        <v>0</v>
      </c>
      <c r="AQ61" s="341">
        <f ca="1">SUMIFS(bddres_c_qte,bddres_c_prod_type_aff,'SUIVI STOCKS PAR PAYSAN'!H61,'BDD RESERVATIONS'!$B:$B,"&gt;"&amp;date_inventaire)</f>
        <v>0</v>
      </c>
      <c r="AR61" s="342">
        <f ca="1">SUMIFS(bddres_pieces,es_prod_type_affinage,'SUIVI STOCKS PAR PAYSAN'!$H61,es_date_entree,"&gt;"&amp;date_inventaire,es_taille,'SUIVI STOCKS PAR PAYSAN'!$AR$7)-SUMIFS(v_Pièces,v_Taille,'SUIVI STOCKS PAR PAYSAN'!$AR$7,v_conc_prod_tye_affinage,'SUIVI STOCKS PAR PAYSAN'!$H61,v_Date_commande,"&gt;"&amp;date_inventaire)</f>
        <v>0</v>
      </c>
      <c r="AS61" s="326">
        <f ca="1">SUMIFS(bddres_pieces,'BDD RESERVATIONS'!$G:$G,'SUIVI STOCKS PAR PAYSAN'!AR56,bddres_c_prod_type_aff,'SUIVI STOCKS PAR PAYSAN'!$H61,'BDD RESERVATIONS'!$B:$B,"&gt;"&amp;date_inventaire)</f>
        <v>0</v>
      </c>
      <c r="AT61" s="343">
        <f ca="1">SUMIFS(es_pieces,es_prod_type_affinage,'SUIVI STOCKS PAR PAYSAN'!$H61,es_date_entree,"&gt;"&amp;date_inventaire,es_taille,'SUIVI STOCKS PAR PAYSAN'!$AT$7)-SUMIFS(v_Pièces,v_Taille,'SUIVI STOCKS PAR PAYSAN'!$AT$7,v_conc_prod_tye_affinage,'SUIVI STOCKS PAR PAYSAN'!$H61,v_Date_commande,"&gt;"&amp;date_inventaire)</f>
        <v>0</v>
      </c>
      <c r="AU61" s="353">
        <f ca="1">SUMIFS(bddres_pieces,'BDD RESERVATIONS'!$G:$G,'SUIVI STOCKS PAR PAYSAN'!$AT$7,bddres_c_prod_type_aff,'SUIVI STOCKS PAR PAYSAN'!$H61,'BDD RESERVATIONS'!$B:$B,"&gt;"&amp;date_inventaire)</f>
        <v>0</v>
      </c>
      <c r="AV61" s="313">
        <f ca="1">SUMIFS(es_poids,es_prod_type_affinage,'SUIVI STOCKS PAR PAYSAN'!$I61,es_date_entree,"&gt;"&amp;date_inventaire)-SUMIFS(v_Poids,v_conc_prod_tye_affinage,'SUIVI STOCKS PAR PAYSAN'!$E61,v_Date_commande,"&gt;"&amp;date_inventaire)</f>
        <v>0</v>
      </c>
      <c r="AW61" s="313">
        <f ca="1">SUMIFS(bddres_c_qte,bddres_c_prod_type_aff,'SUIVI STOCKS PAR PAYSAN'!I61,'BDD RESERVATIONS'!$B:$B,"&gt;"&amp;date_inventaire)</f>
        <v>0</v>
      </c>
      <c r="AX61" s="342">
        <f ca="1">SUMIFS(bddres_pieces,es_prod_type_affinage,'SUIVI STOCKS PAR PAYSAN'!$I61,es_date_entree,"&gt;"&amp;date_inventaire,es_taille,'SUIVI STOCKS PAR PAYSAN'!$AX$7)-SUMIFS(v_Pièces,v_Taille,'SUIVI STOCKS PAR PAYSAN'!$AX$7,v_conc_prod_tye_affinage,'SUIVI STOCKS PAR PAYSAN'!$I61,v_Date_commande,"&gt;"&amp;date_inventaire)</f>
        <v>0</v>
      </c>
      <c r="AY61" s="342">
        <f ca="1">SUMIFS(bddres_pieces,'BDD RESERVATIONS'!$G:$G,'SUIVI STOCKS PAR PAYSAN'!$AX$7,bddres_c_prod_type_aff,'SUIVI STOCKS PAR PAYSAN'!$I61,'BDD RESERVATIONS'!$B:$B,"&gt;"&amp;date_inventaire)</f>
        <v>0</v>
      </c>
      <c r="AZ61" s="343">
        <f ca="1">SUMIFS(es_pieces,es_prod_type_affinage,'SUIVI STOCKS PAR PAYSAN'!$I61,es_date_entree,"&gt;"&amp;date_inventaire,es_taille,'SUIVI STOCKS PAR PAYSAN'!$AZ$7)-SUMIFS(v_Pièces,v_Taille,'SUIVI STOCKS PAR PAYSAN'!$AZ$7,v_conc_prod_tye_affinage,'SUIVI STOCKS PAR PAYSAN'!$I61,v_Date_commande,"&gt;"&amp;date_inventaire)</f>
        <v>0</v>
      </c>
      <c r="BA61" s="353">
        <f ca="1">SUMIFS(bddres_pieces,'BDD RESERVATIONS'!$G:$G,'SUIVI STOCKS PAR PAYSAN'!$AZ$7,bddres_c_prod_type_aff,'SUIVI STOCKS PAR PAYSAN'!$I61,'BDD RESERVATIONS'!$B:$B,"&gt;"&amp;date_inventaire)</f>
        <v>0</v>
      </c>
      <c r="BB61" s="313">
        <f ca="1">SUMIFS(es_poids,es_prod_type_affinage,'SUIVI STOCKS PAR PAYSAN'!$J61,es_date_entree,"&gt;"&amp;date_inventaire)-SUMIFS(v_Poids,v_conc_prod_tye_affinage,'SUIVI STOCKS PAR PAYSAN'!$J61,v_Date_commande,"&gt;"&amp;date_inventaire)</f>
        <v>0</v>
      </c>
      <c r="BC61" s="313">
        <f ca="1">SUMIFS(bddres_c_qte,bddres_c_prod_type_aff,'SUIVI STOCKS PAR PAYSAN'!J61,'BDD RESERVATIONS'!$B:$B,"&gt;"&amp;date_inventaire)</f>
        <v>0</v>
      </c>
      <c r="BD61" s="342">
        <f ca="1">SUMIFS(bddres_pieces,es_prod_type_affinage,'SUIVI STOCKS PAR PAYSAN'!$J61,es_date_entree,"&gt;"&amp;date_inventaire,es_taille,'SUIVI STOCKS PAR PAYSAN'!$BD$7)-SUMIFS(v_Pièces,v_Taille,'SUIVI STOCKS PAR PAYSAN'!$BD$7,v_conc_prod_tye_affinage,'SUIVI STOCKS PAR PAYSAN'!$J61,v_Date_commande,"&gt;"&amp;date_inventaire)</f>
        <v>0</v>
      </c>
      <c r="BE61" s="326">
        <f ca="1">SUMIFS(bddres_pieces,'BDD RESERVATIONS'!$G:$G,'SUIVI STOCKS PAR PAYSAN'!BD56,bddres_c_prod_type_aff,'SUIVI STOCKS PAR PAYSAN'!J61,'BDD RESERVATIONS'!$B:$B,"&gt;"&amp;date_inventaire)</f>
        <v>0</v>
      </c>
      <c r="BF61" s="343">
        <f ca="1">SUMIFS(es_pieces,es_prod_type_affinage,'SUIVI STOCKS PAR PAYSAN'!J61,es_date_entree,"&gt;"&amp;date_inventaire,es_taille,'SUIVI STOCKS PAR PAYSAN'!$BF$7)-SUMIFS(v_Pièces,v_Taille,'SUIVI STOCKS PAR PAYSAN'!$BF$7,v_conc_prod_tye_affinage,'SUIVI STOCKS PAR PAYSAN'!J61,v_Date_commande,"&gt;"&amp;date_inventaire)</f>
        <v>0</v>
      </c>
      <c r="BG61" s="353">
        <f ca="1">SUMIFS(bddres_pieces,'BDD RESERVATIONS'!$G:$G,'SUIVI STOCKS PAR PAYSAN'!$BF$7,bddres_c_prod_type_aff,'SUIVI STOCKS PAR PAYSAN'!J61,'BDD RESERVATIONS'!$B:$B,"&gt;"&amp;date_inventaire)</f>
        <v>0</v>
      </c>
    </row>
    <row r="62" spans="1:59" ht="18.75" customHeight="1" x14ac:dyDescent="0.25">
      <c r="A62" s="331">
        <f ca="1">OFFSET('BDD PAYSANS'!$B$1,B62,0,1,1)</f>
        <v>0</v>
      </c>
      <c r="B62" s="325">
        <v>51</v>
      </c>
      <c r="C62" s="325" t="str">
        <f t="shared" ca="1" si="3"/>
        <v>0FERMIER&lt;3 mois</v>
      </c>
      <c r="D62" s="325" t="str">
        <f t="shared" ca="1" si="3"/>
        <v>0FERMIER3-6 mois</v>
      </c>
      <c r="E62" s="325" t="str">
        <f t="shared" ca="1" si="3"/>
        <v>0FERMIER6-9 mois</v>
      </c>
      <c r="F62" s="325" t="str">
        <f t="shared" ca="1" si="3"/>
        <v>0FERMIER&gt;9 mois</v>
      </c>
      <c r="G62" s="325" t="str">
        <f t="shared" ca="1" si="3"/>
        <v>0ESTIVE&lt;3 mois</v>
      </c>
      <c r="H62" s="325" t="str">
        <f t="shared" ca="1" si="3"/>
        <v>0ESTIVE3-6 mois</v>
      </c>
      <c r="I62" s="325" t="str">
        <f t="shared" ca="1" si="3"/>
        <v>0ESTIVE6-9 mois</v>
      </c>
      <c r="J62" s="325" t="str">
        <f t="shared" ca="1" si="3"/>
        <v>0ESTIVE&gt;9 mois</v>
      </c>
      <c r="K62" s="325"/>
      <c r="L62" s="352">
        <f ca="1">SUMIFS(es_poids,es_prod_type_affinage,'SUIVI STOCKS PAR PAYSAN'!$C62,es_date_entree,"&gt;"&amp;date_inventaire)-SUMIFS(v_Poids,v_conc_prod_tye_affinage,'SUIVI STOCKS PAR PAYSAN'!$C62,v_Date_commande,"&gt;"&amp;date_inventaire)</f>
        <v>0</v>
      </c>
      <c r="M62" s="341">
        <f ca="1">SUMIFS(bddres_c_qte,bddres_c_prod_type_aff,'SUIVI STOCKS PAR PAYSAN'!C62,'BDD RESERVATIONS'!$B:$B,"&gt;"&amp;date_inventaire)</f>
        <v>0</v>
      </c>
      <c r="N62" s="342">
        <f ca="1">SUMIFS(bddres_pieces,es_prod_type_affinage,'SUIVI STOCKS PAR PAYSAN'!$C62,es_date_entree,"&gt;"&amp;date_inventaire,es_taille,'SUIVI STOCKS PAR PAYSAN'!$N$7)-SUMIFS(v_Pièces,v_Taille,'SUIVI STOCKS PAR PAYSAN'!$N$7,v_conc_prod_tye_affinage,'SUIVI STOCKS PAR PAYSAN'!$C62,v_Date_commande,"&gt;"&amp;date_inventaire)</f>
        <v>0</v>
      </c>
      <c r="O62" s="342">
        <f ca="1">SUMIFS(bddres_pieces,'BDD RESERVATIONS'!$G:$G,'SUIVI STOCKS PAR PAYSAN'!$N$7,bddres_c_prod_type_aff,'SUIVI STOCKS PAR PAYSAN'!$C62,'BDD RESERVATIONS'!$B:$B,"&gt;"&amp;date_inventaire)</f>
        <v>0</v>
      </c>
      <c r="P62" s="343">
        <f ca="1">SUMIFS(es_pieces,es_prod_type_affinage,'SUIVI STOCKS PAR PAYSAN'!$C62,es_date_entree,"&gt;"&amp;date_inventaire,es_taille,'SUIVI STOCKS PAR PAYSAN'!$P$7)-SUMIFS(v_Pièces,v_Taille,'SUIVI STOCKS PAR PAYSAN'!$P$7,v_conc_prod_tye_affinage,'SUIVI STOCKS PAR PAYSAN'!$C62,v_Date_commande,"&gt;"&amp;date_inventaire)</f>
        <v>0</v>
      </c>
      <c r="Q62" s="353">
        <f ca="1">SUMIFS(bddres_pieces,'BDD RESERVATIONS'!$G:$G,'SUIVI STOCKS PAR PAYSAN'!$P$7,bddres_c_prod_type_aff,'SUIVI STOCKS PAR PAYSAN'!$C62,'BDD RESERVATIONS'!$B:$B,"&gt;"&amp;date_inventaire)</f>
        <v>0</v>
      </c>
      <c r="R62" s="340">
        <f ca="1">SUMIFS(es_poids,es_prod_type_affinage,'SUIVI STOCKS PAR PAYSAN'!$D62,es_date_entree,"&gt;"&amp;date_inventaire)-SUMIFS(v_Poids,v_conc_prod_tye_affinage,'SUIVI STOCKS PAR PAYSAN'!$D62,v_Date_commande,"&gt;"&amp;date_inventaire)</f>
        <v>0</v>
      </c>
      <c r="S62" s="341">
        <f ca="1">SUMIFS(bddres_c_qte,bddres_c_prod_type_aff,'SUIVI STOCKS PAR PAYSAN'!D62,'BDD RESERVATIONS'!$B:$B,"&gt;"&amp;date_inventaire)</f>
        <v>0</v>
      </c>
      <c r="T62" s="342">
        <f ca="1">SUMIFS(bddres_pieces,es_prod_type_affinage,'SUIVI STOCKS PAR PAYSAN'!$D62,es_date_entree,"&gt;"&amp;date_inventaire,es_taille,'SUIVI STOCKS PAR PAYSAN'!$T$7)-SUMIFS(v_Pièces,v_Taille,'SUIVI STOCKS PAR PAYSAN'!$T$7,v_conc_prod_tye_affinage,'SUIVI STOCKS PAR PAYSAN'!$D62,v_Date_commande,"&gt;"&amp;date_inventaire)</f>
        <v>0</v>
      </c>
      <c r="U62" s="342">
        <f ca="1">SUMIFS(bddres_pieces,'BDD RESERVATIONS'!$G:$G,'SUIVI STOCKS PAR PAYSAN'!$T$7,bddres_c_prod_type_aff,'SUIVI STOCKS PAR PAYSAN'!$D62,'BDD RESERVATIONS'!$B:$B,"&gt;"&amp;date_inventaire)</f>
        <v>0</v>
      </c>
      <c r="V62" s="343">
        <f ca="1">SUMIFS(es_pieces,es_prod_type_affinage,'SUIVI STOCKS PAR PAYSAN'!$D62,es_date_entree,"&gt;"&amp;date_inventaire,es_taille,'SUIVI STOCKS PAR PAYSAN'!$V$7)-SUMIFS(v_Pièces,v_Taille,'SUIVI STOCKS PAR PAYSAN'!$V$7,v_conc_prod_tye_affinage,'SUIVI STOCKS PAR PAYSAN'!$D62,v_Date_commande,"&gt;"&amp;date_inventaire)</f>
        <v>0</v>
      </c>
      <c r="W62" s="353">
        <f ca="1">SUMIFS(bddres_pieces,'BDD RESERVATIONS'!$G:$G,'SUIVI STOCKS PAR PAYSAN'!$V$7,bddres_c_prod_type_aff,'SUIVI STOCKS PAR PAYSAN'!$D62,'BDD RESERVATIONS'!$B:$B,"&gt;"&amp;date_inventaire)</f>
        <v>0</v>
      </c>
      <c r="X62" s="313">
        <f ca="1">SUMIFS(es_poids,es_prod_type_affinage,'SUIVI STOCKS PAR PAYSAN'!$E62,es_date_entree,"&gt;"&amp;date_inventaire)-SUMIFS(v_Poids,v_conc_prod_tye_affinage,'SUIVI STOCKS PAR PAYSAN'!$E62,v_Date_commande,"&gt;"&amp;date_inventaire)</f>
        <v>0</v>
      </c>
      <c r="Y62" s="341">
        <f ca="1">SUMIFS(bddres_c_qte,bddres_c_prod_type_aff,'SUIVI STOCKS PAR PAYSAN'!E62,'BDD RESERVATIONS'!$B:$B,"&gt;"&amp;date_inventaire)</f>
        <v>0</v>
      </c>
      <c r="Z62" s="342">
        <f ca="1">SUMIFS(bddres_pieces,es_prod_type_affinage,'SUIVI STOCKS PAR PAYSAN'!$E62,es_date_entree,"&gt;"&amp;date_inventaire,es_taille,'SUIVI STOCKS PAR PAYSAN'!$Z$7)-SUMIFS(v_Pièces,v_Taille,'SUIVI STOCKS PAR PAYSAN'!$Z$7,v_conc_prod_tye_affinage,'SUIVI STOCKS PAR PAYSAN'!$E62,v_Date_commande,"&gt;"&amp;date_inventaire)</f>
        <v>0</v>
      </c>
      <c r="AA62" s="342">
        <f ca="1">SUMIFS(bddres_pieces,'BDD RESERVATIONS'!$G:$G,'SUIVI STOCKS PAR PAYSAN'!$Z$7,bddres_c_prod_type_aff,'SUIVI STOCKS PAR PAYSAN'!$E62,'BDD RESERVATIONS'!$B:$B,"&gt;"&amp;date_inventaire)</f>
        <v>0</v>
      </c>
      <c r="AB62" s="343">
        <f ca="1">SUMIFS(es_pieces,es_prod_type_affinage,'SUIVI STOCKS PAR PAYSAN'!$E62,es_date_entree,"&gt;"&amp;date_inventaire,es_taille,'SUIVI STOCKS PAR PAYSAN'!$AB$7)-SUMIFS(v_Pièces,v_Taille,'SUIVI STOCKS PAR PAYSAN'!$AB$7,v_conc_prod_tye_affinage,'SUIVI STOCKS PAR PAYSAN'!$E62,v_Date_commande,"&gt;"&amp;date_inventaire)</f>
        <v>0</v>
      </c>
      <c r="AC62" s="353">
        <f ca="1">SUMIFS(bddres_pieces,'BDD RESERVATIONS'!$G:$G,'SUIVI STOCKS PAR PAYSAN'!$AB$7,bddres_c_prod_type_aff,'SUIVI STOCKS PAR PAYSAN'!$E62,'BDD RESERVATIONS'!$B:$B,"&gt;"&amp;date_inventaire)</f>
        <v>0</v>
      </c>
      <c r="AD62" s="313">
        <f ca="1">SUMIFS(es_poids,es_prod_type_affinage,'SUIVI STOCKS PAR PAYSAN'!$F62,es_date_entree,"&gt;"&amp;date_inventaire)-SUMIFS(v_Poids,v_conc_prod_tye_affinage,'SUIVI STOCKS PAR PAYSAN'!$F62,v_Date_commande,"&gt;"&amp;date_inventaire)</f>
        <v>0</v>
      </c>
      <c r="AE62" s="341">
        <f ca="1">SUMIFS(bddres_c_qte,bddres_c_prod_type_aff,'SUIVI STOCKS PAR PAYSAN'!F62,'BDD RESERVATIONS'!$B:$B,"&gt;"&amp;date_inventaire)</f>
        <v>0</v>
      </c>
      <c r="AF62" s="342">
        <f ca="1">SUMIFS(bddres_pieces,es_prod_type_affinage,'SUIVI STOCKS PAR PAYSAN'!$F62,es_date_entree,"&gt;"&amp;date_inventaire,es_taille,'SUIVI STOCKS PAR PAYSAN'!$Z$7)-SUMIFS(v_Pièces,v_Taille,'SUIVI STOCKS PAR PAYSAN'!$Z$7,v_conc_prod_tye_affinage,'SUIVI STOCKS PAR PAYSAN'!$F62,v_Date_commande,"&gt;"&amp;date_inventaire)</f>
        <v>0</v>
      </c>
      <c r="AG62" s="342">
        <f ca="1">SUMIFS(bddres_pieces,'BDD RESERVATIONS'!$G:$G,'SUIVI STOCKS PAR PAYSAN'!$Z$7,bddres_c_prod_type_aff,'SUIVI STOCKS PAR PAYSAN'!$F62,'BDD RESERVATIONS'!$B:$B,"&gt;"&amp;date_inventaire)</f>
        <v>0</v>
      </c>
      <c r="AH62" s="343">
        <f ca="1">SUMIFS(es_pieces,es_prod_type_affinage,'SUIVI STOCKS PAR PAYSAN'!$F62,es_date_entree,"&gt;"&amp;date_inventaire,es_taille,'SUIVI STOCKS PAR PAYSAN'!$AH$7)-SUMIFS(v_Pièces,v_Taille,'SUIVI STOCKS PAR PAYSAN'!$AH$7,v_conc_prod_tye_affinage,'SUIVI STOCKS PAR PAYSAN'!$F62,v_Date_commande,"&gt;"&amp;date_inventaire)</f>
        <v>0</v>
      </c>
      <c r="AI62" s="353">
        <f ca="1">SUMIFS(bddres_pieces,'BDD RESERVATIONS'!$G:$G,'SUIVI STOCKS PAR PAYSAN'!$AB$7,bddres_c_prod_type_aff,'SUIVI STOCKS PAR PAYSAN'!$F62,'BDD RESERVATIONS'!$B:$B,"&gt;"&amp;date_inventaire)</f>
        <v>0</v>
      </c>
      <c r="AJ62" s="352">
        <f ca="1">SUMIFS(es_poids,es_prod_type_affinage,'SUIVI STOCKS PAR PAYSAN'!$G62,es_date_entree,"&gt;"&amp;date_inventaire)-SUMIFS(v_Poids,v_conc_prod_tye_affinage,'SUIVI STOCKS PAR PAYSAN'!$G62,v_Date_commande,"&gt;"&amp;date_inventaire)</f>
        <v>0</v>
      </c>
      <c r="AK62" s="341">
        <f ca="1">SUMIFS(bddres_c_qte,bddres_c_prod_type_aff,'SUIVI STOCKS PAR PAYSAN'!G62,'BDD RESERVATIONS'!$B:$B,"&gt;"&amp;date_inventaire)</f>
        <v>0</v>
      </c>
      <c r="AL62" s="342">
        <f ca="1">SUMIFS(bddres_pieces,es_prod_type_affinage,'SUIVI STOCKS PAR PAYSAN'!$G62,es_date_entree,"&gt;"&amp;date_inventaire,es_taille,'SUIVI STOCKS PAR PAYSAN'!$AL$7)-SUMIFS(v_Pièces,v_Taille,'SUIVI STOCKS PAR PAYSAN'!$AL$7,v_conc_prod_tye_affinage,'SUIVI STOCKS PAR PAYSAN'!$G62,v_Date_commande,"&gt;"&amp;date_inventaire)</f>
        <v>0</v>
      </c>
      <c r="AM62" s="342">
        <f ca="1">SUMIFS(bddres_pieces,'BDD RESERVATIONS'!$G:$G,'SUIVI STOCKS PAR PAYSAN'!$AL$7,bddres_c_prod_type_aff,'SUIVI STOCKS PAR PAYSAN'!$G62,'BDD RESERVATIONS'!$B:$B,"&gt;"&amp;date_inventaire)</f>
        <v>0</v>
      </c>
      <c r="AN62" s="343">
        <f ca="1">SUMIFS(es_pieces,es_prod_type_affinage,'SUIVI STOCKS PAR PAYSAN'!$G62,es_date_entree,"&gt;"&amp;date_inventaire,es_taille,'SUIVI STOCKS PAR PAYSAN'!$AN$7)-SUMIFS(v_Pièces,v_Taille,'SUIVI STOCKS PAR PAYSAN'!$AN$7,v_conc_prod_tye_affinage,'SUIVI STOCKS PAR PAYSAN'!$G62,v_Date_commande,"&gt;"&amp;date_inventaire)</f>
        <v>0</v>
      </c>
      <c r="AO62" s="353">
        <f ca="1">SUMIFS(bddres_pieces,'BDD RESERVATIONS'!$G:$G,'SUIVI STOCKS PAR PAYSAN'!$AN$7,bddres_c_prod_type_aff,'SUIVI STOCKS PAR PAYSAN'!$G62,'BDD RESERVATIONS'!$B:$B,"&gt;"&amp;date_inventaire)</f>
        <v>0</v>
      </c>
      <c r="AP62" s="313">
        <f ca="1">SUMIFS(es_poids,es_prod_type_affinage,'SUIVI STOCKS PAR PAYSAN'!$H62,es_date_entree,"&gt;"&amp;date_inventaire)-SUMIFS(v_Poids,v_conc_prod_tye_affinage,'SUIVI STOCKS PAR PAYSAN'!$H62,v_Date_commande,"&gt;"&amp;date_inventaire)</f>
        <v>0</v>
      </c>
      <c r="AQ62" s="341">
        <f ca="1">SUMIFS(bddres_c_qte,bddres_c_prod_type_aff,'SUIVI STOCKS PAR PAYSAN'!H62,'BDD RESERVATIONS'!$B:$B,"&gt;"&amp;date_inventaire)</f>
        <v>0</v>
      </c>
      <c r="AR62" s="342">
        <f ca="1">SUMIFS(bddres_pieces,es_prod_type_affinage,'SUIVI STOCKS PAR PAYSAN'!$H62,es_date_entree,"&gt;"&amp;date_inventaire,es_taille,'SUIVI STOCKS PAR PAYSAN'!$AR$7)-SUMIFS(v_Pièces,v_Taille,'SUIVI STOCKS PAR PAYSAN'!$AR$7,v_conc_prod_tye_affinage,'SUIVI STOCKS PAR PAYSAN'!$H62,v_Date_commande,"&gt;"&amp;date_inventaire)</f>
        <v>0</v>
      </c>
      <c r="AS62" s="326">
        <f ca="1">SUMIFS(bddres_pieces,'BDD RESERVATIONS'!$G:$G,'SUIVI STOCKS PAR PAYSAN'!AR57,bddres_c_prod_type_aff,'SUIVI STOCKS PAR PAYSAN'!$H62,'BDD RESERVATIONS'!$B:$B,"&gt;"&amp;date_inventaire)</f>
        <v>0</v>
      </c>
      <c r="AT62" s="343">
        <f ca="1">SUMIFS(es_pieces,es_prod_type_affinage,'SUIVI STOCKS PAR PAYSAN'!$H62,es_date_entree,"&gt;"&amp;date_inventaire,es_taille,'SUIVI STOCKS PAR PAYSAN'!$AT$7)-SUMIFS(v_Pièces,v_Taille,'SUIVI STOCKS PAR PAYSAN'!$AT$7,v_conc_prod_tye_affinage,'SUIVI STOCKS PAR PAYSAN'!$H62,v_Date_commande,"&gt;"&amp;date_inventaire)</f>
        <v>0</v>
      </c>
      <c r="AU62" s="353">
        <f ca="1">SUMIFS(bddres_pieces,'BDD RESERVATIONS'!$G:$G,'SUIVI STOCKS PAR PAYSAN'!$AT$7,bddres_c_prod_type_aff,'SUIVI STOCKS PAR PAYSAN'!$H62,'BDD RESERVATIONS'!$B:$B,"&gt;"&amp;date_inventaire)</f>
        <v>0</v>
      </c>
      <c r="AV62" s="313">
        <f ca="1">SUMIFS(es_poids,es_prod_type_affinage,'SUIVI STOCKS PAR PAYSAN'!$I62,es_date_entree,"&gt;"&amp;date_inventaire)-SUMIFS(v_Poids,v_conc_prod_tye_affinage,'SUIVI STOCKS PAR PAYSAN'!$E62,v_Date_commande,"&gt;"&amp;date_inventaire)</f>
        <v>0</v>
      </c>
      <c r="AW62" s="313">
        <f ca="1">SUMIFS(bddres_c_qte,bddres_c_prod_type_aff,'SUIVI STOCKS PAR PAYSAN'!I62,'BDD RESERVATIONS'!$B:$B,"&gt;"&amp;date_inventaire)</f>
        <v>0</v>
      </c>
      <c r="AX62" s="342">
        <f ca="1">SUMIFS(bddres_pieces,es_prod_type_affinage,'SUIVI STOCKS PAR PAYSAN'!$I62,es_date_entree,"&gt;"&amp;date_inventaire,es_taille,'SUIVI STOCKS PAR PAYSAN'!$AX$7)-SUMIFS(v_Pièces,v_Taille,'SUIVI STOCKS PAR PAYSAN'!$AX$7,v_conc_prod_tye_affinage,'SUIVI STOCKS PAR PAYSAN'!$I62,v_Date_commande,"&gt;"&amp;date_inventaire)</f>
        <v>0</v>
      </c>
      <c r="AY62" s="342">
        <f ca="1">SUMIFS(bddres_pieces,'BDD RESERVATIONS'!$G:$G,'SUIVI STOCKS PAR PAYSAN'!$AX$7,bddres_c_prod_type_aff,'SUIVI STOCKS PAR PAYSAN'!$I62,'BDD RESERVATIONS'!$B:$B,"&gt;"&amp;date_inventaire)</f>
        <v>0</v>
      </c>
      <c r="AZ62" s="343">
        <f ca="1">SUMIFS(es_pieces,es_prod_type_affinage,'SUIVI STOCKS PAR PAYSAN'!$I62,es_date_entree,"&gt;"&amp;date_inventaire,es_taille,'SUIVI STOCKS PAR PAYSAN'!$AZ$7)-SUMIFS(v_Pièces,v_Taille,'SUIVI STOCKS PAR PAYSAN'!$AZ$7,v_conc_prod_tye_affinage,'SUIVI STOCKS PAR PAYSAN'!$I62,v_Date_commande,"&gt;"&amp;date_inventaire)</f>
        <v>0</v>
      </c>
      <c r="BA62" s="353">
        <f ca="1">SUMIFS(bddres_pieces,'BDD RESERVATIONS'!$G:$G,'SUIVI STOCKS PAR PAYSAN'!$AZ$7,bddres_c_prod_type_aff,'SUIVI STOCKS PAR PAYSAN'!$I62,'BDD RESERVATIONS'!$B:$B,"&gt;"&amp;date_inventaire)</f>
        <v>0</v>
      </c>
      <c r="BB62" s="313">
        <f ca="1">SUMIFS(es_poids,es_prod_type_affinage,'SUIVI STOCKS PAR PAYSAN'!$J62,es_date_entree,"&gt;"&amp;date_inventaire)-SUMIFS(v_Poids,v_conc_prod_tye_affinage,'SUIVI STOCKS PAR PAYSAN'!$J62,v_Date_commande,"&gt;"&amp;date_inventaire)</f>
        <v>0</v>
      </c>
      <c r="BC62" s="313">
        <f ca="1">SUMIFS(bddres_c_qte,bddres_c_prod_type_aff,'SUIVI STOCKS PAR PAYSAN'!J62,'BDD RESERVATIONS'!$B:$B,"&gt;"&amp;date_inventaire)</f>
        <v>0</v>
      </c>
      <c r="BD62" s="342">
        <f ca="1">SUMIFS(bddres_pieces,es_prod_type_affinage,'SUIVI STOCKS PAR PAYSAN'!$J62,es_date_entree,"&gt;"&amp;date_inventaire,es_taille,'SUIVI STOCKS PAR PAYSAN'!$BD$7)-SUMIFS(v_Pièces,v_Taille,'SUIVI STOCKS PAR PAYSAN'!$BD$7,v_conc_prod_tye_affinage,'SUIVI STOCKS PAR PAYSAN'!$J62,v_Date_commande,"&gt;"&amp;date_inventaire)</f>
        <v>0</v>
      </c>
      <c r="BE62" s="326">
        <f ca="1">SUMIFS(bddres_pieces,'BDD RESERVATIONS'!$G:$G,'SUIVI STOCKS PAR PAYSAN'!BD57,bddres_c_prod_type_aff,'SUIVI STOCKS PAR PAYSAN'!J62,'BDD RESERVATIONS'!$B:$B,"&gt;"&amp;date_inventaire)</f>
        <v>0</v>
      </c>
      <c r="BF62" s="343">
        <f ca="1">SUMIFS(es_pieces,es_prod_type_affinage,'SUIVI STOCKS PAR PAYSAN'!J62,es_date_entree,"&gt;"&amp;date_inventaire,es_taille,'SUIVI STOCKS PAR PAYSAN'!$BF$7)-SUMIFS(v_Pièces,v_Taille,'SUIVI STOCKS PAR PAYSAN'!$BF$7,v_conc_prod_tye_affinage,'SUIVI STOCKS PAR PAYSAN'!J62,v_Date_commande,"&gt;"&amp;date_inventaire)</f>
        <v>0</v>
      </c>
      <c r="BG62" s="353">
        <f ca="1">SUMIFS(bddres_pieces,'BDD RESERVATIONS'!$G:$G,'SUIVI STOCKS PAR PAYSAN'!$BF$7,bddres_c_prod_type_aff,'SUIVI STOCKS PAR PAYSAN'!J62,'BDD RESERVATIONS'!$B:$B,"&gt;"&amp;date_inventaire)</f>
        <v>0</v>
      </c>
    </row>
    <row r="63" spans="1:59" ht="18.75" customHeight="1" x14ac:dyDescent="0.25">
      <c r="A63" s="331">
        <f ca="1">OFFSET('BDD PAYSANS'!$B$1,B63,0,1,1)</f>
        <v>0</v>
      </c>
      <c r="B63" s="325">
        <v>52</v>
      </c>
      <c r="C63" s="325" t="str">
        <f t="shared" ca="1" si="3"/>
        <v>0FERMIER&lt;3 mois</v>
      </c>
      <c r="D63" s="325" t="str">
        <f t="shared" ca="1" si="3"/>
        <v>0FERMIER3-6 mois</v>
      </c>
      <c r="E63" s="325" t="str">
        <f t="shared" ca="1" si="3"/>
        <v>0FERMIER6-9 mois</v>
      </c>
      <c r="F63" s="325" t="str">
        <f t="shared" ca="1" si="3"/>
        <v>0FERMIER&gt;9 mois</v>
      </c>
      <c r="G63" s="325" t="str">
        <f t="shared" ca="1" si="3"/>
        <v>0ESTIVE&lt;3 mois</v>
      </c>
      <c r="H63" s="325" t="str">
        <f t="shared" ca="1" si="3"/>
        <v>0ESTIVE3-6 mois</v>
      </c>
      <c r="I63" s="325" t="str">
        <f t="shared" ca="1" si="3"/>
        <v>0ESTIVE6-9 mois</v>
      </c>
      <c r="J63" s="325" t="str">
        <f t="shared" ca="1" si="3"/>
        <v>0ESTIVE&gt;9 mois</v>
      </c>
      <c r="K63" s="325"/>
      <c r="L63" s="352">
        <f ca="1">SUMIFS(es_poids,es_prod_type_affinage,'SUIVI STOCKS PAR PAYSAN'!$C63,es_date_entree,"&gt;"&amp;date_inventaire)-SUMIFS(v_Poids,v_conc_prod_tye_affinage,'SUIVI STOCKS PAR PAYSAN'!$C63,v_Date_commande,"&gt;"&amp;date_inventaire)</f>
        <v>0</v>
      </c>
      <c r="M63" s="341">
        <f ca="1">SUMIFS(bddres_c_qte,bddres_c_prod_type_aff,'SUIVI STOCKS PAR PAYSAN'!C63,'BDD RESERVATIONS'!$B:$B,"&gt;"&amp;date_inventaire)</f>
        <v>0</v>
      </c>
      <c r="N63" s="342">
        <f ca="1">SUMIFS(bddres_pieces,es_prod_type_affinage,'SUIVI STOCKS PAR PAYSAN'!$C63,es_date_entree,"&gt;"&amp;date_inventaire,es_taille,'SUIVI STOCKS PAR PAYSAN'!$N$7)-SUMIFS(v_Pièces,v_Taille,'SUIVI STOCKS PAR PAYSAN'!$N$7,v_conc_prod_tye_affinage,'SUIVI STOCKS PAR PAYSAN'!$C63,v_Date_commande,"&gt;"&amp;date_inventaire)</f>
        <v>0</v>
      </c>
      <c r="O63" s="342">
        <f ca="1">SUMIFS(bddres_pieces,'BDD RESERVATIONS'!$G:$G,'SUIVI STOCKS PAR PAYSAN'!$N$7,bddres_c_prod_type_aff,'SUIVI STOCKS PAR PAYSAN'!$C63,'BDD RESERVATIONS'!$B:$B,"&gt;"&amp;date_inventaire)</f>
        <v>0</v>
      </c>
      <c r="P63" s="343">
        <f ca="1">SUMIFS(es_pieces,es_prod_type_affinage,'SUIVI STOCKS PAR PAYSAN'!$C63,es_date_entree,"&gt;"&amp;date_inventaire,es_taille,'SUIVI STOCKS PAR PAYSAN'!$P$7)-SUMIFS(v_Pièces,v_Taille,'SUIVI STOCKS PAR PAYSAN'!$P$7,v_conc_prod_tye_affinage,'SUIVI STOCKS PAR PAYSAN'!$C63,v_Date_commande,"&gt;"&amp;date_inventaire)</f>
        <v>0</v>
      </c>
      <c r="Q63" s="353">
        <f ca="1">SUMIFS(bddres_pieces,'BDD RESERVATIONS'!$G:$G,'SUIVI STOCKS PAR PAYSAN'!$P$7,bddres_c_prod_type_aff,'SUIVI STOCKS PAR PAYSAN'!$C63,'BDD RESERVATIONS'!$B:$B,"&gt;"&amp;date_inventaire)</f>
        <v>0</v>
      </c>
      <c r="R63" s="340">
        <f ca="1">SUMIFS(es_poids,es_prod_type_affinage,'SUIVI STOCKS PAR PAYSAN'!$D63,es_date_entree,"&gt;"&amp;date_inventaire)-SUMIFS(v_Poids,v_conc_prod_tye_affinage,'SUIVI STOCKS PAR PAYSAN'!$D63,v_Date_commande,"&gt;"&amp;date_inventaire)</f>
        <v>0</v>
      </c>
      <c r="S63" s="341">
        <f ca="1">SUMIFS(bddres_c_qte,bddres_c_prod_type_aff,'SUIVI STOCKS PAR PAYSAN'!D63,'BDD RESERVATIONS'!$B:$B,"&gt;"&amp;date_inventaire)</f>
        <v>0</v>
      </c>
      <c r="T63" s="342">
        <f ca="1">SUMIFS(bddres_pieces,es_prod_type_affinage,'SUIVI STOCKS PAR PAYSAN'!$D63,es_date_entree,"&gt;"&amp;date_inventaire,es_taille,'SUIVI STOCKS PAR PAYSAN'!$T$7)-SUMIFS(v_Pièces,v_Taille,'SUIVI STOCKS PAR PAYSAN'!$T$7,v_conc_prod_tye_affinage,'SUIVI STOCKS PAR PAYSAN'!$D63,v_Date_commande,"&gt;"&amp;date_inventaire)</f>
        <v>0</v>
      </c>
      <c r="U63" s="342">
        <f ca="1">SUMIFS(bddres_pieces,'BDD RESERVATIONS'!$G:$G,'SUIVI STOCKS PAR PAYSAN'!$T$7,bddres_c_prod_type_aff,'SUIVI STOCKS PAR PAYSAN'!$D63,'BDD RESERVATIONS'!$B:$B,"&gt;"&amp;date_inventaire)</f>
        <v>0</v>
      </c>
      <c r="V63" s="343">
        <f ca="1">SUMIFS(es_pieces,es_prod_type_affinage,'SUIVI STOCKS PAR PAYSAN'!$D63,es_date_entree,"&gt;"&amp;date_inventaire,es_taille,'SUIVI STOCKS PAR PAYSAN'!$V$7)-SUMIFS(v_Pièces,v_Taille,'SUIVI STOCKS PAR PAYSAN'!$V$7,v_conc_prod_tye_affinage,'SUIVI STOCKS PAR PAYSAN'!$D63,v_Date_commande,"&gt;"&amp;date_inventaire)</f>
        <v>0</v>
      </c>
      <c r="W63" s="353">
        <f ca="1">SUMIFS(bddres_pieces,'BDD RESERVATIONS'!$G:$G,'SUIVI STOCKS PAR PAYSAN'!$V$7,bddres_c_prod_type_aff,'SUIVI STOCKS PAR PAYSAN'!$D63,'BDD RESERVATIONS'!$B:$B,"&gt;"&amp;date_inventaire)</f>
        <v>0</v>
      </c>
      <c r="X63" s="313">
        <f ca="1">SUMIFS(es_poids,es_prod_type_affinage,'SUIVI STOCKS PAR PAYSAN'!$E63,es_date_entree,"&gt;"&amp;date_inventaire)-SUMIFS(v_Poids,v_conc_prod_tye_affinage,'SUIVI STOCKS PAR PAYSAN'!$E63,v_Date_commande,"&gt;"&amp;date_inventaire)</f>
        <v>0</v>
      </c>
      <c r="Y63" s="341">
        <f ca="1">SUMIFS(bddres_c_qte,bddres_c_prod_type_aff,'SUIVI STOCKS PAR PAYSAN'!E63,'BDD RESERVATIONS'!$B:$B,"&gt;"&amp;date_inventaire)</f>
        <v>0</v>
      </c>
      <c r="Z63" s="342">
        <f ca="1">SUMIFS(bddres_pieces,es_prod_type_affinage,'SUIVI STOCKS PAR PAYSAN'!$E63,es_date_entree,"&gt;"&amp;date_inventaire,es_taille,'SUIVI STOCKS PAR PAYSAN'!$Z$7)-SUMIFS(v_Pièces,v_Taille,'SUIVI STOCKS PAR PAYSAN'!$Z$7,v_conc_prod_tye_affinage,'SUIVI STOCKS PAR PAYSAN'!$E63,v_Date_commande,"&gt;"&amp;date_inventaire)</f>
        <v>0</v>
      </c>
      <c r="AA63" s="342">
        <f ca="1">SUMIFS(bddres_pieces,'BDD RESERVATIONS'!$G:$G,'SUIVI STOCKS PAR PAYSAN'!$Z$7,bddres_c_prod_type_aff,'SUIVI STOCKS PAR PAYSAN'!$E63,'BDD RESERVATIONS'!$B:$B,"&gt;"&amp;date_inventaire)</f>
        <v>0</v>
      </c>
      <c r="AB63" s="343">
        <f ca="1">SUMIFS(es_pieces,es_prod_type_affinage,'SUIVI STOCKS PAR PAYSAN'!$E63,es_date_entree,"&gt;"&amp;date_inventaire,es_taille,'SUIVI STOCKS PAR PAYSAN'!$AB$7)-SUMIFS(v_Pièces,v_Taille,'SUIVI STOCKS PAR PAYSAN'!$AB$7,v_conc_prod_tye_affinage,'SUIVI STOCKS PAR PAYSAN'!$E63,v_Date_commande,"&gt;"&amp;date_inventaire)</f>
        <v>0</v>
      </c>
      <c r="AC63" s="353">
        <f ca="1">SUMIFS(bddres_pieces,'BDD RESERVATIONS'!$G:$G,'SUIVI STOCKS PAR PAYSAN'!$AB$7,bddres_c_prod_type_aff,'SUIVI STOCKS PAR PAYSAN'!$E63,'BDD RESERVATIONS'!$B:$B,"&gt;"&amp;date_inventaire)</f>
        <v>0</v>
      </c>
      <c r="AD63" s="313">
        <f ca="1">SUMIFS(es_poids,es_prod_type_affinage,'SUIVI STOCKS PAR PAYSAN'!$F63,es_date_entree,"&gt;"&amp;date_inventaire)-SUMIFS(v_Poids,v_conc_prod_tye_affinage,'SUIVI STOCKS PAR PAYSAN'!$F63,v_Date_commande,"&gt;"&amp;date_inventaire)</f>
        <v>0</v>
      </c>
      <c r="AE63" s="341">
        <f ca="1">SUMIFS(bddres_c_qte,bddres_c_prod_type_aff,'SUIVI STOCKS PAR PAYSAN'!F63,'BDD RESERVATIONS'!$B:$B,"&gt;"&amp;date_inventaire)</f>
        <v>0</v>
      </c>
      <c r="AF63" s="342">
        <f ca="1">SUMIFS(bddres_pieces,es_prod_type_affinage,'SUIVI STOCKS PAR PAYSAN'!$F63,es_date_entree,"&gt;"&amp;date_inventaire,es_taille,'SUIVI STOCKS PAR PAYSAN'!$Z$7)-SUMIFS(v_Pièces,v_Taille,'SUIVI STOCKS PAR PAYSAN'!$Z$7,v_conc_prod_tye_affinage,'SUIVI STOCKS PAR PAYSAN'!$F63,v_Date_commande,"&gt;"&amp;date_inventaire)</f>
        <v>0</v>
      </c>
      <c r="AG63" s="342">
        <f ca="1">SUMIFS(bddres_pieces,'BDD RESERVATIONS'!$G:$G,'SUIVI STOCKS PAR PAYSAN'!$Z$7,bddres_c_prod_type_aff,'SUIVI STOCKS PAR PAYSAN'!$F63,'BDD RESERVATIONS'!$B:$B,"&gt;"&amp;date_inventaire)</f>
        <v>0</v>
      </c>
      <c r="AH63" s="343">
        <f ca="1">SUMIFS(es_pieces,es_prod_type_affinage,'SUIVI STOCKS PAR PAYSAN'!$F63,es_date_entree,"&gt;"&amp;date_inventaire,es_taille,'SUIVI STOCKS PAR PAYSAN'!$AH$7)-SUMIFS(v_Pièces,v_Taille,'SUIVI STOCKS PAR PAYSAN'!$AH$7,v_conc_prod_tye_affinage,'SUIVI STOCKS PAR PAYSAN'!$F63,v_Date_commande,"&gt;"&amp;date_inventaire)</f>
        <v>0</v>
      </c>
      <c r="AI63" s="353">
        <f ca="1">SUMIFS(bddres_pieces,'BDD RESERVATIONS'!$G:$G,'SUIVI STOCKS PAR PAYSAN'!$AB$7,bddres_c_prod_type_aff,'SUIVI STOCKS PAR PAYSAN'!$F63,'BDD RESERVATIONS'!$B:$B,"&gt;"&amp;date_inventaire)</f>
        <v>0</v>
      </c>
      <c r="AJ63" s="352">
        <f ca="1">SUMIFS(es_poids,es_prod_type_affinage,'SUIVI STOCKS PAR PAYSAN'!$G63,es_date_entree,"&gt;"&amp;date_inventaire)-SUMIFS(v_Poids,v_conc_prod_tye_affinage,'SUIVI STOCKS PAR PAYSAN'!$G63,v_Date_commande,"&gt;"&amp;date_inventaire)</f>
        <v>0</v>
      </c>
      <c r="AK63" s="341">
        <f ca="1">SUMIFS(bddres_c_qte,bddres_c_prod_type_aff,'SUIVI STOCKS PAR PAYSAN'!G63,'BDD RESERVATIONS'!$B:$B,"&gt;"&amp;date_inventaire)</f>
        <v>0</v>
      </c>
      <c r="AL63" s="342">
        <f ca="1">SUMIFS(bddres_pieces,es_prod_type_affinage,'SUIVI STOCKS PAR PAYSAN'!$G63,es_date_entree,"&gt;"&amp;date_inventaire,es_taille,'SUIVI STOCKS PAR PAYSAN'!$AL$7)-SUMIFS(v_Pièces,v_Taille,'SUIVI STOCKS PAR PAYSAN'!$AL$7,v_conc_prod_tye_affinage,'SUIVI STOCKS PAR PAYSAN'!$G63,v_Date_commande,"&gt;"&amp;date_inventaire)</f>
        <v>0</v>
      </c>
      <c r="AM63" s="342">
        <f ca="1">SUMIFS(bddres_pieces,'BDD RESERVATIONS'!$G:$G,'SUIVI STOCKS PAR PAYSAN'!$AL$7,bddres_c_prod_type_aff,'SUIVI STOCKS PAR PAYSAN'!$G63,'BDD RESERVATIONS'!$B:$B,"&gt;"&amp;date_inventaire)</f>
        <v>0</v>
      </c>
      <c r="AN63" s="343">
        <f ca="1">SUMIFS(es_pieces,es_prod_type_affinage,'SUIVI STOCKS PAR PAYSAN'!$G63,es_date_entree,"&gt;"&amp;date_inventaire,es_taille,'SUIVI STOCKS PAR PAYSAN'!$AN$7)-SUMIFS(v_Pièces,v_Taille,'SUIVI STOCKS PAR PAYSAN'!$AN$7,v_conc_prod_tye_affinage,'SUIVI STOCKS PAR PAYSAN'!$G63,v_Date_commande,"&gt;"&amp;date_inventaire)</f>
        <v>0</v>
      </c>
      <c r="AO63" s="353">
        <f ca="1">SUMIFS(bddres_pieces,'BDD RESERVATIONS'!$G:$G,'SUIVI STOCKS PAR PAYSAN'!$AN$7,bddres_c_prod_type_aff,'SUIVI STOCKS PAR PAYSAN'!$G63,'BDD RESERVATIONS'!$B:$B,"&gt;"&amp;date_inventaire)</f>
        <v>0</v>
      </c>
      <c r="AP63" s="313">
        <f ca="1">SUMIFS(es_poids,es_prod_type_affinage,'SUIVI STOCKS PAR PAYSAN'!$H63,es_date_entree,"&gt;"&amp;date_inventaire)-SUMIFS(v_Poids,v_conc_prod_tye_affinage,'SUIVI STOCKS PAR PAYSAN'!$H63,v_Date_commande,"&gt;"&amp;date_inventaire)</f>
        <v>0</v>
      </c>
      <c r="AQ63" s="341">
        <f ca="1">SUMIFS(bddres_c_qte,bddres_c_prod_type_aff,'SUIVI STOCKS PAR PAYSAN'!H63,'BDD RESERVATIONS'!$B:$B,"&gt;"&amp;date_inventaire)</f>
        <v>0</v>
      </c>
      <c r="AR63" s="342">
        <f ca="1">SUMIFS(bddres_pieces,es_prod_type_affinage,'SUIVI STOCKS PAR PAYSAN'!$H63,es_date_entree,"&gt;"&amp;date_inventaire,es_taille,'SUIVI STOCKS PAR PAYSAN'!$AR$7)-SUMIFS(v_Pièces,v_Taille,'SUIVI STOCKS PAR PAYSAN'!$AR$7,v_conc_prod_tye_affinage,'SUIVI STOCKS PAR PAYSAN'!$H63,v_Date_commande,"&gt;"&amp;date_inventaire)</f>
        <v>0</v>
      </c>
      <c r="AS63" s="326">
        <f ca="1">SUMIFS(bddres_pieces,'BDD RESERVATIONS'!$G:$G,'SUIVI STOCKS PAR PAYSAN'!AR58,bddres_c_prod_type_aff,'SUIVI STOCKS PAR PAYSAN'!$H63,'BDD RESERVATIONS'!$B:$B,"&gt;"&amp;date_inventaire)</f>
        <v>0</v>
      </c>
      <c r="AT63" s="343">
        <f ca="1">SUMIFS(es_pieces,es_prod_type_affinage,'SUIVI STOCKS PAR PAYSAN'!$H63,es_date_entree,"&gt;"&amp;date_inventaire,es_taille,'SUIVI STOCKS PAR PAYSAN'!$AT$7)-SUMIFS(v_Pièces,v_Taille,'SUIVI STOCKS PAR PAYSAN'!$AT$7,v_conc_prod_tye_affinage,'SUIVI STOCKS PAR PAYSAN'!$H63,v_Date_commande,"&gt;"&amp;date_inventaire)</f>
        <v>0</v>
      </c>
      <c r="AU63" s="353">
        <f ca="1">SUMIFS(bddres_pieces,'BDD RESERVATIONS'!$G:$G,'SUIVI STOCKS PAR PAYSAN'!$AT$7,bddres_c_prod_type_aff,'SUIVI STOCKS PAR PAYSAN'!$H63,'BDD RESERVATIONS'!$B:$B,"&gt;"&amp;date_inventaire)</f>
        <v>0</v>
      </c>
      <c r="AV63" s="313">
        <f ca="1">SUMIFS(es_poids,es_prod_type_affinage,'SUIVI STOCKS PAR PAYSAN'!$I63,es_date_entree,"&gt;"&amp;date_inventaire)-SUMIFS(v_Poids,v_conc_prod_tye_affinage,'SUIVI STOCKS PAR PAYSAN'!$E63,v_Date_commande,"&gt;"&amp;date_inventaire)</f>
        <v>0</v>
      </c>
      <c r="AW63" s="313">
        <f ca="1">SUMIFS(bddres_c_qte,bddres_c_prod_type_aff,'SUIVI STOCKS PAR PAYSAN'!I63,'BDD RESERVATIONS'!$B:$B,"&gt;"&amp;date_inventaire)</f>
        <v>0</v>
      </c>
      <c r="AX63" s="342">
        <f ca="1">SUMIFS(bddres_pieces,es_prod_type_affinage,'SUIVI STOCKS PAR PAYSAN'!$I63,es_date_entree,"&gt;"&amp;date_inventaire,es_taille,'SUIVI STOCKS PAR PAYSAN'!$AX$7)-SUMIFS(v_Pièces,v_Taille,'SUIVI STOCKS PAR PAYSAN'!$AX$7,v_conc_prod_tye_affinage,'SUIVI STOCKS PAR PAYSAN'!$I63,v_Date_commande,"&gt;"&amp;date_inventaire)</f>
        <v>0</v>
      </c>
      <c r="AY63" s="342">
        <f ca="1">SUMIFS(bddres_pieces,'BDD RESERVATIONS'!$G:$G,'SUIVI STOCKS PAR PAYSAN'!$AX$7,bddres_c_prod_type_aff,'SUIVI STOCKS PAR PAYSAN'!$I63,'BDD RESERVATIONS'!$B:$B,"&gt;"&amp;date_inventaire)</f>
        <v>0</v>
      </c>
      <c r="AZ63" s="343">
        <f ca="1">SUMIFS(es_pieces,es_prod_type_affinage,'SUIVI STOCKS PAR PAYSAN'!$I63,es_date_entree,"&gt;"&amp;date_inventaire,es_taille,'SUIVI STOCKS PAR PAYSAN'!$AZ$7)-SUMIFS(v_Pièces,v_Taille,'SUIVI STOCKS PAR PAYSAN'!$AZ$7,v_conc_prod_tye_affinage,'SUIVI STOCKS PAR PAYSAN'!$I63,v_Date_commande,"&gt;"&amp;date_inventaire)</f>
        <v>0</v>
      </c>
      <c r="BA63" s="353">
        <f ca="1">SUMIFS(bddres_pieces,'BDD RESERVATIONS'!$G:$G,'SUIVI STOCKS PAR PAYSAN'!$AZ$7,bddres_c_prod_type_aff,'SUIVI STOCKS PAR PAYSAN'!$I63,'BDD RESERVATIONS'!$B:$B,"&gt;"&amp;date_inventaire)</f>
        <v>0</v>
      </c>
      <c r="BB63" s="313">
        <f ca="1">SUMIFS(es_poids,es_prod_type_affinage,'SUIVI STOCKS PAR PAYSAN'!$J63,es_date_entree,"&gt;"&amp;date_inventaire)-SUMIFS(v_Poids,v_conc_prod_tye_affinage,'SUIVI STOCKS PAR PAYSAN'!$J63,v_Date_commande,"&gt;"&amp;date_inventaire)</f>
        <v>0</v>
      </c>
      <c r="BC63" s="313">
        <f ca="1">SUMIFS(bddres_c_qte,bddres_c_prod_type_aff,'SUIVI STOCKS PAR PAYSAN'!J63,'BDD RESERVATIONS'!$B:$B,"&gt;"&amp;date_inventaire)</f>
        <v>0</v>
      </c>
      <c r="BD63" s="342">
        <f ca="1">SUMIFS(bddres_pieces,es_prod_type_affinage,'SUIVI STOCKS PAR PAYSAN'!$J63,es_date_entree,"&gt;"&amp;date_inventaire,es_taille,'SUIVI STOCKS PAR PAYSAN'!$BD$7)-SUMIFS(v_Pièces,v_Taille,'SUIVI STOCKS PAR PAYSAN'!$BD$7,v_conc_prod_tye_affinage,'SUIVI STOCKS PAR PAYSAN'!$J63,v_Date_commande,"&gt;"&amp;date_inventaire)</f>
        <v>0</v>
      </c>
      <c r="BE63" s="326">
        <f ca="1">SUMIFS(bddres_pieces,'BDD RESERVATIONS'!$G:$G,'SUIVI STOCKS PAR PAYSAN'!BD58,bddres_c_prod_type_aff,'SUIVI STOCKS PAR PAYSAN'!J63,'BDD RESERVATIONS'!$B:$B,"&gt;"&amp;date_inventaire)</f>
        <v>0</v>
      </c>
      <c r="BF63" s="343">
        <f ca="1">SUMIFS(es_pieces,es_prod_type_affinage,'SUIVI STOCKS PAR PAYSAN'!J63,es_date_entree,"&gt;"&amp;date_inventaire,es_taille,'SUIVI STOCKS PAR PAYSAN'!$BF$7)-SUMIFS(v_Pièces,v_Taille,'SUIVI STOCKS PAR PAYSAN'!$BF$7,v_conc_prod_tye_affinage,'SUIVI STOCKS PAR PAYSAN'!J63,v_Date_commande,"&gt;"&amp;date_inventaire)</f>
        <v>0</v>
      </c>
      <c r="BG63" s="353">
        <f ca="1">SUMIFS(bddres_pieces,'BDD RESERVATIONS'!$G:$G,'SUIVI STOCKS PAR PAYSAN'!$BF$7,bddres_c_prod_type_aff,'SUIVI STOCKS PAR PAYSAN'!J63,'BDD RESERVATIONS'!$B:$B,"&gt;"&amp;date_inventaire)</f>
        <v>0</v>
      </c>
    </row>
    <row r="64" spans="1:59" ht="18.75" customHeight="1" x14ac:dyDescent="0.25">
      <c r="A64" s="331">
        <f ca="1">OFFSET('BDD PAYSANS'!$B$1,B64,0,1,1)</f>
        <v>0</v>
      </c>
      <c r="B64" s="325">
        <v>53</v>
      </c>
      <c r="C64" s="325" t="str">
        <f t="shared" ca="1" si="3"/>
        <v>0FERMIER&lt;3 mois</v>
      </c>
      <c r="D64" s="325" t="str">
        <f t="shared" ca="1" si="3"/>
        <v>0FERMIER3-6 mois</v>
      </c>
      <c r="E64" s="325" t="str">
        <f t="shared" ca="1" si="3"/>
        <v>0FERMIER6-9 mois</v>
      </c>
      <c r="F64" s="325" t="str">
        <f t="shared" ca="1" si="3"/>
        <v>0FERMIER&gt;9 mois</v>
      </c>
      <c r="G64" s="325" t="str">
        <f t="shared" ca="1" si="3"/>
        <v>0ESTIVE&lt;3 mois</v>
      </c>
      <c r="H64" s="325" t="str">
        <f t="shared" ca="1" si="3"/>
        <v>0ESTIVE3-6 mois</v>
      </c>
      <c r="I64" s="325" t="str">
        <f t="shared" ca="1" si="3"/>
        <v>0ESTIVE6-9 mois</v>
      </c>
      <c r="J64" s="325" t="str">
        <f t="shared" ca="1" si="3"/>
        <v>0ESTIVE&gt;9 mois</v>
      </c>
      <c r="K64" s="325"/>
      <c r="L64" s="352">
        <f ca="1">SUMIFS(es_poids,es_prod_type_affinage,'SUIVI STOCKS PAR PAYSAN'!$C64,es_date_entree,"&gt;"&amp;date_inventaire)-SUMIFS(v_Poids,v_conc_prod_tye_affinage,'SUIVI STOCKS PAR PAYSAN'!$C64,v_Date_commande,"&gt;"&amp;date_inventaire)</f>
        <v>0</v>
      </c>
      <c r="M64" s="341">
        <f ca="1">SUMIFS(bddres_c_qte,bddres_c_prod_type_aff,'SUIVI STOCKS PAR PAYSAN'!C64,'BDD RESERVATIONS'!$B:$B,"&gt;"&amp;date_inventaire)</f>
        <v>0</v>
      </c>
      <c r="N64" s="342">
        <f ca="1">SUMIFS(bddres_pieces,es_prod_type_affinage,'SUIVI STOCKS PAR PAYSAN'!$C64,es_date_entree,"&gt;"&amp;date_inventaire,es_taille,'SUIVI STOCKS PAR PAYSAN'!$N$7)-SUMIFS(v_Pièces,v_Taille,'SUIVI STOCKS PAR PAYSAN'!$N$7,v_conc_prod_tye_affinage,'SUIVI STOCKS PAR PAYSAN'!$C64,v_Date_commande,"&gt;"&amp;date_inventaire)</f>
        <v>0</v>
      </c>
      <c r="O64" s="342">
        <f ca="1">SUMIFS(bddres_pieces,'BDD RESERVATIONS'!$G:$G,'SUIVI STOCKS PAR PAYSAN'!$N$7,bddres_c_prod_type_aff,'SUIVI STOCKS PAR PAYSAN'!$C64,'BDD RESERVATIONS'!$B:$B,"&gt;"&amp;date_inventaire)</f>
        <v>0</v>
      </c>
      <c r="P64" s="343">
        <f ca="1">SUMIFS(es_pieces,es_prod_type_affinage,'SUIVI STOCKS PAR PAYSAN'!$C64,es_date_entree,"&gt;"&amp;date_inventaire,es_taille,'SUIVI STOCKS PAR PAYSAN'!$P$7)-SUMIFS(v_Pièces,v_Taille,'SUIVI STOCKS PAR PAYSAN'!$P$7,v_conc_prod_tye_affinage,'SUIVI STOCKS PAR PAYSAN'!$C64,v_Date_commande,"&gt;"&amp;date_inventaire)</f>
        <v>0</v>
      </c>
      <c r="Q64" s="353">
        <f ca="1">SUMIFS(bddres_pieces,'BDD RESERVATIONS'!$G:$G,'SUIVI STOCKS PAR PAYSAN'!$P$7,bddres_c_prod_type_aff,'SUIVI STOCKS PAR PAYSAN'!$C64,'BDD RESERVATIONS'!$B:$B,"&gt;"&amp;date_inventaire)</f>
        <v>0</v>
      </c>
      <c r="R64" s="340">
        <f ca="1">SUMIFS(es_poids,es_prod_type_affinage,'SUIVI STOCKS PAR PAYSAN'!$D64,es_date_entree,"&gt;"&amp;date_inventaire)-SUMIFS(v_Poids,v_conc_prod_tye_affinage,'SUIVI STOCKS PAR PAYSAN'!$D64,v_Date_commande,"&gt;"&amp;date_inventaire)</f>
        <v>0</v>
      </c>
      <c r="S64" s="341">
        <f ca="1">SUMIFS(bddres_c_qte,bddres_c_prod_type_aff,'SUIVI STOCKS PAR PAYSAN'!D64,'BDD RESERVATIONS'!$B:$B,"&gt;"&amp;date_inventaire)</f>
        <v>0</v>
      </c>
      <c r="T64" s="342">
        <f ca="1">SUMIFS(bddres_pieces,es_prod_type_affinage,'SUIVI STOCKS PAR PAYSAN'!$D64,es_date_entree,"&gt;"&amp;date_inventaire,es_taille,'SUIVI STOCKS PAR PAYSAN'!$T$7)-SUMIFS(v_Pièces,v_Taille,'SUIVI STOCKS PAR PAYSAN'!$T$7,v_conc_prod_tye_affinage,'SUIVI STOCKS PAR PAYSAN'!$D64,v_Date_commande,"&gt;"&amp;date_inventaire)</f>
        <v>0</v>
      </c>
      <c r="U64" s="342">
        <f ca="1">SUMIFS(bddres_pieces,'BDD RESERVATIONS'!$G:$G,'SUIVI STOCKS PAR PAYSAN'!$T$7,bddres_c_prod_type_aff,'SUIVI STOCKS PAR PAYSAN'!$D64,'BDD RESERVATIONS'!$B:$B,"&gt;"&amp;date_inventaire)</f>
        <v>0</v>
      </c>
      <c r="V64" s="343">
        <f ca="1">SUMIFS(es_pieces,es_prod_type_affinage,'SUIVI STOCKS PAR PAYSAN'!$D64,es_date_entree,"&gt;"&amp;date_inventaire,es_taille,'SUIVI STOCKS PAR PAYSAN'!$V$7)-SUMIFS(v_Pièces,v_Taille,'SUIVI STOCKS PAR PAYSAN'!$V$7,v_conc_prod_tye_affinage,'SUIVI STOCKS PAR PAYSAN'!$D64,v_Date_commande,"&gt;"&amp;date_inventaire)</f>
        <v>0</v>
      </c>
      <c r="W64" s="353">
        <f ca="1">SUMIFS(bddres_pieces,'BDD RESERVATIONS'!$G:$G,'SUIVI STOCKS PAR PAYSAN'!$V$7,bddres_c_prod_type_aff,'SUIVI STOCKS PAR PAYSAN'!$D64,'BDD RESERVATIONS'!$B:$B,"&gt;"&amp;date_inventaire)</f>
        <v>0</v>
      </c>
      <c r="X64" s="313">
        <f ca="1">SUMIFS(es_poids,es_prod_type_affinage,'SUIVI STOCKS PAR PAYSAN'!$E64,es_date_entree,"&gt;"&amp;date_inventaire)-SUMIFS(v_Poids,v_conc_prod_tye_affinage,'SUIVI STOCKS PAR PAYSAN'!$E64,v_Date_commande,"&gt;"&amp;date_inventaire)</f>
        <v>0</v>
      </c>
      <c r="Y64" s="341">
        <f ca="1">SUMIFS(bddres_c_qte,bddres_c_prod_type_aff,'SUIVI STOCKS PAR PAYSAN'!E64,'BDD RESERVATIONS'!$B:$B,"&gt;"&amp;date_inventaire)</f>
        <v>0</v>
      </c>
      <c r="Z64" s="342">
        <f ca="1">SUMIFS(bddres_pieces,es_prod_type_affinage,'SUIVI STOCKS PAR PAYSAN'!$E64,es_date_entree,"&gt;"&amp;date_inventaire,es_taille,'SUIVI STOCKS PAR PAYSAN'!$Z$7)-SUMIFS(v_Pièces,v_Taille,'SUIVI STOCKS PAR PAYSAN'!$Z$7,v_conc_prod_tye_affinage,'SUIVI STOCKS PAR PAYSAN'!$E64,v_Date_commande,"&gt;"&amp;date_inventaire)</f>
        <v>0</v>
      </c>
      <c r="AA64" s="342">
        <f ca="1">SUMIFS(bddres_pieces,'BDD RESERVATIONS'!$G:$G,'SUIVI STOCKS PAR PAYSAN'!$Z$7,bddres_c_prod_type_aff,'SUIVI STOCKS PAR PAYSAN'!$E64,'BDD RESERVATIONS'!$B:$B,"&gt;"&amp;date_inventaire)</f>
        <v>0</v>
      </c>
      <c r="AB64" s="343">
        <f ca="1">SUMIFS(es_pieces,es_prod_type_affinage,'SUIVI STOCKS PAR PAYSAN'!$E64,es_date_entree,"&gt;"&amp;date_inventaire,es_taille,'SUIVI STOCKS PAR PAYSAN'!$AB$7)-SUMIFS(v_Pièces,v_Taille,'SUIVI STOCKS PAR PAYSAN'!$AB$7,v_conc_prod_tye_affinage,'SUIVI STOCKS PAR PAYSAN'!$E64,v_Date_commande,"&gt;"&amp;date_inventaire)</f>
        <v>0</v>
      </c>
      <c r="AC64" s="353">
        <f ca="1">SUMIFS(bddres_pieces,'BDD RESERVATIONS'!$G:$G,'SUIVI STOCKS PAR PAYSAN'!$AB$7,bddres_c_prod_type_aff,'SUIVI STOCKS PAR PAYSAN'!$E64,'BDD RESERVATIONS'!$B:$B,"&gt;"&amp;date_inventaire)</f>
        <v>0</v>
      </c>
      <c r="AD64" s="313">
        <f ca="1">SUMIFS(es_poids,es_prod_type_affinage,'SUIVI STOCKS PAR PAYSAN'!$F64,es_date_entree,"&gt;"&amp;date_inventaire)-SUMIFS(v_Poids,v_conc_prod_tye_affinage,'SUIVI STOCKS PAR PAYSAN'!$F64,v_Date_commande,"&gt;"&amp;date_inventaire)</f>
        <v>0</v>
      </c>
      <c r="AE64" s="341">
        <f ca="1">SUMIFS(bddres_c_qte,bddres_c_prod_type_aff,'SUIVI STOCKS PAR PAYSAN'!F64,'BDD RESERVATIONS'!$B:$B,"&gt;"&amp;date_inventaire)</f>
        <v>0</v>
      </c>
      <c r="AF64" s="342">
        <f ca="1">SUMIFS(bddres_pieces,es_prod_type_affinage,'SUIVI STOCKS PAR PAYSAN'!$F64,es_date_entree,"&gt;"&amp;date_inventaire,es_taille,'SUIVI STOCKS PAR PAYSAN'!$Z$7)-SUMIFS(v_Pièces,v_Taille,'SUIVI STOCKS PAR PAYSAN'!$Z$7,v_conc_prod_tye_affinage,'SUIVI STOCKS PAR PAYSAN'!$F64,v_Date_commande,"&gt;"&amp;date_inventaire)</f>
        <v>0</v>
      </c>
      <c r="AG64" s="342">
        <f ca="1">SUMIFS(bddres_pieces,'BDD RESERVATIONS'!$G:$G,'SUIVI STOCKS PAR PAYSAN'!$Z$7,bddres_c_prod_type_aff,'SUIVI STOCKS PAR PAYSAN'!$F64,'BDD RESERVATIONS'!$B:$B,"&gt;"&amp;date_inventaire)</f>
        <v>0</v>
      </c>
      <c r="AH64" s="343">
        <f ca="1">SUMIFS(es_pieces,es_prod_type_affinage,'SUIVI STOCKS PAR PAYSAN'!$F64,es_date_entree,"&gt;"&amp;date_inventaire,es_taille,'SUIVI STOCKS PAR PAYSAN'!$AH$7)-SUMIFS(v_Pièces,v_Taille,'SUIVI STOCKS PAR PAYSAN'!$AH$7,v_conc_prod_tye_affinage,'SUIVI STOCKS PAR PAYSAN'!$F64,v_Date_commande,"&gt;"&amp;date_inventaire)</f>
        <v>0</v>
      </c>
      <c r="AI64" s="353">
        <f ca="1">SUMIFS(bddres_pieces,'BDD RESERVATIONS'!$G:$G,'SUIVI STOCKS PAR PAYSAN'!$AB$7,bddres_c_prod_type_aff,'SUIVI STOCKS PAR PAYSAN'!$F64,'BDD RESERVATIONS'!$B:$B,"&gt;"&amp;date_inventaire)</f>
        <v>0</v>
      </c>
      <c r="AJ64" s="352">
        <f ca="1">SUMIFS(es_poids,es_prod_type_affinage,'SUIVI STOCKS PAR PAYSAN'!$G64,es_date_entree,"&gt;"&amp;date_inventaire)-SUMIFS(v_Poids,v_conc_prod_tye_affinage,'SUIVI STOCKS PAR PAYSAN'!$G64,v_Date_commande,"&gt;"&amp;date_inventaire)</f>
        <v>0</v>
      </c>
      <c r="AK64" s="341">
        <f ca="1">SUMIFS(bddres_c_qte,bddres_c_prod_type_aff,'SUIVI STOCKS PAR PAYSAN'!G64,'BDD RESERVATIONS'!$B:$B,"&gt;"&amp;date_inventaire)</f>
        <v>0</v>
      </c>
      <c r="AL64" s="342">
        <f ca="1">SUMIFS(bddres_pieces,es_prod_type_affinage,'SUIVI STOCKS PAR PAYSAN'!$G64,es_date_entree,"&gt;"&amp;date_inventaire,es_taille,'SUIVI STOCKS PAR PAYSAN'!$AL$7)-SUMIFS(v_Pièces,v_Taille,'SUIVI STOCKS PAR PAYSAN'!$AL$7,v_conc_prod_tye_affinage,'SUIVI STOCKS PAR PAYSAN'!$G64,v_Date_commande,"&gt;"&amp;date_inventaire)</f>
        <v>0</v>
      </c>
      <c r="AM64" s="342">
        <f ca="1">SUMIFS(bddres_pieces,'BDD RESERVATIONS'!$G:$G,'SUIVI STOCKS PAR PAYSAN'!$AL$7,bddres_c_prod_type_aff,'SUIVI STOCKS PAR PAYSAN'!$G64,'BDD RESERVATIONS'!$B:$B,"&gt;"&amp;date_inventaire)</f>
        <v>0</v>
      </c>
      <c r="AN64" s="343">
        <f ca="1">SUMIFS(es_pieces,es_prod_type_affinage,'SUIVI STOCKS PAR PAYSAN'!$G64,es_date_entree,"&gt;"&amp;date_inventaire,es_taille,'SUIVI STOCKS PAR PAYSAN'!$AN$7)-SUMIFS(v_Pièces,v_Taille,'SUIVI STOCKS PAR PAYSAN'!$AN$7,v_conc_prod_tye_affinage,'SUIVI STOCKS PAR PAYSAN'!$G64,v_Date_commande,"&gt;"&amp;date_inventaire)</f>
        <v>0</v>
      </c>
      <c r="AO64" s="353">
        <f ca="1">SUMIFS(bddres_pieces,'BDD RESERVATIONS'!$G:$G,'SUIVI STOCKS PAR PAYSAN'!$AN$7,bddres_c_prod_type_aff,'SUIVI STOCKS PAR PAYSAN'!$G64,'BDD RESERVATIONS'!$B:$B,"&gt;"&amp;date_inventaire)</f>
        <v>0</v>
      </c>
      <c r="AP64" s="313">
        <f ca="1">SUMIFS(es_poids,es_prod_type_affinage,'SUIVI STOCKS PAR PAYSAN'!$H64,es_date_entree,"&gt;"&amp;date_inventaire)-SUMIFS(v_Poids,v_conc_prod_tye_affinage,'SUIVI STOCKS PAR PAYSAN'!$H64,v_Date_commande,"&gt;"&amp;date_inventaire)</f>
        <v>0</v>
      </c>
      <c r="AQ64" s="341">
        <f ca="1">SUMIFS(bddres_c_qte,bddres_c_prod_type_aff,'SUIVI STOCKS PAR PAYSAN'!H64,'BDD RESERVATIONS'!$B:$B,"&gt;"&amp;date_inventaire)</f>
        <v>0</v>
      </c>
      <c r="AR64" s="342">
        <f ca="1">SUMIFS(bddres_pieces,es_prod_type_affinage,'SUIVI STOCKS PAR PAYSAN'!$H64,es_date_entree,"&gt;"&amp;date_inventaire,es_taille,'SUIVI STOCKS PAR PAYSAN'!$AR$7)-SUMIFS(v_Pièces,v_Taille,'SUIVI STOCKS PAR PAYSAN'!$AR$7,v_conc_prod_tye_affinage,'SUIVI STOCKS PAR PAYSAN'!$H64,v_Date_commande,"&gt;"&amp;date_inventaire)</f>
        <v>0</v>
      </c>
      <c r="AS64" s="326">
        <f ca="1">SUMIFS(bddres_pieces,'BDD RESERVATIONS'!$G:$G,'SUIVI STOCKS PAR PAYSAN'!AR59,bddres_c_prod_type_aff,'SUIVI STOCKS PAR PAYSAN'!$H64,'BDD RESERVATIONS'!$B:$B,"&gt;"&amp;date_inventaire)</f>
        <v>0</v>
      </c>
      <c r="AT64" s="343">
        <f ca="1">SUMIFS(es_pieces,es_prod_type_affinage,'SUIVI STOCKS PAR PAYSAN'!$H64,es_date_entree,"&gt;"&amp;date_inventaire,es_taille,'SUIVI STOCKS PAR PAYSAN'!$AT$7)-SUMIFS(v_Pièces,v_Taille,'SUIVI STOCKS PAR PAYSAN'!$AT$7,v_conc_prod_tye_affinage,'SUIVI STOCKS PAR PAYSAN'!$H64,v_Date_commande,"&gt;"&amp;date_inventaire)</f>
        <v>0</v>
      </c>
      <c r="AU64" s="353">
        <f ca="1">SUMIFS(bddres_pieces,'BDD RESERVATIONS'!$G:$G,'SUIVI STOCKS PAR PAYSAN'!$AT$7,bddres_c_prod_type_aff,'SUIVI STOCKS PAR PAYSAN'!$H64,'BDD RESERVATIONS'!$B:$B,"&gt;"&amp;date_inventaire)</f>
        <v>0</v>
      </c>
      <c r="AV64" s="313">
        <f ca="1">SUMIFS(es_poids,es_prod_type_affinage,'SUIVI STOCKS PAR PAYSAN'!$I64,es_date_entree,"&gt;"&amp;date_inventaire)-SUMIFS(v_Poids,v_conc_prod_tye_affinage,'SUIVI STOCKS PAR PAYSAN'!$E64,v_Date_commande,"&gt;"&amp;date_inventaire)</f>
        <v>0</v>
      </c>
      <c r="AW64" s="313">
        <f ca="1">SUMIFS(bddres_c_qte,bddres_c_prod_type_aff,'SUIVI STOCKS PAR PAYSAN'!I64,'BDD RESERVATIONS'!$B:$B,"&gt;"&amp;date_inventaire)</f>
        <v>0</v>
      </c>
      <c r="AX64" s="342">
        <f ca="1">SUMIFS(bddres_pieces,es_prod_type_affinage,'SUIVI STOCKS PAR PAYSAN'!$I64,es_date_entree,"&gt;"&amp;date_inventaire,es_taille,'SUIVI STOCKS PAR PAYSAN'!$AX$7)-SUMIFS(v_Pièces,v_Taille,'SUIVI STOCKS PAR PAYSAN'!$AX$7,v_conc_prod_tye_affinage,'SUIVI STOCKS PAR PAYSAN'!$I64,v_Date_commande,"&gt;"&amp;date_inventaire)</f>
        <v>0</v>
      </c>
      <c r="AY64" s="342">
        <f ca="1">SUMIFS(bddres_pieces,'BDD RESERVATIONS'!$G:$G,'SUIVI STOCKS PAR PAYSAN'!$AX$7,bddres_c_prod_type_aff,'SUIVI STOCKS PAR PAYSAN'!$I64,'BDD RESERVATIONS'!$B:$B,"&gt;"&amp;date_inventaire)</f>
        <v>0</v>
      </c>
      <c r="AZ64" s="343">
        <f ca="1">SUMIFS(es_pieces,es_prod_type_affinage,'SUIVI STOCKS PAR PAYSAN'!$I64,es_date_entree,"&gt;"&amp;date_inventaire,es_taille,'SUIVI STOCKS PAR PAYSAN'!$AZ$7)-SUMIFS(v_Pièces,v_Taille,'SUIVI STOCKS PAR PAYSAN'!$AZ$7,v_conc_prod_tye_affinage,'SUIVI STOCKS PAR PAYSAN'!$I64,v_Date_commande,"&gt;"&amp;date_inventaire)</f>
        <v>0</v>
      </c>
      <c r="BA64" s="353">
        <f ca="1">SUMIFS(bddres_pieces,'BDD RESERVATIONS'!$G:$G,'SUIVI STOCKS PAR PAYSAN'!$AZ$7,bddres_c_prod_type_aff,'SUIVI STOCKS PAR PAYSAN'!$I64,'BDD RESERVATIONS'!$B:$B,"&gt;"&amp;date_inventaire)</f>
        <v>0</v>
      </c>
      <c r="BB64" s="313">
        <f ca="1">SUMIFS(es_poids,es_prod_type_affinage,'SUIVI STOCKS PAR PAYSAN'!$J64,es_date_entree,"&gt;"&amp;date_inventaire)-SUMIFS(v_Poids,v_conc_prod_tye_affinage,'SUIVI STOCKS PAR PAYSAN'!$J64,v_Date_commande,"&gt;"&amp;date_inventaire)</f>
        <v>0</v>
      </c>
      <c r="BC64" s="313">
        <f ca="1">SUMIFS(bddres_c_qte,bddres_c_prod_type_aff,'SUIVI STOCKS PAR PAYSAN'!J64,'BDD RESERVATIONS'!$B:$B,"&gt;"&amp;date_inventaire)</f>
        <v>0</v>
      </c>
      <c r="BD64" s="342">
        <f ca="1">SUMIFS(bddres_pieces,es_prod_type_affinage,'SUIVI STOCKS PAR PAYSAN'!$J64,es_date_entree,"&gt;"&amp;date_inventaire,es_taille,'SUIVI STOCKS PAR PAYSAN'!$BD$7)-SUMIFS(v_Pièces,v_Taille,'SUIVI STOCKS PAR PAYSAN'!$BD$7,v_conc_prod_tye_affinage,'SUIVI STOCKS PAR PAYSAN'!$J64,v_Date_commande,"&gt;"&amp;date_inventaire)</f>
        <v>0</v>
      </c>
      <c r="BE64" s="326">
        <f ca="1">SUMIFS(bddres_pieces,'BDD RESERVATIONS'!$G:$G,'SUIVI STOCKS PAR PAYSAN'!BD59,bddres_c_prod_type_aff,'SUIVI STOCKS PAR PAYSAN'!J64,'BDD RESERVATIONS'!$B:$B,"&gt;"&amp;date_inventaire)</f>
        <v>0</v>
      </c>
      <c r="BF64" s="343">
        <f ca="1">SUMIFS(es_pieces,es_prod_type_affinage,'SUIVI STOCKS PAR PAYSAN'!J64,es_date_entree,"&gt;"&amp;date_inventaire,es_taille,'SUIVI STOCKS PAR PAYSAN'!$BF$7)-SUMIFS(v_Pièces,v_Taille,'SUIVI STOCKS PAR PAYSAN'!$BF$7,v_conc_prod_tye_affinage,'SUIVI STOCKS PAR PAYSAN'!J64,v_Date_commande,"&gt;"&amp;date_inventaire)</f>
        <v>0</v>
      </c>
      <c r="BG64" s="353">
        <f ca="1">SUMIFS(bddres_pieces,'BDD RESERVATIONS'!$G:$G,'SUIVI STOCKS PAR PAYSAN'!$BF$7,bddres_c_prod_type_aff,'SUIVI STOCKS PAR PAYSAN'!J64,'BDD RESERVATIONS'!$B:$B,"&gt;"&amp;date_inventaire)</f>
        <v>0</v>
      </c>
    </row>
    <row r="65" spans="1:59" ht="18.75" customHeight="1" x14ac:dyDescent="0.25">
      <c r="A65" s="331">
        <f ca="1">OFFSET('BDD PAYSANS'!$B$1,B65,0,1,1)</f>
        <v>0</v>
      </c>
      <c r="B65" s="325">
        <v>54</v>
      </c>
      <c r="C65" s="325" t="str">
        <f t="shared" ca="1" si="3"/>
        <v>0FERMIER&lt;3 mois</v>
      </c>
      <c r="D65" s="325" t="str">
        <f t="shared" ca="1" si="3"/>
        <v>0FERMIER3-6 mois</v>
      </c>
      <c r="E65" s="325" t="str">
        <f t="shared" ca="1" si="3"/>
        <v>0FERMIER6-9 mois</v>
      </c>
      <c r="F65" s="325" t="str">
        <f t="shared" ca="1" si="3"/>
        <v>0FERMIER&gt;9 mois</v>
      </c>
      <c r="G65" s="325" t="str">
        <f t="shared" ca="1" si="3"/>
        <v>0ESTIVE&lt;3 mois</v>
      </c>
      <c r="H65" s="325" t="str">
        <f t="shared" ca="1" si="3"/>
        <v>0ESTIVE3-6 mois</v>
      </c>
      <c r="I65" s="325" t="str">
        <f t="shared" ca="1" si="3"/>
        <v>0ESTIVE6-9 mois</v>
      </c>
      <c r="J65" s="325" t="str">
        <f t="shared" ca="1" si="3"/>
        <v>0ESTIVE&gt;9 mois</v>
      </c>
      <c r="K65" s="325"/>
      <c r="L65" s="352">
        <f ca="1">SUMIFS(es_poids,es_prod_type_affinage,'SUIVI STOCKS PAR PAYSAN'!$C65,es_date_entree,"&gt;"&amp;date_inventaire)-SUMIFS(v_Poids,v_conc_prod_tye_affinage,'SUIVI STOCKS PAR PAYSAN'!$C65,v_Date_commande,"&gt;"&amp;date_inventaire)</f>
        <v>0</v>
      </c>
      <c r="M65" s="341">
        <f ca="1">SUMIFS(bddres_c_qte,bddres_c_prod_type_aff,'SUIVI STOCKS PAR PAYSAN'!C65,'BDD RESERVATIONS'!$B:$B,"&gt;"&amp;date_inventaire)</f>
        <v>0</v>
      </c>
      <c r="N65" s="342">
        <f ca="1">SUMIFS(bddres_pieces,es_prod_type_affinage,'SUIVI STOCKS PAR PAYSAN'!$C65,es_date_entree,"&gt;"&amp;date_inventaire,es_taille,'SUIVI STOCKS PAR PAYSAN'!$N$7)-SUMIFS(v_Pièces,v_Taille,'SUIVI STOCKS PAR PAYSAN'!$N$7,v_conc_prod_tye_affinage,'SUIVI STOCKS PAR PAYSAN'!$C65,v_Date_commande,"&gt;"&amp;date_inventaire)</f>
        <v>0</v>
      </c>
      <c r="O65" s="342">
        <f ca="1">SUMIFS(bddres_pieces,'BDD RESERVATIONS'!$G:$G,'SUIVI STOCKS PAR PAYSAN'!$N$7,bddres_c_prod_type_aff,'SUIVI STOCKS PAR PAYSAN'!$C65,'BDD RESERVATIONS'!$B:$B,"&gt;"&amp;date_inventaire)</f>
        <v>0</v>
      </c>
      <c r="P65" s="343">
        <f ca="1">SUMIFS(es_pieces,es_prod_type_affinage,'SUIVI STOCKS PAR PAYSAN'!$C65,es_date_entree,"&gt;"&amp;date_inventaire,es_taille,'SUIVI STOCKS PAR PAYSAN'!$P$7)-SUMIFS(v_Pièces,v_Taille,'SUIVI STOCKS PAR PAYSAN'!$P$7,v_conc_prod_tye_affinage,'SUIVI STOCKS PAR PAYSAN'!$C65,v_Date_commande,"&gt;"&amp;date_inventaire)</f>
        <v>0</v>
      </c>
      <c r="Q65" s="353">
        <f ca="1">SUMIFS(bddres_pieces,'BDD RESERVATIONS'!$G:$G,'SUIVI STOCKS PAR PAYSAN'!$P$7,bddres_c_prod_type_aff,'SUIVI STOCKS PAR PAYSAN'!$C65,'BDD RESERVATIONS'!$B:$B,"&gt;"&amp;date_inventaire)</f>
        <v>0</v>
      </c>
      <c r="R65" s="340">
        <f ca="1">SUMIFS(es_poids,es_prod_type_affinage,'SUIVI STOCKS PAR PAYSAN'!$D65,es_date_entree,"&gt;"&amp;date_inventaire)-SUMIFS(v_Poids,v_conc_prod_tye_affinage,'SUIVI STOCKS PAR PAYSAN'!$D65,v_Date_commande,"&gt;"&amp;date_inventaire)</f>
        <v>0</v>
      </c>
      <c r="S65" s="341">
        <f ca="1">SUMIFS(bddres_c_qte,bddres_c_prod_type_aff,'SUIVI STOCKS PAR PAYSAN'!D65,'BDD RESERVATIONS'!$B:$B,"&gt;"&amp;date_inventaire)</f>
        <v>0</v>
      </c>
      <c r="T65" s="342">
        <f ca="1">SUMIFS(bddres_pieces,es_prod_type_affinage,'SUIVI STOCKS PAR PAYSAN'!$D65,es_date_entree,"&gt;"&amp;date_inventaire,es_taille,'SUIVI STOCKS PAR PAYSAN'!$T$7)-SUMIFS(v_Pièces,v_Taille,'SUIVI STOCKS PAR PAYSAN'!$T$7,v_conc_prod_tye_affinage,'SUIVI STOCKS PAR PAYSAN'!$D65,v_Date_commande,"&gt;"&amp;date_inventaire)</f>
        <v>0</v>
      </c>
      <c r="U65" s="342">
        <f ca="1">SUMIFS(bddres_pieces,'BDD RESERVATIONS'!$G:$G,'SUIVI STOCKS PAR PAYSAN'!$T$7,bddres_c_prod_type_aff,'SUIVI STOCKS PAR PAYSAN'!$D65,'BDD RESERVATIONS'!$B:$B,"&gt;"&amp;date_inventaire)</f>
        <v>0</v>
      </c>
      <c r="V65" s="343">
        <f ca="1">SUMIFS(es_pieces,es_prod_type_affinage,'SUIVI STOCKS PAR PAYSAN'!$D65,es_date_entree,"&gt;"&amp;date_inventaire,es_taille,'SUIVI STOCKS PAR PAYSAN'!$V$7)-SUMIFS(v_Pièces,v_Taille,'SUIVI STOCKS PAR PAYSAN'!$V$7,v_conc_prod_tye_affinage,'SUIVI STOCKS PAR PAYSAN'!$D65,v_Date_commande,"&gt;"&amp;date_inventaire)</f>
        <v>0</v>
      </c>
      <c r="W65" s="353">
        <f ca="1">SUMIFS(bddres_pieces,'BDD RESERVATIONS'!$G:$G,'SUIVI STOCKS PAR PAYSAN'!$V$7,bddres_c_prod_type_aff,'SUIVI STOCKS PAR PAYSAN'!$D65,'BDD RESERVATIONS'!$B:$B,"&gt;"&amp;date_inventaire)</f>
        <v>0</v>
      </c>
      <c r="X65" s="313">
        <f ca="1">SUMIFS(es_poids,es_prod_type_affinage,'SUIVI STOCKS PAR PAYSAN'!$E65,es_date_entree,"&gt;"&amp;date_inventaire)-SUMIFS(v_Poids,v_conc_prod_tye_affinage,'SUIVI STOCKS PAR PAYSAN'!$E65,v_Date_commande,"&gt;"&amp;date_inventaire)</f>
        <v>0</v>
      </c>
      <c r="Y65" s="341">
        <f ca="1">SUMIFS(bddres_c_qte,bddres_c_prod_type_aff,'SUIVI STOCKS PAR PAYSAN'!E65,'BDD RESERVATIONS'!$B:$B,"&gt;"&amp;date_inventaire)</f>
        <v>0</v>
      </c>
      <c r="Z65" s="342">
        <f ca="1">SUMIFS(bddres_pieces,es_prod_type_affinage,'SUIVI STOCKS PAR PAYSAN'!$E65,es_date_entree,"&gt;"&amp;date_inventaire,es_taille,'SUIVI STOCKS PAR PAYSAN'!$Z$7)-SUMIFS(v_Pièces,v_Taille,'SUIVI STOCKS PAR PAYSAN'!$Z$7,v_conc_prod_tye_affinage,'SUIVI STOCKS PAR PAYSAN'!$E65,v_Date_commande,"&gt;"&amp;date_inventaire)</f>
        <v>0</v>
      </c>
      <c r="AA65" s="342">
        <f ca="1">SUMIFS(bddres_pieces,'BDD RESERVATIONS'!$G:$G,'SUIVI STOCKS PAR PAYSAN'!$Z$7,bddres_c_prod_type_aff,'SUIVI STOCKS PAR PAYSAN'!$E65,'BDD RESERVATIONS'!$B:$B,"&gt;"&amp;date_inventaire)</f>
        <v>0</v>
      </c>
      <c r="AB65" s="343">
        <f ca="1">SUMIFS(es_pieces,es_prod_type_affinage,'SUIVI STOCKS PAR PAYSAN'!$E65,es_date_entree,"&gt;"&amp;date_inventaire,es_taille,'SUIVI STOCKS PAR PAYSAN'!$AB$7)-SUMIFS(v_Pièces,v_Taille,'SUIVI STOCKS PAR PAYSAN'!$AB$7,v_conc_prod_tye_affinage,'SUIVI STOCKS PAR PAYSAN'!$E65,v_Date_commande,"&gt;"&amp;date_inventaire)</f>
        <v>0</v>
      </c>
      <c r="AC65" s="353">
        <f ca="1">SUMIFS(bddres_pieces,'BDD RESERVATIONS'!$G:$G,'SUIVI STOCKS PAR PAYSAN'!$AB$7,bddres_c_prod_type_aff,'SUIVI STOCKS PAR PAYSAN'!$E65,'BDD RESERVATIONS'!$B:$B,"&gt;"&amp;date_inventaire)</f>
        <v>0</v>
      </c>
      <c r="AD65" s="313">
        <f ca="1">SUMIFS(es_poids,es_prod_type_affinage,'SUIVI STOCKS PAR PAYSAN'!$F65,es_date_entree,"&gt;"&amp;date_inventaire)-SUMIFS(v_Poids,v_conc_prod_tye_affinage,'SUIVI STOCKS PAR PAYSAN'!$F65,v_Date_commande,"&gt;"&amp;date_inventaire)</f>
        <v>0</v>
      </c>
      <c r="AE65" s="341">
        <f ca="1">SUMIFS(bddres_c_qte,bddres_c_prod_type_aff,'SUIVI STOCKS PAR PAYSAN'!F65,'BDD RESERVATIONS'!$B:$B,"&gt;"&amp;date_inventaire)</f>
        <v>0</v>
      </c>
      <c r="AF65" s="342">
        <f ca="1">SUMIFS(bddres_pieces,es_prod_type_affinage,'SUIVI STOCKS PAR PAYSAN'!$F65,es_date_entree,"&gt;"&amp;date_inventaire,es_taille,'SUIVI STOCKS PAR PAYSAN'!$Z$7)-SUMIFS(v_Pièces,v_Taille,'SUIVI STOCKS PAR PAYSAN'!$Z$7,v_conc_prod_tye_affinage,'SUIVI STOCKS PAR PAYSAN'!$F65,v_Date_commande,"&gt;"&amp;date_inventaire)</f>
        <v>0</v>
      </c>
      <c r="AG65" s="342">
        <f ca="1">SUMIFS(bddres_pieces,'BDD RESERVATIONS'!$G:$G,'SUIVI STOCKS PAR PAYSAN'!$Z$7,bddres_c_prod_type_aff,'SUIVI STOCKS PAR PAYSAN'!$F65,'BDD RESERVATIONS'!$B:$B,"&gt;"&amp;date_inventaire)</f>
        <v>0</v>
      </c>
      <c r="AH65" s="343">
        <f ca="1">SUMIFS(es_pieces,es_prod_type_affinage,'SUIVI STOCKS PAR PAYSAN'!$F65,es_date_entree,"&gt;"&amp;date_inventaire,es_taille,'SUIVI STOCKS PAR PAYSAN'!$AH$7)-SUMIFS(v_Pièces,v_Taille,'SUIVI STOCKS PAR PAYSAN'!$AH$7,v_conc_prod_tye_affinage,'SUIVI STOCKS PAR PAYSAN'!$F65,v_Date_commande,"&gt;"&amp;date_inventaire)</f>
        <v>0</v>
      </c>
      <c r="AI65" s="353">
        <f ca="1">SUMIFS(bddres_pieces,'BDD RESERVATIONS'!$G:$G,'SUIVI STOCKS PAR PAYSAN'!$AB$7,bddres_c_prod_type_aff,'SUIVI STOCKS PAR PAYSAN'!$F65,'BDD RESERVATIONS'!$B:$B,"&gt;"&amp;date_inventaire)</f>
        <v>0</v>
      </c>
      <c r="AJ65" s="352">
        <f ca="1">SUMIFS(es_poids,es_prod_type_affinage,'SUIVI STOCKS PAR PAYSAN'!$G65,es_date_entree,"&gt;"&amp;date_inventaire)-SUMIFS(v_Poids,v_conc_prod_tye_affinage,'SUIVI STOCKS PAR PAYSAN'!$G65,v_Date_commande,"&gt;"&amp;date_inventaire)</f>
        <v>0</v>
      </c>
      <c r="AK65" s="341">
        <f ca="1">SUMIFS(bddres_c_qte,bddres_c_prod_type_aff,'SUIVI STOCKS PAR PAYSAN'!G65,'BDD RESERVATIONS'!$B:$B,"&gt;"&amp;date_inventaire)</f>
        <v>0</v>
      </c>
      <c r="AL65" s="342">
        <f ca="1">SUMIFS(bddres_pieces,es_prod_type_affinage,'SUIVI STOCKS PAR PAYSAN'!$G65,es_date_entree,"&gt;"&amp;date_inventaire,es_taille,'SUIVI STOCKS PAR PAYSAN'!$AL$7)-SUMIFS(v_Pièces,v_Taille,'SUIVI STOCKS PAR PAYSAN'!$AL$7,v_conc_prod_tye_affinage,'SUIVI STOCKS PAR PAYSAN'!$G65,v_Date_commande,"&gt;"&amp;date_inventaire)</f>
        <v>0</v>
      </c>
      <c r="AM65" s="342">
        <f ca="1">SUMIFS(bddres_pieces,'BDD RESERVATIONS'!$G:$G,'SUIVI STOCKS PAR PAYSAN'!$AL$7,bddres_c_prod_type_aff,'SUIVI STOCKS PAR PAYSAN'!$G65,'BDD RESERVATIONS'!$B:$B,"&gt;"&amp;date_inventaire)</f>
        <v>0</v>
      </c>
      <c r="AN65" s="343">
        <f ca="1">SUMIFS(es_pieces,es_prod_type_affinage,'SUIVI STOCKS PAR PAYSAN'!$G65,es_date_entree,"&gt;"&amp;date_inventaire,es_taille,'SUIVI STOCKS PAR PAYSAN'!$AN$7)-SUMIFS(v_Pièces,v_Taille,'SUIVI STOCKS PAR PAYSAN'!$AN$7,v_conc_prod_tye_affinage,'SUIVI STOCKS PAR PAYSAN'!$G65,v_Date_commande,"&gt;"&amp;date_inventaire)</f>
        <v>0</v>
      </c>
      <c r="AO65" s="353">
        <f ca="1">SUMIFS(bddres_pieces,'BDD RESERVATIONS'!$G:$G,'SUIVI STOCKS PAR PAYSAN'!$AN$7,bddres_c_prod_type_aff,'SUIVI STOCKS PAR PAYSAN'!$G65,'BDD RESERVATIONS'!$B:$B,"&gt;"&amp;date_inventaire)</f>
        <v>0</v>
      </c>
      <c r="AP65" s="313">
        <f ca="1">SUMIFS(es_poids,es_prod_type_affinage,'SUIVI STOCKS PAR PAYSAN'!$H65,es_date_entree,"&gt;"&amp;date_inventaire)-SUMIFS(v_Poids,v_conc_prod_tye_affinage,'SUIVI STOCKS PAR PAYSAN'!$H65,v_Date_commande,"&gt;"&amp;date_inventaire)</f>
        <v>0</v>
      </c>
      <c r="AQ65" s="341">
        <f ca="1">SUMIFS(bddres_c_qte,bddres_c_prod_type_aff,'SUIVI STOCKS PAR PAYSAN'!H65,'BDD RESERVATIONS'!$B:$B,"&gt;"&amp;date_inventaire)</f>
        <v>0</v>
      </c>
      <c r="AR65" s="342">
        <f ca="1">SUMIFS(bddres_pieces,es_prod_type_affinage,'SUIVI STOCKS PAR PAYSAN'!$H65,es_date_entree,"&gt;"&amp;date_inventaire,es_taille,'SUIVI STOCKS PAR PAYSAN'!$AR$7)-SUMIFS(v_Pièces,v_Taille,'SUIVI STOCKS PAR PAYSAN'!$AR$7,v_conc_prod_tye_affinage,'SUIVI STOCKS PAR PAYSAN'!$H65,v_Date_commande,"&gt;"&amp;date_inventaire)</f>
        <v>0</v>
      </c>
      <c r="AS65" s="326">
        <f ca="1">SUMIFS(bddres_pieces,'BDD RESERVATIONS'!$G:$G,'SUIVI STOCKS PAR PAYSAN'!AR60,bddres_c_prod_type_aff,'SUIVI STOCKS PAR PAYSAN'!$H65,'BDD RESERVATIONS'!$B:$B,"&gt;"&amp;date_inventaire)</f>
        <v>0</v>
      </c>
      <c r="AT65" s="343">
        <f ca="1">SUMIFS(es_pieces,es_prod_type_affinage,'SUIVI STOCKS PAR PAYSAN'!$H65,es_date_entree,"&gt;"&amp;date_inventaire,es_taille,'SUIVI STOCKS PAR PAYSAN'!$AT$7)-SUMIFS(v_Pièces,v_Taille,'SUIVI STOCKS PAR PAYSAN'!$AT$7,v_conc_prod_tye_affinage,'SUIVI STOCKS PAR PAYSAN'!$H65,v_Date_commande,"&gt;"&amp;date_inventaire)</f>
        <v>0</v>
      </c>
      <c r="AU65" s="353">
        <f ca="1">SUMIFS(bddres_pieces,'BDD RESERVATIONS'!$G:$G,'SUIVI STOCKS PAR PAYSAN'!$AT$7,bddres_c_prod_type_aff,'SUIVI STOCKS PAR PAYSAN'!$H65,'BDD RESERVATIONS'!$B:$B,"&gt;"&amp;date_inventaire)</f>
        <v>0</v>
      </c>
      <c r="AV65" s="313">
        <f ca="1">SUMIFS(es_poids,es_prod_type_affinage,'SUIVI STOCKS PAR PAYSAN'!$I65,es_date_entree,"&gt;"&amp;date_inventaire)-SUMIFS(v_Poids,v_conc_prod_tye_affinage,'SUIVI STOCKS PAR PAYSAN'!$E65,v_Date_commande,"&gt;"&amp;date_inventaire)</f>
        <v>0</v>
      </c>
      <c r="AW65" s="313">
        <f ca="1">SUMIFS(bddres_c_qte,bddres_c_prod_type_aff,'SUIVI STOCKS PAR PAYSAN'!I65,'BDD RESERVATIONS'!$B:$B,"&gt;"&amp;date_inventaire)</f>
        <v>0</v>
      </c>
      <c r="AX65" s="342">
        <f ca="1">SUMIFS(bddres_pieces,es_prod_type_affinage,'SUIVI STOCKS PAR PAYSAN'!$I65,es_date_entree,"&gt;"&amp;date_inventaire,es_taille,'SUIVI STOCKS PAR PAYSAN'!$AX$7)-SUMIFS(v_Pièces,v_Taille,'SUIVI STOCKS PAR PAYSAN'!$AX$7,v_conc_prod_tye_affinage,'SUIVI STOCKS PAR PAYSAN'!$I65,v_Date_commande,"&gt;"&amp;date_inventaire)</f>
        <v>0</v>
      </c>
      <c r="AY65" s="342">
        <f ca="1">SUMIFS(bddres_pieces,'BDD RESERVATIONS'!$G:$G,'SUIVI STOCKS PAR PAYSAN'!$AX$7,bddres_c_prod_type_aff,'SUIVI STOCKS PAR PAYSAN'!$I65,'BDD RESERVATIONS'!$B:$B,"&gt;"&amp;date_inventaire)</f>
        <v>0</v>
      </c>
      <c r="AZ65" s="343">
        <f ca="1">SUMIFS(es_pieces,es_prod_type_affinage,'SUIVI STOCKS PAR PAYSAN'!$I65,es_date_entree,"&gt;"&amp;date_inventaire,es_taille,'SUIVI STOCKS PAR PAYSAN'!$AZ$7)-SUMIFS(v_Pièces,v_Taille,'SUIVI STOCKS PAR PAYSAN'!$AZ$7,v_conc_prod_tye_affinage,'SUIVI STOCKS PAR PAYSAN'!$I65,v_Date_commande,"&gt;"&amp;date_inventaire)</f>
        <v>0</v>
      </c>
      <c r="BA65" s="353">
        <f ca="1">SUMIFS(bddres_pieces,'BDD RESERVATIONS'!$G:$G,'SUIVI STOCKS PAR PAYSAN'!$AZ$7,bddres_c_prod_type_aff,'SUIVI STOCKS PAR PAYSAN'!$I65,'BDD RESERVATIONS'!$B:$B,"&gt;"&amp;date_inventaire)</f>
        <v>0</v>
      </c>
      <c r="BB65" s="313">
        <f ca="1">SUMIFS(es_poids,es_prod_type_affinage,'SUIVI STOCKS PAR PAYSAN'!$J65,es_date_entree,"&gt;"&amp;date_inventaire)-SUMIFS(v_Poids,v_conc_prod_tye_affinage,'SUIVI STOCKS PAR PAYSAN'!$J65,v_Date_commande,"&gt;"&amp;date_inventaire)</f>
        <v>0</v>
      </c>
      <c r="BC65" s="313">
        <f ca="1">SUMIFS(bddres_c_qte,bddres_c_prod_type_aff,'SUIVI STOCKS PAR PAYSAN'!J65,'BDD RESERVATIONS'!$B:$B,"&gt;"&amp;date_inventaire)</f>
        <v>0</v>
      </c>
      <c r="BD65" s="342">
        <f ca="1">SUMIFS(bddres_pieces,es_prod_type_affinage,'SUIVI STOCKS PAR PAYSAN'!$J65,es_date_entree,"&gt;"&amp;date_inventaire,es_taille,'SUIVI STOCKS PAR PAYSAN'!$BD$7)-SUMIFS(v_Pièces,v_Taille,'SUIVI STOCKS PAR PAYSAN'!$BD$7,v_conc_prod_tye_affinage,'SUIVI STOCKS PAR PAYSAN'!$J65,v_Date_commande,"&gt;"&amp;date_inventaire)</f>
        <v>0</v>
      </c>
      <c r="BE65" s="326">
        <f ca="1">SUMIFS(bddres_pieces,'BDD RESERVATIONS'!$G:$G,'SUIVI STOCKS PAR PAYSAN'!BD60,bddres_c_prod_type_aff,'SUIVI STOCKS PAR PAYSAN'!J65,'BDD RESERVATIONS'!$B:$B,"&gt;"&amp;date_inventaire)</f>
        <v>0</v>
      </c>
      <c r="BF65" s="343">
        <f ca="1">SUMIFS(es_pieces,es_prod_type_affinage,'SUIVI STOCKS PAR PAYSAN'!J65,es_date_entree,"&gt;"&amp;date_inventaire,es_taille,'SUIVI STOCKS PAR PAYSAN'!$BF$7)-SUMIFS(v_Pièces,v_Taille,'SUIVI STOCKS PAR PAYSAN'!$BF$7,v_conc_prod_tye_affinage,'SUIVI STOCKS PAR PAYSAN'!J65,v_Date_commande,"&gt;"&amp;date_inventaire)</f>
        <v>0</v>
      </c>
      <c r="BG65" s="353">
        <f ca="1">SUMIFS(bddres_pieces,'BDD RESERVATIONS'!$G:$G,'SUIVI STOCKS PAR PAYSAN'!$BF$7,bddres_c_prod_type_aff,'SUIVI STOCKS PAR PAYSAN'!J65,'BDD RESERVATIONS'!$B:$B,"&gt;"&amp;date_inventaire)</f>
        <v>0</v>
      </c>
    </row>
    <row r="66" spans="1:59" ht="18.75" customHeight="1" x14ac:dyDescent="0.25">
      <c r="A66" s="331">
        <f ca="1">OFFSET('BDD PAYSANS'!$B$1,B66,0,1,1)</f>
        <v>0</v>
      </c>
      <c r="B66" s="325">
        <v>55</v>
      </c>
      <c r="C66" s="325" t="str">
        <f t="shared" ca="1" si="3"/>
        <v>0FERMIER&lt;3 mois</v>
      </c>
      <c r="D66" s="325" t="str">
        <f t="shared" ca="1" si="3"/>
        <v>0FERMIER3-6 mois</v>
      </c>
      <c r="E66" s="325" t="str">
        <f t="shared" ca="1" si="3"/>
        <v>0FERMIER6-9 mois</v>
      </c>
      <c r="F66" s="325" t="str">
        <f t="shared" ca="1" si="3"/>
        <v>0FERMIER&gt;9 mois</v>
      </c>
      <c r="G66" s="325" t="str">
        <f t="shared" ca="1" si="3"/>
        <v>0ESTIVE&lt;3 mois</v>
      </c>
      <c r="H66" s="325" t="str">
        <f t="shared" ca="1" si="3"/>
        <v>0ESTIVE3-6 mois</v>
      </c>
      <c r="I66" s="325" t="str">
        <f t="shared" ca="1" si="3"/>
        <v>0ESTIVE6-9 mois</v>
      </c>
      <c r="J66" s="325" t="str">
        <f t="shared" ca="1" si="3"/>
        <v>0ESTIVE&gt;9 mois</v>
      </c>
      <c r="K66" s="325"/>
      <c r="L66" s="352">
        <f ca="1">SUMIFS(es_poids,es_prod_type_affinage,'SUIVI STOCKS PAR PAYSAN'!$C66,es_date_entree,"&gt;"&amp;date_inventaire)-SUMIFS(v_Poids,v_conc_prod_tye_affinage,'SUIVI STOCKS PAR PAYSAN'!$C66,v_Date_commande,"&gt;"&amp;date_inventaire)</f>
        <v>0</v>
      </c>
      <c r="M66" s="341">
        <f ca="1">SUMIFS(bddres_c_qte,bddres_c_prod_type_aff,'SUIVI STOCKS PAR PAYSAN'!C66,'BDD RESERVATIONS'!$B:$B,"&gt;"&amp;date_inventaire)</f>
        <v>0</v>
      </c>
      <c r="N66" s="342">
        <f ca="1">SUMIFS(bddres_pieces,es_prod_type_affinage,'SUIVI STOCKS PAR PAYSAN'!$C66,es_date_entree,"&gt;"&amp;date_inventaire,es_taille,'SUIVI STOCKS PAR PAYSAN'!$N$7)-SUMIFS(v_Pièces,v_Taille,'SUIVI STOCKS PAR PAYSAN'!$N$7,v_conc_prod_tye_affinage,'SUIVI STOCKS PAR PAYSAN'!$C66,v_Date_commande,"&gt;"&amp;date_inventaire)</f>
        <v>0</v>
      </c>
      <c r="O66" s="342">
        <f ca="1">SUMIFS(bddres_pieces,'BDD RESERVATIONS'!$G:$G,'SUIVI STOCKS PAR PAYSAN'!$N$7,bddres_c_prod_type_aff,'SUIVI STOCKS PAR PAYSAN'!$C66,'BDD RESERVATIONS'!$B:$B,"&gt;"&amp;date_inventaire)</f>
        <v>0</v>
      </c>
      <c r="P66" s="343">
        <f ca="1">SUMIFS(es_pieces,es_prod_type_affinage,'SUIVI STOCKS PAR PAYSAN'!$C66,es_date_entree,"&gt;"&amp;date_inventaire,es_taille,'SUIVI STOCKS PAR PAYSAN'!$P$7)-SUMIFS(v_Pièces,v_Taille,'SUIVI STOCKS PAR PAYSAN'!$P$7,v_conc_prod_tye_affinage,'SUIVI STOCKS PAR PAYSAN'!$C66,v_Date_commande,"&gt;"&amp;date_inventaire)</f>
        <v>0</v>
      </c>
      <c r="Q66" s="353">
        <f ca="1">SUMIFS(bddres_pieces,'BDD RESERVATIONS'!$G:$G,'SUIVI STOCKS PAR PAYSAN'!$P$7,bddres_c_prod_type_aff,'SUIVI STOCKS PAR PAYSAN'!$C66,'BDD RESERVATIONS'!$B:$B,"&gt;"&amp;date_inventaire)</f>
        <v>0</v>
      </c>
      <c r="R66" s="340">
        <f ca="1">SUMIFS(es_poids,es_prod_type_affinage,'SUIVI STOCKS PAR PAYSAN'!$D66,es_date_entree,"&gt;"&amp;date_inventaire)-SUMIFS(v_Poids,v_conc_prod_tye_affinage,'SUIVI STOCKS PAR PAYSAN'!$D66,v_Date_commande,"&gt;"&amp;date_inventaire)</f>
        <v>0</v>
      </c>
      <c r="S66" s="341">
        <f ca="1">SUMIFS(bddres_c_qte,bddres_c_prod_type_aff,'SUIVI STOCKS PAR PAYSAN'!D66,'BDD RESERVATIONS'!$B:$B,"&gt;"&amp;date_inventaire)</f>
        <v>0</v>
      </c>
      <c r="T66" s="342">
        <f ca="1">SUMIFS(bddres_pieces,es_prod_type_affinage,'SUIVI STOCKS PAR PAYSAN'!$D66,es_date_entree,"&gt;"&amp;date_inventaire,es_taille,'SUIVI STOCKS PAR PAYSAN'!$T$7)-SUMIFS(v_Pièces,v_Taille,'SUIVI STOCKS PAR PAYSAN'!$T$7,v_conc_prod_tye_affinage,'SUIVI STOCKS PAR PAYSAN'!$D66,v_Date_commande,"&gt;"&amp;date_inventaire)</f>
        <v>0</v>
      </c>
      <c r="U66" s="342">
        <f ca="1">SUMIFS(bddres_pieces,'BDD RESERVATIONS'!$G:$G,'SUIVI STOCKS PAR PAYSAN'!$T$7,bddres_c_prod_type_aff,'SUIVI STOCKS PAR PAYSAN'!$D66,'BDD RESERVATIONS'!$B:$B,"&gt;"&amp;date_inventaire)</f>
        <v>0</v>
      </c>
      <c r="V66" s="343">
        <f ca="1">SUMIFS(es_pieces,es_prod_type_affinage,'SUIVI STOCKS PAR PAYSAN'!$D66,es_date_entree,"&gt;"&amp;date_inventaire,es_taille,'SUIVI STOCKS PAR PAYSAN'!$V$7)-SUMIFS(v_Pièces,v_Taille,'SUIVI STOCKS PAR PAYSAN'!$V$7,v_conc_prod_tye_affinage,'SUIVI STOCKS PAR PAYSAN'!$D66,v_Date_commande,"&gt;"&amp;date_inventaire)</f>
        <v>0</v>
      </c>
      <c r="W66" s="353">
        <f ca="1">SUMIFS(bddres_pieces,'BDD RESERVATIONS'!$G:$G,'SUIVI STOCKS PAR PAYSAN'!$V$7,bddres_c_prod_type_aff,'SUIVI STOCKS PAR PAYSAN'!$D66,'BDD RESERVATIONS'!$B:$B,"&gt;"&amp;date_inventaire)</f>
        <v>0</v>
      </c>
      <c r="X66" s="313">
        <f ca="1">SUMIFS(es_poids,es_prod_type_affinage,'SUIVI STOCKS PAR PAYSAN'!$E66,es_date_entree,"&gt;"&amp;date_inventaire)-SUMIFS(v_Poids,v_conc_prod_tye_affinage,'SUIVI STOCKS PAR PAYSAN'!$E66,v_Date_commande,"&gt;"&amp;date_inventaire)</f>
        <v>0</v>
      </c>
      <c r="Y66" s="341">
        <f ca="1">SUMIFS(bddres_c_qte,bddres_c_prod_type_aff,'SUIVI STOCKS PAR PAYSAN'!E66,'BDD RESERVATIONS'!$B:$B,"&gt;"&amp;date_inventaire)</f>
        <v>0</v>
      </c>
      <c r="Z66" s="342">
        <f ca="1">SUMIFS(bddres_pieces,es_prod_type_affinage,'SUIVI STOCKS PAR PAYSAN'!$E66,es_date_entree,"&gt;"&amp;date_inventaire,es_taille,'SUIVI STOCKS PAR PAYSAN'!$Z$7)-SUMIFS(v_Pièces,v_Taille,'SUIVI STOCKS PAR PAYSAN'!$Z$7,v_conc_prod_tye_affinage,'SUIVI STOCKS PAR PAYSAN'!$E66,v_Date_commande,"&gt;"&amp;date_inventaire)</f>
        <v>0</v>
      </c>
      <c r="AA66" s="342">
        <f ca="1">SUMIFS(bddres_pieces,'BDD RESERVATIONS'!$G:$G,'SUIVI STOCKS PAR PAYSAN'!$Z$7,bddres_c_prod_type_aff,'SUIVI STOCKS PAR PAYSAN'!$E66,'BDD RESERVATIONS'!$B:$B,"&gt;"&amp;date_inventaire)</f>
        <v>0</v>
      </c>
      <c r="AB66" s="343">
        <f ca="1">SUMIFS(es_pieces,es_prod_type_affinage,'SUIVI STOCKS PAR PAYSAN'!$E66,es_date_entree,"&gt;"&amp;date_inventaire,es_taille,'SUIVI STOCKS PAR PAYSAN'!$AB$7)-SUMIFS(v_Pièces,v_Taille,'SUIVI STOCKS PAR PAYSAN'!$AB$7,v_conc_prod_tye_affinage,'SUIVI STOCKS PAR PAYSAN'!$E66,v_Date_commande,"&gt;"&amp;date_inventaire)</f>
        <v>0</v>
      </c>
      <c r="AC66" s="353">
        <f ca="1">SUMIFS(bddres_pieces,'BDD RESERVATIONS'!$G:$G,'SUIVI STOCKS PAR PAYSAN'!$AB$7,bddres_c_prod_type_aff,'SUIVI STOCKS PAR PAYSAN'!$E66,'BDD RESERVATIONS'!$B:$B,"&gt;"&amp;date_inventaire)</f>
        <v>0</v>
      </c>
      <c r="AD66" s="313">
        <f ca="1">SUMIFS(es_poids,es_prod_type_affinage,'SUIVI STOCKS PAR PAYSAN'!$F66,es_date_entree,"&gt;"&amp;date_inventaire)-SUMIFS(v_Poids,v_conc_prod_tye_affinage,'SUIVI STOCKS PAR PAYSAN'!$F66,v_Date_commande,"&gt;"&amp;date_inventaire)</f>
        <v>0</v>
      </c>
      <c r="AE66" s="341">
        <f ca="1">SUMIFS(bddres_c_qte,bddres_c_prod_type_aff,'SUIVI STOCKS PAR PAYSAN'!F66,'BDD RESERVATIONS'!$B:$B,"&gt;"&amp;date_inventaire)</f>
        <v>0</v>
      </c>
      <c r="AF66" s="342">
        <f ca="1">SUMIFS(bddres_pieces,es_prod_type_affinage,'SUIVI STOCKS PAR PAYSAN'!$F66,es_date_entree,"&gt;"&amp;date_inventaire,es_taille,'SUIVI STOCKS PAR PAYSAN'!$Z$7)-SUMIFS(v_Pièces,v_Taille,'SUIVI STOCKS PAR PAYSAN'!$Z$7,v_conc_prod_tye_affinage,'SUIVI STOCKS PAR PAYSAN'!$F66,v_Date_commande,"&gt;"&amp;date_inventaire)</f>
        <v>0</v>
      </c>
      <c r="AG66" s="342">
        <f ca="1">SUMIFS(bddres_pieces,'BDD RESERVATIONS'!$G:$G,'SUIVI STOCKS PAR PAYSAN'!$Z$7,bddres_c_prod_type_aff,'SUIVI STOCKS PAR PAYSAN'!$F66,'BDD RESERVATIONS'!$B:$B,"&gt;"&amp;date_inventaire)</f>
        <v>0</v>
      </c>
      <c r="AH66" s="343">
        <f ca="1">SUMIFS(es_pieces,es_prod_type_affinage,'SUIVI STOCKS PAR PAYSAN'!$F66,es_date_entree,"&gt;"&amp;date_inventaire,es_taille,'SUIVI STOCKS PAR PAYSAN'!$AH$7)-SUMIFS(v_Pièces,v_Taille,'SUIVI STOCKS PAR PAYSAN'!$AH$7,v_conc_prod_tye_affinage,'SUIVI STOCKS PAR PAYSAN'!$F66,v_Date_commande,"&gt;"&amp;date_inventaire)</f>
        <v>0</v>
      </c>
      <c r="AI66" s="353">
        <f ca="1">SUMIFS(bddres_pieces,'BDD RESERVATIONS'!$G:$G,'SUIVI STOCKS PAR PAYSAN'!$AB$7,bddres_c_prod_type_aff,'SUIVI STOCKS PAR PAYSAN'!$F66,'BDD RESERVATIONS'!$B:$B,"&gt;"&amp;date_inventaire)</f>
        <v>0</v>
      </c>
      <c r="AJ66" s="352">
        <f ca="1">SUMIFS(es_poids,es_prod_type_affinage,'SUIVI STOCKS PAR PAYSAN'!$G66,es_date_entree,"&gt;"&amp;date_inventaire)-SUMIFS(v_Poids,v_conc_prod_tye_affinage,'SUIVI STOCKS PAR PAYSAN'!$G66,v_Date_commande,"&gt;"&amp;date_inventaire)</f>
        <v>0</v>
      </c>
      <c r="AK66" s="341">
        <f ca="1">SUMIFS(bddres_c_qte,bddres_c_prod_type_aff,'SUIVI STOCKS PAR PAYSAN'!G66,'BDD RESERVATIONS'!$B:$B,"&gt;"&amp;date_inventaire)</f>
        <v>0</v>
      </c>
      <c r="AL66" s="342">
        <f ca="1">SUMIFS(bddres_pieces,es_prod_type_affinage,'SUIVI STOCKS PAR PAYSAN'!$G66,es_date_entree,"&gt;"&amp;date_inventaire,es_taille,'SUIVI STOCKS PAR PAYSAN'!$AL$7)-SUMIFS(v_Pièces,v_Taille,'SUIVI STOCKS PAR PAYSAN'!$AL$7,v_conc_prod_tye_affinage,'SUIVI STOCKS PAR PAYSAN'!$G66,v_Date_commande,"&gt;"&amp;date_inventaire)</f>
        <v>0</v>
      </c>
      <c r="AM66" s="342">
        <f ca="1">SUMIFS(bddres_pieces,'BDD RESERVATIONS'!$G:$G,'SUIVI STOCKS PAR PAYSAN'!$AL$7,bddres_c_prod_type_aff,'SUIVI STOCKS PAR PAYSAN'!$G66,'BDD RESERVATIONS'!$B:$B,"&gt;"&amp;date_inventaire)</f>
        <v>0</v>
      </c>
      <c r="AN66" s="343">
        <f ca="1">SUMIFS(es_pieces,es_prod_type_affinage,'SUIVI STOCKS PAR PAYSAN'!$G66,es_date_entree,"&gt;"&amp;date_inventaire,es_taille,'SUIVI STOCKS PAR PAYSAN'!$AN$7)-SUMIFS(v_Pièces,v_Taille,'SUIVI STOCKS PAR PAYSAN'!$AN$7,v_conc_prod_tye_affinage,'SUIVI STOCKS PAR PAYSAN'!$G66,v_Date_commande,"&gt;"&amp;date_inventaire)</f>
        <v>0</v>
      </c>
      <c r="AO66" s="353">
        <f ca="1">SUMIFS(bddres_pieces,'BDD RESERVATIONS'!$G:$G,'SUIVI STOCKS PAR PAYSAN'!$AN$7,bddres_c_prod_type_aff,'SUIVI STOCKS PAR PAYSAN'!$G66,'BDD RESERVATIONS'!$B:$B,"&gt;"&amp;date_inventaire)</f>
        <v>0</v>
      </c>
      <c r="AP66" s="313">
        <f ca="1">SUMIFS(es_poids,es_prod_type_affinage,'SUIVI STOCKS PAR PAYSAN'!$H66,es_date_entree,"&gt;"&amp;date_inventaire)-SUMIFS(v_Poids,v_conc_prod_tye_affinage,'SUIVI STOCKS PAR PAYSAN'!$H66,v_Date_commande,"&gt;"&amp;date_inventaire)</f>
        <v>0</v>
      </c>
      <c r="AQ66" s="341">
        <f ca="1">SUMIFS(bddres_c_qte,bddres_c_prod_type_aff,'SUIVI STOCKS PAR PAYSAN'!H66,'BDD RESERVATIONS'!$B:$B,"&gt;"&amp;date_inventaire)</f>
        <v>0</v>
      </c>
      <c r="AR66" s="342">
        <f ca="1">SUMIFS(bddres_pieces,es_prod_type_affinage,'SUIVI STOCKS PAR PAYSAN'!$H66,es_date_entree,"&gt;"&amp;date_inventaire,es_taille,'SUIVI STOCKS PAR PAYSAN'!$AR$7)-SUMIFS(v_Pièces,v_Taille,'SUIVI STOCKS PAR PAYSAN'!$AR$7,v_conc_prod_tye_affinage,'SUIVI STOCKS PAR PAYSAN'!$H66,v_Date_commande,"&gt;"&amp;date_inventaire)</f>
        <v>0</v>
      </c>
      <c r="AS66" s="326">
        <f ca="1">SUMIFS(bddres_pieces,'BDD RESERVATIONS'!$G:$G,'SUIVI STOCKS PAR PAYSAN'!AR61,bddres_c_prod_type_aff,'SUIVI STOCKS PAR PAYSAN'!$H66,'BDD RESERVATIONS'!$B:$B,"&gt;"&amp;date_inventaire)</f>
        <v>0</v>
      </c>
      <c r="AT66" s="343">
        <f ca="1">SUMIFS(es_pieces,es_prod_type_affinage,'SUIVI STOCKS PAR PAYSAN'!$H66,es_date_entree,"&gt;"&amp;date_inventaire,es_taille,'SUIVI STOCKS PAR PAYSAN'!$AT$7)-SUMIFS(v_Pièces,v_Taille,'SUIVI STOCKS PAR PAYSAN'!$AT$7,v_conc_prod_tye_affinage,'SUIVI STOCKS PAR PAYSAN'!$H66,v_Date_commande,"&gt;"&amp;date_inventaire)</f>
        <v>0</v>
      </c>
      <c r="AU66" s="353">
        <f ca="1">SUMIFS(bddres_pieces,'BDD RESERVATIONS'!$G:$G,'SUIVI STOCKS PAR PAYSAN'!$AT$7,bddres_c_prod_type_aff,'SUIVI STOCKS PAR PAYSAN'!$H66,'BDD RESERVATIONS'!$B:$B,"&gt;"&amp;date_inventaire)</f>
        <v>0</v>
      </c>
      <c r="AV66" s="313">
        <f ca="1">SUMIFS(es_poids,es_prod_type_affinage,'SUIVI STOCKS PAR PAYSAN'!$I66,es_date_entree,"&gt;"&amp;date_inventaire)-SUMIFS(v_Poids,v_conc_prod_tye_affinage,'SUIVI STOCKS PAR PAYSAN'!$E66,v_Date_commande,"&gt;"&amp;date_inventaire)</f>
        <v>0</v>
      </c>
      <c r="AW66" s="313">
        <f ca="1">SUMIFS(bddres_c_qte,bddres_c_prod_type_aff,'SUIVI STOCKS PAR PAYSAN'!I66,'BDD RESERVATIONS'!$B:$B,"&gt;"&amp;date_inventaire)</f>
        <v>0</v>
      </c>
      <c r="AX66" s="342">
        <f ca="1">SUMIFS(bddres_pieces,es_prod_type_affinage,'SUIVI STOCKS PAR PAYSAN'!$I66,es_date_entree,"&gt;"&amp;date_inventaire,es_taille,'SUIVI STOCKS PAR PAYSAN'!$AX$7)-SUMIFS(v_Pièces,v_Taille,'SUIVI STOCKS PAR PAYSAN'!$AX$7,v_conc_prod_tye_affinage,'SUIVI STOCKS PAR PAYSAN'!$I66,v_Date_commande,"&gt;"&amp;date_inventaire)</f>
        <v>0</v>
      </c>
      <c r="AY66" s="342">
        <f ca="1">SUMIFS(bddres_pieces,'BDD RESERVATIONS'!$G:$G,'SUIVI STOCKS PAR PAYSAN'!$AX$7,bddres_c_prod_type_aff,'SUIVI STOCKS PAR PAYSAN'!$I66,'BDD RESERVATIONS'!$B:$B,"&gt;"&amp;date_inventaire)</f>
        <v>0</v>
      </c>
      <c r="AZ66" s="343">
        <f ca="1">SUMIFS(es_pieces,es_prod_type_affinage,'SUIVI STOCKS PAR PAYSAN'!$I66,es_date_entree,"&gt;"&amp;date_inventaire,es_taille,'SUIVI STOCKS PAR PAYSAN'!$AZ$7)-SUMIFS(v_Pièces,v_Taille,'SUIVI STOCKS PAR PAYSAN'!$AZ$7,v_conc_prod_tye_affinage,'SUIVI STOCKS PAR PAYSAN'!$I66,v_Date_commande,"&gt;"&amp;date_inventaire)</f>
        <v>0</v>
      </c>
      <c r="BA66" s="353">
        <f ca="1">SUMIFS(bddres_pieces,'BDD RESERVATIONS'!$G:$G,'SUIVI STOCKS PAR PAYSAN'!$AZ$7,bddres_c_prod_type_aff,'SUIVI STOCKS PAR PAYSAN'!$I66,'BDD RESERVATIONS'!$B:$B,"&gt;"&amp;date_inventaire)</f>
        <v>0</v>
      </c>
      <c r="BB66" s="313">
        <f ca="1">SUMIFS(es_poids,es_prod_type_affinage,'SUIVI STOCKS PAR PAYSAN'!$J66,es_date_entree,"&gt;"&amp;date_inventaire)-SUMIFS(v_Poids,v_conc_prod_tye_affinage,'SUIVI STOCKS PAR PAYSAN'!$J66,v_Date_commande,"&gt;"&amp;date_inventaire)</f>
        <v>0</v>
      </c>
      <c r="BC66" s="313">
        <f ca="1">SUMIFS(bddres_c_qte,bddres_c_prod_type_aff,'SUIVI STOCKS PAR PAYSAN'!J66,'BDD RESERVATIONS'!$B:$B,"&gt;"&amp;date_inventaire)</f>
        <v>0</v>
      </c>
      <c r="BD66" s="342">
        <f ca="1">SUMIFS(bddres_pieces,es_prod_type_affinage,'SUIVI STOCKS PAR PAYSAN'!$J66,es_date_entree,"&gt;"&amp;date_inventaire,es_taille,'SUIVI STOCKS PAR PAYSAN'!$BD$7)-SUMIFS(v_Pièces,v_Taille,'SUIVI STOCKS PAR PAYSAN'!$BD$7,v_conc_prod_tye_affinage,'SUIVI STOCKS PAR PAYSAN'!$J66,v_Date_commande,"&gt;"&amp;date_inventaire)</f>
        <v>0</v>
      </c>
      <c r="BE66" s="326">
        <f ca="1">SUMIFS(bddres_pieces,'BDD RESERVATIONS'!$G:$G,'SUIVI STOCKS PAR PAYSAN'!BD61,bddres_c_prod_type_aff,'SUIVI STOCKS PAR PAYSAN'!J66,'BDD RESERVATIONS'!$B:$B,"&gt;"&amp;date_inventaire)</f>
        <v>0</v>
      </c>
      <c r="BF66" s="343">
        <f ca="1">SUMIFS(es_pieces,es_prod_type_affinage,'SUIVI STOCKS PAR PAYSAN'!J66,es_date_entree,"&gt;"&amp;date_inventaire,es_taille,'SUIVI STOCKS PAR PAYSAN'!$BF$7)-SUMIFS(v_Pièces,v_Taille,'SUIVI STOCKS PAR PAYSAN'!$BF$7,v_conc_prod_tye_affinage,'SUIVI STOCKS PAR PAYSAN'!J66,v_Date_commande,"&gt;"&amp;date_inventaire)</f>
        <v>0</v>
      </c>
      <c r="BG66" s="353">
        <f ca="1">SUMIFS(bddres_pieces,'BDD RESERVATIONS'!$G:$G,'SUIVI STOCKS PAR PAYSAN'!$BF$7,bddres_c_prod_type_aff,'SUIVI STOCKS PAR PAYSAN'!J66,'BDD RESERVATIONS'!$B:$B,"&gt;"&amp;date_inventaire)</f>
        <v>0</v>
      </c>
    </row>
    <row r="67" spans="1:59" ht="18.75" customHeight="1" x14ac:dyDescent="0.25">
      <c r="A67" s="331">
        <f ca="1">OFFSET('BDD PAYSANS'!$B$1,B67,0,1,1)</f>
        <v>0</v>
      </c>
      <c r="B67" s="325">
        <v>56</v>
      </c>
      <c r="C67" s="325" t="str">
        <f t="shared" ca="1" si="3"/>
        <v>0FERMIER&lt;3 mois</v>
      </c>
      <c r="D67" s="325" t="str">
        <f t="shared" ca="1" si="3"/>
        <v>0FERMIER3-6 mois</v>
      </c>
      <c r="E67" s="325" t="str">
        <f t="shared" ca="1" si="3"/>
        <v>0FERMIER6-9 mois</v>
      </c>
      <c r="F67" s="325" t="str">
        <f t="shared" ca="1" si="3"/>
        <v>0FERMIER&gt;9 mois</v>
      </c>
      <c r="G67" s="325" t="str">
        <f t="shared" ca="1" si="3"/>
        <v>0ESTIVE&lt;3 mois</v>
      </c>
      <c r="H67" s="325" t="str">
        <f t="shared" ca="1" si="3"/>
        <v>0ESTIVE3-6 mois</v>
      </c>
      <c r="I67" s="325" t="str">
        <f t="shared" ca="1" si="3"/>
        <v>0ESTIVE6-9 mois</v>
      </c>
      <c r="J67" s="325" t="str">
        <f t="shared" ca="1" si="3"/>
        <v>0ESTIVE&gt;9 mois</v>
      </c>
      <c r="K67" s="325"/>
      <c r="L67" s="352">
        <f ca="1">SUMIFS(es_poids,es_prod_type_affinage,'SUIVI STOCKS PAR PAYSAN'!$C67,es_date_entree,"&gt;"&amp;date_inventaire)-SUMIFS(v_Poids,v_conc_prod_tye_affinage,'SUIVI STOCKS PAR PAYSAN'!$C67,v_Date_commande,"&gt;"&amp;date_inventaire)</f>
        <v>0</v>
      </c>
      <c r="M67" s="341">
        <f ca="1">SUMIFS(bddres_c_qte,bddres_c_prod_type_aff,'SUIVI STOCKS PAR PAYSAN'!C67,'BDD RESERVATIONS'!$B:$B,"&gt;"&amp;date_inventaire)</f>
        <v>0</v>
      </c>
      <c r="N67" s="342">
        <f ca="1">SUMIFS(bddres_pieces,es_prod_type_affinage,'SUIVI STOCKS PAR PAYSAN'!$C67,es_date_entree,"&gt;"&amp;date_inventaire,es_taille,'SUIVI STOCKS PAR PAYSAN'!$N$7)-SUMIFS(v_Pièces,v_Taille,'SUIVI STOCKS PAR PAYSAN'!$N$7,v_conc_prod_tye_affinage,'SUIVI STOCKS PAR PAYSAN'!$C67,v_Date_commande,"&gt;"&amp;date_inventaire)</f>
        <v>0</v>
      </c>
      <c r="O67" s="342">
        <f ca="1">SUMIFS(bddres_pieces,'BDD RESERVATIONS'!$G:$G,'SUIVI STOCKS PAR PAYSAN'!$N$7,bddres_c_prod_type_aff,'SUIVI STOCKS PAR PAYSAN'!$C67,'BDD RESERVATIONS'!$B:$B,"&gt;"&amp;date_inventaire)</f>
        <v>0</v>
      </c>
      <c r="P67" s="343">
        <f ca="1">SUMIFS(es_pieces,es_prod_type_affinage,'SUIVI STOCKS PAR PAYSAN'!$C67,es_date_entree,"&gt;"&amp;date_inventaire,es_taille,'SUIVI STOCKS PAR PAYSAN'!$P$7)-SUMIFS(v_Pièces,v_Taille,'SUIVI STOCKS PAR PAYSAN'!$P$7,v_conc_prod_tye_affinage,'SUIVI STOCKS PAR PAYSAN'!$C67,v_Date_commande,"&gt;"&amp;date_inventaire)</f>
        <v>0</v>
      </c>
      <c r="Q67" s="353">
        <f ca="1">SUMIFS(bddres_pieces,'BDD RESERVATIONS'!$G:$G,'SUIVI STOCKS PAR PAYSAN'!$P$7,bddres_c_prod_type_aff,'SUIVI STOCKS PAR PAYSAN'!$C67,'BDD RESERVATIONS'!$B:$B,"&gt;"&amp;date_inventaire)</f>
        <v>0</v>
      </c>
      <c r="R67" s="340">
        <f ca="1">SUMIFS(es_poids,es_prod_type_affinage,'SUIVI STOCKS PAR PAYSAN'!$D67,es_date_entree,"&gt;"&amp;date_inventaire)-SUMIFS(v_Poids,v_conc_prod_tye_affinage,'SUIVI STOCKS PAR PAYSAN'!$D67,v_Date_commande,"&gt;"&amp;date_inventaire)</f>
        <v>0</v>
      </c>
      <c r="S67" s="341">
        <f ca="1">SUMIFS(bddres_c_qte,bddres_c_prod_type_aff,'SUIVI STOCKS PAR PAYSAN'!D67,'BDD RESERVATIONS'!$B:$B,"&gt;"&amp;date_inventaire)</f>
        <v>0</v>
      </c>
      <c r="T67" s="342">
        <f ca="1">SUMIFS(bddres_pieces,es_prod_type_affinage,'SUIVI STOCKS PAR PAYSAN'!$D67,es_date_entree,"&gt;"&amp;date_inventaire,es_taille,'SUIVI STOCKS PAR PAYSAN'!$T$7)-SUMIFS(v_Pièces,v_Taille,'SUIVI STOCKS PAR PAYSAN'!$T$7,v_conc_prod_tye_affinage,'SUIVI STOCKS PAR PAYSAN'!$D67,v_Date_commande,"&gt;"&amp;date_inventaire)</f>
        <v>0</v>
      </c>
      <c r="U67" s="342">
        <f ca="1">SUMIFS(bddres_pieces,'BDD RESERVATIONS'!$G:$G,'SUIVI STOCKS PAR PAYSAN'!$T$7,bddres_c_prod_type_aff,'SUIVI STOCKS PAR PAYSAN'!$D67,'BDD RESERVATIONS'!$B:$B,"&gt;"&amp;date_inventaire)</f>
        <v>0</v>
      </c>
      <c r="V67" s="343">
        <f ca="1">SUMIFS(es_pieces,es_prod_type_affinage,'SUIVI STOCKS PAR PAYSAN'!$D67,es_date_entree,"&gt;"&amp;date_inventaire,es_taille,'SUIVI STOCKS PAR PAYSAN'!$V$7)-SUMIFS(v_Pièces,v_Taille,'SUIVI STOCKS PAR PAYSAN'!$V$7,v_conc_prod_tye_affinage,'SUIVI STOCKS PAR PAYSAN'!$D67,v_Date_commande,"&gt;"&amp;date_inventaire)</f>
        <v>0</v>
      </c>
      <c r="W67" s="353">
        <f ca="1">SUMIFS(bddres_pieces,'BDD RESERVATIONS'!$G:$G,'SUIVI STOCKS PAR PAYSAN'!$V$7,bddres_c_prod_type_aff,'SUIVI STOCKS PAR PAYSAN'!$D67,'BDD RESERVATIONS'!$B:$B,"&gt;"&amp;date_inventaire)</f>
        <v>0</v>
      </c>
      <c r="X67" s="313">
        <f ca="1">SUMIFS(es_poids,es_prod_type_affinage,'SUIVI STOCKS PAR PAYSAN'!$E67,es_date_entree,"&gt;"&amp;date_inventaire)-SUMIFS(v_Poids,v_conc_prod_tye_affinage,'SUIVI STOCKS PAR PAYSAN'!$E67,v_Date_commande,"&gt;"&amp;date_inventaire)</f>
        <v>0</v>
      </c>
      <c r="Y67" s="341">
        <f ca="1">SUMIFS(bddres_c_qte,bddres_c_prod_type_aff,'SUIVI STOCKS PAR PAYSAN'!E67,'BDD RESERVATIONS'!$B:$B,"&gt;"&amp;date_inventaire)</f>
        <v>0</v>
      </c>
      <c r="Z67" s="342">
        <f ca="1">SUMIFS(bddres_pieces,es_prod_type_affinage,'SUIVI STOCKS PAR PAYSAN'!$E67,es_date_entree,"&gt;"&amp;date_inventaire,es_taille,'SUIVI STOCKS PAR PAYSAN'!$Z$7)-SUMIFS(v_Pièces,v_Taille,'SUIVI STOCKS PAR PAYSAN'!$Z$7,v_conc_prod_tye_affinage,'SUIVI STOCKS PAR PAYSAN'!$E67,v_Date_commande,"&gt;"&amp;date_inventaire)</f>
        <v>0</v>
      </c>
      <c r="AA67" s="342">
        <f ca="1">SUMIFS(bddres_pieces,'BDD RESERVATIONS'!$G:$G,'SUIVI STOCKS PAR PAYSAN'!$Z$7,bddres_c_prod_type_aff,'SUIVI STOCKS PAR PAYSAN'!$E67,'BDD RESERVATIONS'!$B:$B,"&gt;"&amp;date_inventaire)</f>
        <v>0</v>
      </c>
      <c r="AB67" s="343">
        <f ca="1">SUMIFS(es_pieces,es_prod_type_affinage,'SUIVI STOCKS PAR PAYSAN'!$E67,es_date_entree,"&gt;"&amp;date_inventaire,es_taille,'SUIVI STOCKS PAR PAYSAN'!$AB$7)-SUMIFS(v_Pièces,v_Taille,'SUIVI STOCKS PAR PAYSAN'!$AB$7,v_conc_prod_tye_affinage,'SUIVI STOCKS PAR PAYSAN'!$E67,v_Date_commande,"&gt;"&amp;date_inventaire)</f>
        <v>0</v>
      </c>
      <c r="AC67" s="353">
        <f ca="1">SUMIFS(bddres_pieces,'BDD RESERVATIONS'!$G:$G,'SUIVI STOCKS PAR PAYSAN'!$AB$7,bddres_c_prod_type_aff,'SUIVI STOCKS PAR PAYSAN'!$E67,'BDD RESERVATIONS'!$B:$B,"&gt;"&amp;date_inventaire)</f>
        <v>0</v>
      </c>
      <c r="AD67" s="313">
        <f ca="1">SUMIFS(es_poids,es_prod_type_affinage,'SUIVI STOCKS PAR PAYSAN'!$F67,es_date_entree,"&gt;"&amp;date_inventaire)-SUMIFS(v_Poids,v_conc_prod_tye_affinage,'SUIVI STOCKS PAR PAYSAN'!$F67,v_Date_commande,"&gt;"&amp;date_inventaire)</f>
        <v>0</v>
      </c>
      <c r="AE67" s="341">
        <f ca="1">SUMIFS(bddres_c_qte,bddres_c_prod_type_aff,'SUIVI STOCKS PAR PAYSAN'!F67,'BDD RESERVATIONS'!$B:$B,"&gt;"&amp;date_inventaire)</f>
        <v>0</v>
      </c>
      <c r="AF67" s="342">
        <f ca="1">SUMIFS(bddres_pieces,es_prod_type_affinage,'SUIVI STOCKS PAR PAYSAN'!$F67,es_date_entree,"&gt;"&amp;date_inventaire,es_taille,'SUIVI STOCKS PAR PAYSAN'!$Z$7)-SUMIFS(v_Pièces,v_Taille,'SUIVI STOCKS PAR PAYSAN'!$Z$7,v_conc_prod_tye_affinage,'SUIVI STOCKS PAR PAYSAN'!$F67,v_Date_commande,"&gt;"&amp;date_inventaire)</f>
        <v>0</v>
      </c>
      <c r="AG67" s="342">
        <f ca="1">SUMIFS(bddres_pieces,'BDD RESERVATIONS'!$G:$G,'SUIVI STOCKS PAR PAYSAN'!$Z$7,bddres_c_prod_type_aff,'SUIVI STOCKS PAR PAYSAN'!$F67,'BDD RESERVATIONS'!$B:$B,"&gt;"&amp;date_inventaire)</f>
        <v>0</v>
      </c>
      <c r="AH67" s="343">
        <f ca="1">SUMIFS(es_pieces,es_prod_type_affinage,'SUIVI STOCKS PAR PAYSAN'!$F67,es_date_entree,"&gt;"&amp;date_inventaire,es_taille,'SUIVI STOCKS PAR PAYSAN'!$AH$7)-SUMIFS(v_Pièces,v_Taille,'SUIVI STOCKS PAR PAYSAN'!$AH$7,v_conc_prod_tye_affinage,'SUIVI STOCKS PAR PAYSAN'!$F67,v_Date_commande,"&gt;"&amp;date_inventaire)</f>
        <v>0</v>
      </c>
      <c r="AI67" s="353">
        <f ca="1">SUMIFS(bddres_pieces,'BDD RESERVATIONS'!$G:$G,'SUIVI STOCKS PAR PAYSAN'!$AB$7,bddres_c_prod_type_aff,'SUIVI STOCKS PAR PAYSAN'!$F67,'BDD RESERVATIONS'!$B:$B,"&gt;"&amp;date_inventaire)</f>
        <v>0</v>
      </c>
      <c r="AJ67" s="352">
        <f ca="1">SUMIFS(es_poids,es_prod_type_affinage,'SUIVI STOCKS PAR PAYSAN'!$G67,es_date_entree,"&gt;"&amp;date_inventaire)-SUMIFS(v_Poids,v_conc_prod_tye_affinage,'SUIVI STOCKS PAR PAYSAN'!$G67,v_Date_commande,"&gt;"&amp;date_inventaire)</f>
        <v>0</v>
      </c>
      <c r="AK67" s="341">
        <f ca="1">SUMIFS(bddres_c_qte,bddres_c_prod_type_aff,'SUIVI STOCKS PAR PAYSAN'!G67,'BDD RESERVATIONS'!$B:$B,"&gt;"&amp;date_inventaire)</f>
        <v>0</v>
      </c>
      <c r="AL67" s="342">
        <f ca="1">SUMIFS(bddres_pieces,es_prod_type_affinage,'SUIVI STOCKS PAR PAYSAN'!$G67,es_date_entree,"&gt;"&amp;date_inventaire,es_taille,'SUIVI STOCKS PAR PAYSAN'!$AL$7)-SUMIFS(v_Pièces,v_Taille,'SUIVI STOCKS PAR PAYSAN'!$AL$7,v_conc_prod_tye_affinage,'SUIVI STOCKS PAR PAYSAN'!$G67,v_Date_commande,"&gt;"&amp;date_inventaire)</f>
        <v>0</v>
      </c>
      <c r="AM67" s="342">
        <f ca="1">SUMIFS(bddres_pieces,'BDD RESERVATIONS'!$G:$G,'SUIVI STOCKS PAR PAYSAN'!$AL$7,bddres_c_prod_type_aff,'SUIVI STOCKS PAR PAYSAN'!$G67,'BDD RESERVATIONS'!$B:$B,"&gt;"&amp;date_inventaire)</f>
        <v>0</v>
      </c>
      <c r="AN67" s="343">
        <f ca="1">SUMIFS(es_pieces,es_prod_type_affinage,'SUIVI STOCKS PAR PAYSAN'!$G67,es_date_entree,"&gt;"&amp;date_inventaire,es_taille,'SUIVI STOCKS PAR PAYSAN'!$AN$7)-SUMIFS(v_Pièces,v_Taille,'SUIVI STOCKS PAR PAYSAN'!$AN$7,v_conc_prod_tye_affinage,'SUIVI STOCKS PAR PAYSAN'!$G67,v_Date_commande,"&gt;"&amp;date_inventaire)</f>
        <v>0</v>
      </c>
      <c r="AO67" s="353">
        <f ca="1">SUMIFS(bddres_pieces,'BDD RESERVATIONS'!$G:$G,'SUIVI STOCKS PAR PAYSAN'!$AN$7,bddres_c_prod_type_aff,'SUIVI STOCKS PAR PAYSAN'!$G67,'BDD RESERVATIONS'!$B:$B,"&gt;"&amp;date_inventaire)</f>
        <v>0</v>
      </c>
      <c r="AP67" s="313">
        <f ca="1">SUMIFS(es_poids,es_prod_type_affinage,'SUIVI STOCKS PAR PAYSAN'!$H67,es_date_entree,"&gt;"&amp;date_inventaire)-SUMIFS(v_Poids,v_conc_prod_tye_affinage,'SUIVI STOCKS PAR PAYSAN'!$H67,v_Date_commande,"&gt;"&amp;date_inventaire)</f>
        <v>0</v>
      </c>
      <c r="AQ67" s="341">
        <f ca="1">SUMIFS(bddres_c_qte,bddres_c_prod_type_aff,'SUIVI STOCKS PAR PAYSAN'!H67,'BDD RESERVATIONS'!$B:$B,"&gt;"&amp;date_inventaire)</f>
        <v>0</v>
      </c>
      <c r="AR67" s="342">
        <f ca="1">SUMIFS(bddres_pieces,es_prod_type_affinage,'SUIVI STOCKS PAR PAYSAN'!$H67,es_date_entree,"&gt;"&amp;date_inventaire,es_taille,'SUIVI STOCKS PAR PAYSAN'!$AR$7)-SUMIFS(v_Pièces,v_Taille,'SUIVI STOCKS PAR PAYSAN'!$AR$7,v_conc_prod_tye_affinage,'SUIVI STOCKS PAR PAYSAN'!$H67,v_Date_commande,"&gt;"&amp;date_inventaire)</f>
        <v>0</v>
      </c>
      <c r="AS67" s="326">
        <f ca="1">SUMIFS(bddres_pieces,'BDD RESERVATIONS'!$G:$G,'SUIVI STOCKS PAR PAYSAN'!AR62,bddres_c_prod_type_aff,'SUIVI STOCKS PAR PAYSAN'!$H67,'BDD RESERVATIONS'!$B:$B,"&gt;"&amp;date_inventaire)</f>
        <v>0</v>
      </c>
      <c r="AT67" s="343">
        <f ca="1">SUMIFS(es_pieces,es_prod_type_affinage,'SUIVI STOCKS PAR PAYSAN'!$H67,es_date_entree,"&gt;"&amp;date_inventaire,es_taille,'SUIVI STOCKS PAR PAYSAN'!$AT$7)-SUMIFS(v_Pièces,v_Taille,'SUIVI STOCKS PAR PAYSAN'!$AT$7,v_conc_prod_tye_affinage,'SUIVI STOCKS PAR PAYSAN'!$H67,v_Date_commande,"&gt;"&amp;date_inventaire)</f>
        <v>0</v>
      </c>
      <c r="AU67" s="353">
        <f ca="1">SUMIFS(bddres_pieces,'BDD RESERVATIONS'!$G:$G,'SUIVI STOCKS PAR PAYSAN'!$AT$7,bddres_c_prod_type_aff,'SUIVI STOCKS PAR PAYSAN'!$H67,'BDD RESERVATIONS'!$B:$B,"&gt;"&amp;date_inventaire)</f>
        <v>0</v>
      </c>
      <c r="AV67" s="313">
        <f ca="1">SUMIFS(es_poids,es_prod_type_affinage,'SUIVI STOCKS PAR PAYSAN'!$I67,es_date_entree,"&gt;"&amp;date_inventaire)-SUMIFS(v_Poids,v_conc_prod_tye_affinage,'SUIVI STOCKS PAR PAYSAN'!$E67,v_Date_commande,"&gt;"&amp;date_inventaire)</f>
        <v>0</v>
      </c>
      <c r="AW67" s="313">
        <f ca="1">SUMIFS(bddres_c_qte,bddres_c_prod_type_aff,'SUIVI STOCKS PAR PAYSAN'!I67,'BDD RESERVATIONS'!$B:$B,"&gt;"&amp;date_inventaire)</f>
        <v>0</v>
      </c>
      <c r="AX67" s="342">
        <f ca="1">SUMIFS(bddres_pieces,es_prod_type_affinage,'SUIVI STOCKS PAR PAYSAN'!$I67,es_date_entree,"&gt;"&amp;date_inventaire,es_taille,'SUIVI STOCKS PAR PAYSAN'!$AX$7)-SUMIFS(v_Pièces,v_Taille,'SUIVI STOCKS PAR PAYSAN'!$AX$7,v_conc_prod_tye_affinage,'SUIVI STOCKS PAR PAYSAN'!$I67,v_Date_commande,"&gt;"&amp;date_inventaire)</f>
        <v>0</v>
      </c>
      <c r="AY67" s="342">
        <f ca="1">SUMIFS(bddres_pieces,'BDD RESERVATIONS'!$G:$G,'SUIVI STOCKS PAR PAYSAN'!$AX$7,bddres_c_prod_type_aff,'SUIVI STOCKS PAR PAYSAN'!$I67,'BDD RESERVATIONS'!$B:$B,"&gt;"&amp;date_inventaire)</f>
        <v>0</v>
      </c>
      <c r="AZ67" s="343">
        <f ca="1">SUMIFS(es_pieces,es_prod_type_affinage,'SUIVI STOCKS PAR PAYSAN'!$I67,es_date_entree,"&gt;"&amp;date_inventaire,es_taille,'SUIVI STOCKS PAR PAYSAN'!$AZ$7)-SUMIFS(v_Pièces,v_Taille,'SUIVI STOCKS PAR PAYSAN'!$AZ$7,v_conc_prod_tye_affinage,'SUIVI STOCKS PAR PAYSAN'!$I67,v_Date_commande,"&gt;"&amp;date_inventaire)</f>
        <v>0</v>
      </c>
      <c r="BA67" s="353">
        <f ca="1">SUMIFS(bddres_pieces,'BDD RESERVATIONS'!$G:$G,'SUIVI STOCKS PAR PAYSAN'!$AZ$7,bddres_c_prod_type_aff,'SUIVI STOCKS PAR PAYSAN'!$I67,'BDD RESERVATIONS'!$B:$B,"&gt;"&amp;date_inventaire)</f>
        <v>0</v>
      </c>
      <c r="BB67" s="313">
        <f ca="1">SUMIFS(es_poids,es_prod_type_affinage,'SUIVI STOCKS PAR PAYSAN'!$J67,es_date_entree,"&gt;"&amp;date_inventaire)-SUMIFS(v_Poids,v_conc_prod_tye_affinage,'SUIVI STOCKS PAR PAYSAN'!$J67,v_Date_commande,"&gt;"&amp;date_inventaire)</f>
        <v>0</v>
      </c>
      <c r="BC67" s="313">
        <f ca="1">SUMIFS(bddres_c_qte,bddres_c_prod_type_aff,'SUIVI STOCKS PAR PAYSAN'!J67,'BDD RESERVATIONS'!$B:$B,"&gt;"&amp;date_inventaire)</f>
        <v>0</v>
      </c>
      <c r="BD67" s="342">
        <f ca="1">SUMIFS(bddres_pieces,es_prod_type_affinage,'SUIVI STOCKS PAR PAYSAN'!$J67,es_date_entree,"&gt;"&amp;date_inventaire,es_taille,'SUIVI STOCKS PAR PAYSAN'!$BD$7)-SUMIFS(v_Pièces,v_Taille,'SUIVI STOCKS PAR PAYSAN'!$BD$7,v_conc_prod_tye_affinage,'SUIVI STOCKS PAR PAYSAN'!$J67,v_Date_commande,"&gt;"&amp;date_inventaire)</f>
        <v>0</v>
      </c>
      <c r="BE67" s="326">
        <f ca="1">SUMIFS(bddres_pieces,'BDD RESERVATIONS'!$G:$G,'SUIVI STOCKS PAR PAYSAN'!BD62,bddres_c_prod_type_aff,'SUIVI STOCKS PAR PAYSAN'!J67,'BDD RESERVATIONS'!$B:$B,"&gt;"&amp;date_inventaire)</f>
        <v>0</v>
      </c>
      <c r="BF67" s="343">
        <f ca="1">SUMIFS(es_pieces,es_prod_type_affinage,'SUIVI STOCKS PAR PAYSAN'!J67,es_date_entree,"&gt;"&amp;date_inventaire,es_taille,'SUIVI STOCKS PAR PAYSAN'!$BF$7)-SUMIFS(v_Pièces,v_Taille,'SUIVI STOCKS PAR PAYSAN'!$BF$7,v_conc_prod_tye_affinage,'SUIVI STOCKS PAR PAYSAN'!J67,v_Date_commande,"&gt;"&amp;date_inventaire)</f>
        <v>0</v>
      </c>
      <c r="BG67" s="353">
        <f ca="1">SUMIFS(bddres_pieces,'BDD RESERVATIONS'!$G:$G,'SUIVI STOCKS PAR PAYSAN'!$BF$7,bddres_c_prod_type_aff,'SUIVI STOCKS PAR PAYSAN'!J67,'BDD RESERVATIONS'!$B:$B,"&gt;"&amp;date_inventaire)</f>
        <v>0</v>
      </c>
    </row>
    <row r="68" spans="1:59" ht="18.75" customHeight="1" x14ac:dyDescent="0.25">
      <c r="A68" s="331">
        <f ca="1">OFFSET('BDD PAYSANS'!$B$1,B68,0,1,1)</f>
        <v>0</v>
      </c>
      <c r="B68" s="325">
        <v>57</v>
      </c>
      <c r="C68" s="325" t="str">
        <f t="shared" ca="1" si="3"/>
        <v>0FERMIER&lt;3 mois</v>
      </c>
      <c r="D68" s="325" t="str">
        <f t="shared" ca="1" si="3"/>
        <v>0FERMIER3-6 mois</v>
      </c>
      <c r="E68" s="325" t="str">
        <f t="shared" ca="1" si="3"/>
        <v>0FERMIER6-9 mois</v>
      </c>
      <c r="F68" s="325" t="str">
        <f t="shared" ca="1" si="3"/>
        <v>0FERMIER&gt;9 mois</v>
      </c>
      <c r="G68" s="325" t="str">
        <f t="shared" ca="1" si="3"/>
        <v>0ESTIVE&lt;3 mois</v>
      </c>
      <c r="H68" s="325" t="str">
        <f t="shared" ca="1" si="3"/>
        <v>0ESTIVE3-6 mois</v>
      </c>
      <c r="I68" s="325" t="str">
        <f t="shared" ca="1" si="3"/>
        <v>0ESTIVE6-9 mois</v>
      </c>
      <c r="J68" s="325" t="str">
        <f t="shared" ca="1" si="3"/>
        <v>0ESTIVE&gt;9 mois</v>
      </c>
      <c r="K68" s="325"/>
      <c r="L68" s="352">
        <f ca="1">SUMIFS(es_poids,es_prod_type_affinage,'SUIVI STOCKS PAR PAYSAN'!$C68,es_date_entree,"&gt;"&amp;date_inventaire)-SUMIFS(v_Poids,v_conc_prod_tye_affinage,'SUIVI STOCKS PAR PAYSAN'!$C68,v_Date_commande,"&gt;"&amp;date_inventaire)</f>
        <v>0</v>
      </c>
      <c r="M68" s="341">
        <f ca="1">SUMIFS(bddres_c_qte,bddres_c_prod_type_aff,'SUIVI STOCKS PAR PAYSAN'!C68,'BDD RESERVATIONS'!$B:$B,"&gt;"&amp;date_inventaire)</f>
        <v>0</v>
      </c>
      <c r="N68" s="342">
        <f ca="1">SUMIFS(bddres_pieces,es_prod_type_affinage,'SUIVI STOCKS PAR PAYSAN'!$C68,es_date_entree,"&gt;"&amp;date_inventaire,es_taille,'SUIVI STOCKS PAR PAYSAN'!$N$7)-SUMIFS(v_Pièces,v_Taille,'SUIVI STOCKS PAR PAYSAN'!$N$7,v_conc_prod_tye_affinage,'SUIVI STOCKS PAR PAYSAN'!$C68,v_Date_commande,"&gt;"&amp;date_inventaire)</f>
        <v>0</v>
      </c>
      <c r="O68" s="342">
        <f ca="1">SUMIFS(bddres_pieces,'BDD RESERVATIONS'!$G:$G,'SUIVI STOCKS PAR PAYSAN'!$N$7,bddres_c_prod_type_aff,'SUIVI STOCKS PAR PAYSAN'!$C68,'BDD RESERVATIONS'!$B:$B,"&gt;"&amp;date_inventaire)</f>
        <v>0</v>
      </c>
      <c r="P68" s="343">
        <f ca="1">SUMIFS(es_pieces,es_prod_type_affinage,'SUIVI STOCKS PAR PAYSAN'!$C68,es_date_entree,"&gt;"&amp;date_inventaire,es_taille,'SUIVI STOCKS PAR PAYSAN'!$P$7)-SUMIFS(v_Pièces,v_Taille,'SUIVI STOCKS PAR PAYSAN'!$P$7,v_conc_prod_tye_affinage,'SUIVI STOCKS PAR PAYSAN'!$C68,v_Date_commande,"&gt;"&amp;date_inventaire)</f>
        <v>0</v>
      </c>
      <c r="Q68" s="353">
        <f ca="1">SUMIFS(bddres_pieces,'BDD RESERVATIONS'!$G:$G,'SUIVI STOCKS PAR PAYSAN'!$P$7,bddres_c_prod_type_aff,'SUIVI STOCKS PAR PAYSAN'!$C68,'BDD RESERVATIONS'!$B:$B,"&gt;"&amp;date_inventaire)</f>
        <v>0</v>
      </c>
      <c r="R68" s="340">
        <f ca="1">SUMIFS(es_poids,es_prod_type_affinage,'SUIVI STOCKS PAR PAYSAN'!$D68,es_date_entree,"&gt;"&amp;date_inventaire)-SUMIFS(v_Poids,v_conc_prod_tye_affinage,'SUIVI STOCKS PAR PAYSAN'!$D68,v_Date_commande,"&gt;"&amp;date_inventaire)</f>
        <v>0</v>
      </c>
      <c r="S68" s="341">
        <f ca="1">SUMIFS(bddres_c_qte,bddres_c_prod_type_aff,'SUIVI STOCKS PAR PAYSAN'!D68,'BDD RESERVATIONS'!$B:$B,"&gt;"&amp;date_inventaire)</f>
        <v>0</v>
      </c>
      <c r="T68" s="342">
        <f ca="1">SUMIFS(bddres_pieces,es_prod_type_affinage,'SUIVI STOCKS PAR PAYSAN'!$D68,es_date_entree,"&gt;"&amp;date_inventaire,es_taille,'SUIVI STOCKS PAR PAYSAN'!$T$7)-SUMIFS(v_Pièces,v_Taille,'SUIVI STOCKS PAR PAYSAN'!$T$7,v_conc_prod_tye_affinage,'SUIVI STOCKS PAR PAYSAN'!$D68,v_Date_commande,"&gt;"&amp;date_inventaire)</f>
        <v>0</v>
      </c>
      <c r="U68" s="342">
        <f ca="1">SUMIFS(bddres_pieces,'BDD RESERVATIONS'!$G:$G,'SUIVI STOCKS PAR PAYSAN'!$T$7,bddres_c_prod_type_aff,'SUIVI STOCKS PAR PAYSAN'!$D68,'BDD RESERVATIONS'!$B:$B,"&gt;"&amp;date_inventaire)</f>
        <v>0</v>
      </c>
      <c r="V68" s="343">
        <f ca="1">SUMIFS(es_pieces,es_prod_type_affinage,'SUIVI STOCKS PAR PAYSAN'!$D68,es_date_entree,"&gt;"&amp;date_inventaire,es_taille,'SUIVI STOCKS PAR PAYSAN'!$V$7)-SUMIFS(v_Pièces,v_Taille,'SUIVI STOCKS PAR PAYSAN'!$V$7,v_conc_prod_tye_affinage,'SUIVI STOCKS PAR PAYSAN'!$D68,v_Date_commande,"&gt;"&amp;date_inventaire)</f>
        <v>0</v>
      </c>
      <c r="W68" s="353">
        <f ca="1">SUMIFS(bddres_pieces,'BDD RESERVATIONS'!$G:$G,'SUIVI STOCKS PAR PAYSAN'!$V$7,bddres_c_prod_type_aff,'SUIVI STOCKS PAR PAYSAN'!$D68,'BDD RESERVATIONS'!$B:$B,"&gt;"&amp;date_inventaire)</f>
        <v>0</v>
      </c>
      <c r="X68" s="313">
        <f ca="1">SUMIFS(es_poids,es_prod_type_affinage,'SUIVI STOCKS PAR PAYSAN'!$E68,es_date_entree,"&gt;"&amp;date_inventaire)-SUMIFS(v_Poids,v_conc_prod_tye_affinage,'SUIVI STOCKS PAR PAYSAN'!$E68,v_Date_commande,"&gt;"&amp;date_inventaire)</f>
        <v>0</v>
      </c>
      <c r="Y68" s="341">
        <f ca="1">SUMIFS(bddres_c_qte,bddres_c_prod_type_aff,'SUIVI STOCKS PAR PAYSAN'!E68,'BDD RESERVATIONS'!$B:$B,"&gt;"&amp;date_inventaire)</f>
        <v>0</v>
      </c>
      <c r="Z68" s="342">
        <f ca="1">SUMIFS(bddres_pieces,es_prod_type_affinage,'SUIVI STOCKS PAR PAYSAN'!$E68,es_date_entree,"&gt;"&amp;date_inventaire,es_taille,'SUIVI STOCKS PAR PAYSAN'!$Z$7)-SUMIFS(v_Pièces,v_Taille,'SUIVI STOCKS PAR PAYSAN'!$Z$7,v_conc_prod_tye_affinage,'SUIVI STOCKS PAR PAYSAN'!$E68,v_Date_commande,"&gt;"&amp;date_inventaire)</f>
        <v>0</v>
      </c>
      <c r="AA68" s="342">
        <f ca="1">SUMIFS(bddres_pieces,'BDD RESERVATIONS'!$G:$G,'SUIVI STOCKS PAR PAYSAN'!$Z$7,bddres_c_prod_type_aff,'SUIVI STOCKS PAR PAYSAN'!$E68,'BDD RESERVATIONS'!$B:$B,"&gt;"&amp;date_inventaire)</f>
        <v>0</v>
      </c>
      <c r="AB68" s="343">
        <f ca="1">SUMIFS(es_pieces,es_prod_type_affinage,'SUIVI STOCKS PAR PAYSAN'!$E68,es_date_entree,"&gt;"&amp;date_inventaire,es_taille,'SUIVI STOCKS PAR PAYSAN'!$AB$7)-SUMIFS(v_Pièces,v_Taille,'SUIVI STOCKS PAR PAYSAN'!$AB$7,v_conc_prod_tye_affinage,'SUIVI STOCKS PAR PAYSAN'!$E68,v_Date_commande,"&gt;"&amp;date_inventaire)</f>
        <v>0</v>
      </c>
      <c r="AC68" s="353">
        <f ca="1">SUMIFS(bddres_pieces,'BDD RESERVATIONS'!$G:$G,'SUIVI STOCKS PAR PAYSAN'!$AB$7,bddres_c_prod_type_aff,'SUIVI STOCKS PAR PAYSAN'!$E68,'BDD RESERVATIONS'!$B:$B,"&gt;"&amp;date_inventaire)</f>
        <v>0</v>
      </c>
      <c r="AD68" s="313">
        <f ca="1">SUMIFS(es_poids,es_prod_type_affinage,'SUIVI STOCKS PAR PAYSAN'!$F68,es_date_entree,"&gt;"&amp;date_inventaire)-SUMIFS(v_Poids,v_conc_prod_tye_affinage,'SUIVI STOCKS PAR PAYSAN'!$F68,v_Date_commande,"&gt;"&amp;date_inventaire)</f>
        <v>0</v>
      </c>
      <c r="AE68" s="341">
        <f ca="1">SUMIFS(bddres_c_qte,bddres_c_prod_type_aff,'SUIVI STOCKS PAR PAYSAN'!F68,'BDD RESERVATIONS'!$B:$B,"&gt;"&amp;date_inventaire)</f>
        <v>0</v>
      </c>
      <c r="AF68" s="342">
        <f ca="1">SUMIFS(bddres_pieces,es_prod_type_affinage,'SUIVI STOCKS PAR PAYSAN'!$F68,es_date_entree,"&gt;"&amp;date_inventaire,es_taille,'SUIVI STOCKS PAR PAYSAN'!$Z$7)-SUMIFS(v_Pièces,v_Taille,'SUIVI STOCKS PAR PAYSAN'!$Z$7,v_conc_prod_tye_affinage,'SUIVI STOCKS PAR PAYSAN'!$F68,v_Date_commande,"&gt;"&amp;date_inventaire)</f>
        <v>0</v>
      </c>
      <c r="AG68" s="342">
        <f ca="1">SUMIFS(bddres_pieces,'BDD RESERVATIONS'!$G:$G,'SUIVI STOCKS PAR PAYSAN'!$Z$7,bddres_c_prod_type_aff,'SUIVI STOCKS PAR PAYSAN'!$F68,'BDD RESERVATIONS'!$B:$B,"&gt;"&amp;date_inventaire)</f>
        <v>0</v>
      </c>
      <c r="AH68" s="343">
        <f ca="1">SUMIFS(es_pieces,es_prod_type_affinage,'SUIVI STOCKS PAR PAYSAN'!$F68,es_date_entree,"&gt;"&amp;date_inventaire,es_taille,'SUIVI STOCKS PAR PAYSAN'!$AH$7)-SUMIFS(v_Pièces,v_Taille,'SUIVI STOCKS PAR PAYSAN'!$AH$7,v_conc_prod_tye_affinage,'SUIVI STOCKS PAR PAYSAN'!$F68,v_Date_commande,"&gt;"&amp;date_inventaire)</f>
        <v>0</v>
      </c>
      <c r="AI68" s="353">
        <f ca="1">SUMIFS(bddres_pieces,'BDD RESERVATIONS'!$G:$G,'SUIVI STOCKS PAR PAYSAN'!$AB$7,bddres_c_prod_type_aff,'SUIVI STOCKS PAR PAYSAN'!$F68,'BDD RESERVATIONS'!$B:$B,"&gt;"&amp;date_inventaire)</f>
        <v>0</v>
      </c>
      <c r="AJ68" s="352">
        <f ca="1">SUMIFS(es_poids,es_prod_type_affinage,'SUIVI STOCKS PAR PAYSAN'!$G68,es_date_entree,"&gt;"&amp;date_inventaire)-SUMIFS(v_Poids,v_conc_prod_tye_affinage,'SUIVI STOCKS PAR PAYSAN'!$G68,v_Date_commande,"&gt;"&amp;date_inventaire)</f>
        <v>0</v>
      </c>
      <c r="AK68" s="341">
        <f ca="1">SUMIFS(bddres_c_qte,bddres_c_prod_type_aff,'SUIVI STOCKS PAR PAYSAN'!G68,'BDD RESERVATIONS'!$B:$B,"&gt;"&amp;date_inventaire)</f>
        <v>0</v>
      </c>
      <c r="AL68" s="342">
        <f ca="1">SUMIFS(bddres_pieces,es_prod_type_affinage,'SUIVI STOCKS PAR PAYSAN'!$G68,es_date_entree,"&gt;"&amp;date_inventaire,es_taille,'SUIVI STOCKS PAR PAYSAN'!$AL$7)-SUMIFS(v_Pièces,v_Taille,'SUIVI STOCKS PAR PAYSAN'!$AL$7,v_conc_prod_tye_affinage,'SUIVI STOCKS PAR PAYSAN'!$G68,v_Date_commande,"&gt;"&amp;date_inventaire)</f>
        <v>0</v>
      </c>
      <c r="AM68" s="342">
        <f ca="1">SUMIFS(bddres_pieces,'BDD RESERVATIONS'!$G:$G,'SUIVI STOCKS PAR PAYSAN'!$AL$7,bddres_c_prod_type_aff,'SUIVI STOCKS PAR PAYSAN'!$G68,'BDD RESERVATIONS'!$B:$B,"&gt;"&amp;date_inventaire)</f>
        <v>0</v>
      </c>
      <c r="AN68" s="343">
        <f ca="1">SUMIFS(es_pieces,es_prod_type_affinage,'SUIVI STOCKS PAR PAYSAN'!$G68,es_date_entree,"&gt;"&amp;date_inventaire,es_taille,'SUIVI STOCKS PAR PAYSAN'!$AN$7)-SUMIFS(v_Pièces,v_Taille,'SUIVI STOCKS PAR PAYSAN'!$AN$7,v_conc_prod_tye_affinage,'SUIVI STOCKS PAR PAYSAN'!$G68,v_Date_commande,"&gt;"&amp;date_inventaire)</f>
        <v>0</v>
      </c>
      <c r="AO68" s="353">
        <f ca="1">SUMIFS(bddres_pieces,'BDD RESERVATIONS'!$G:$G,'SUIVI STOCKS PAR PAYSAN'!$AN$7,bddres_c_prod_type_aff,'SUIVI STOCKS PAR PAYSAN'!$G68,'BDD RESERVATIONS'!$B:$B,"&gt;"&amp;date_inventaire)</f>
        <v>0</v>
      </c>
      <c r="AP68" s="313">
        <f ca="1">SUMIFS(es_poids,es_prod_type_affinage,'SUIVI STOCKS PAR PAYSAN'!$H68,es_date_entree,"&gt;"&amp;date_inventaire)-SUMIFS(v_Poids,v_conc_prod_tye_affinage,'SUIVI STOCKS PAR PAYSAN'!$H68,v_Date_commande,"&gt;"&amp;date_inventaire)</f>
        <v>0</v>
      </c>
      <c r="AQ68" s="341">
        <f ca="1">SUMIFS(bddres_c_qte,bddres_c_prod_type_aff,'SUIVI STOCKS PAR PAYSAN'!H68,'BDD RESERVATIONS'!$B:$B,"&gt;"&amp;date_inventaire)</f>
        <v>0</v>
      </c>
      <c r="AR68" s="342">
        <f ca="1">SUMIFS(bddres_pieces,es_prod_type_affinage,'SUIVI STOCKS PAR PAYSAN'!$H68,es_date_entree,"&gt;"&amp;date_inventaire,es_taille,'SUIVI STOCKS PAR PAYSAN'!$AR$7)-SUMIFS(v_Pièces,v_Taille,'SUIVI STOCKS PAR PAYSAN'!$AR$7,v_conc_prod_tye_affinage,'SUIVI STOCKS PAR PAYSAN'!$H68,v_Date_commande,"&gt;"&amp;date_inventaire)</f>
        <v>0</v>
      </c>
      <c r="AS68" s="326">
        <f ca="1">SUMIFS(bddres_pieces,'BDD RESERVATIONS'!$G:$G,'SUIVI STOCKS PAR PAYSAN'!AR63,bddres_c_prod_type_aff,'SUIVI STOCKS PAR PAYSAN'!$H68,'BDD RESERVATIONS'!$B:$B,"&gt;"&amp;date_inventaire)</f>
        <v>0</v>
      </c>
      <c r="AT68" s="343">
        <f ca="1">SUMIFS(es_pieces,es_prod_type_affinage,'SUIVI STOCKS PAR PAYSAN'!$H68,es_date_entree,"&gt;"&amp;date_inventaire,es_taille,'SUIVI STOCKS PAR PAYSAN'!$AT$7)-SUMIFS(v_Pièces,v_Taille,'SUIVI STOCKS PAR PAYSAN'!$AT$7,v_conc_prod_tye_affinage,'SUIVI STOCKS PAR PAYSAN'!$H68,v_Date_commande,"&gt;"&amp;date_inventaire)</f>
        <v>0</v>
      </c>
      <c r="AU68" s="353">
        <f ca="1">SUMIFS(bddres_pieces,'BDD RESERVATIONS'!$G:$G,'SUIVI STOCKS PAR PAYSAN'!$AT$7,bddres_c_prod_type_aff,'SUIVI STOCKS PAR PAYSAN'!$H68,'BDD RESERVATIONS'!$B:$B,"&gt;"&amp;date_inventaire)</f>
        <v>0</v>
      </c>
      <c r="AV68" s="313">
        <f ca="1">SUMIFS(es_poids,es_prod_type_affinage,'SUIVI STOCKS PAR PAYSAN'!$I68,es_date_entree,"&gt;"&amp;date_inventaire)-SUMIFS(v_Poids,v_conc_prod_tye_affinage,'SUIVI STOCKS PAR PAYSAN'!$E68,v_Date_commande,"&gt;"&amp;date_inventaire)</f>
        <v>0</v>
      </c>
      <c r="AW68" s="313">
        <f ca="1">SUMIFS(bddres_c_qte,bddres_c_prod_type_aff,'SUIVI STOCKS PAR PAYSAN'!I68,'BDD RESERVATIONS'!$B:$B,"&gt;"&amp;date_inventaire)</f>
        <v>0</v>
      </c>
      <c r="AX68" s="342">
        <f ca="1">SUMIFS(bddres_pieces,es_prod_type_affinage,'SUIVI STOCKS PAR PAYSAN'!$I68,es_date_entree,"&gt;"&amp;date_inventaire,es_taille,'SUIVI STOCKS PAR PAYSAN'!$AX$7)-SUMIFS(v_Pièces,v_Taille,'SUIVI STOCKS PAR PAYSAN'!$AX$7,v_conc_prod_tye_affinage,'SUIVI STOCKS PAR PAYSAN'!$I68,v_Date_commande,"&gt;"&amp;date_inventaire)</f>
        <v>0</v>
      </c>
      <c r="AY68" s="342">
        <f ca="1">SUMIFS(bddres_pieces,'BDD RESERVATIONS'!$G:$G,'SUIVI STOCKS PAR PAYSAN'!$AX$7,bddres_c_prod_type_aff,'SUIVI STOCKS PAR PAYSAN'!$I68,'BDD RESERVATIONS'!$B:$B,"&gt;"&amp;date_inventaire)</f>
        <v>0</v>
      </c>
      <c r="AZ68" s="343">
        <f ca="1">SUMIFS(es_pieces,es_prod_type_affinage,'SUIVI STOCKS PAR PAYSAN'!$I68,es_date_entree,"&gt;"&amp;date_inventaire,es_taille,'SUIVI STOCKS PAR PAYSAN'!$AZ$7)-SUMIFS(v_Pièces,v_Taille,'SUIVI STOCKS PAR PAYSAN'!$AZ$7,v_conc_prod_tye_affinage,'SUIVI STOCKS PAR PAYSAN'!$I68,v_Date_commande,"&gt;"&amp;date_inventaire)</f>
        <v>0</v>
      </c>
      <c r="BA68" s="353">
        <f ca="1">SUMIFS(bddres_pieces,'BDD RESERVATIONS'!$G:$G,'SUIVI STOCKS PAR PAYSAN'!$AZ$7,bddres_c_prod_type_aff,'SUIVI STOCKS PAR PAYSAN'!$I68,'BDD RESERVATIONS'!$B:$B,"&gt;"&amp;date_inventaire)</f>
        <v>0</v>
      </c>
      <c r="BB68" s="313">
        <f ca="1">SUMIFS(es_poids,es_prod_type_affinage,'SUIVI STOCKS PAR PAYSAN'!$J68,es_date_entree,"&gt;"&amp;date_inventaire)-SUMIFS(v_Poids,v_conc_prod_tye_affinage,'SUIVI STOCKS PAR PAYSAN'!$J68,v_Date_commande,"&gt;"&amp;date_inventaire)</f>
        <v>0</v>
      </c>
      <c r="BC68" s="313">
        <f ca="1">SUMIFS(bddres_c_qte,bddres_c_prod_type_aff,'SUIVI STOCKS PAR PAYSAN'!J68,'BDD RESERVATIONS'!$B:$B,"&gt;"&amp;date_inventaire)</f>
        <v>0</v>
      </c>
      <c r="BD68" s="342">
        <f ca="1">SUMIFS(bddres_pieces,es_prod_type_affinage,'SUIVI STOCKS PAR PAYSAN'!$J68,es_date_entree,"&gt;"&amp;date_inventaire,es_taille,'SUIVI STOCKS PAR PAYSAN'!$BD$7)-SUMIFS(v_Pièces,v_Taille,'SUIVI STOCKS PAR PAYSAN'!$BD$7,v_conc_prod_tye_affinage,'SUIVI STOCKS PAR PAYSAN'!$J68,v_Date_commande,"&gt;"&amp;date_inventaire)</f>
        <v>0</v>
      </c>
      <c r="BE68" s="326">
        <f ca="1">SUMIFS(bddres_pieces,'BDD RESERVATIONS'!$G:$G,'SUIVI STOCKS PAR PAYSAN'!BD63,bddres_c_prod_type_aff,'SUIVI STOCKS PAR PAYSAN'!J68,'BDD RESERVATIONS'!$B:$B,"&gt;"&amp;date_inventaire)</f>
        <v>0</v>
      </c>
      <c r="BF68" s="343">
        <f ca="1">SUMIFS(es_pieces,es_prod_type_affinage,'SUIVI STOCKS PAR PAYSAN'!J68,es_date_entree,"&gt;"&amp;date_inventaire,es_taille,'SUIVI STOCKS PAR PAYSAN'!$BF$7)-SUMIFS(v_Pièces,v_Taille,'SUIVI STOCKS PAR PAYSAN'!$BF$7,v_conc_prod_tye_affinage,'SUIVI STOCKS PAR PAYSAN'!J68,v_Date_commande,"&gt;"&amp;date_inventaire)</f>
        <v>0</v>
      </c>
      <c r="BG68" s="353">
        <f ca="1">SUMIFS(bddres_pieces,'BDD RESERVATIONS'!$G:$G,'SUIVI STOCKS PAR PAYSAN'!$BF$7,bddres_c_prod_type_aff,'SUIVI STOCKS PAR PAYSAN'!J68,'BDD RESERVATIONS'!$B:$B,"&gt;"&amp;date_inventaire)</f>
        <v>0</v>
      </c>
    </row>
    <row r="69" spans="1:59" ht="18.75" customHeight="1" x14ac:dyDescent="0.25">
      <c r="A69" s="331">
        <f ca="1">OFFSET('BDD PAYSANS'!$B$1,B69,0,1,1)</f>
        <v>0</v>
      </c>
      <c r="B69" s="325">
        <v>58</v>
      </c>
      <c r="C69" s="325" t="str">
        <f t="shared" ca="1" si="3"/>
        <v>0FERMIER&lt;3 mois</v>
      </c>
      <c r="D69" s="325" t="str">
        <f t="shared" ca="1" si="3"/>
        <v>0FERMIER3-6 mois</v>
      </c>
      <c r="E69" s="325" t="str">
        <f t="shared" ca="1" si="3"/>
        <v>0FERMIER6-9 mois</v>
      </c>
      <c r="F69" s="325" t="str">
        <f t="shared" ca="1" si="3"/>
        <v>0FERMIER&gt;9 mois</v>
      </c>
      <c r="G69" s="325" t="str">
        <f t="shared" ca="1" si="3"/>
        <v>0ESTIVE&lt;3 mois</v>
      </c>
      <c r="H69" s="325" t="str">
        <f t="shared" ca="1" si="3"/>
        <v>0ESTIVE3-6 mois</v>
      </c>
      <c r="I69" s="325" t="str">
        <f t="shared" ca="1" si="3"/>
        <v>0ESTIVE6-9 mois</v>
      </c>
      <c r="J69" s="325" t="str">
        <f t="shared" ca="1" si="3"/>
        <v>0ESTIVE&gt;9 mois</v>
      </c>
      <c r="K69" s="325"/>
      <c r="L69" s="352">
        <f ca="1">SUMIFS(es_poids,es_prod_type_affinage,'SUIVI STOCKS PAR PAYSAN'!$C69,es_date_entree,"&gt;"&amp;date_inventaire)-SUMIFS(v_Poids,v_conc_prod_tye_affinage,'SUIVI STOCKS PAR PAYSAN'!$C69,v_Date_commande,"&gt;"&amp;date_inventaire)</f>
        <v>0</v>
      </c>
      <c r="M69" s="341">
        <f ca="1">SUMIFS(bddres_c_qte,bddres_c_prod_type_aff,'SUIVI STOCKS PAR PAYSAN'!C69,'BDD RESERVATIONS'!$B:$B,"&gt;"&amp;date_inventaire)</f>
        <v>0</v>
      </c>
      <c r="N69" s="342">
        <f ca="1">SUMIFS(bddres_pieces,es_prod_type_affinage,'SUIVI STOCKS PAR PAYSAN'!$C69,es_date_entree,"&gt;"&amp;date_inventaire,es_taille,'SUIVI STOCKS PAR PAYSAN'!$N$7)-SUMIFS(v_Pièces,v_Taille,'SUIVI STOCKS PAR PAYSAN'!$N$7,v_conc_prod_tye_affinage,'SUIVI STOCKS PAR PAYSAN'!$C69,v_Date_commande,"&gt;"&amp;date_inventaire)</f>
        <v>0</v>
      </c>
      <c r="O69" s="342">
        <f ca="1">SUMIFS(bddres_pieces,'BDD RESERVATIONS'!$G:$G,'SUIVI STOCKS PAR PAYSAN'!$N$7,bddres_c_prod_type_aff,'SUIVI STOCKS PAR PAYSAN'!$C69,'BDD RESERVATIONS'!$B:$B,"&gt;"&amp;date_inventaire)</f>
        <v>0</v>
      </c>
      <c r="P69" s="343">
        <f ca="1">SUMIFS(es_pieces,es_prod_type_affinage,'SUIVI STOCKS PAR PAYSAN'!$C69,es_date_entree,"&gt;"&amp;date_inventaire,es_taille,'SUIVI STOCKS PAR PAYSAN'!$P$7)-SUMIFS(v_Pièces,v_Taille,'SUIVI STOCKS PAR PAYSAN'!$P$7,v_conc_prod_tye_affinage,'SUIVI STOCKS PAR PAYSAN'!$C69,v_Date_commande,"&gt;"&amp;date_inventaire)</f>
        <v>0</v>
      </c>
      <c r="Q69" s="353">
        <f ca="1">SUMIFS(bddres_pieces,'BDD RESERVATIONS'!$G:$G,'SUIVI STOCKS PAR PAYSAN'!$P$7,bddres_c_prod_type_aff,'SUIVI STOCKS PAR PAYSAN'!$C69,'BDD RESERVATIONS'!$B:$B,"&gt;"&amp;date_inventaire)</f>
        <v>0</v>
      </c>
      <c r="R69" s="340">
        <f ca="1">SUMIFS(es_poids,es_prod_type_affinage,'SUIVI STOCKS PAR PAYSAN'!$D69,es_date_entree,"&gt;"&amp;date_inventaire)-SUMIFS(v_Poids,v_conc_prod_tye_affinage,'SUIVI STOCKS PAR PAYSAN'!$D69,v_Date_commande,"&gt;"&amp;date_inventaire)</f>
        <v>0</v>
      </c>
      <c r="S69" s="341">
        <f ca="1">SUMIFS(bddres_c_qte,bddres_c_prod_type_aff,'SUIVI STOCKS PAR PAYSAN'!D69,'BDD RESERVATIONS'!$B:$B,"&gt;"&amp;date_inventaire)</f>
        <v>0</v>
      </c>
      <c r="T69" s="342">
        <f ca="1">SUMIFS(bddres_pieces,es_prod_type_affinage,'SUIVI STOCKS PAR PAYSAN'!$D69,es_date_entree,"&gt;"&amp;date_inventaire,es_taille,'SUIVI STOCKS PAR PAYSAN'!$T$7)-SUMIFS(v_Pièces,v_Taille,'SUIVI STOCKS PAR PAYSAN'!$T$7,v_conc_prod_tye_affinage,'SUIVI STOCKS PAR PAYSAN'!$D69,v_Date_commande,"&gt;"&amp;date_inventaire)</f>
        <v>0</v>
      </c>
      <c r="U69" s="342">
        <f ca="1">SUMIFS(bddres_pieces,'BDD RESERVATIONS'!$G:$G,'SUIVI STOCKS PAR PAYSAN'!$T$7,bddres_c_prod_type_aff,'SUIVI STOCKS PAR PAYSAN'!$D69,'BDD RESERVATIONS'!$B:$B,"&gt;"&amp;date_inventaire)</f>
        <v>0</v>
      </c>
      <c r="V69" s="343">
        <f ca="1">SUMIFS(es_pieces,es_prod_type_affinage,'SUIVI STOCKS PAR PAYSAN'!$D69,es_date_entree,"&gt;"&amp;date_inventaire,es_taille,'SUIVI STOCKS PAR PAYSAN'!$V$7)-SUMIFS(v_Pièces,v_Taille,'SUIVI STOCKS PAR PAYSAN'!$V$7,v_conc_prod_tye_affinage,'SUIVI STOCKS PAR PAYSAN'!$D69,v_Date_commande,"&gt;"&amp;date_inventaire)</f>
        <v>0</v>
      </c>
      <c r="W69" s="353">
        <f ca="1">SUMIFS(bddres_pieces,'BDD RESERVATIONS'!$G:$G,'SUIVI STOCKS PAR PAYSAN'!$V$7,bddres_c_prod_type_aff,'SUIVI STOCKS PAR PAYSAN'!$D69,'BDD RESERVATIONS'!$B:$B,"&gt;"&amp;date_inventaire)</f>
        <v>0</v>
      </c>
      <c r="X69" s="313">
        <f ca="1">SUMIFS(es_poids,es_prod_type_affinage,'SUIVI STOCKS PAR PAYSAN'!$E69,es_date_entree,"&gt;"&amp;date_inventaire)-SUMIFS(v_Poids,v_conc_prod_tye_affinage,'SUIVI STOCKS PAR PAYSAN'!$E69,v_Date_commande,"&gt;"&amp;date_inventaire)</f>
        <v>0</v>
      </c>
      <c r="Y69" s="341">
        <f ca="1">SUMIFS(bddres_c_qte,bddres_c_prod_type_aff,'SUIVI STOCKS PAR PAYSAN'!E69,'BDD RESERVATIONS'!$B:$B,"&gt;"&amp;date_inventaire)</f>
        <v>0</v>
      </c>
      <c r="Z69" s="342">
        <f ca="1">SUMIFS(bddres_pieces,es_prod_type_affinage,'SUIVI STOCKS PAR PAYSAN'!$E69,es_date_entree,"&gt;"&amp;date_inventaire,es_taille,'SUIVI STOCKS PAR PAYSAN'!$Z$7)-SUMIFS(v_Pièces,v_Taille,'SUIVI STOCKS PAR PAYSAN'!$Z$7,v_conc_prod_tye_affinage,'SUIVI STOCKS PAR PAYSAN'!$E69,v_Date_commande,"&gt;"&amp;date_inventaire)</f>
        <v>0</v>
      </c>
      <c r="AA69" s="342">
        <f ca="1">SUMIFS(bddres_pieces,'BDD RESERVATIONS'!$G:$G,'SUIVI STOCKS PAR PAYSAN'!$Z$7,bddres_c_prod_type_aff,'SUIVI STOCKS PAR PAYSAN'!$E69,'BDD RESERVATIONS'!$B:$B,"&gt;"&amp;date_inventaire)</f>
        <v>0</v>
      </c>
      <c r="AB69" s="343">
        <f ca="1">SUMIFS(es_pieces,es_prod_type_affinage,'SUIVI STOCKS PAR PAYSAN'!$E69,es_date_entree,"&gt;"&amp;date_inventaire,es_taille,'SUIVI STOCKS PAR PAYSAN'!$AB$7)-SUMIFS(v_Pièces,v_Taille,'SUIVI STOCKS PAR PAYSAN'!$AB$7,v_conc_prod_tye_affinage,'SUIVI STOCKS PAR PAYSAN'!$E69,v_Date_commande,"&gt;"&amp;date_inventaire)</f>
        <v>0</v>
      </c>
      <c r="AC69" s="353">
        <f ca="1">SUMIFS(bddres_pieces,'BDD RESERVATIONS'!$G:$G,'SUIVI STOCKS PAR PAYSAN'!$AB$7,bddres_c_prod_type_aff,'SUIVI STOCKS PAR PAYSAN'!$E69,'BDD RESERVATIONS'!$B:$B,"&gt;"&amp;date_inventaire)</f>
        <v>0</v>
      </c>
      <c r="AD69" s="313">
        <f ca="1">SUMIFS(es_poids,es_prod_type_affinage,'SUIVI STOCKS PAR PAYSAN'!$F69,es_date_entree,"&gt;"&amp;date_inventaire)-SUMIFS(v_Poids,v_conc_prod_tye_affinage,'SUIVI STOCKS PAR PAYSAN'!$F69,v_Date_commande,"&gt;"&amp;date_inventaire)</f>
        <v>0</v>
      </c>
      <c r="AE69" s="341">
        <f ca="1">SUMIFS(bddres_c_qte,bddres_c_prod_type_aff,'SUIVI STOCKS PAR PAYSAN'!F69,'BDD RESERVATIONS'!$B:$B,"&gt;"&amp;date_inventaire)</f>
        <v>0</v>
      </c>
      <c r="AF69" s="342">
        <f ca="1">SUMIFS(bddres_pieces,es_prod_type_affinage,'SUIVI STOCKS PAR PAYSAN'!$F69,es_date_entree,"&gt;"&amp;date_inventaire,es_taille,'SUIVI STOCKS PAR PAYSAN'!$Z$7)-SUMIFS(v_Pièces,v_Taille,'SUIVI STOCKS PAR PAYSAN'!$Z$7,v_conc_prod_tye_affinage,'SUIVI STOCKS PAR PAYSAN'!$F69,v_Date_commande,"&gt;"&amp;date_inventaire)</f>
        <v>0</v>
      </c>
      <c r="AG69" s="342">
        <f ca="1">SUMIFS(bddres_pieces,'BDD RESERVATIONS'!$G:$G,'SUIVI STOCKS PAR PAYSAN'!$Z$7,bddres_c_prod_type_aff,'SUIVI STOCKS PAR PAYSAN'!$F69,'BDD RESERVATIONS'!$B:$B,"&gt;"&amp;date_inventaire)</f>
        <v>0</v>
      </c>
      <c r="AH69" s="343">
        <f ca="1">SUMIFS(es_pieces,es_prod_type_affinage,'SUIVI STOCKS PAR PAYSAN'!$F69,es_date_entree,"&gt;"&amp;date_inventaire,es_taille,'SUIVI STOCKS PAR PAYSAN'!$AH$7)-SUMIFS(v_Pièces,v_Taille,'SUIVI STOCKS PAR PAYSAN'!$AH$7,v_conc_prod_tye_affinage,'SUIVI STOCKS PAR PAYSAN'!$F69,v_Date_commande,"&gt;"&amp;date_inventaire)</f>
        <v>0</v>
      </c>
      <c r="AI69" s="353">
        <f ca="1">SUMIFS(bddres_pieces,'BDD RESERVATIONS'!$G:$G,'SUIVI STOCKS PAR PAYSAN'!$AB$7,bddres_c_prod_type_aff,'SUIVI STOCKS PAR PAYSAN'!$F69,'BDD RESERVATIONS'!$B:$B,"&gt;"&amp;date_inventaire)</f>
        <v>0</v>
      </c>
      <c r="AJ69" s="352">
        <f ca="1">SUMIFS(es_poids,es_prod_type_affinage,'SUIVI STOCKS PAR PAYSAN'!$G69,es_date_entree,"&gt;"&amp;date_inventaire)-SUMIFS(v_Poids,v_conc_prod_tye_affinage,'SUIVI STOCKS PAR PAYSAN'!$G69,v_Date_commande,"&gt;"&amp;date_inventaire)</f>
        <v>0</v>
      </c>
      <c r="AK69" s="341">
        <f ca="1">SUMIFS(bddres_c_qte,bddres_c_prod_type_aff,'SUIVI STOCKS PAR PAYSAN'!G69,'BDD RESERVATIONS'!$B:$B,"&gt;"&amp;date_inventaire)</f>
        <v>0</v>
      </c>
      <c r="AL69" s="342">
        <f ca="1">SUMIFS(bddres_pieces,es_prod_type_affinage,'SUIVI STOCKS PAR PAYSAN'!$G69,es_date_entree,"&gt;"&amp;date_inventaire,es_taille,'SUIVI STOCKS PAR PAYSAN'!$AL$7)-SUMIFS(v_Pièces,v_Taille,'SUIVI STOCKS PAR PAYSAN'!$AL$7,v_conc_prod_tye_affinage,'SUIVI STOCKS PAR PAYSAN'!$G69,v_Date_commande,"&gt;"&amp;date_inventaire)</f>
        <v>0</v>
      </c>
      <c r="AM69" s="342">
        <f ca="1">SUMIFS(bddres_pieces,'BDD RESERVATIONS'!$G:$G,'SUIVI STOCKS PAR PAYSAN'!$AL$7,bddres_c_prod_type_aff,'SUIVI STOCKS PAR PAYSAN'!$G69,'BDD RESERVATIONS'!$B:$B,"&gt;"&amp;date_inventaire)</f>
        <v>0</v>
      </c>
      <c r="AN69" s="343">
        <f ca="1">SUMIFS(es_pieces,es_prod_type_affinage,'SUIVI STOCKS PAR PAYSAN'!$G69,es_date_entree,"&gt;"&amp;date_inventaire,es_taille,'SUIVI STOCKS PAR PAYSAN'!$AN$7)-SUMIFS(v_Pièces,v_Taille,'SUIVI STOCKS PAR PAYSAN'!$AN$7,v_conc_prod_tye_affinage,'SUIVI STOCKS PAR PAYSAN'!$G69,v_Date_commande,"&gt;"&amp;date_inventaire)</f>
        <v>0</v>
      </c>
      <c r="AO69" s="353">
        <f ca="1">SUMIFS(bddres_pieces,'BDD RESERVATIONS'!$G:$G,'SUIVI STOCKS PAR PAYSAN'!$AN$7,bddres_c_prod_type_aff,'SUIVI STOCKS PAR PAYSAN'!$G69,'BDD RESERVATIONS'!$B:$B,"&gt;"&amp;date_inventaire)</f>
        <v>0</v>
      </c>
      <c r="AP69" s="313">
        <f ca="1">SUMIFS(es_poids,es_prod_type_affinage,'SUIVI STOCKS PAR PAYSAN'!$H69,es_date_entree,"&gt;"&amp;date_inventaire)-SUMIFS(v_Poids,v_conc_prod_tye_affinage,'SUIVI STOCKS PAR PAYSAN'!$H69,v_Date_commande,"&gt;"&amp;date_inventaire)</f>
        <v>0</v>
      </c>
      <c r="AQ69" s="341">
        <f ca="1">SUMIFS(bddres_c_qte,bddres_c_prod_type_aff,'SUIVI STOCKS PAR PAYSAN'!H69,'BDD RESERVATIONS'!$B:$B,"&gt;"&amp;date_inventaire)</f>
        <v>0</v>
      </c>
      <c r="AR69" s="342">
        <f ca="1">SUMIFS(bddres_pieces,es_prod_type_affinage,'SUIVI STOCKS PAR PAYSAN'!$H69,es_date_entree,"&gt;"&amp;date_inventaire,es_taille,'SUIVI STOCKS PAR PAYSAN'!$AR$7)-SUMIFS(v_Pièces,v_Taille,'SUIVI STOCKS PAR PAYSAN'!$AR$7,v_conc_prod_tye_affinage,'SUIVI STOCKS PAR PAYSAN'!$H69,v_Date_commande,"&gt;"&amp;date_inventaire)</f>
        <v>0</v>
      </c>
      <c r="AS69" s="326">
        <f ca="1">SUMIFS(bddres_pieces,'BDD RESERVATIONS'!$G:$G,'SUIVI STOCKS PAR PAYSAN'!AR64,bddres_c_prod_type_aff,'SUIVI STOCKS PAR PAYSAN'!$H69,'BDD RESERVATIONS'!$B:$B,"&gt;"&amp;date_inventaire)</f>
        <v>0</v>
      </c>
      <c r="AT69" s="343">
        <f ca="1">SUMIFS(es_pieces,es_prod_type_affinage,'SUIVI STOCKS PAR PAYSAN'!$H69,es_date_entree,"&gt;"&amp;date_inventaire,es_taille,'SUIVI STOCKS PAR PAYSAN'!$AT$7)-SUMIFS(v_Pièces,v_Taille,'SUIVI STOCKS PAR PAYSAN'!$AT$7,v_conc_prod_tye_affinage,'SUIVI STOCKS PAR PAYSAN'!$H69,v_Date_commande,"&gt;"&amp;date_inventaire)</f>
        <v>0</v>
      </c>
      <c r="AU69" s="353">
        <f ca="1">SUMIFS(bddres_pieces,'BDD RESERVATIONS'!$G:$G,'SUIVI STOCKS PAR PAYSAN'!$AT$7,bddres_c_prod_type_aff,'SUIVI STOCKS PAR PAYSAN'!$H69,'BDD RESERVATIONS'!$B:$B,"&gt;"&amp;date_inventaire)</f>
        <v>0</v>
      </c>
      <c r="AV69" s="313">
        <f ca="1">SUMIFS(es_poids,es_prod_type_affinage,'SUIVI STOCKS PAR PAYSAN'!$I69,es_date_entree,"&gt;"&amp;date_inventaire)-SUMIFS(v_Poids,v_conc_prod_tye_affinage,'SUIVI STOCKS PAR PAYSAN'!$E69,v_Date_commande,"&gt;"&amp;date_inventaire)</f>
        <v>0</v>
      </c>
      <c r="AW69" s="313">
        <f ca="1">SUMIFS(bddres_c_qte,bddres_c_prod_type_aff,'SUIVI STOCKS PAR PAYSAN'!I69,'BDD RESERVATIONS'!$B:$B,"&gt;"&amp;date_inventaire)</f>
        <v>0</v>
      </c>
      <c r="AX69" s="342">
        <f ca="1">SUMIFS(bddres_pieces,es_prod_type_affinage,'SUIVI STOCKS PAR PAYSAN'!$I69,es_date_entree,"&gt;"&amp;date_inventaire,es_taille,'SUIVI STOCKS PAR PAYSAN'!$AX$7)-SUMIFS(v_Pièces,v_Taille,'SUIVI STOCKS PAR PAYSAN'!$AX$7,v_conc_prod_tye_affinage,'SUIVI STOCKS PAR PAYSAN'!$I69,v_Date_commande,"&gt;"&amp;date_inventaire)</f>
        <v>0</v>
      </c>
      <c r="AY69" s="342">
        <f ca="1">SUMIFS(bddres_pieces,'BDD RESERVATIONS'!$G:$G,'SUIVI STOCKS PAR PAYSAN'!$AX$7,bddres_c_prod_type_aff,'SUIVI STOCKS PAR PAYSAN'!$I69,'BDD RESERVATIONS'!$B:$B,"&gt;"&amp;date_inventaire)</f>
        <v>0</v>
      </c>
      <c r="AZ69" s="343">
        <f ca="1">SUMIFS(es_pieces,es_prod_type_affinage,'SUIVI STOCKS PAR PAYSAN'!$I69,es_date_entree,"&gt;"&amp;date_inventaire,es_taille,'SUIVI STOCKS PAR PAYSAN'!$AZ$7)-SUMIFS(v_Pièces,v_Taille,'SUIVI STOCKS PAR PAYSAN'!$AZ$7,v_conc_prod_tye_affinage,'SUIVI STOCKS PAR PAYSAN'!$I69,v_Date_commande,"&gt;"&amp;date_inventaire)</f>
        <v>0</v>
      </c>
      <c r="BA69" s="353">
        <f ca="1">SUMIFS(bddres_pieces,'BDD RESERVATIONS'!$G:$G,'SUIVI STOCKS PAR PAYSAN'!$AZ$7,bddres_c_prod_type_aff,'SUIVI STOCKS PAR PAYSAN'!$I69,'BDD RESERVATIONS'!$B:$B,"&gt;"&amp;date_inventaire)</f>
        <v>0</v>
      </c>
      <c r="BB69" s="313">
        <f ca="1">SUMIFS(es_poids,es_prod_type_affinage,'SUIVI STOCKS PAR PAYSAN'!$J69,es_date_entree,"&gt;"&amp;date_inventaire)-SUMIFS(v_Poids,v_conc_prod_tye_affinage,'SUIVI STOCKS PAR PAYSAN'!$J69,v_Date_commande,"&gt;"&amp;date_inventaire)</f>
        <v>0</v>
      </c>
      <c r="BC69" s="313">
        <f ca="1">SUMIFS(bddres_c_qte,bddres_c_prod_type_aff,'SUIVI STOCKS PAR PAYSAN'!J69,'BDD RESERVATIONS'!$B:$B,"&gt;"&amp;date_inventaire)</f>
        <v>0</v>
      </c>
      <c r="BD69" s="342">
        <f ca="1">SUMIFS(bddres_pieces,es_prod_type_affinage,'SUIVI STOCKS PAR PAYSAN'!$J69,es_date_entree,"&gt;"&amp;date_inventaire,es_taille,'SUIVI STOCKS PAR PAYSAN'!$BD$7)-SUMIFS(v_Pièces,v_Taille,'SUIVI STOCKS PAR PAYSAN'!$BD$7,v_conc_prod_tye_affinage,'SUIVI STOCKS PAR PAYSAN'!$J69,v_Date_commande,"&gt;"&amp;date_inventaire)</f>
        <v>0</v>
      </c>
      <c r="BE69" s="326">
        <f ca="1">SUMIFS(bddres_pieces,'BDD RESERVATIONS'!$G:$G,'SUIVI STOCKS PAR PAYSAN'!BD64,bddres_c_prod_type_aff,'SUIVI STOCKS PAR PAYSAN'!J69,'BDD RESERVATIONS'!$B:$B,"&gt;"&amp;date_inventaire)</f>
        <v>0</v>
      </c>
      <c r="BF69" s="343">
        <f ca="1">SUMIFS(es_pieces,es_prod_type_affinage,'SUIVI STOCKS PAR PAYSAN'!J69,es_date_entree,"&gt;"&amp;date_inventaire,es_taille,'SUIVI STOCKS PAR PAYSAN'!$BF$7)-SUMIFS(v_Pièces,v_Taille,'SUIVI STOCKS PAR PAYSAN'!$BF$7,v_conc_prod_tye_affinage,'SUIVI STOCKS PAR PAYSAN'!J69,v_Date_commande,"&gt;"&amp;date_inventaire)</f>
        <v>0</v>
      </c>
      <c r="BG69" s="353">
        <f ca="1">SUMIFS(bddres_pieces,'BDD RESERVATIONS'!$G:$G,'SUIVI STOCKS PAR PAYSAN'!$BF$7,bddres_c_prod_type_aff,'SUIVI STOCKS PAR PAYSAN'!J69,'BDD RESERVATIONS'!$B:$B,"&gt;"&amp;date_inventaire)</f>
        <v>0</v>
      </c>
    </row>
    <row r="70" spans="1:59" ht="18.75" customHeight="1" x14ac:dyDescent="0.25">
      <c r="A70" s="331">
        <f ca="1">OFFSET('BDD PAYSANS'!$B$1,B70,0,1,1)</f>
        <v>0</v>
      </c>
      <c r="B70" s="325">
        <v>59</v>
      </c>
      <c r="C70" s="325" t="str">
        <f t="shared" ca="1" si="3"/>
        <v>0FERMIER&lt;3 mois</v>
      </c>
      <c r="D70" s="325" t="str">
        <f t="shared" ca="1" si="3"/>
        <v>0FERMIER3-6 mois</v>
      </c>
      <c r="E70" s="325" t="str">
        <f t="shared" ca="1" si="3"/>
        <v>0FERMIER6-9 mois</v>
      </c>
      <c r="F70" s="325" t="str">
        <f t="shared" ca="1" si="3"/>
        <v>0FERMIER&gt;9 mois</v>
      </c>
      <c r="G70" s="325" t="str">
        <f t="shared" ca="1" si="3"/>
        <v>0ESTIVE&lt;3 mois</v>
      </c>
      <c r="H70" s="325" t="str">
        <f t="shared" ca="1" si="3"/>
        <v>0ESTIVE3-6 mois</v>
      </c>
      <c r="I70" s="325" t="str">
        <f t="shared" ca="1" si="3"/>
        <v>0ESTIVE6-9 mois</v>
      </c>
      <c r="J70" s="325" t="str">
        <f t="shared" ca="1" si="3"/>
        <v>0ESTIVE&gt;9 mois</v>
      </c>
      <c r="K70" s="325"/>
      <c r="L70" s="352">
        <f ca="1">SUMIFS(es_poids,es_prod_type_affinage,'SUIVI STOCKS PAR PAYSAN'!$C70,es_date_entree,"&gt;"&amp;date_inventaire)-SUMIFS(v_Poids,v_conc_prod_tye_affinage,'SUIVI STOCKS PAR PAYSAN'!$C70,v_Date_commande,"&gt;"&amp;date_inventaire)</f>
        <v>0</v>
      </c>
      <c r="M70" s="341">
        <f ca="1">SUMIFS(bddres_c_qte,bddres_c_prod_type_aff,'SUIVI STOCKS PAR PAYSAN'!C70,'BDD RESERVATIONS'!$B:$B,"&gt;"&amp;date_inventaire)</f>
        <v>0</v>
      </c>
      <c r="N70" s="342">
        <f ca="1">SUMIFS(bddres_pieces,es_prod_type_affinage,'SUIVI STOCKS PAR PAYSAN'!$C70,es_date_entree,"&gt;"&amp;date_inventaire,es_taille,'SUIVI STOCKS PAR PAYSAN'!$N$7)-SUMIFS(v_Pièces,v_Taille,'SUIVI STOCKS PAR PAYSAN'!$N$7,v_conc_prod_tye_affinage,'SUIVI STOCKS PAR PAYSAN'!$C70,v_Date_commande,"&gt;"&amp;date_inventaire)</f>
        <v>0</v>
      </c>
      <c r="O70" s="342">
        <f ca="1">SUMIFS(bddres_pieces,'BDD RESERVATIONS'!$G:$G,'SUIVI STOCKS PAR PAYSAN'!$N$7,bddres_c_prod_type_aff,'SUIVI STOCKS PAR PAYSAN'!$C70,'BDD RESERVATIONS'!$B:$B,"&gt;"&amp;date_inventaire)</f>
        <v>0</v>
      </c>
      <c r="P70" s="343">
        <f ca="1">SUMIFS(es_pieces,es_prod_type_affinage,'SUIVI STOCKS PAR PAYSAN'!$C70,es_date_entree,"&gt;"&amp;date_inventaire,es_taille,'SUIVI STOCKS PAR PAYSAN'!$P$7)-SUMIFS(v_Pièces,v_Taille,'SUIVI STOCKS PAR PAYSAN'!$P$7,v_conc_prod_tye_affinage,'SUIVI STOCKS PAR PAYSAN'!$C70,v_Date_commande,"&gt;"&amp;date_inventaire)</f>
        <v>0</v>
      </c>
      <c r="Q70" s="353">
        <f ca="1">SUMIFS(bddres_pieces,'BDD RESERVATIONS'!$G:$G,'SUIVI STOCKS PAR PAYSAN'!$P$7,bddres_c_prod_type_aff,'SUIVI STOCKS PAR PAYSAN'!$C70,'BDD RESERVATIONS'!$B:$B,"&gt;"&amp;date_inventaire)</f>
        <v>0</v>
      </c>
      <c r="R70" s="340">
        <f ca="1">SUMIFS(es_poids,es_prod_type_affinage,'SUIVI STOCKS PAR PAYSAN'!$D70,es_date_entree,"&gt;"&amp;date_inventaire)-SUMIFS(v_Poids,v_conc_prod_tye_affinage,'SUIVI STOCKS PAR PAYSAN'!$D70,v_Date_commande,"&gt;"&amp;date_inventaire)</f>
        <v>0</v>
      </c>
      <c r="S70" s="341">
        <f ca="1">SUMIFS(bddres_c_qte,bddres_c_prod_type_aff,'SUIVI STOCKS PAR PAYSAN'!D70,'BDD RESERVATIONS'!$B:$B,"&gt;"&amp;date_inventaire)</f>
        <v>0</v>
      </c>
      <c r="T70" s="342">
        <f ca="1">SUMIFS(bddres_pieces,es_prod_type_affinage,'SUIVI STOCKS PAR PAYSAN'!$D70,es_date_entree,"&gt;"&amp;date_inventaire,es_taille,'SUIVI STOCKS PAR PAYSAN'!$T$7)-SUMIFS(v_Pièces,v_Taille,'SUIVI STOCKS PAR PAYSAN'!$T$7,v_conc_prod_tye_affinage,'SUIVI STOCKS PAR PAYSAN'!$D70,v_Date_commande,"&gt;"&amp;date_inventaire)</f>
        <v>0</v>
      </c>
      <c r="U70" s="342">
        <f ca="1">SUMIFS(bddres_pieces,'BDD RESERVATIONS'!$G:$G,'SUIVI STOCKS PAR PAYSAN'!$T$7,bddres_c_prod_type_aff,'SUIVI STOCKS PAR PAYSAN'!$D70,'BDD RESERVATIONS'!$B:$B,"&gt;"&amp;date_inventaire)</f>
        <v>0</v>
      </c>
      <c r="V70" s="343">
        <f ca="1">SUMIFS(es_pieces,es_prod_type_affinage,'SUIVI STOCKS PAR PAYSAN'!$D70,es_date_entree,"&gt;"&amp;date_inventaire,es_taille,'SUIVI STOCKS PAR PAYSAN'!$V$7)-SUMIFS(v_Pièces,v_Taille,'SUIVI STOCKS PAR PAYSAN'!$V$7,v_conc_prod_tye_affinage,'SUIVI STOCKS PAR PAYSAN'!$D70,v_Date_commande,"&gt;"&amp;date_inventaire)</f>
        <v>0</v>
      </c>
      <c r="W70" s="353">
        <f ca="1">SUMIFS(bddres_pieces,'BDD RESERVATIONS'!$G:$G,'SUIVI STOCKS PAR PAYSAN'!$V$7,bddres_c_prod_type_aff,'SUIVI STOCKS PAR PAYSAN'!$D70,'BDD RESERVATIONS'!$B:$B,"&gt;"&amp;date_inventaire)</f>
        <v>0</v>
      </c>
      <c r="X70" s="313">
        <f ca="1">SUMIFS(es_poids,es_prod_type_affinage,'SUIVI STOCKS PAR PAYSAN'!$E70,es_date_entree,"&gt;"&amp;date_inventaire)-SUMIFS(v_Poids,v_conc_prod_tye_affinage,'SUIVI STOCKS PAR PAYSAN'!$E70,v_Date_commande,"&gt;"&amp;date_inventaire)</f>
        <v>0</v>
      </c>
      <c r="Y70" s="341">
        <f ca="1">SUMIFS(bddres_c_qte,bddres_c_prod_type_aff,'SUIVI STOCKS PAR PAYSAN'!E70,'BDD RESERVATIONS'!$B:$B,"&gt;"&amp;date_inventaire)</f>
        <v>0</v>
      </c>
      <c r="Z70" s="342">
        <f ca="1">SUMIFS(bddres_pieces,es_prod_type_affinage,'SUIVI STOCKS PAR PAYSAN'!$E70,es_date_entree,"&gt;"&amp;date_inventaire,es_taille,'SUIVI STOCKS PAR PAYSAN'!$Z$7)-SUMIFS(v_Pièces,v_Taille,'SUIVI STOCKS PAR PAYSAN'!$Z$7,v_conc_prod_tye_affinage,'SUIVI STOCKS PAR PAYSAN'!$E70,v_Date_commande,"&gt;"&amp;date_inventaire)</f>
        <v>0</v>
      </c>
      <c r="AA70" s="342">
        <f ca="1">SUMIFS(bddres_pieces,'BDD RESERVATIONS'!$G:$G,'SUIVI STOCKS PAR PAYSAN'!$Z$7,bddres_c_prod_type_aff,'SUIVI STOCKS PAR PAYSAN'!$E70,'BDD RESERVATIONS'!$B:$B,"&gt;"&amp;date_inventaire)</f>
        <v>0</v>
      </c>
      <c r="AB70" s="343">
        <f ca="1">SUMIFS(es_pieces,es_prod_type_affinage,'SUIVI STOCKS PAR PAYSAN'!$E70,es_date_entree,"&gt;"&amp;date_inventaire,es_taille,'SUIVI STOCKS PAR PAYSAN'!$AB$7)-SUMIFS(v_Pièces,v_Taille,'SUIVI STOCKS PAR PAYSAN'!$AB$7,v_conc_prod_tye_affinage,'SUIVI STOCKS PAR PAYSAN'!$E70,v_Date_commande,"&gt;"&amp;date_inventaire)</f>
        <v>0</v>
      </c>
      <c r="AC70" s="353">
        <f ca="1">SUMIFS(bddres_pieces,'BDD RESERVATIONS'!$G:$G,'SUIVI STOCKS PAR PAYSAN'!$AB$7,bddres_c_prod_type_aff,'SUIVI STOCKS PAR PAYSAN'!$E70,'BDD RESERVATIONS'!$B:$B,"&gt;"&amp;date_inventaire)</f>
        <v>0</v>
      </c>
      <c r="AD70" s="313">
        <f ca="1">SUMIFS(es_poids,es_prod_type_affinage,'SUIVI STOCKS PAR PAYSAN'!$F70,es_date_entree,"&gt;"&amp;date_inventaire)-SUMIFS(v_Poids,v_conc_prod_tye_affinage,'SUIVI STOCKS PAR PAYSAN'!$F70,v_Date_commande,"&gt;"&amp;date_inventaire)</f>
        <v>0</v>
      </c>
      <c r="AE70" s="341">
        <f ca="1">SUMIFS(bddres_c_qte,bddres_c_prod_type_aff,'SUIVI STOCKS PAR PAYSAN'!F70,'BDD RESERVATIONS'!$B:$B,"&gt;"&amp;date_inventaire)</f>
        <v>0</v>
      </c>
      <c r="AF70" s="342">
        <f ca="1">SUMIFS(bddres_pieces,es_prod_type_affinage,'SUIVI STOCKS PAR PAYSAN'!$F70,es_date_entree,"&gt;"&amp;date_inventaire,es_taille,'SUIVI STOCKS PAR PAYSAN'!$Z$7)-SUMIFS(v_Pièces,v_Taille,'SUIVI STOCKS PAR PAYSAN'!$Z$7,v_conc_prod_tye_affinage,'SUIVI STOCKS PAR PAYSAN'!$F70,v_Date_commande,"&gt;"&amp;date_inventaire)</f>
        <v>0</v>
      </c>
      <c r="AG70" s="342">
        <f ca="1">SUMIFS(bddres_pieces,'BDD RESERVATIONS'!$G:$G,'SUIVI STOCKS PAR PAYSAN'!$Z$7,bddres_c_prod_type_aff,'SUIVI STOCKS PAR PAYSAN'!$F70,'BDD RESERVATIONS'!$B:$B,"&gt;"&amp;date_inventaire)</f>
        <v>0</v>
      </c>
      <c r="AH70" s="343">
        <f ca="1">SUMIFS(es_pieces,es_prod_type_affinage,'SUIVI STOCKS PAR PAYSAN'!$F70,es_date_entree,"&gt;"&amp;date_inventaire,es_taille,'SUIVI STOCKS PAR PAYSAN'!$AH$7)-SUMIFS(v_Pièces,v_Taille,'SUIVI STOCKS PAR PAYSAN'!$AH$7,v_conc_prod_tye_affinage,'SUIVI STOCKS PAR PAYSAN'!$F70,v_Date_commande,"&gt;"&amp;date_inventaire)</f>
        <v>0</v>
      </c>
      <c r="AI70" s="353">
        <f ca="1">SUMIFS(bddres_pieces,'BDD RESERVATIONS'!$G:$G,'SUIVI STOCKS PAR PAYSAN'!$AB$7,bddres_c_prod_type_aff,'SUIVI STOCKS PAR PAYSAN'!$F70,'BDD RESERVATIONS'!$B:$B,"&gt;"&amp;date_inventaire)</f>
        <v>0</v>
      </c>
      <c r="AJ70" s="352">
        <f ca="1">SUMIFS(es_poids,es_prod_type_affinage,'SUIVI STOCKS PAR PAYSAN'!$G70,es_date_entree,"&gt;"&amp;date_inventaire)-SUMIFS(v_Poids,v_conc_prod_tye_affinage,'SUIVI STOCKS PAR PAYSAN'!$G70,v_Date_commande,"&gt;"&amp;date_inventaire)</f>
        <v>0</v>
      </c>
      <c r="AK70" s="341">
        <f ca="1">SUMIFS(bddres_c_qte,bddres_c_prod_type_aff,'SUIVI STOCKS PAR PAYSAN'!G70,'BDD RESERVATIONS'!$B:$B,"&gt;"&amp;date_inventaire)</f>
        <v>0</v>
      </c>
      <c r="AL70" s="342">
        <f ca="1">SUMIFS(bddres_pieces,es_prod_type_affinage,'SUIVI STOCKS PAR PAYSAN'!$G70,es_date_entree,"&gt;"&amp;date_inventaire,es_taille,'SUIVI STOCKS PAR PAYSAN'!$AL$7)-SUMIFS(v_Pièces,v_Taille,'SUIVI STOCKS PAR PAYSAN'!$AL$7,v_conc_prod_tye_affinage,'SUIVI STOCKS PAR PAYSAN'!$G70,v_Date_commande,"&gt;"&amp;date_inventaire)</f>
        <v>0</v>
      </c>
      <c r="AM70" s="342">
        <f ca="1">SUMIFS(bddres_pieces,'BDD RESERVATIONS'!$G:$G,'SUIVI STOCKS PAR PAYSAN'!$AL$7,bddres_c_prod_type_aff,'SUIVI STOCKS PAR PAYSAN'!$G70,'BDD RESERVATIONS'!$B:$B,"&gt;"&amp;date_inventaire)</f>
        <v>0</v>
      </c>
      <c r="AN70" s="343">
        <f ca="1">SUMIFS(es_pieces,es_prod_type_affinage,'SUIVI STOCKS PAR PAYSAN'!$G70,es_date_entree,"&gt;"&amp;date_inventaire,es_taille,'SUIVI STOCKS PAR PAYSAN'!$AN$7)-SUMIFS(v_Pièces,v_Taille,'SUIVI STOCKS PAR PAYSAN'!$AN$7,v_conc_prod_tye_affinage,'SUIVI STOCKS PAR PAYSAN'!$G70,v_Date_commande,"&gt;"&amp;date_inventaire)</f>
        <v>0</v>
      </c>
      <c r="AO70" s="353">
        <f ca="1">SUMIFS(bddres_pieces,'BDD RESERVATIONS'!$G:$G,'SUIVI STOCKS PAR PAYSAN'!$AN$7,bddres_c_prod_type_aff,'SUIVI STOCKS PAR PAYSAN'!$G70,'BDD RESERVATIONS'!$B:$B,"&gt;"&amp;date_inventaire)</f>
        <v>0</v>
      </c>
      <c r="AP70" s="313">
        <f ca="1">SUMIFS(es_poids,es_prod_type_affinage,'SUIVI STOCKS PAR PAYSAN'!$H70,es_date_entree,"&gt;"&amp;date_inventaire)-SUMIFS(v_Poids,v_conc_prod_tye_affinage,'SUIVI STOCKS PAR PAYSAN'!$H70,v_Date_commande,"&gt;"&amp;date_inventaire)</f>
        <v>0</v>
      </c>
      <c r="AQ70" s="341">
        <f ca="1">SUMIFS(bddres_c_qte,bddres_c_prod_type_aff,'SUIVI STOCKS PAR PAYSAN'!H70,'BDD RESERVATIONS'!$B:$B,"&gt;"&amp;date_inventaire)</f>
        <v>0</v>
      </c>
      <c r="AR70" s="342">
        <f ca="1">SUMIFS(bddres_pieces,es_prod_type_affinage,'SUIVI STOCKS PAR PAYSAN'!$H70,es_date_entree,"&gt;"&amp;date_inventaire,es_taille,'SUIVI STOCKS PAR PAYSAN'!$AR$7)-SUMIFS(v_Pièces,v_Taille,'SUIVI STOCKS PAR PAYSAN'!$AR$7,v_conc_prod_tye_affinage,'SUIVI STOCKS PAR PAYSAN'!$H70,v_Date_commande,"&gt;"&amp;date_inventaire)</f>
        <v>0</v>
      </c>
      <c r="AS70" s="326">
        <f ca="1">SUMIFS(bddres_pieces,'BDD RESERVATIONS'!$G:$G,'SUIVI STOCKS PAR PAYSAN'!AR65,bddres_c_prod_type_aff,'SUIVI STOCKS PAR PAYSAN'!$H70,'BDD RESERVATIONS'!$B:$B,"&gt;"&amp;date_inventaire)</f>
        <v>0</v>
      </c>
      <c r="AT70" s="343">
        <f ca="1">SUMIFS(es_pieces,es_prod_type_affinage,'SUIVI STOCKS PAR PAYSAN'!$H70,es_date_entree,"&gt;"&amp;date_inventaire,es_taille,'SUIVI STOCKS PAR PAYSAN'!$AT$7)-SUMIFS(v_Pièces,v_Taille,'SUIVI STOCKS PAR PAYSAN'!$AT$7,v_conc_prod_tye_affinage,'SUIVI STOCKS PAR PAYSAN'!$H70,v_Date_commande,"&gt;"&amp;date_inventaire)</f>
        <v>0</v>
      </c>
      <c r="AU70" s="353">
        <f ca="1">SUMIFS(bddres_pieces,'BDD RESERVATIONS'!$G:$G,'SUIVI STOCKS PAR PAYSAN'!$AT$7,bddres_c_prod_type_aff,'SUIVI STOCKS PAR PAYSAN'!$H70,'BDD RESERVATIONS'!$B:$B,"&gt;"&amp;date_inventaire)</f>
        <v>0</v>
      </c>
      <c r="AV70" s="313">
        <f ca="1">SUMIFS(es_poids,es_prod_type_affinage,'SUIVI STOCKS PAR PAYSAN'!$I70,es_date_entree,"&gt;"&amp;date_inventaire)-SUMIFS(v_Poids,v_conc_prod_tye_affinage,'SUIVI STOCKS PAR PAYSAN'!$E70,v_Date_commande,"&gt;"&amp;date_inventaire)</f>
        <v>0</v>
      </c>
      <c r="AW70" s="313">
        <f ca="1">SUMIFS(bddres_c_qte,bddres_c_prod_type_aff,'SUIVI STOCKS PAR PAYSAN'!I70,'BDD RESERVATIONS'!$B:$B,"&gt;"&amp;date_inventaire)</f>
        <v>0</v>
      </c>
      <c r="AX70" s="342">
        <f ca="1">SUMIFS(bddres_pieces,es_prod_type_affinage,'SUIVI STOCKS PAR PAYSAN'!$I70,es_date_entree,"&gt;"&amp;date_inventaire,es_taille,'SUIVI STOCKS PAR PAYSAN'!$AX$7)-SUMIFS(v_Pièces,v_Taille,'SUIVI STOCKS PAR PAYSAN'!$AX$7,v_conc_prod_tye_affinage,'SUIVI STOCKS PAR PAYSAN'!$I70,v_Date_commande,"&gt;"&amp;date_inventaire)</f>
        <v>0</v>
      </c>
      <c r="AY70" s="342">
        <f ca="1">SUMIFS(bddres_pieces,'BDD RESERVATIONS'!$G:$G,'SUIVI STOCKS PAR PAYSAN'!$AX$7,bddres_c_prod_type_aff,'SUIVI STOCKS PAR PAYSAN'!$I70,'BDD RESERVATIONS'!$B:$B,"&gt;"&amp;date_inventaire)</f>
        <v>0</v>
      </c>
      <c r="AZ70" s="343">
        <f ca="1">SUMIFS(es_pieces,es_prod_type_affinage,'SUIVI STOCKS PAR PAYSAN'!$I70,es_date_entree,"&gt;"&amp;date_inventaire,es_taille,'SUIVI STOCKS PAR PAYSAN'!$AZ$7)-SUMIFS(v_Pièces,v_Taille,'SUIVI STOCKS PAR PAYSAN'!$AZ$7,v_conc_prod_tye_affinage,'SUIVI STOCKS PAR PAYSAN'!$I70,v_Date_commande,"&gt;"&amp;date_inventaire)</f>
        <v>0</v>
      </c>
      <c r="BA70" s="353">
        <f ca="1">SUMIFS(bddres_pieces,'BDD RESERVATIONS'!$G:$G,'SUIVI STOCKS PAR PAYSAN'!$AZ$7,bddres_c_prod_type_aff,'SUIVI STOCKS PAR PAYSAN'!$I70,'BDD RESERVATIONS'!$B:$B,"&gt;"&amp;date_inventaire)</f>
        <v>0</v>
      </c>
      <c r="BB70" s="313">
        <f ca="1">SUMIFS(es_poids,es_prod_type_affinage,'SUIVI STOCKS PAR PAYSAN'!$J70,es_date_entree,"&gt;"&amp;date_inventaire)-SUMIFS(v_Poids,v_conc_prod_tye_affinage,'SUIVI STOCKS PAR PAYSAN'!$J70,v_Date_commande,"&gt;"&amp;date_inventaire)</f>
        <v>0</v>
      </c>
      <c r="BC70" s="313">
        <f ca="1">SUMIFS(bddres_c_qte,bddres_c_prod_type_aff,'SUIVI STOCKS PAR PAYSAN'!J70,'BDD RESERVATIONS'!$B:$B,"&gt;"&amp;date_inventaire)</f>
        <v>0</v>
      </c>
      <c r="BD70" s="342">
        <f ca="1">SUMIFS(bddres_pieces,es_prod_type_affinage,'SUIVI STOCKS PAR PAYSAN'!$J70,es_date_entree,"&gt;"&amp;date_inventaire,es_taille,'SUIVI STOCKS PAR PAYSAN'!$BD$7)-SUMIFS(v_Pièces,v_Taille,'SUIVI STOCKS PAR PAYSAN'!$BD$7,v_conc_prod_tye_affinage,'SUIVI STOCKS PAR PAYSAN'!$J70,v_Date_commande,"&gt;"&amp;date_inventaire)</f>
        <v>0</v>
      </c>
      <c r="BE70" s="326">
        <f ca="1">SUMIFS(bddres_pieces,'BDD RESERVATIONS'!$G:$G,'SUIVI STOCKS PAR PAYSAN'!BD65,bddres_c_prod_type_aff,'SUIVI STOCKS PAR PAYSAN'!J70,'BDD RESERVATIONS'!$B:$B,"&gt;"&amp;date_inventaire)</f>
        <v>0</v>
      </c>
      <c r="BF70" s="343">
        <f ca="1">SUMIFS(es_pieces,es_prod_type_affinage,'SUIVI STOCKS PAR PAYSAN'!J70,es_date_entree,"&gt;"&amp;date_inventaire,es_taille,'SUIVI STOCKS PAR PAYSAN'!$BF$7)-SUMIFS(v_Pièces,v_Taille,'SUIVI STOCKS PAR PAYSAN'!$BF$7,v_conc_prod_tye_affinage,'SUIVI STOCKS PAR PAYSAN'!J70,v_Date_commande,"&gt;"&amp;date_inventaire)</f>
        <v>0</v>
      </c>
      <c r="BG70" s="353">
        <f ca="1">SUMIFS(bddres_pieces,'BDD RESERVATIONS'!$G:$G,'SUIVI STOCKS PAR PAYSAN'!$BF$7,bddres_c_prod_type_aff,'SUIVI STOCKS PAR PAYSAN'!J70,'BDD RESERVATIONS'!$B:$B,"&gt;"&amp;date_inventaire)</f>
        <v>0</v>
      </c>
    </row>
    <row r="71" spans="1:59" ht="18.75" customHeight="1" x14ac:dyDescent="0.25">
      <c r="A71" s="331">
        <f ca="1">OFFSET('BDD PAYSANS'!$B$1,B71,0,1,1)</f>
        <v>0</v>
      </c>
      <c r="B71" s="325">
        <v>60</v>
      </c>
      <c r="C71" s="325" t="str">
        <f t="shared" ca="1" si="3"/>
        <v>0FERMIER&lt;3 mois</v>
      </c>
      <c r="D71" s="325" t="str">
        <f t="shared" ca="1" si="3"/>
        <v>0FERMIER3-6 mois</v>
      </c>
      <c r="E71" s="325" t="str">
        <f t="shared" ca="1" si="3"/>
        <v>0FERMIER6-9 mois</v>
      </c>
      <c r="F71" s="325" t="str">
        <f t="shared" ca="1" si="3"/>
        <v>0FERMIER&gt;9 mois</v>
      </c>
      <c r="G71" s="325" t="str">
        <f t="shared" ca="1" si="3"/>
        <v>0ESTIVE&lt;3 mois</v>
      </c>
      <c r="H71" s="325" t="str">
        <f t="shared" ca="1" si="3"/>
        <v>0ESTIVE3-6 mois</v>
      </c>
      <c r="I71" s="325" t="str">
        <f t="shared" ca="1" si="3"/>
        <v>0ESTIVE6-9 mois</v>
      </c>
      <c r="J71" s="325" t="str">
        <f t="shared" ca="1" si="3"/>
        <v>0ESTIVE&gt;9 mois</v>
      </c>
      <c r="K71" s="325"/>
      <c r="L71" s="352">
        <f ca="1">SUMIFS(es_poids,es_prod_type_affinage,'SUIVI STOCKS PAR PAYSAN'!$C71,es_date_entree,"&gt;"&amp;date_inventaire)-SUMIFS(v_Poids,v_conc_prod_tye_affinage,'SUIVI STOCKS PAR PAYSAN'!$C71,v_Date_commande,"&gt;"&amp;date_inventaire)</f>
        <v>0</v>
      </c>
      <c r="M71" s="341">
        <f ca="1">SUMIFS(bddres_c_qte,bddres_c_prod_type_aff,'SUIVI STOCKS PAR PAYSAN'!C71,'BDD RESERVATIONS'!$B:$B,"&gt;"&amp;date_inventaire)</f>
        <v>0</v>
      </c>
      <c r="N71" s="342">
        <f ca="1">SUMIFS(bddres_pieces,es_prod_type_affinage,'SUIVI STOCKS PAR PAYSAN'!$C71,es_date_entree,"&gt;"&amp;date_inventaire,es_taille,'SUIVI STOCKS PAR PAYSAN'!$N$7)-SUMIFS(v_Pièces,v_Taille,'SUIVI STOCKS PAR PAYSAN'!$N$7,v_conc_prod_tye_affinage,'SUIVI STOCKS PAR PAYSAN'!$C71,v_Date_commande,"&gt;"&amp;date_inventaire)</f>
        <v>0</v>
      </c>
      <c r="O71" s="342">
        <f ca="1">SUMIFS(bddres_pieces,'BDD RESERVATIONS'!$G:$G,'SUIVI STOCKS PAR PAYSAN'!$N$7,bddres_c_prod_type_aff,'SUIVI STOCKS PAR PAYSAN'!$C71,'BDD RESERVATIONS'!$B:$B,"&gt;"&amp;date_inventaire)</f>
        <v>0</v>
      </c>
      <c r="P71" s="343">
        <f ca="1">SUMIFS(es_pieces,es_prod_type_affinage,'SUIVI STOCKS PAR PAYSAN'!$C71,es_date_entree,"&gt;"&amp;date_inventaire,es_taille,'SUIVI STOCKS PAR PAYSAN'!$P$7)-SUMIFS(v_Pièces,v_Taille,'SUIVI STOCKS PAR PAYSAN'!$P$7,v_conc_prod_tye_affinage,'SUIVI STOCKS PAR PAYSAN'!$C71,v_Date_commande,"&gt;"&amp;date_inventaire)</f>
        <v>0</v>
      </c>
      <c r="Q71" s="353">
        <f ca="1">SUMIFS(bddres_pieces,'BDD RESERVATIONS'!$G:$G,'SUIVI STOCKS PAR PAYSAN'!$P$7,bddres_c_prod_type_aff,'SUIVI STOCKS PAR PAYSAN'!$C71,'BDD RESERVATIONS'!$B:$B,"&gt;"&amp;date_inventaire)</f>
        <v>0</v>
      </c>
      <c r="R71" s="340">
        <f ca="1">SUMIFS(es_poids,es_prod_type_affinage,'SUIVI STOCKS PAR PAYSAN'!$D71,es_date_entree,"&gt;"&amp;date_inventaire)-SUMIFS(v_Poids,v_conc_prod_tye_affinage,'SUIVI STOCKS PAR PAYSAN'!$D71,v_Date_commande,"&gt;"&amp;date_inventaire)</f>
        <v>0</v>
      </c>
      <c r="S71" s="341">
        <f ca="1">SUMIFS(bddres_c_qte,bddres_c_prod_type_aff,'SUIVI STOCKS PAR PAYSAN'!D71,'BDD RESERVATIONS'!$B:$B,"&gt;"&amp;date_inventaire)</f>
        <v>0</v>
      </c>
      <c r="T71" s="342">
        <f ca="1">SUMIFS(bddres_pieces,es_prod_type_affinage,'SUIVI STOCKS PAR PAYSAN'!$D71,es_date_entree,"&gt;"&amp;date_inventaire,es_taille,'SUIVI STOCKS PAR PAYSAN'!$T$7)-SUMIFS(v_Pièces,v_Taille,'SUIVI STOCKS PAR PAYSAN'!$T$7,v_conc_prod_tye_affinage,'SUIVI STOCKS PAR PAYSAN'!$D71,v_Date_commande,"&gt;"&amp;date_inventaire)</f>
        <v>0</v>
      </c>
      <c r="U71" s="342">
        <f ca="1">SUMIFS(bddres_pieces,'BDD RESERVATIONS'!$G:$G,'SUIVI STOCKS PAR PAYSAN'!$T$7,bddres_c_prod_type_aff,'SUIVI STOCKS PAR PAYSAN'!$D71,'BDD RESERVATIONS'!$B:$B,"&gt;"&amp;date_inventaire)</f>
        <v>0</v>
      </c>
      <c r="V71" s="343">
        <f ca="1">SUMIFS(es_pieces,es_prod_type_affinage,'SUIVI STOCKS PAR PAYSAN'!$D71,es_date_entree,"&gt;"&amp;date_inventaire,es_taille,'SUIVI STOCKS PAR PAYSAN'!$V$7)-SUMIFS(v_Pièces,v_Taille,'SUIVI STOCKS PAR PAYSAN'!$V$7,v_conc_prod_tye_affinage,'SUIVI STOCKS PAR PAYSAN'!$D71,v_Date_commande,"&gt;"&amp;date_inventaire)</f>
        <v>0</v>
      </c>
      <c r="W71" s="353">
        <f ca="1">SUMIFS(bddres_pieces,'BDD RESERVATIONS'!$G:$G,'SUIVI STOCKS PAR PAYSAN'!$V$7,bddres_c_prod_type_aff,'SUIVI STOCKS PAR PAYSAN'!$D71,'BDD RESERVATIONS'!$B:$B,"&gt;"&amp;date_inventaire)</f>
        <v>0</v>
      </c>
      <c r="X71" s="313">
        <f ca="1">SUMIFS(es_poids,es_prod_type_affinage,'SUIVI STOCKS PAR PAYSAN'!$E71,es_date_entree,"&gt;"&amp;date_inventaire)-SUMIFS(v_Poids,v_conc_prod_tye_affinage,'SUIVI STOCKS PAR PAYSAN'!$E71,v_Date_commande,"&gt;"&amp;date_inventaire)</f>
        <v>0</v>
      </c>
      <c r="Y71" s="341">
        <f ca="1">SUMIFS(bddres_c_qte,bddres_c_prod_type_aff,'SUIVI STOCKS PAR PAYSAN'!E71,'BDD RESERVATIONS'!$B:$B,"&gt;"&amp;date_inventaire)</f>
        <v>0</v>
      </c>
      <c r="Z71" s="342">
        <f ca="1">SUMIFS(bddres_pieces,es_prod_type_affinage,'SUIVI STOCKS PAR PAYSAN'!$E71,es_date_entree,"&gt;"&amp;date_inventaire,es_taille,'SUIVI STOCKS PAR PAYSAN'!$Z$7)-SUMIFS(v_Pièces,v_Taille,'SUIVI STOCKS PAR PAYSAN'!$Z$7,v_conc_prod_tye_affinage,'SUIVI STOCKS PAR PAYSAN'!$E71,v_Date_commande,"&gt;"&amp;date_inventaire)</f>
        <v>0</v>
      </c>
      <c r="AA71" s="342">
        <f ca="1">SUMIFS(bddres_pieces,'BDD RESERVATIONS'!$G:$G,'SUIVI STOCKS PAR PAYSAN'!$Z$7,bddres_c_prod_type_aff,'SUIVI STOCKS PAR PAYSAN'!$E71,'BDD RESERVATIONS'!$B:$B,"&gt;"&amp;date_inventaire)</f>
        <v>0</v>
      </c>
      <c r="AB71" s="343">
        <f ca="1">SUMIFS(es_pieces,es_prod_type_affinage,'SUIVI STOCKS PAR PAYSAN'!$E71,es_date_entree,"&gt;"&amp;date_inventaire,es_taille,'SUIVI STOCKS PAR PAYSAN'!$AB$7)-SUMIFS(v_Pièces,v_Taille,'SUIVI STOCKS PAR PAYSAN'!$AB$7,v_conc_prod_tye_affinage,'SUIVI STOCKS PAR PAYSAN'!$E71,v_Date_commande,"&gt;"&amp;date_inventaire)</f>
        <v>0</v>
      </c>
      <c r="AC71" s="353">
        <f ca="1">SUMIFS(bddres_pieces,'BDD RESERVATIONS'!$G:$G,'SUIVI STOCKS PAR PAYSAN'!$AB$7,bddres_c_prod_type_aff,'SUIVI STOCKS PAR PAYSAN'!$E71,'BDD RESERVATIONS'!$B:$B,"&gt;"&amp;date_inventaire)</f>
        <v>0</v>
      </c>
      <c r="AD71" s="313">
        <f ca="1">SUMIFS(es_poids,es_prod_type_affinage,'SUIVI STOCKS PAR PAYSAN'!$F71,es_date_entree,"&gt;"&amp;date_inventaire)-SUMIFS(v_Poids,v_conc_prod_tye_affinage,'SUIVI STOCKS PAR PAYSAN'!$F71,v_Date_commande,"&gt;"&amp;date_inventaire)</f>
        <v>0</v>
      </c>
      <c r="AE71" s="341">
        <f ca="1">SUMIFS(bddres_c_qte,bddres_c_prod_type_aff,'SUIVI STOCKS PAR PAYSAN'!F71,'BDD RESERVATIONS'!$B:$B,"&gt;"&amp;date_inventaire)</f>
        <v>0</v>
      </c>
      <c r="AF71" s="342">
        <f ca="1">SUMIFS(bddres_pieces,es_prod_type_affinage,'SUIVI STOCKS PAR PAYSAN'!$F71,es_date_entree,"&gt;"&amp;date_inventaire,es_taille,'SUIVI STOCKS PAR PAYSAN'!$Z$7)-SUMIFS(v_Pièces,v_Taille,'SUIVI STOCKS PAR PAYSAN'!$Z$7,v_conc_prod_tye_affinage,'SUIVI STOCKS PAR PAYSAN'!$F71,v_Date_commande,"&gt;"&amp;date_inventaire)</f>
        <v>0</v>
      </c>
      <c r="AG71" s="342">
        <f ca="1">SUMIFS(bddres_pieces,'BDD RESERVATIONS'!$G:$G,'SUIVI STOCKS PAR PAYSAN'!$Z$7,bddres_c_prod_type_aff,'SUIVI STOCKS PAR PAYSAN'!$F71,'BDD RESERVATIONS'!$B:$B,"&gt;"&amp;date_inventaire)</f>
        <v>0</v>
      </c>
      <c r="AH71" s="343">
        <f ca="1">SUMIFS(es_pieces,es_prod_type_affinage,'SUIVI STOCKS PAR PAYSAN'!$F71,es_date_entree,"&gt;"&amp;date_inventaire,es_taille,'SUIVI STOCKS PAR PAYSAN'!$AH$7)-SUMIFS(v_Pièces,v_Taille,'SUIVI STOCKS PAR PAYSAN'!$AH$7,v_conc_prod_tye_affinage,'SUIVI STOCKS PAR PAYSAN'!$F71,v_Date_commande,"&gt;"&amp;date_inventaire)</f>
        <v>0</v>
      </c>
      <c r="AI71" s="353">
        <f ca="1">SUMIFS(bddres_pieces,'BDD RESERVATIONS'!$G:$G,'SUIVI STOCKS PAR PAYSAN'!$AB$7,bddres_c_prod_type_aff,'SUIVI STOCKS PAR PAYSAN'!$F71,'BDD RESERVATIONS'!$B:$B,"&gt;"&amp;date_inventaire)</f>
        <v>0</v>
      </c>
      <c r="AJ71" s="352">
        <f ca="1">SUMIFS(es_poids,es_prod_type_affinage,'SUIVI STOCKS PAR PAYSAN'!$G71,es_date_entree,"&gt;"&amp;date_inventaire)-SUMIFS(v_Poids,v_conc_prod_tye_affinage,'SUIVI STOCKS PAR PAYSAN'!$G71,v_Date_commande,"&gt;"&amp;date_inventaire)</f>
        <v>0</v>
      </c>
      <c r="AK71" s="341">
        <f ca="1">SUMIFS(bddres_c_qte,bddres_c_prod_type_aff,'SUIVI STOCKS PAR PAYSAN'!G71,'BDD RESERVATIONS'!$B:$B,"&gt;"&amp;date_inventaire)</f>
        <v>0</v>
      </c>
      <c r="AL71" s="342">
        <f ca="1">SUMIFS(bddres_pieces,es_prod_type_affinage,'SUIVI STOCKS PAR PAYSAN'!$G71,es_date_entree,"&gt;"&amp;date_inventaire,es_taille,'SUIVI STOCKS PAR PAYSAN'!$AL$7)-SUMIFS(v_Pièces,v_Taille,'SUIVI STOCKS PAR PAYSAN'!$AL$7,v_conc_prod_tye_affinage,'SUIVI STOCKS PAR PAYSAN'!$G71,v_Date_commande,"&gt;"&amp;date_inventaire)</f>
        <v>0</v>
      </c>
      <c r="AM71" s="342">
        <f ca="1">SUMIFS(bddres_pieces,'BDD RESERVATIONS'!$G:$G,'SUIVI STOCKS PAR PAYSAN'!$AL$7,bddres_c_prod_type_aff,'SUIVI STOCKS PAR PAYSAN'!$G71,'BDD RESERVATIONS'!$B:$B,"&gt;"&amp;date_inventaire)</f>
        <v>0</v>
      </c>
      <c r="AN71" s="343">
        <f ca="1">SUMIFS(es_pieces,es_prod_type_affinage,'SUIVI STOCKS PAR PAYSAN'!$G71,es_date_entree,"&gt;"&amp;date_inventaire,es_taille,'SUIVI STOCKS PAR PAYSAN'!$AN$7)-SUMIFS(v_Pièces,v_Taille,'SUIVI STOCKS PAR PAYSAN'!$AN$7,v_conc_prod_tye_affinage,'SUIVI STOCKS PAR PAYSAN'!$G71,v_Date_commande,"&gt;"&amp;date_inventaire)</f>
        <v>0</v>
      </c>
      <c r="AO71" s="353">
        <f ca="1">SUMIFS(bddres_pieces,'BDD RESERVATIONS'!$G:$G,'SUIVI STOCKS PAR PAYSAN'!$AN$7,bddres_c_prod_type_aff,'SUIVI STOCKS PAR PAYSAN'!$G71,'BDD RESERVATIONS'!$B:$B,"&gt;"&amp;date_inventaire)</f>
        <v>0</v>
      </c>
      <c r="AP71" s="313">
        <f ca="1">SUMIFS(es_poids,es_prod_type_affinage,'SUIVI STOCKS PAR PAYSAN'!$H71,es_date_entree,"&gt;"&amp;date_inventaire)-SUMIFS(v_Poids,v_conc_prod_tye_affinage,'SUIVI STOCKS PAR PAYSAN'!$H71,v_Date_commande,"&gt;"&amp;date_inventaire)</f>
        <v>0</v>
      </c>
      <c r="AQ71" s="341">
        <f ca="1">SUMIFS(bddres_c_qte,bddres_c_prod_type_aff,'SUIVI STOCKS PAR PAYSAN'!H71,'BDD RESERVATIONS'!$B:$B,"&gt;"&amp;date_inventaire)</f>
        <v>0</v>
      </c>
      <c r="AR71" s="342">
        <f ca="1">SUMIFS(bddres_pieces,es_prod_type_affinage,'SUIVI STOCKS PAR PAYSAN'!$H71,es_date_entree,"&gt;"&amp;date_inventaire,es_taille,'SUIVI STOCKS PAR PAYSAN'!$AR$7)-SUMIFS(v_Pièces,v_Taille,'SUIVI STOCKS PAR PAYSAN'!$AR$7,v_conc_prod_tye_affinage,'SUIVI STOCKS PAR PAYSAN'!$H71,v_Date_commande,"&gt;"&amp;date_inventaire)</f>
        <v>0</v>
      </c>
      <c r="AS71" s="326">
        <f ca="1">SUMIFS(bddres_pieces,'BDD RESERVATIONS'!$G:$G,'SUIVI STOCKS PAR PAYSAN'!AR66,bddres_c_prod_type_aff,'SUIVI STOCKS PAR PAYSAN'!$H71,'BDD RESERVATIONS'!$B:$B,"&gt;"&amp;date_inventaire)</f>
        <v>0</v>
      </c>
      <c r="AT71" s="343">
        <f ca="1">SUMIFS(es_pieces,es_prod_type_affinage,'SUIVI STOCKS PAR PAYSAN'!$H71,es_date_entree,"&gt;"&amp;date_inventaire,es_taille,'SUIVI STOCKS PAR PAYSAN'!$AT$7)-SUMIFS(v_Pièces,v_Taille,'SUIVI STOCKS PAR PAYSAN'!$AT$7,v_conc_prod_tye_affinage,'SUIVI STOCKS PAR PAYSAN'!$H71,v_Date_commande,"&gt;"&amp;date_inventaire)</f>
        <v>0</v>
      </c>
      <c r="AU71" s="353">
        <f ca="1">SUMIFS(bddres_pieces,'BDD RESERVATIONS'!$G:$G,'SUIVI STOCKS PAR PAYSAN'!$AT$7,bddres_c_prod_type_aff,'SUIVI STOCKS PAR PAYSAN'!$H71,'BDD RESERVATIONS'!$B:$B,"&gt;"&amp;date_inventaire)</f>
        <v>0</v>
      </c>
      <c r="AV71" s="313">
        <f ca="1">SUMIFS(es_poids,es_prod_type_affinage,'SUIVI STOCKS PAR PAYSAN'!$I71,es_date_entree,"&gt;"&amp;date_inventaire)-SUMIFS(v_Poids,v_conc_prod_tye_affinage,'SUIVI STOCKS PAR PAYSAN'!$E71,v_Date_commande,"&gt;"&amp;date_inventaire)</f>
        <v>0</v>
      </c>
      <c r="AW71" s="313">
        <f ca="1">SUMIFS(bddres_c_qte,bddres_c_prod_type_aff,'SUIVI STOCKS PAR PAYSAN'!I71,'BDD RESERVATIONS'!$B:$B,"&gt;"&amp;date_inventaire)</f>
        <v>0</v>
      </c>
      <c r="AX71" s="342">
        <f ca="1">SUMIFS(bddres_pieces,es_prod_type_affinage,'SUIVI STOCKS PAR PAYSAN'!$I71,es_date_entree,"&gt;"&amp;date_inventaire,es_taille,'SUIVI STOCKS PAR PAYSAN'!$AX$7)-SUMIFS(v_Pièces,v_Taille,'SUIVI STOCKS PAR PAYSAN'!$AX$7,v_conc_prod_tye_affinage,'SUIVI STOCKS PAR PAYSAN'!$I71,v_Date_commande,"&gt;"&amp;date_inventaire)</f>
        <v>0</v>
      </c>
      <c r="AY71" s="342">
        <f ca="1">SUMIFS(bddres_pieces,'BDD RESERVATIONS'!$G:$G,'SUIVI STOCKS PAR PAYSAN'!$AX$7,bddres_c_prod_type_aff,'SUIVI STOCKS PAR PAYSAN'!$I71,'BDD RESERVATIONS'!$B:$B,"&gt;"&amp;date_inventaire)</f>
        <v>0</v>
      </c>
      <c r="AZ71" s="343">
        <f ca="1">SUMIFS(es_pieces,es_prod_type_affinage,'SUIVI STOCKS PAR PAYSAN'!$I71,es_date_entree,"&gt;"&amp;date_inventaire,es_taille,'SUIVI STOCKS PAR PAYSAN'!$AZ$7)-SUMIFS(v_Pièces,v_Taille,'SUIVI STOCKS PAR PAYSAN'!$AZ$7,v_conc_prod_tye_affinage,'SUIVI STOCKS PAR PAYSAN'!$I71,v_Date_commande,"&gt;"&amp;date_inventaire)</f>
        <v>0</v>
      </c>
      <c r="BA71" s="353">
        <f ca="1">SUMIFS(bddres_pieces,'BDD RESERVATIONS'!$G:$G,'SUIVI STOCKS PAR PAYSAN'!$AZ$7,bddres_c_prod_type_aff,'SUIVI STOCKS PAR PAYSAN'!$I71,'BDD RESERVATIONS'!$B:$B,"&gt;"&amp;date_inventaire)</f>
        <v>0</v>
      </c>
      <c r="BB71" s="313">
        <f ca="1">SUMIFS(es_poids,es_prod_type_affinage,'SUIVI STOCKS PAR PAYSAN'!$J71,es_date_entree,"&gt;"&amp;date_inventaire)-SUMIFS(v_Poids,v_conc_prod_tye_affinage,'SUIVI STOCKS PAR PAYSAN'!$J71,v_Date_commande,"&gt;"&amp;date_inventaire)</f>
        <v>0</v>
      </c>
      <c r="BC71" s="313">
        <f ca="1">SUMIFS(bddres_c_qte,bddres_c_prod_type_aff,'SUIVI STOCKS PAR PAYSAN'!J71,'BDD RESERVATIONS'!$B:$B,"&gt;"&amp;date_inventaire)</f>
        <v>0</v>
      </c>
      <c r="BD71" s="342">
        <f ca="1">SUMIFS(bddres_pieces,es_prod_type_affinage,'SUIVI STOCKS PAR PAYSAN'!$J71,es_date_entree,"&gt;"&amp;date_inventaire,es_taille,'SUIVI STOCKS PAR PAYSAN'!$BD$7)-SUMIFS(v_Pièces,v_Taille,'SUIVI STOCKS PAR PAYSAN'!$BD$7,v_conc_prod_tye_affinage,'SUIVI STOCKS PAR PAYSAN'!$J71,v_Date_commande,"&gt;"&amp;date_inventaire)</f>
        <v>0</v>
      </c>
      <c r="BE71" s="326">
        <f ca="1">SUMIFS(bddres_pieces,'BDD RESERVATIONS'!$G:$G,'SUIVI STOCKS PAR PAYSAN'!BD66,bddres_c_prod_type_aff,'SUIVI STOCKS PAR PAYSAN'!J71,'BDD RESERVATIONS'!$B:$B,"&gt;"&amp;date_inventaire)</f>
        <v>0</v>
      </c>
      <c r="BF71" s="343">
        <f ca="1">SUMIFS(es_pieces,es_prod_type_affinage,'SUIVI STOCKS PAR PAYSAN'!J71,es_date_entree,"&gt;"&amp;date_inventaire,es_taille,'SUIVI STOCKS PAR PAYSAN'!$BF$7)-SUMIFS(v_Pièces,v_Taille,'SUIVI STOCKS PAR PAYSAN'!$BF$7,v_conc_prod_tye_affinage,'SUIVI STOCKS PAR PAYSAN'!J71,v_Date_commande,"&gt;"&amp;date_inventaire)</f>
        <v>0</v>
      </c>
      <c r="BG71" s="353">
        <f ca="1">SUMIFS(bddres_pieces,'BDD RESERVATIONS'!$G:$G,'SUIVI STOCKS PAR PAYSAN'!$BF$7,bddres_c_prod_type_aff,'SUIVI STOCKS PAR PAYSAN'!J71,'BDD RESERVATIONS'!$B:$B,"&gt;"&amp;date_inventaire)</f>
        <v>0</v>
      </c>
    </row>
    <row r="72" spans="1:59" ht="18.75" customHeight="1" x14ac:dyDescent="0.25">
      <c r="A72" s="331">
        <f ca="1">OFFSET('BDD PAYSANS'!$B$1,B72,0,1,1)</f>
        <v>0</v>
      </c>
      <c r="B72" s="325">
        <v>61</v>
      </c>
      <c r="C72" s="325" t="str">
        <f t="shared" ca="1" si="3"/>
        <v>0FERMIER&lt;3 mois</v>
      </c>
      <c r="D72" s="325" t="str">
        <f t="shared" ca="1" si="3"/>
        <v>0FERMIER3-6 mois</v>
      </c>
      <c r="E72" s="325" t="str">
        <f t="shared" ca="1" si="3"/>
        <v>0FERMIER6-9 mois</v>
      </c>
      <c r="F72" s="325" t="str">
        <f t="shared" ca="1" si="3"/>
        <v>0FERMIER&gt;9 mois</v>
      </c>
      <c r="G72" s="325" t="str">
        <f t="shared" ca="1" si="3"/>
        <v>0ESTIVE&lt;3 mois</v>
      </c>
      <c r="H72" s="325" t="str">
        <f t="shared" ca="1" si="3"/>
        <v>0ESTIVE3-6 mois</v>
      </c>
      <c r="I72" s="325" t="str">
        <f t="shared" ca="1" si="3"/>
        <v>0ESTIVE6-9 mois</v>
      </c>
      <c r="J72" s="325" t="str">
        <f t="shared" ca="1" si="3"/>
        <v>0ESTIVE&gt;9 mois</v>
      </c>
      <c r="K72" s="325"/>
      <c r="L72" s="352">
        <f ca="1">SUMIFS(es_poids,es_prod_type_affinage,'SUIVI STOCKS PAR PAYSAN'!$C72,es_date_entree,"&gt;"&amp;date_inventaire)-SUMIFS(v_Poids,v_conc_prod_tye_affinage,'SUIVI STOCKS PAR PAYSAN'!$C72,v_Date_commande,"&gt;"&amp;date_inventaire)</f>
        <v>0</v>
      </c>
      <c r="M72" s="341">
        <f ca="1">SUMIFS(bddres_c_qte,bddres_c_prod_type_aff,'SUIVI STOCKS PAR PAYSAN'!C72,'BDD RESERVATIONS'!$B:$B,"&gt;"&amp;date_inventaire)</f>
        <v>0</v>
      </c>
      <c r="N72" s="342">
        <f ca="1">SUMIFS(bddres_pieces,es_prod_type_affinage,'SUIVI STOCKS PAR PAYSAN'!$C72,es_date_entree,"&gt;"&amp;date_inventaire,es_taille,'SUIVI STOCKS PAR PAYSAN'!$N$7)-SUMIFS(v_Pièces,v_Taille,'SUIVI STOCKS PAR PAYSAN'!$N$7,v_conc_prod_tye_affinage,'SUIVI STOCKS PAR PAYSAN'!$C72,v_Date_commande,"&gt;"&amp;date_inventaire)</f>
        <v>0</v>
      </c>
      <c r="O72" s="342">
        <f ca="1">SUMIFS(bddres_pieces,'BDD RESERVATIONS'!$G:$G,'SUIVI STOCKS PAR PAYSAN'!$N$7,bddres_c_prod_type_aff,'SUIVI STOCKS PAR PAYSAN'!$C72,'BDD RESERVATIONS'!$B:$B,"&gt;"&amp;date_inventaire)</f>
        <v>0</v>
      </c>
      <c r="P72" s="343">
        <f ca="1">SUMIFS(es_pieces,es_prod_type_affinage,'SUIVI STOCKS PAR PAYSAN'!$C72,es_date_entree,"&gt;"&amp;date_inventaire,es_taille,'SUIVI STOCKS PAR PAYSAN'!$P$7)-SUMIFS(v_Pièces,v_Taille,'SUIVI STOCKS PAR PAYSAN'!$P$7,v_conc_prod_tye_affinage,'SUIVI STOCKS PAR PAYSAN'!$C72,v_Date_commande,"&gt;"&amp;date_inventaire)</f>
        <v>0</v>
      </c>
      <c r="Q72" s="353">
        <f ca="1">SUMIFS(bddres_pieces,'BDD RESERVATIONS'!$G:$G,'SUIVI STOCKS PAR PAYSAN'!$P$7,bddres_c_prod_type_aff,'SUIVI STOCKS PAR PAYSAN'!$C72,'BDD RESERVATIONS'!$B:$B,"&gt;"&amp;date_inventaire)</f>
        <v>0</v>
      </c>
      <c r="R72" s="340">
        <f ca="1">SUMIFS(es_poids,es_prod_type_affinage,'SUIVI STOCKS PAR PAYSAN'!$D72,es_date_entree,"&gt;"&amp;date_inventaire)-SUMIFS(v_Poids,v_conc_prod_tye_affinage,'SUIVI STOCKS PAR PAYSAN'!$D72,v_Date_commande,"&gt;"&amp;date_inventaire)</f>
        <v>0</v>
      </c>
      <c r="S72" s="341">
        <f ca="1">SUMIFS(bddres_c_qte,bddres_c_prod_type_aff,'SUIVI STOCKS PAR PAYSAN'!D72,'BDD RESERVATIONS'!$B:$B,"&gt;"&amp;date_inventaire)</f>
        <v>0</v>
      </c>
      <c r="T72" s="342">
        <f ca="1">SUMIFS(bddres_pieces,es_prod_type_affinage,'SUIVI STOCKS PAR PAYSAN'!$D72,es_date_entree,"&gt;"&amp;date_inventaire,es_taille,'SUIVI STOCKS PAR PAYSAN'!$T$7)-SUMIFS(v_Pièces,v_Taille,'SUIVI STOCKS PAR PAYSAN'!$T$7,v_conc_prod_tye_affinage,'SUIVI STOCKS PAR PAYSAN'!$D72,v_Date_commande,"&gt;"&amp;date_inventaire)</f>
        <v>0</v>
      </c>
      <c r="U72" s="342">
        <f ca="1">SUMIFS(bddres_pieces,'BDD RESERVATIONS'!$G:$G,'SUIVI STOCKS PAR PAYSAN'!$T$7,bddres_c_prod_type_aff,'SUIVI STOCKS PAR PAYSAN'!$D72,'BDD RESERVATIONS'!$B:$B,"&gt;"&amp;date_inventaire)</f>
        <v>0</v>
      </c>
      <c r="V72" s="343">
        <f ca="1">SUMIFS(es_pieces,es_prod_type_affinage,'SUIVI STOCKS PAR PAYSAN'!$D72,es_date_entree,"&gt;"&amp;date_inventaire,es_taille,'SUIVI STOCKS PAR PAYSAN'!$V$7)-SUMIFS(v_Pièces,v_Taille,'SUIVI STOCKS PAR PAYSAN'!$V$7,v_conc_prod_tye_affinage,'SUIVI STOCKS PAR PAYSAN'!$D72,v_Date_commande,"&gt;"&amp;date_inventaire)</f>
        <v>0</v>
      </c>
      <c r="W72" s="353">
        <f ca="1">SUMIFS(bddres_pieces,'BDD RESERVATIONS'!$G:$G,'SUIVI STOCKS PAR PAYSAN'!$V$7,bddres_c_prod_type_aff,'SUIVI STOCKS PAR PAYSAN'!$D72,'BDD RESERVATIONS'!$B:$B,"&gt;"&amp;date_inventaire)</f>
        <v>0</v>
      </c>
      <c r="X72" s="313">
        <f ca="1">SUMIFS(es_poids,es_prod_type_affinage,'SUIVI STOCKS PAR PAYSAN'!$E72,es_date_entree,"&gt;"&amp;date_inventaire)-SUMIFS(v_Poids,v_conc_prod_tye_affinage,'SUIVI STOCKS PAR PAYSAN'!$E72,v_Date_commande,"&gt;"&amp;date_inventaire)</f>
        <v>0</v>
      </c>
      <c r="Y72" s="341">
        <f ca="1">SUMIFS(bddres_c_qte,bddres_c_prod_type_aff,'SUIVI STOCKS PAR PAYSAN'!E72,'BDD RESERVATIONS'!$B:$B,"&gt;"&amp;date_inventaire)</f>
        <v>0</v>
      </c>
      <c r="Z72" s="342">
        <f ca="1">SUMIFS(bddres_pieces,es_prod_type_affinage,'SUIVI STOCKS PAR PAYSAN'!$E72,es_date_entree,"&gt;"&amp;date_inventaire,es_taille,'SUIVI STOCKS PAR PAYSAN'!$Z$7)-SUMIFS(v_Pièces,v_Taille,'SUIVI STOCKS PAR PAYSAN'!$Z$7,v_conc_prod_tye_affinage,'SUIVI STOCKS PAR PAYSAN'!$E72,v_Date_commande,"&gt;"&amp;date_inventaire)</f>
        <v>0</v>
      </c>
      <c r="AA72" s="342">
        <f ca="1">SUMIFS(bddres_pieces,'BDD RESERVATIONS'!$G:$G,'SUIVI STOCKS PAR PAYSAN'!$Z$7,bddres_c_prod_type_aff,'SUIVI STOCKS PAR PAYSAN'!$E72,'BDD RESERVATIONS'!$B:$B,"&gt;"&amp;date_inventaire)</f>
        <v>0</v>
      </c>
      <c r="AB72" s="343">
        <f ca="1">SUMIFS(es_pieces,es_prod_type_affinage,'SUIVI STOCKS PAR PAYSAN'!$E72,es_date_entree,"&gt;"&amp;date_inventaire,es_taille,'SUIVI STOCKS PAR PAYSAN'!$AB$7)-SUMIFS(v_Pièces,v_Taille,'SUIVI STOCKS PAR PAYSAN'!$AB$7,v_conc_prod_tye_affinage,'SUIVI STOCKS PAR PAYSAN'!$E72,v_Date_commande,"&gt;"&amp;date_inventaire)</f>
        <v>0</v>
      </c>
      <c r="AC72" s="353">
        <f ca="1">SUMIFS(bddres_pieces,'BDD RESERVATIONS'!$G:$G,'SUIVI STOCKS PAR PAYSAN'!$AB$7,bddres_c_prod_type_aff,'SUIVI STOCKS PAR PAYSAN'!$E72,'BDD RESERVATIONS'!$B:$B,"&gt;"&amp;date_inventaire)</f>
        <v>0</v>
      </c>
      <c r="AD72" s="313">
        <f ca="1">SUMIFS(es_poids,es_prod_type_affinage,'SUIVI STOCKS PAR PAYSAN'!$F72,es_date_entree,"&gt;"&amp;date_inventaire)-SUMIFS(v_Poids,v_conc_prod_tye_affinage,'SUIVI STOCKS PAR PAYSAN'!$F72,v_Date_commande,"&gt;"&amp;date_inventaire)</f>
        <v>0</v>
      </c>
      <c r="AE72" s="341">
        <f ca="1">SUMIFS(bddres_c_qte,bddres_c_prod_type_aff,'SUIVI STOCKS PAR PAYSAN'!F72,'BDD RESERVATIONS'!$B:$B,"&gt;"&amp;date_inventaire)</f>
        <v>0</v>
      </c>
      <c r="AF72" s="342">
        <f ca="1">SUMIFS(bddres_pieces,es_prod_type_affinage,'SUIVI STOCKS PAR PAYSAN'!$F72,es_date_entree,"&gt;"&amp;date_inventaire,es_taille,'SUIVI STOCKS PAR PAYSAN'!$Z$7)-SUMIFS(v_Pièces,v_Taille,'SUIVI STOCKS PAR PAYSAN'!$Z$7,v_conc_prod_tye_affinage,'SUIVI STOCKS PAR PAYSAN'!$F72,v_Date_commande,"&gt;"&amp;date_inventaire)</f>
        <v>0</v>
      </c>
      <c r="AG72" s="342">
        <f ca="1">SUMIFS(bddres_pieces,'BDD RESERVATIONS'!$G:$G,'SUIVI STOCKS PAR PAYSAN'!$Z$7,bddres_c_prod_type_aff,'SUIVI STOCKS PAR PAYSAN'!$F72,'BDD RESERVATIONS'!$B:$B,"&gt;"&amp;date_inventaire)</f>
        <v>0</v>
      </c>
      <c r="AH72" s="343">
        <f ca="1">SUMIFS(es_pieces,es_prod_type_affinage,'SUIVI STOCKS PAR PAYSAN'!$F72,es_date_entree,"&gt;"&amp;date_inventaire,es_taille,'SUIVI STOCKS PAR PAYSAN'!$AH$7)-SUMIFS(v_Pièces,v_Taille,'SUIVI STOCKS PAR PAYSAN'!$AH$7,v_conc_prod_tye_affinage,'SUIVI STOCKS PAR PAYSAN'!$F72,v_Date_commande,"&gt;"&amp;date_inventaire)</f>
        <v>0</v>
      </c>
      <c r="AI72" s="353">
        <f ca="1">SUMIFS(bddres_pieces,'BDD RESERVATIONS'!$G:$G,'SUIVI STOCKS PAR PAYSAN'!$AB$7,bddres_c_prod_type_aff,'SUIVI STOCKS PAR PAYSAN'!$F72,'BDD RESERVATIONS'!$B:$B,"&gt;"&amp;date_inventaire)</f>
        <v>0</v>
      </c>
      <c r="AJ72" s="352">
        <f ca="1">SUMIFS(es_poids,es_prod_type_affinage,'SUIVI STOCKS PAR PAYSAN'!$G72,es_date_entree,"&gt;"&amp;date_inventaire)-SUMIFS(v_Poids,v_conc_prod_tye_affinage,'SUIVI STOCKS PAR PAYSAN'!$G72,v_Date_commande,"&gt;"&amp;date_inventaire)</f>
        <v>0</v>
      </c>
      <c r="AK72" s="341">
        <f ca="1">SUMIFS(bddres_c_qte,bddres_c_prod_type_aff,'SUIVI STOCKS PAR PAYSAN'!G72,'BDD RESERVATIONS'!$B:$B,"&gt;"&amp;date_inventaire)</f>
        <v>0</v>
      </c>
      <c r="AL72" s="342">
        <f ca="1">SUMIFS(bddres_pieces,es_prod_type_affinage,'SUIVI STOCKS PAR PAYSAN'!$G72,es_date_entree,"&gt;"&amp;date_inventaire,es_taille,'SUIVI STOCKS PAR PAYSAN'!$AL$7)-SUMIFS(v_Pièces,v_Taille,'SUIVI STOCKS PAR PAYSAN'!$AL$7,v_conc_prod_tye_affinage,'SUIVI STOCKS PAR PAYSAN'!$G72,v_Date_commande,"&gt;"&amp;date_inventaire)</f>
        <v>0</v>
      </c>
      <c r="AM72" s="342">
        <f ca="1">SUMIFS(bddres_pieces,'BDD RESERVATIONS'!$G:$G,'SUIVI STOCKS PAR PAYSAN'!$AL$7,bddres_c_prod_type_aff,'SUIVI STOCKS PAR PAYSAN'!$G72,'BDD RESERVATIONS'!$B:$B,"&gt;"&amp;date_inventaire)</f>
        <v>0</v>
      </c>
      <c r="AN72" s="343">
        <f ca="1">SUMIFS(es_pieces,es_prod_type_affinage,'SUIVI STOCKS PAR PAYSAN'!$G72,es_date_entree,"&gt;"&amp;date_inventaire,es_taille,'SUIVI STOCKS PAR PAYSAN'!$AN$7)-SUMIFS(v_Pièces,v_Taille,'SUIVI STOCKS PAR PAYSAN'!$AN$7,v_conc_prod_tye_affinage,'SUIVI STOCKS PAR PAYSAN'!$G72,v_Date_commande,"&gt;"&amp;date_inventaire)</f>
        <v>0</v>
      </c>
      <c r="AO72" s="353">
        <f ca="1">SUMIFS(bddres_pieces,'BDD RESERVATIONS'!$G:$G,'SUIVI STOCKS PAR PAYSAN'!$AN$7,bddres_c_prod_type_aff,'SUIVI STOCKS PAR PAYSAN'!$G72,'BDD RESERVATIONS'!$B:$B,"&gt;"&amp;date_inventaire)</f>
        <v>0</v>
      </c>
      <c r="AP72" s="313">
        <f ca="1">SUMIFS(es_poids,es_prod_type_affinage,'SUIVI STOCKS PAR PAYSAN'!$H72,es_date_entree,"&gt;"&amp;date_inventaire)-SUMIFS(v_Poids,v_conc_prod_tye_affinage,'SUIVI STOCKS PAR PAYSAN'!$H72,v_Date_commande,"&gt;"&amp;date_inventaire)</f>
        <v>0</v>
      </c>
      <c r="AQ72" s="341">
        <f ca="1">SUMIFS(bddres_c_qte,bddres_c_prod_type_aff,'SUIVI STOCKS PAR PAYSAN'!H72,'BDD RESERVATIONS'!$B:$B,"&gt;"&amp;date_inventaire)</f>
        <v>0</v>
      </c>
      <c r="AR72" s="342">
        <f ca="1">SUMIFS(bddres_pieces,es_prod_type_affinage,'SUIVI STOCKS PAR PAYSAN'!$H72,es_date_entree,"&gt;"&amp;date_inventaire,es_taille,'SUIVI STOCKS PAR PAYSAN'!$AR$7)-SUMIFS(v_Pièces,v_Taille,'SUIVI STOCKS PAR PAYSAN'!$AR$7,v_conc_prod_tye_affinage,'SUIVI STOCKS PAR PAYSAN'!$H72,v_Date_commande,"&gt;"&amp;date_inventaire)</f>
        <v>0</v>
      </c>
      <c r="AS72" s="326">
        <f ca="1">SUMIFS(bddres_pieces,'BDD RESERVATIONS'!$G:$G,'SUIVI STOCKS PAR PAYSAN'!AR67,bddres_c_prod_type_aff,'SUIVI STOCKS PAR PAYSAN'!$H72,'BDD RESERVATIONS'!$B:$B,"&gt;"&amp;date_inventaire)</f>
        <v>0</v>
      </c>
      <c r="AT72" s="343">
        <f ca="1">SUMIFS(es_pieces,es_prod_type_affinage,'SUIVI STOCKS PAR PAYSAN'!$H72,es_date_entree,"&gt;"&amp;date_inventaire,es_taille,'SUIVI STOCKS PAR PAYSAN'!$AT$7)-SUMIFS(v_Pièces,v_Taille,'SUIVI STOCKS PAR PAYSAN'!$AT$7,v_conc_prod_tye_affinage,'SUIVI STOCKS PAR PAYSAN'!$H72,v_Date_commande,"&gt;"&amp;date_inventaire)</f>
        <v>0</v>
      </c>
      <c r="AU72" s="353">
        <f ca="1">SUMIFS(bddres_pieces,'BDD RESERVATIONS'!$G:$G,'SUIVI STOCKS PAR PAYSAN'!$AT$7,bddres_c_prod_type_aff,'SUIVI STOCKS PAR PAYSAN'!$H72,'BDD RESERVATIONS'!$B:$B,"&gt;"&amp;date_inventaire)</f>
        <v>0</v>
      </c>
      <c r="AV72" s="313">
        <f ca="1">SUMIFS(es_poids,es_prod_type_affinage,'SUIVI STOCKS PAR PAYSAN'!$I72,es_date_entree,"&gt;"&amp;date_inventaire)-SUMIFS(v_Poids,v_conc_prod_tye_affinage,'SUIVI STOCKS PAR PAYSAN'!$E72,v_Date_commande,"&gt;"&amp;date_inventaire)</f>
        <v>0</v>
      </c>
      <c r="AW72" s="313">
        <f ca="1">SUMIFS(bddres_c_qte,bddres_c_prod_type_aff,'SUIVI STOCKS PAR PAYSAN'!I72,'BDD RESERVATIONS'!$B:$B,"&gt;"&amp;date_inventaire)</f>
        <v>0</v>
      </c>
      <c r="AX72" s="342">
        <f ca="1">SUMIFS(bddres_pieces,es_prod_type_affinage,'SUIVI STOCKS PAR PAYSAN'!$I72,es_date_entree,"&gt;"&amp;date_inventaire,es_taille,'SUIVI STOCKS PAR PAYSAN'!$AX$7)-SUMIFS(v_Pièces,v_Taille,'SUIVI STOCKS PAR PAYSAN'!$AX$7,v_conc_prod_tye_affinage,'SUIVI STOCKS PAR PAYSAN'!$I72,v_Date_commande,"&gt;"&amp;date_inventaire)</f>
        <v>0</v>
      </c>
      <c r="AY72" s="342">
        <f ca="1">SUMIFS(bddres_pieces,'BDD RESERVATIONS'!$G:$G,'SUIVI STOCKS PAR PAYSAN'!$AX$7,bddres_c_prod_type_aff,'SUIVI STOCKS PAR PAYSAN'!$I72,'BDD RESERVATIONS'!$B:$B,"&gt;"&amp;date_inventaire)</f>
        <v>0</v>
      </c>
      <c r="AZ72" s="343">
        <f ca="1">SUMIFS(es_pieces,es_prod_type_affinage,'SUIVI STOCKS PAR PAYSAN'!$I72,es_date_entree,"&gt;"&amp;date_inventaire,es_taille,'SUIVI STOCKS PAR PAYSAN'!$AZ$7)-SUMIFS(v_Pièces,v_Taille,'SUIVI STOCKS PAR PAYSAN'!$AZ$7,v_conc_prod_tye_affinage,'SUIVI STOCKS PAR PAYSAN'!$I72,v_Date_commande,"&gt;"&amp;date_inventaire)</f>
        <v>0</v>
      </c>
      <c r="BA72" s="353">
        <f ca="1">SUMIFS(bddres_pieces,'BDD RESERVATIONS'!$G:$G,'SUIVI STOCKS PAR PAYSAN'!$AZ$7,bddres_c_prod_type_aff,'SUIVI STOCKS PAR PAYSAN'!$I72,'BDD RESERVATIONS'!$B:$B,"&gt;"&amp;date_inventaire)</f>
        <v>0</v>
      </c>
      <c r="BB72" s="313">
        <f ca="1">SUMIFS(es_poids,es_prod_type_affinage,'SUIVI STOCKS PAR PAYSAN'!$J72,es_date_entree,"&gt;"&amp;date_inventaire)-SUMIFS(v_Poids,v_conc_prod_tye_affinage,'SUIVI STOCKS PAR PAYSAN'!$J72,v_Date_commande,"&gt;"&amp;date_inventaire)</f>
        <v>0</v>
      </c>
      <c r="BC72" s="313">
        <f ca="1">SUMIFS(bddres_c_qte,bddres_c_prod_type_aff,'SUIVI STOCKS PAR PAYSAN'!J72,'BDD RESERVATIONS'!$B:$B,"&gt;"&amp;date_inventaire)</f>
        <v>0</v>
      </c>
      <c r="BD72" s="342">
        <f ca="1">SUMIFS(bddres_pieces,es_prod_type_affinage,'SUIVI STOCKS PAR PAYSAN'!$J72,es_date_entree,"&gt;"&amp;date_inventaire,es_taille,'SUIVI STOCKS PAR PAYSAN'!$BD$7)-SUMIFS(v_Pièces,v_Taille,'SUIVI STOCKS PAR PAYSAN'!$BD$7,v_conc_prod_tye_affinage,'SUIVI STOCKS PAR PAYSAN'!$J72,v_Date_commande,"&gt;"&amp;date_inventaire)</f>
        <v>0</v>
      </c>
      <c r="BE72" s="326">
        <f ca="1">SUMIFS(bddres_pieces,'BDD RESERVATIONS'!$G:$G,'SUIVI STOCKS PAR PAYSAN'!BD67,bddres_c_prod_type_aff,'SUIVI STOCKS PAR PAYSAN'!J72,'BDD RESERVATIONS'!$B:$B,"&gt;"&amp;date_inventaire)</f>
        <v>0</v>
      </c>
      <c r="BF72" s="343">
        <f ca="1">SUMIFS(es_pieces,es_prod_type_affinage,'SUIVI STOCKS PAR PAYSAN'!J72,es_date_entree,"&gt;"&amp;date_inventaire,es_taille,'SUIVI STOCKS PAR PAYSAN'!$BF$7)-SUMIFS(v_Pièces,v_Taille,'SUIVI STOCKS PAR PAYSAN'!$BF$7,v_conc_prod_tye_affinage,'SUIVI STOCKS PAR PAYSAN'!J72,v_Date_commande,"&gt;"&amp;date_inventaire)</f>
        <v>0</v>
      </c>
      <c r="BG72" s="353">
        <f ca="1">SUMIFS(bddres_pieces,'BDD RESERVATIONS'!$G:$G,'SUIVI STOCKS PAR PAYSAN'!$BF$7,bddres_c_prod_type_aff,'SUIVI STOCKS PAR PAYSAN'!J72,'BDD RESERVATIONS'!$B:$B,"&gt;"&amp;date_inventaire)</f>
        <v>0</v>
      </c>
    </row>
    <row r="73" spans="1:59" ht="18.75" customHeight="1" x14ac:dyDescent="0.25">
      <c r="A73" s="331">
        <f ca="1">OFFSET('BDD PAYSANS'!$B$1,B73,0,1,1)</f>
        <v>0</v>
      </c>
      <c r="B73" s="325">
        <v>62</v>
      </c>
      <c r="C73" s="325" t="str">
        <f t="shared" ca="1" si="3"/>
        <v>0FERMIER&lt;3 mois</v>
      </c>
      <c r="D73" s="325" t="str">
        <f t="shared" ca="1" si="3"/>
        <v>0FERMIER3-6 mois</v>
      </c>
      <c r="E73" s="325" t="str">
        <f t="shared" ca="1" si="3"/>
        <v>0FERMIER6-9 mois</v>
      </c>
      <c r="F73" s="325" t="str">
        <f t="shared" ca="1" si="3"/>
        <v>0FERMIER&gt;9 mois</v>
      </c>
      <c r="G73" s="325" t="str">
        <f t="shared" ca="1" si="3"/>
        <v>0ESTIVE&lt;3 mois</v>
      </c>
      <c r="H73" s="325" t="str">
        <f t="shared" ca="1" si="3"/>
        <v>0ESTIVE3-6 mois</v>
      </c>
      <c r="I73" s="325" t="str">
        <f t="shared" ca="1" si="3"/>
        <v>0ESTIVE6-9 mois</v>
      </c>
      <c r="J73" s="325" t="str">
        <f t="shared" ca="1" si="3"/>
        <v>0ESTIVE&gt;9 mois</v>
      </c>
      <c r="K73" s="325"/>
      <c r="L73" s="352">
        <f ca="1">SUMIFS(es_poids,es_prod_type_affinage,'SUIVI STOCKS PAR PAYSAN'!$C73,es_date_entree,"&gt;"&amp;date_inventaire)-SUMIFS(v_Poids,v_conc_prod_tye_affinage,'SUIVI STOCKS PAR PAYSAN'!$C73,v_Date_commande,"&gt;"&amp;date_inventaire)</f>
        <v>0</v>
      </c>
      <c r="M73" s="341">
        <f ca="1">SUMIFS(bddres_c_qte,bddres_c_prod_type_aff,'SUIVI STOCKS PAR PAYSAN'!C73,'BDD RESERVATIONS'!$B:$B,"&gt;"&amp;date_inventaire)</f>
        <v>0</v>
      </c>
      <c r="N73" s="342">
        <f ca="1">SUMIFS(bddres_pieces,es_prod_type_affinage,'SUIVI STOCKS PAR PAYSAN'!$C73,es_date_entree,"&gt;"&amp;date_inventaire,es_taille,'SUIVI STOCKS PAR PAYSAN'!$N$7)-SUMIFS(v_Pièces,v_Taille,'SUIVI STOCKS PAR PAYSAN'!$N$7,v_conc_prod_tye_affinage,'SUIVI STOCKS PAR PAYSAN'!$C73,v_Date_commande,"&gt;"&amp;date_inventaire)</f>
        <v>0</v>
      </c>
      <c r="O73" s="342">
        <f ca="1">SUMIFS(bddres_pieces,'BDD RESERVATIONS'!$G:$G,'SUIVI STOCKS PAR PAYSAN'!$N$7,bddres_c_prod_type_aff,'SUIVI STOCKS PAR PAYSAN'!$C73,'BDD RESERVATIONS'!$B:$B,"&gt;"&amp;date_inventaire)</f>
        <v>0</v>
      </c>
      <c r="P73" s="343">
        <f ca="1">SUMIFS(es_pieces,es_prod_type_affinage,'SUIVI STOCKS PAR PAYSAN'!$C73,es_date_entree,"&gt;"&amp;date_inventaire,es_taille,'SUIVI STOCKS PAR PAYSAN'!$P$7)-SUMIFS(v_Pièces,v_Taille,'SUIVI STOCKS PAR PAYSAN'!$P$7,v_conc_prod_tye_affinage,'SUIVI STOCKS PAR PAYSAN'!$C73,v_Date_commande,"&gt;"&amp;date_inventaire)</f>
        <v>0</v>
      </c>
      <c r="Q73" s="353">
        <f ca="1">SUMIFS(bddres_pieces,'BDD RESERVATIONS'!$G:$G,'SUIVI STOCKS PAR PAYSAN'!$P$7,bddres_c_prod_type_aff,'SUIVI STOCKS PAR PAYSAN'!$C73,'BDD RESERVATIONS'!$B:$B,"&gt;"&amp;date_inventaire)</f>
        <v>0</v>
      </c>
      <c r="R73" s="340">
        <f ca="1">SUMIFS(es_poids,es_prod_type_affinage,'SUIVI STOCKS PAR PAYSAN'!$D73,es_date_entree,"&gt;"&amp;date_inventaire)-SUMIFS(v_Poids,v_conc_prod_tye_affinage,'SUIVI STOCKS PAR PAYSAN'!$D73,v_Date_commande,"&gt;"&amp;date_inventaire)</f>
        <v>0</v>
      </c>
      <c r="S73" s="341">
        <f ca="1">SUMIFS(bddres_c_qte,bddres_c_prod_type_aff,'SUIVI STOCKS PAR PAYSAN'!D73,'BDD RESERVATIONS'!$B:$B,"&gt;"&amp;date_inventaire)</f>
        <v>0</v>
      </c>
      <c r="T73" s="342">
        <f ca="1">SUMIFS(bddres_pieces,es_prod_type_affinage,'SUIVI STOCKS PAR PAYSAN'!$D73,es_date_entree,"&gt;"&amp;date_inventaire,es_taille,'SUIVI STOCKS PAR PAYSAN'!$T$7)-SUMIFS(v_Pièces,v_Taille,'SUIVI STOCKS PAR PAYSAN'!$T$7,v_conc_prod_tye_affinage,'SUIVI STOCKS PAR PAYSAN'!$D73,v_Date_commande,"&gt;"&amp;date_inventaire)</f>
        <v>0</v>
      </c>
      <c r="U73" s="342">
        <f ca="1">SUMIFS(bddres_pieces,'BDD RESERVATIONS'!$G:$G,'SUIVI STOCKS PAR PAYSAN'!$T$7,bddres_c_prod_type_aff,'SUIVI STOCKS PAR PAYSAN'!$D73,'BDD RESERVATIONS'!$B:$B,"&gt;"&amp;date_inventaire)</f>
        <v>0</v>
      </c>
      <c r="V73" s="343">
        <f ca="1">SUMIFS(es_pieces,es_prod_type_affinage,'SUIVI STOCKS PAR PAYSAN'!$D73,es_date_entree,"&gt;"&amp;date_inventaire,es_taille,'SUIVI STOCKS PAR PAYSAN'!$V$7)-SUMIFS(v_Pièces,v_Taille,'SUIVI STOCKS PAR PAYSAN'!$V$7,v_conc_prod_tye_affinage,'SUIVI STOCKS PAR PAYSAN'!$D73,v_Date_commande,"&gt;"&amp;date_inventaire)</f>
        <v>0</v>
      </c>
      <c r="W73" s="353">
        <f ca="1">SUMIFS(bddres_pieces,'BDD RESERVATIONS'!$G:$G,'SUIVI STOCKS PAR PAYSAN'!$V$7,bddres_c_prod_type_aff,'SUIVI STOCKS PAR PAYSAN'!$D73,'BDD RESERVATIONS'!$B:$B,"&gt;"&amp;date_inventaire)</f>
        <v>0</v>
      </c>
      <c r="X73" s="313">
        <f ca="1">SUMIFS(es_poids,es_prod_type_affinage,'SUIVI STOCKS PAR PAYSAN'!$E73,es_date_entree,"&gt;"&amp;date_inventaire)-SUMIFS(v_Poids,v_conc_prod_tye_affinage,'SUIVI STOCKS PAR PAYSAN'!$E73,v_Date_commande,"&gt;"&amp;date_inventaire)</f>
        <v>0</v>
      </c>
      <c r="Y73" s="341">
        <f ca="1">SUMIFS(bddres_c_qte,bddres_c_prod_type_aff,'SUIVI STOCKS PAR PAYSAN'!E73,'BDD RESERVATIONS'!$B:$B,"&gt;"&amp;date_inventaire)</f>
        <v>0</v>
      </c>
      <c r="Z73" s="342">
        <f ca="1">SUMIFS(bddres_pieces,es_prod_type_affinage,'SUIVI STOCKS PAR PAYSAN'!$E73,es_date_entree,"&gt;"&amp;date_inventaire,es_taille,'SUIVI STOCKS PAR PAYSAN'!$Z$7)-SUMIFS(v_Pièces,v_Taille,'SUIVI STOCKS PAR PAYSAN'!$Z$7,v_conc_prod_tye_affinage,'SUIVI STOCKS PAR PAYSAN'!$E73,v_Date_commande,"&gt;"&amp;date_inventaire)</f>
        <v>0</v>
      </c>
      <c r="AA73" s="342">
        <f ca="1">SUMIFS(bddres_pieces,'BDD RESERVATIONS'!$G:$G,'SUIVI STOCKS PAR PAYSAN'!$Z$7,bddres_c_prod_type_aff,'SUIVI STOCKS PAR PAYSAN'!$E73,'BDD RESERVATIONS'!$B:$B,"&gt;"&amp;date_inventaire)</f>
        <v>0</v>
      </c>
      <c r="AB73" s="343">
        <f ca="1">SUMIFS(es_pieces,es_prod_type_affinage,'SUIVI STOCKS PAR PAYSAN'!$E73,es_date_entree,"&gt;"&amp;date_inventaire,es_taille,'SUIVI STOCKS PAR PAYSAN'!$AB$7)-SUMIFS(v_Pièces,v_Taille,'SUIVI STOCKS PAR PAYSAN'!$AB$7,v_conc_prod_tye_affinage,'SUIVI STOCKS PAR PAYSAN'!$E73,v_Date_commande,"&gt;"&amp;date_inventaire)</f>
        <v>0</v>
      </c>
      <c r="AC73" s="353">
        <f ca="1">SUMIFS(bddres_pieces,'BDD RESERVATIONS'!$G:$G,'SUIVI STOCKS PAR PAYSAN'!$AB$7,bddres_c_prod_type_aff,'SUIVI STOCKS PAR PAYSAN'!$E73,'BDD RESERVATIONS'!$B:$B,"&gt;"&amp;date_inventaire)</f>
        <v>0</v>
      </c>
      <c r="AD73" s="313">
        <f ca="1">SUMIFS(es_poids,es_prod_type_affinage,'SUIVI STOCKS PAR PAYSAN'!$F73,es_date_entree,"&gt;"&amp;date_inventaire)-SUMIFS(v_Poids,v_conc_prod_tye_affinage,'SUIVI STOCKS PAR PAYSAN'!$F73,v_Date_commande,"&gt;"&amp;date_inventaire)</f>
        <v>0</v>
      </c>
      <c r="AE73" s="341">
        <f ca="1">SUMIFS(bddres_c_qte,bddres_c_prod_type_aff,'SUIVI STOCKS PAR PAYSAN'!F73,'BDD RESERVATIONS'!$B:$B,"&gt;"&amp;date_inventaire)</f>
        <v>0</v>
      </c>
      <c r="AF73" s="342">
        <f ca="1">SUMIFS(bddres_pieces,es_prod_type_affinage,'SUIVI STOCKS PAR PAYSAN'!$F73,es_date_entree,"&gt;"&amp;date_inventaire,es_taille,'SUIVI STOCKS PAR PAYSAN'!$Z$7)-SUMIFS(v_Pièces,v_Taille,'SUIVI STOCKS PAR PAYSAN'!$Z$7,v_conc_prod_tye_affinage,'SUIVI STOCKS PAR PAYSAN'!$F73,v_Date_commande,"&gt;"&amp;date_inventaire)</f>
        <v>0</v>
      </c>
      <c r="AG73" s="342">
        <f ca="1">SUMIFS(bddres_pieces,'BDD RESERVATIONS'!$G:$G,'SUIVI STOCKS PAR PAYSAN'!$Z$7,bddres_c_prod_type_aff,'SUIVI STOCKS PAR PAYSAN'!$F73,'BDD RESERVATIONS'!$B:$B,"&gt;"&amp;date_inventaire)</f>
        <v>0</v>
      </c>
      <c r="AH73" s="343">
        <f ca="1">SUMIFS(es_pieces,es_prod_type_affinage,'SUIVI STOCKS PAR PAYSAN'!$F73,es_date_entree,"&gt;"&amp;date_inventaire,es_taille,'SUIVI STOCKS PAR PAYSAN'!$AH$7)-SUMIFS(v_Pièces,v_Taille,'SUIVI STOCKS PAR PAYSAN'!$AH$7,v_conc_prod_tye_affinage,'SUIVI STOCKS PAR PAYSAN'!$F73,v_Date_commande,"&gt;"&amp;date_inventaire)</f>
        <v>0</v>
      </c>
      <c r="AI73" s="353">
        <f ca="1">SUMIFS(bddres_pieces,'BDD RESERVATIONS'!$G:$G,'SUIVI STOCKS PAR PAYSAN'!$AB$7,bddres_c_prod_type_aff,'SUIVI STOCKS PAR PAYSAN'!$F73,'BDD RESERVATIONS'!$B:$B,"&gt;"&amp;date_inventaire)</f>
        <v>0</v>
      </c>
      <c r="AJ73" s="352">
        <f ca="1">SUMIFS(es_poids,es_prod_type_affinage,'SUIVI STOCKS PAR PAYSAN'!$G73,es_date_entree,"&gt;"&amp;date_inventaire)-SUMIFS(v_Poids,v_conc_prod_tye_affinage,'SUIVI STOCKS PAR PAYSAN'!$G73,v_Date_commande,"&gt;"&amp;date_inventaire)</f>
        <v>0</v>
      </c>
      <c r="AK73" s="341">
        <f ca="1">SUMIFS(bddres_c_qte,bddres_c_prod_type_aff,'SUIVI STOCKS PAR PAYSAN'!G73,'BDD RESERVATIONS'!$B:$B,"&gt;"&amp;date_inventaire)</f>
        <v>0</v>
      </c>
      <c r="AL73" s="342">
        <f ca="1">SUMIFS(bddres_pieces,es_prod_type_affinage,'SUIVI STOCKS PAR PAYSAN'!$G73,es_date_entree,"&gt;"&amp;date_inventaire,es_taille,'SUIVI STOCKS PAR PAYSAN'!$AL$7)-SUMIFS(v_Pièces,v_Taille,'SUIVI STOCKS PAR PAYSAN'!$AL$7,v_conc_prod_tye_affinage,'SUIVI STOCKS PAR PAYSAN'!$G73,v_Date_commande,"&gt;"&amp;date_inventaire)</f>
        <v>0</v>
      </c>
      <c r="AM73" s="342">
        <f ca="1">SUMIFS(bddres_pieces,'BDD RESERVATIONS'!$G:$G,'SUIVI STOCKS PAR PAYSAN'!$AL$7,bddres_c_prod_type_aff,'SUIVI STOCKS PAR PAYSAN'!$G73,'BDD RESERVATIONS'!$B:$B,"&gt;"&amp;date_inventaire)</f>
        <v>0</v>
      </c>
      <c r="AN73" s="343">
        <f ca="1">SUMIFS(es_pieces,es_prod_type_affinage,'SUIVI STOCKS PAR PAYSAN'!$G73,es_date_entree,"&gt;"&amp;date_inventaire,es_taille,'SUIVI STOCKS PAR PAYSAN'!$AN$7)-SUMIFS(v_Pièces,v_Taille,'SUIVI STOCKS PAR PAYSAN'!$AN$7,v_conc_prod_tye_affinage,'SUIVI STOCKS PAR PAYSAN'!$G73,v_Date_commande,"&gt;"&amp;date_inventaire)</f>
        <v>0</v>
      </c>
      <c r="AO73" s="353">
        <f ca="1">SUMIFS(bddres_pieces,'BDD RESERVATIONS'!$G:$G,'SUIVI STOCKS PAR PAYSAN'!$AN$7,bddres_c_prod_type_aff,'SUIVI STOCKS PAR PAYSAN'!$G73,'BDD RESERVATIONS'!$B:$B,"&gt;"&amp;date_inventaire)</f>
        <v>0</v>
      </c>
      <c r="AP73" s="313">
        <f ca="1">SUMIFS(es_poids,es_prod_type_affinage,'SUIVI STOCKS PAR PAYSAN'!$H73,es_date_entree,"&gt;"&amp;date_inventaire)-SUMIFS(v_Poids,v_conc_prod_tye_affinage,'SUIVI STOCKS PAR PAYSAN'!$H73,v_Date_commande,"&gt;"&amp;date_inventaire)</f>
        <v>0</v>
      </c>
      <c r="AQ73" s="341">
        <f ca="1">SUMIFS(bddres_c_qte,bddres_c_prod_type_aff,'SUIVI STOCKS PAR PAYSAN'!H73,'BDD RESERVATIONS'!$B:$B,"&gt;"&amp;date_inventaire)</f>
        <v>0</v>
      </c>
      <c r="AR73" s="342">
        <f ca="1">SUMIFS(bddres_pieces,es_prod_type_affinage,'SUIVI STOCKS PAR PAYSAN'!$H73,es_date_entree,"&gt;"&amp;date_inventaire,es_taille,'SUIVI STOCKS PAR PAYSAN'!$AR$7)-SUMIFS(v_Pièces,v_Taille,'SUIVI STOCKS PAR PAYSAN'!$AR$7,v_conc_prod_tye_affinage,'SUIVI STOCKS PAR PAYSAN'!$H73,v_Date_commande,"&gt;"&amp;date_inventaire)</f>
        <v>0</v>
      </c>
      <c r="AS73" s="326">
        <f ca="1">SUMIFS(bddres_pieces,'BDD RESERVATIONS'!$G:$G,'SUIVI STOCKS PAR PAYSAN'!AR68,bddres_c_prod_type_aff,'SUIVI STOCKS PAR PAYSAN'!$H73,'BDD RESERVATIONS'!$B:$B,"&gt;"&amp;date_inventaire)</f>
        <v>0</v>
      </c>
      <c r="AT73" s="343">
        <f ca="1">SUMIFS(es_pieces,es_prod_type_affinage,'SUIVI STOCKS PAR PAYSAN'!$H73,es_date_entree,"&gt;"&amp;date_inventaire,es_taille,'SUIVI STOCKS PAR PAYSAN'!$AT$7)-SUMIFS(v_Pièces,v_Taille,'SUIVI STOCKS PAR PAYSAN'!$AT$7,v_conc_prod_tye_affinage,'SUIVI STOCKS PAR PAYSAN'!$H73,v_Date_commande,"&gt;"&amp;date_inventaire)</f>
        <v>0</v>
      </c>
      <c r="AU73" s="353">
        <f ca="1">SUMIFS(bddres_pieces,'BDD RESERVATIONS'!$G:$G,'SUIVI STOCKS PAR PAYSAN'!$AT$7,bddres_c_prod_type_aff,'SUIVI STOCKS PAR PAYSAN'!$H73,'BDD RESERVATIONS'!$B:$B,"&gt;"&amp;date_inventaire)</f>
        <v>0</v>
      </c>
      <c r="AV73" s="313">
        <f ca="1">SUMIFS(es_poids,es_prod_type_affinage,'SUIVI STOCKS PAR PAYSAN'!$I73,es_date_entree,"&gt;"&amp;date_inventaire)-SUMIFS(v_Poids,v_conc_prod_tye_affinage,'SUIVI STOCKS PAR PAYSAN'!$E73,v_Date_commande,"&gt;"&amp;date_inventaire)</f>
        <v>0</v>
      </c>
      <c r="AW73" s="313">
        <f ca="1">SUMIFS(bddres_c_qte,bddres_c_prod_type_aff,'SUIVI STOCKS PAR PAYSAN'!I73,'BDD RESERVATIONS'!$B:$B,"&gt;"&amp;date_inventaire)</f>
        <v>0</v>
      </c>
      <c r="AX73" s="342">
        <f ca="1">SUMIFS(bddres_pieces,es_prod_type_affinage,'SUIVI STOCKS PAR PAYSAN'!$I73,es_date_entree,"&gt;"&amp;date_inventaire,es_taille,'SUIVI STOCKS PAR PAYSAN'!$AX$7)-SUMIFS(v_Pièces,v_Taille,'SUIVI STOCKS PAR PAYSAN'!$AX$7,v_conc_prod_tye_affinage,'SUIVI STOCKS PAR PAYSAN'!$I73,v_Date_commande,"&gt;"&amp;date_inventaire)</f>
        <v>0</v>
      </c>
      <c r="AY73" s="342">
        <f ca="1">SUMIFS(bddres_pieces,'BDD RESERVATIONS'!$G:$G,'SUIVI STOCKS PAR PAYSAN'!$AX$7,bddres_c_prod_type_aff,'SUIVI STOCKS PAR PAYSAN'!$I73,'BDD RESERVATIONS'!$B:$B,"&gt;"&amp;date_inventaire)</f>
        <v>0</v>
      </c>
      <c r="AZ73" s="343">
        <f ca="1">SUMIFS(es_pieces,es_prod_type_affinage,'SUIVI STOCKS PAR PAYSAN'!$I73,es_date_entree,"&gt;"&amp;date_inventaire,es_taille,'SUIVI STOCKS PAR PAYSAN'!$AZ$7)-SUMIFS(v_Pièces,v_Taille,'SUIVI STOCKS PAR PAYSAN'!$AZ$7,v_conc_prod_tye_affinage,'SUIVI STOCKS PAR PAYSAN'!$I73,v_Date_commande,"&gt;"&amp;date_inventaire)</f>
        <v>0</v>
      </c>
      <c r="BA73" s="353">
        <f ca="1">SUMIFS(bddres_pieces,'BDD RESERVATIONS'!$G:$G,'SUIVI STOCKS PAR PAYSAN'!$AZ$7,bddres_c_prod_type_aff,'SUIVI STOCKS PAR PAYSAN'!$I73,'BDD RESERVATIONS'!$B:$B,"&gt;"&amp;date_inventaire)</f>
        <v>0</v>
      </c>
      <c r="BB73" s="313">
        <f ca="1">SUMIFS(es_poids,es_prod_type_affinage,'SUIVI STOCKS PAR PAYSAN'!$J73,es_date_entree,"&gt;"&amp;date_inventaire)-SUMIFS(v_Poids,v_conc_prod_tye_affinage,'SUIVI STOCKS PAR PAYSAN'!$J73,v_Date_commande,"&gt;"&amp;date_inventaire)</f>
        <v>0</v>
      </c>
      <c r="BC73" s="313">
        <f ca="1">SUMIFS(bddres_c_qte,bddres_c_prod_type_aff,'SUIVI STOCKS PAR PAYSAN'!J73,'BDD RESERVATIONS'!$B:$B,"&gt;"&amp;date_inventaire)</f>
        <v>0</v>
      </c>
      <c r="BD73" s="342">
        <f ca="1">SUMIFS(bddres_pieces,es_prod_type_affinage,'SUIVI STOCKS PAR PAYSAN'!$J73,es_date_entree,"&gt;"&amp;date_inventaire,es_taille,'SUIVI STOCKS PAR PAYSAN'!$BD$7)-SUMIFS(v_Pièces,v_Taille,'SUIVI STOCKS PAR PAYSAN'!$BD$7,v_conc_prod_tye_affinage,'SUIVI STOCKS PAR PAYSAN'!$J73,v_Date_commande,"&gt;"&amp;date_inventaire)</f>
        <v>0</v>
      </c>
      <c r="BE73" s="326">
        <f ca="1">SUMIFS(bddres_pieces,'BDD RESERVATIONS'!$G:$G,'SUIVI STOCKS PAR PAYSAN'!BD68,bddres_c_prod_type_aff,'SUIVI STOCKS PAR PAYSAN'!J73,'BDD RESERVATIONS'!$B:$B,"&gt;"&amp;date_inventaire)</f>
        <v>0</v>
      </c>
      <c r="BF73" s="343">
        <f ca="1">SUMIFS(es_pieces,es_prod_type_affinage,'SUIVI STOCKS PAR PAYSAN'!J73,es_date_entree,"&gt;"&amp;date_inventaire,es_taille,'SUIVI STOCKS PAR PAYSAN'!$BF$7)-SUMIFS(v_Pièces,v_Taille,'SUIVI STOCKS PAR PAYSAN'!$BF$7,v_conc_prod_tye_affinage,'SUIVI STOCKS PAR PAYSAN'!J73,v_Date_commande,"&gt;"&amp;date_inventaire)</f>
        <v>0</v>
      </c>
      <c r="BG73" s="353">
        <f ca="1">SUMIFS(bddres_pieces,'BDD RESERVATIONS'!$G:$G,'SUIVI STOCKS PAR PAYSAN'!$BF$7,bddres_c_prod_type_aff,'SUIVI STOCKS PAR PAYSAN'!J73,'BDD RESERVATIONS'!$B:$B,"&gt;"&amp;date_inventaire)</f>
        <v>0</v>
      </c>
    </row>
    <row r="74" spans="1:59" ht="18.75" customHeight="1" x14ac:dyDescent="0.25">
      <c r="A74" s="331">
        <f ca="1">OFFSET('BDD PAYSANS'!$B$1,B74,0,1,1)</f>
        <v>0</v>
      </c>
      <c r="B74" s="325">
        <v>63</v>
      </c>
      <c r="C74" s="325" t="str">
        <f t="shared" ca="1" si="3"/>
        <v>0FERMIER&lt;3 mois</v>
      </c>
      <c r="D74" s="325" t="str">
        <f t="shared" ca="1" si="3"/>
        <v>0FERMIER3-6 mois</v>
      </c>
      <c r="E74" s="325" t="str">
        <f t="shared" ca="1" si="3"/>
        <v>0FERMIER6-9 mois</v>
      </c>
      <c r="F74" s="325" t="str">
        <f t="shared" ca="1" si="3"/>
        <v>0FERMIER&gt;9 mois</v>
      </c>
      <c r="G74" s="325" t="str">
        <f t="shared" ca="1" si="3"/>
        <v>0ESTIVE&lt;3 mois</v>
      </c>
      <c r="H74" s="325" t="str">
        <f t="shared" ca="1" si="3"/>
        <v>0ESTIVE3-6 mois</v>
      </c>
      <c r="I74" s="325" t="str">
        <f t="shared" ca="1" si="3"/>
        <v>0ESTIVE6-9 mois</v>
      </c>
      <c r="J74" s="325" t="str">
        <f t="shared" ca="1" si="3"/>
        <v>0ESTIVE&gt;9 mois</v>
      </c>
      <c r="K74" s="325"/>
      <c r="L74" s="352">
        <f ca="1">SUMIFS(es_poids,es_prod_type_affinage,'SUIVI STOCKS PAR PAYSAN'!$C74,es_date_entree,"&gt;"&amp;date_inventaire)-SUMIFS(v_Poids,v_conc_prod_tye_affinage,'SUIVI STOCKS PAR PAYSAN'!$C74,v_Date_commande,"&gt;"&amp;date_inventaire)</f>
        <v>0</v>
      </c>
      <c r="M74" s="341">
        <f ca="1">SUMIFS(bddres_c_qte,bddres_c_prod_type_aff,'SUIVI STOCKS PAR PAYSAN'!C74,'BDD RESERVATIONS'!$B:$B,"&gt;"&amp;date_inventaire)</f>
        <v>0</v>
      </c>
      <c r="N74" s="342">
        <f ca="1">SUMIFS(bddres_pieces,es_prod_type_affinage,'SUIVI STOCKS PAR PAYSAN'!$C74,es_date_entree,"&gt;"&amp;date_inventaire,es_taille,'SUIVI STOCKS PAR PAYSAN'!$N$7)-SUMIFS(v_Pièces,v_Taille,'SUIVI STOCKS PAR PAYSAN'!$N$7,v_conc_prod_tye_affinage,'SUIVI STOCKS PAR PAYSAN'!$C74,v_Date_commande,"&gt;"&amp;date_inventaire)</f>
        <v>0</v>
      </c>
      <c r="O74" s="342">
        <f ca="1">SUMIFS(bddres_pieces,'BDD RESERVATIONS'!$G:$G,'SUIVI STOCKS PAR PAYSAN'!$N$7,bddres_c_prod_type_aff,'SUIVI STOCKS PAR PAYSAN'!$C74,'BDD RESERVATIONS'!$B:$B,"&gt;"&amp;date_inventaire)</f>
        <v>0</v>
      </c>
      <c r="P74" s="343">
        <f ca="1">SUMIFS(es_pieces,es_prod_type_affinage,'SUIVI STOCKS PAR PAYSAN'!$C74,es_date_entree,"&gt;"&amp;date_inventaire,es_taille,'SUIVI STOCKS PAR PAYSAN'!$P$7)-SUMIFS(v_Pièces,v_Taille,'SUIVI STOCKS PAR PAYSAN'!$P$7,v_conc_prod_tye_affinage,'SUIVI STOCKS PAR PAYSAN'!$C74,v_Date_commande,"&gt;"&amp;date_inventaire)</f>
        <v>0</v>
      </c>
      <c r="Q74" s="353">
        <f ca="1">SUMIFS(bddres_pieces,'BDD RESERVATIONS'!$G:$G,'SUIVI STOCKS PAR PAYSAN'!$P$7,bddres_c_prod_type_aff,'SUIVI STOCKS PAR PAYSAN'!$C74,'BDD RESERVATIONS'!$B:$B,"&gt;"&amp;date_inventaire)</f>
        <v>0</v>
      </c>
      <c r="R74" s="340">
        <f ca="1">SUMIFS(es_poids,es_prod_type_affinage,'SUIVI STOCKS PAR PAYSAN'!$D74,es_date_entree,"&gt;"&amp;date_inventaire)-SUMIFS(v_Poids,v_conc_prod_tye_affinage,'SUIVI STOCKS PAR PAYSAN'!$D74,v_Date_commande,"&gt;"&amp;date_inventaire)</f>
        <v>0</v>
      </c>
      <c r="S74" s="341">
        <f ca="1">SUMIFS(bddres_c_qte,bddres_c_prod_type_aff,'SUIVI STOCKS PAR PAYSAN'!D74,'BDD RESERVATIONS'!$B:$B,"&gt;"&amp;date_inventaire)</f>
        <v>0</v>
      </c>
      <c r="T74" s="342">
        <f ca="1">SUMIFS(bddres_pieces,es_prod_type_affinage,'SUIVI STOCKS PAR PAYSAN'!$D74,es_date_entree,"&gt;"&amp;date_inventaire,es_taille,'SUIVI STOCKS PAR PAYSAN'!$T$7)-SUMIFS(v_Pièces,v_Taille,'SUIVI STOCKS PAR PAYSAN'!$T$7,v_conc_prod_tye_affinage,'SUIVI STOCKS PAR PAYSAN'!$D74,v_Date_commande,"&gt;"&amp;date_inventaire)</f>
        <v>0</v>
      </c>
      <c r="U74" s="342">
        <f ca="1">SUMIFS(bddres_pieces,'BDD RESERVATIONS'!$G:$G,'SUIVI STOCKS PAR PAYSAN'!$T$7,bddres_c_prod_type_aff,'SUIVI STOCKS PAR PAYSAN'!$D74,'BDD RESERVATIONS'!$B:$B,"&gt;"&amp;date_inventaire)</f>
        <v>0</v>
      </c>
      <c r="V74" s="343">
        <f ca="1">SUMIFS(es_pieces,es_prod_type_affinage,'SUIVI STOCKS PAR PAYSAN'!$D74,es_date_entree,"&gt;"&amp;date_inventaire,es_taille,'SUIVI STOCKS PAR PAYSAN'!$V$7)-SUMIFS(v_Pièces,v_Taille,'SUIVI STOCKS PAR PAYSAN'!$V$7,v_conc_prod_tye_affinage,'SUIVI STOCKS PAR PAYSAN'!$D74,v_Date_commande,"&gt;"&amp;date_inventaire)</f>
        <v>0</v>
      </c>
      <c r="W74" s="353">
        <f ca="1">SUMIFS(bddres_pieces,'BDD RESERVATIONS'!$G:$G,'SUIVI STOCKS PAR PAYSAN'!$V$7,bddres_c_prod_type_aff,'SUIVI STOCKS PAR PAYSAN'!$D74,'BDD RESERVATIONS'!$B:$B,"&gt;"&amp;date_inventaire)</f>
        <v>0</v>
      </c>
      <c r="X74" s="313">
        <f ca="1">SUMIFS(es_poids,es_prod_type_affinage,'SUIVI STOCKS PAR PAYSAN'!$E74,es_date_entree,"&gt;"&amp;date_inventaire)-SUMIFS(v_Poids,v_conc_prod_tye_affinage,'SUIVI STOCKS PAR PAYSAN'!$E74,v_Date_commande,"&gt;"&amp;date_inventaire)</f>
        <v>0</v>
      </c>
      <c r="Y74" s="341">
        <f ca="1">SUMIFS(bddres_c_qte,bddres_c_prod_type_aff,'SUIVI STOCKS PAR PAYSAN'!E74,'BDD RESERVATIONS'!$B:$B,"&gt;"&amp;date_inventaire)</f>
        <v>0</v>
      </c>
      <c r="Z74" s="342">
        <f ca="1">SUMIFS(bddres_pieces,es_prod_type_affinage,'SUIVI STOCKS PAR PAYSAN'!$E74,es_date_entree,"&gt;"&amp;date_inventaire,es_taille,'SUIVI STOCKS PAR PAYSAN'!$Z$7)-SUMIFS(v_Pièces,v_Taille,'SUIVI STOCKS PAR PAYSAN'!$Z$7,v_conc_prod_tye_affinage,'SUIVI STOCKS PAR PAYSAN'!$E74,v_Date_commande,"&gt;"&amp;date_inventaire)</f>
        <v>0</v>
      </c>
      <c r="AA74" s="342">
        <f ca="1">SUMIFS(bddres_pieces,'BDD RESERVATIONS'!$G:$G,'SUIVI STOCKS PAR PAYSAN'!$Z$7,bddres_c_prod_type_aff,'SUIVI STOCKS PAR PAYSAN'!$E74,'BDD RESERVATIONS'!$B:$B,"&gt;"&amp;date_inventaire)</f>
        <v>0</v>
      </c>
      <c r="AB74" s="343">
        <f ca="1">SUMIFS(es_pieces,es_prod_type_affinage,'SUIVI STOCKS PAR PAYSAN'!$E74,es_date_entree,"&gt;"&amp;date_inventaire,es_taille,'SUIVI STOCKS PAR PAYSAN'!$AB$7)-SUMIFS(v_Pièces,v_Taille,'SUIVI STOCKS PAR PAYSAN'!$AB$7,v_conc_prod_tye_affinage,'SUIVI STOCKS PAR PAYSAN'!$E74,v_Date_commande,"&gt;"&amp;date_inventaire)</f>
        <v>0</v>
      </c>
      <c r="AC74" s="353">
        <f ca="1">SUMIFS(bddres_pieces,'BDD RESERVATIONS'!$G:$G,'SUIVI STOCKS PAR PAYSAN'!$AB$7,bddres_c_prod_type_aff,'SUIVI STOCKS PAR PAYSAN'!$E74,'BDD RESERVATIONS'!$B:$B,"&gt;"&amp;date_inventaire)</f>
        <v>0</v>
      </c>
      <c r="AD74" s="313">
        <f ca="1">SUMIFS(es_poids,es_prod_type_affinage,'SUIVI STOCKS PAR PAYSAN'!$F74,es_date_entree,"&gt;"&amp;date_inventaire)-SUMIFS(v_Poids,v_conc_prod_tye_affinage,'SUIVI STOCKS PAR PAYSAN'!$F74,v_Date_commande,"&gt;"&amp;date_inventaire)</f>
        <v>0</v>
      </c>
      <c r="AE74" s="341">
        <f ca="1">SUMIFS(bddres_c_qte,bddres_c_prod_type_aff,'SUIVI STOCKS PAR PAYSAN'!F74,'BDD RESERVATIONS'!$B:$B,"&gt;"&amp;date_inventaire)</f>
        <v>0</v>
      </c>
      <c r="AF74" s="342">
        <f ca="1">SUMIFS(bddres_pieces,es_prod_type_affinage,'SUIVI STOCKS PAR PAYSAN'!$F74,es_date_entree,"&gt;"&amp;date_inventaire,es_taille,'SUIVI STOCKS PAR PAYSAN'!$Z$7)-SUMIFS(v_Pièces,v_Taille,'SUIVI STOCKS PAR PAYSAN'!$Z$7,v_conc_prod_tye_affinage,'SUIVI STOCKS PAR PAYSAN'!$F74,v_Date_commande,"&gt;"&amp;date_inventaire)</f>
        <v>0</v>
      </c>
      <c r="AG74" s="342">
        <f ca="1">SUMIFS(bddres_pieces,'BDD RESERVATIONS'!$G:$G,'SUIVI STOCKS PAR PAYSAN'!$Z$7,bddres_c_prod_type_aff,'SUIVI STOCKS PAR PAYSAN'!$F74,'BDD RESERVATIONS'!$B:$B,"&gt;"&amp;date_inventaire)</f>
        <v>0</v>
      </c>
      <c r="AH74" s="343">
        <f ca="1">SUMIFS(es_pieces,es_prod_type_affinage,'SUIVI STOCKS PAR PAYSAN'!$F74,es_date_entree,"&gt;"&amp;date_inventaire,es_taille,'SUIVI STOCKS PAR PAYSAN'!$AH$7)-SUMIFS(v_Pièces,v_Taille,'SUIVI STOCKS PAR PAYSAN'!$AH$7,v_conc_prod_tye_affinage,'SUIVI STOCKS PAR PAYSAN'!$F74,v_Date_commande,"&gt;"&amp;date_inventaire)</f>
        <v>0</v>
      </c>
      <c r="AI74" s="353">
        <f ca="1">SUMIFS(bddres_pieces,'BDD RESERVATIONS'!$G:$G,'SUIVI STOCKS PAR PAYSAN'!$AB$7,bddres_c_prod_type_aff,'SUIVI STOCKS PAR PAYSAN'!$F74,'BDD RESERVATIONS'!$B:$B,"&gt;"&amp;date_inventaire)</f>
        <v>0</v>
      </c>
      <c r="AJ74" s="352">
        <f ca="1">SUMIFS(es_poids,es_prod_type_affinage,'SUIVI STOCKS PAR PAYSAN'!$G74,es_date_entree,"&gt;"&amp;date_inventaire)-SUMIFS(v_Poids,v_conc_prod_tye_affinage,'SUIVI STOCKS PAR PAYSAN'!$G74,v_Date_commande,"&gt;"&amp;date_inventaire)</f>
        <v>0</v>
      </c>
      <c r="AK74" s="341">
        <f ca="1">SUMIFS(bddres_c_qte,bddres_c_prod_type_aff,'SUIVI STOCKS PAR PAYSAN'!G74,'BDD RESERVATIONS'!$B:$B,"&gt;"&amp;date_inventaire)</f>
        <v>0</v>
      </c>
      <c r="AL74" s="342">
        <f ca="1">SUMIFS(bddres_pieces,es_prod_type_affinage,'SUIVI STOCKS PAR PAYSAN'!$G74,es_date_entree,"&gt;"&amp;date_inventaire,es_taille,'SUIVI STOCKS PAR PAYSAN'!$AL$7)-SUMIFS(v_Pièces,v_Taille,'SUIVI STOCKS PAR PAYSAN'!$AL$7,v_conc_prod_tye_affinage,'SUIVI STOCKS PAR PAYSAN'!$G74,v_Date_commande,"&gt;"&amp;date_inventaire)</f>
        <v>0</v>
      </c>
      <c r="AM74" s="342">
        <f ca="1">SUMIFS(bddres_pieces,'BDD RESERVATIONS'!$G:$G,'SUIVI STOCKS PAR PAYSAN'!$AL$7,bddres_c_prod_type_aff,'SUIVI STOCKS PAR PAYSAN'!$G74,'BDD RESERVATIONS'!$B:$B,"&gt;"&amp;date_inventaire)</f>
        <v>0</v>
      </c>
      <c r="AN74" s="343">
        <f ca="1">SUMIFS(es_pieces,es_prod_type_affinage,'SUIVI STOCKS PAR PAYSAN'!$G74,es_date_entree,"&gt;"&amp;date_inventaire,es_taille,'SUIVI STOCKS PAR PAYSAN'!$AN$7)-SUMIFS(v_Pièces,v_Taille,'SUIVI STOCKS PAR PAYSAN'!$AN$7,v_conc_prod_tye_affinage,'SUIVI STOCKS PAR PAYSAN'!$G74,v_Date_commande,"&gt;"&amp;date_inventaire)</f>
        <v>0</v>
      </c>
      <c r="AO74" s="353">
        <f ca="1">SUMIFS(bddres_pieces,'BDD RESERVATIONS'!$G:$G,'SUIVI STOCKS PAR PAYSAN'!$AN$7,bddres_c_prod_type_aff,'SUIVI STOCKS PAR PAYSAN'!$G74,'BDD RESERVATIONS'!$B:$B,"&gt;"&amp;date_inventaire)</f>
        <v>0</v>
      </c>
      <c r="AP74" s="313">
        <f ca="1">SUMIFS(es_poids,es_prod_type_affinage,'SUIVI STOCKS PAR PAYSAN'!$H74,es_date_entree,"&gt;"&amp;date_inventaire)-SUMIFS(v_Poids,v_conc_prod_tye_affinage,'SUIVI STOCKS PAR PAYSAN'!$H74,v_Date_commande,"&gt;"&amp;date_inventaire)</f>
        <v>0</v>
      </c>
      <c r="AQ74" s="341">
        <f ca="1">SUMIFS(bddres_c_qte,bddres_c_prod_type_aff,'SUIVI STOCKS PAR PAYSAN'!H74,'BDD RESERVATIONS'!$B:$B,"&gt;"&amp;date_inventaire)</f>
        <v>0</v>
      </c>
      <c r="AR74" s="342">
        <f ca="1">SUMIFS(bddres_pieces,es_prod_type_affinage,'SUIVI STOCKS PAR PAYSAN'!$H74,es_date_entree,"&gt;"&amp;date_inventaire,es_taille,'SUIVI STOCKS PAR PAYSAN'!$AR$7)-SUMIFS(v_Pièces,v_Taille,'SUIVI STOCKS PAR PAYSAN'!$AR$7,v_conc_prod_tye_affinage,'SUIVI STOCKS PAR PAYSAN'!$H74,v_Date_commande,"&gt;"&amp;date_inventaire)</f>
        <v>0</v>
      </c>
      <c r="AS74" s="326">
        <f ca="1">SUMIFS(bddres_pieces,'BDD RESERVATIONS'!$G:$G,'SUIVI STOCKS PAR PAYSAN'!AR69,bddres_c_prod_type_aff,'SUIVI STOCKS PAR PAYSAN'!$H74,'BDD RESERVATIONS'!$B:$B,"&gt;"&amp;date_inventaire)</f>
        <v>0</v>
      </c>
      <c r="AT74" s="343">
        <f ca="1">SUMIFS(es_pieces,es_prod_type_affinage,'SUIVI STOCKS PAR PAYSAN'!$H74,es_date_entree,"&gt;"&amp;date_inventaire,es_taille,'SUIVI STOCKS PAR PAYSAN'!$AT$7)-SUMIFS(v_Pièces,v_Taille,'SUIVI STOCKS PAR PAYSAN'!$AT$7,v_conc_prod_tye_affinage,'SUIVI STOCKS PAR PAYSAN'!$H74,v_Date_commande,"&gt;"&amp;date_inventaire)</f>
        <v>0</v>
      </c>
      <c r="AU74" s="353">
        <f ca="1">SUMIFS(bddres_pieces,'BDD RESERVATIONS'!$G:$G,'SUIVI STOCKS PAR PAYSAN'!$AT$7,bddres_c_prod_type_aff,'SUIVI STOCKS PAR PAYSAN'!$H74,'BDD RESERVATIONS'!$B:$B,"&gt;"&amp;date_inventaire)</f>
        <v>0</v>
      </c>
      <c r="AV74" s="313">
        <f ca="1">SUMIFS(es_poids,es_prod_type_affinage,'SUIVI STOCKS PAR PAYSAN'!$I74,es_date_entree,"&gt;"&amp;date_inventaire)-SUMIFS(v_Poids,v_conc_prod_tye_affinage,'SUIVI STOCKS PAR PAYSAN'!$E74,v_Date_commande,"&gt;"&amp;date_inventaire)</f>
        <v>0</v>
      </c>
      <c r="AW74" s="313">
        <f ca="1">SUMIFS(bddres_c_qte,bddres_c_prod_type_aff,'SUIVI STOCKS PAR PAYSAN'!I74,'BDD RESERVATIONS'!$B:$B,"&gt;"&amp;date_inventaire)</f>
        <v>0</v>
      </c>
      <c r="AX74" s="342">
        <f ca="1">SUMIFS(bddres_pieces,es_prod_type_affinage,'SUIVI STOCKS PAR PAYSAN'!$I74,es_date_entree,"&gt;"&amp;date_inventaire,es_taille,'SUIVI STOCKS PAR PAYSAN'!$AX$7)-SUMIFS(v_Pièces,v_Taille,'SUIVI STOCKS PAR PAYSAN'!$AX$7,v_conc_prod_tye_affinage,'SUIVI STOCKS PAR PAYSAN'!$I74,v_Date_commande,"&gt;"&amp;date_inventaire)</f>
        <v>0</v>
      </c>
      <c r="AY74" s="342">
        <f ca="1">SUMIFS(bddres_pieces,'BDD RESERVATIONS'!$G:$G,'SUIVI STOCKS PAR PAYSAN'!$AX$7,bddres_c_prod_type_aff,'SUIVI STOCKS PAR PAYSAN'!$I74,'BDD RESERVATIONS'!$B:$B,"&gt;"&amp;date_inventaire)</f>
        <v>0</v>
      </c>
      <c r="AZ74" s="343">
        <f ca="1">SUMIFS(es_pieces,es_prod_type_affinage,'SUIVI STOCKS PAR PAYSAN'!$I74,es_date_entree,"&gt;"&amp;date_inventaire,es_taille,'SUIVI STOCKS PAR PAYSAN'!$AZ$7)-SUMIFS(v_Pièces,v_Taille,'SUIVI STOCKS PAR PAYSAN'!$AZ$7,v_conc_prod_tye_affinage,'SUIVI STOCKS PAR PAYSAN'!$I74,v_Date_commande,"&gt;"&amp;date_inventaire)</f>
        <v>0</v>
      </c>
      <c r="BA74" s="353">
        <f ca="1">SUMIFS(bddres_pieces,'BDD RESERVATIONS'!$G:$G,'SUIVI STOCKS PAR PAYSAN'!$AZ$7,bddres_c_prod_type_aff,'SUIVI STOCKS PAR PAYSAN'!$I74,'BDD RESERVATIONS'!$B:$B,"&gt;"&amp;date_inventaire)</f>
        <v>0</v>
      </c>
      <c r="BB74" s="313">
        <f ca="1">SUMIFS(es_poids,es_prod_type_affinage,'SUIVI STOCKS PAR PAYSAN'!$J74,es_date_entree,"&gt;"&amp;date_inventaire)-SUMIFS(v_Poids,v_conc_prod_tye_affinage,'SUIVI STOCKS PAR PAYSAN'!$J74,v_Date_commande,"&gt;"&amp;date_inventaire)</f>
        <v>0</v>
      </c>
      <c r="BC74" s="313">
        <f ca="1">SUMIFS(bddres_c_qte,bddres_c_prod_type_aff,'SUIVI STOCKS PAR PAYSAN'!J74,'BDD RESERVATIONS'!$B:$B,"&gt;"&amp;date_inventaire)</f>
        <v>0</v>
      </c>
      <c r="BD74" s="342">
        <f ca="1">SUMIFS(bddres_pieces,es_prod_type_affinage,'SUIVI STOCKS PAR PAYSAN'!$J74,es_date_entree,"&gt;"&amp;date_inventaire,es_taille,'SUIVI STOCKS PAR PAYSAN'!$BD$7)-SUMIFS(v_Pièces,v_Taille,'SUIVI STOCKS PAR PAYSAN'!$BD$7,v_conc_prod_tye_affinage,'SUIVI STOCKS PAR PAYSAN'!$J74,v_Date_commande,"&gt;"&amp;date_inventaire)</f>
        <v>0</v>
      </c>
      <c r="BE74" s="326">
        <f ca="1">SUMIFS(bddres_pieces,'BDD RESERVATIONS'!$G:$G,'SUIVI STOCKS PAR PAYSAN'!BD69,bddres_c_prod_type_aff,'SUIVI STOCKS PAR PAYSAN'!J74,'BDD RESERVATIONS'!$B:$B,"&gt;"&amp;date_inventaire)</f>
        <v>0</v>
      </c>
      <c r="BF74" s="343">
        <f ca="1">SUMIFS(es_pieces,es_prod_type_affinage,'SUIVI STOCKS PAR PAYSAN'!J74,es_date_entree,"&gt;"&amp;date_inventaire,es_taille,'SUIVI STOCKS PAR PAYSAN'!$BF$7)-SUMIFS(v_Pièces,v_Taille,'SUIVI STOCKS PAR PAYSAN'!$BF$7,v_conc_prod_tye_affinage,'SUIVI STOCKS PAR PAYSAN'!J74,v_Date_commande,"&gt;"&amp;date_inventaire)</f>
        <v>0</v>
      </c>
      <c r="BG74" s="353">
        <f ca="1">SUMIFS(bddres_pieces,'BDD RESERVATIONS'!$G:$G,'SUIVI STOCKS PAR PAYSAN'!$BF$7,bddres_c_prod_type_aff,'SUIVI STOCKS PAR PAYSAN'!J74,'BDD RESERVATIONS'!$B:$B,"&gt;"&amp;date_inventaire)</f>
        <v>0</v>
      </c>
    </row>
    <row r="75" spans="1:59" ht="18.75" customHeight="1" x14ac:dyDescent="0.25">
      <c r="A75" s="331">
        <f ca="1">OFFSET('BDD PAYSANS'!$B$1,B75,0,1,1)</f>
        <v>0</v>
      </c>
      <c r="B75" s="325">
        <v>64</v>
      </c>
      <c r="C75" s="325" t="str">
        <f t="shared" ca="1" si="3"/>
        <v>0FERMIER&lt;3 mois</v>
      </c>
      <c r="D75" s="325" t="str">
        <f t="shared" ca="1" si="3"/>
        <v>0FERMIER3-6 mois</v>
      </c>
      <c r="E75" s="325" t="str">
        <f t="shared" ca="1" si="3"/>
        <v>0FERMIER6-9 mois</v>
      </c>
      <c r="F75" s="325" t="str">
        <f t="shared" ca="1" si="3"/>
        <v>0FERMIER&gt;9 mois</v>
      </c>
      <c r="G75" s="325" t="str">
        <f t="shared" ca="1" si="3"/>
        <v>0ESTIVE&lt;3 mois</v>
      </c>
      <c r="H75" s="325" t="str">
        <f t="shared" ca="1" si="3"/>
        <v>0ESTIVE3-6 mois</v>
      </c>
      <c r="I75" s="325" t="str">
        <f t="shared" ca="1" si="3"/>
        <v>0ESTIVE6-9 mois</v>
      </c>
      <c r="J75" s="325" t="str">
        <f t="shared" ca="1" si="3"/>
        <v>0ESTIVE&gt;9 mois</v>
      </c>
      <c r="K75" s="325"/>
      <c r="L75" s="352">
        <f ca="1">SUMIFS(es_poids,es_prod_type_affinage,'SUIVI STOCKS PAR PAYSAN'!$C75,es_date_entree,"&gt;"&amp;date_inventaire)-SUMIFS(v_Poids,v_conc_prod_tye_affinage,'SUIVI STOCKS PAR PAYSAN'!$C75,v_Date_commande,"&gt;"&amp;date_inventaire)</f>
        <v>0</v>
      </c>
      <c r="M75" s="341">
        <f ca="1">SUMIFS(bddres_c_qte,bddres_c_prod_type_aff,'SUIVI STOCKS PAR PAYSAN'!C75,'BDD RESERVATIONS'!$B:$B,"&gt;"&amp;date_inventaire)</f>
        <v>0</v>
      </c>
      <c r="N75" s="342">
        <f ca="1">SUMIFS(bddres_pieces,es_prod_type_affinage,'SUIVI STOCKS PAR PAYSAN'!$C75,es_date_entree,"&gt;"&amp;date_inventaire,es_taille,'SUIVI STOCKS PAR PAYSAN'!$N$7)-SUMIFS(v_Pièces,v_Taille,'SUIVI STOCKS PAR PAYSAN'!$N$7,v_conc_prod_tye_affinage,'SUIVI STOCKS PAR PAYSAN'!$C75,v_Date_commande,"&gt;"&amp;date_inventaire)</f>
        <v>0</v>
      </c>
      <c r="O75" s="342">
        <f ca="1">SUMIFS(bddres_pieces,'BDD RESERVATIONS'!$G:$G,'SUIVI STOCKS PAR PAYSAN'!$N$7,bddres_c_prod_type_aff,'SUIVI STOCKS PAR PAYSAN'!$C75,'BDD RESERVATIONS'!$B:$B,"&gt;"&amp;date_inventaire)</f>
        <v>0</v>
      </c>
      <c r="P75" s="343">
        <f ca="1">SUMIFS(es_pieces,es_prod_type_affinage,'SUIVI STOCKS PAR PAYSAN'!$C75,es_date_entree,"&gt;"&amp;date_inventaire,es_taille,'SUIVI STOCKS PAR PAYSAN'!$P$7)-SUMIFS(v_Pièces,v_Taille,'SUIVI STOCKS PAR PAYSAN'!$P$7,v_conc_prod_tye_affinage,'SUIVI STOCKS PAR PAYSAN'!$C75,v_Date_commande,"&gt;"&amp;date_inventaire)</f>
        <v>0</v>
      </c>
      <c r="Q75" s="353">
        <f ca="1">SUMIFS(bddres_pieces,'BDD RESERVATIONS'!$G:$G,'SUIVI STOCKS PAR PAYSAN'!$P$7,bddres_c_prod_type_aff,'SUIVI STOCKS PAR PAYSAN'!$C75,'BDD RESERVATIONS'!$B:$B,"&gt;"&amp;date_inventaire)</f>
        <v>0</v>
      </c>
      <c r="R75" s="340">
        <f ca="1">SUMIFS(es_poids,es_prod_type_affinage,'SUIVI STOCKS PAR PAYSAN'!$D75,es_date_entree,"&gt;"&amp;date_inventaire)-SUMIFS(v_Poids,v_conc_prod_tye_affinage,'SUIVI STOCKS PAR PAYSAN'!$D75,v_Date_commande,"&gt;"&amp;date_inventaire)</f>
        <v>0</v>
      </c>
      <c r="S75" s="341">
        <f ca="1">SUMIFS(bddres_c_qte,bddres_c_prod_type_aff,'SUIVI STOCKS PAR PAYSAN'!D75,'BDD RESERVATIONS'!$B:$B,"&gt;"&amp;date_inventaire)</f>
        <v>0</v>
      </c>
      <c r="T75" s="342">
        <f ca="1">SUMIFS(bddres_pieces,es_prod_type_affinage,'SUIVI STOCKS PAR PAYSAN'!$D75,es_date_entree,"&gt;"&amp;date_inventaire,es_taille,'SUIVI STOCKS PAR PAYSAN'!$T$7)-SUMIFS(v_Pièces,v_Taille,'SUIVI STOCKS PAR PAYSAN'!$T$7,v_conc_prod_tye_affinage,'SUIVI STOCKS PAR PAYSAN'!$D75,v_Date_commande,"&gt;"&amp;date_inventaire)</f>
        <v>0</v>
      </c>
      <c r="U75" s="342">
        <f ca="1">SUMIFS(bddres_pieces,'BDD RESERVATIONS'!$G:$G,'SUIVI STOCKS PAR PAYSAN'!$T$7,bddres_c_prod_type_aff,'SUIVI STOCKS PAR PAYSAN'!$D75,'BDD RESERVATIONS'!$B:$B,"&gt;"&amp;date_inventaire)</f>
        <v>0</v>
      </c>
      <c r="V75" s="343">
        <f ca="1">SUMIFS(es_pieces,es_prod_type_affinage,'SUIVI STOCKS PAR PAYSAN'!$D75,es_date_entree,"&gt;"&amp;date_inventaire,es_taille,'SUIVI STOCKS PAR PAYSAN'!$V$7)-SUMIFS(v_Pièces,v_Taille,'SUIVI STOCKS PAR PAYSAN'!$V$7,v_conc_prod_tye_affinage,'SUIVI STOCKS PAR PAYSAN'!$D75,v_Date_commande,"&gt;"&amp;date_inventaire)</f>
        <v>0</v>
      </c>
      <c r="W75" s="353">
        <f ca="1">SUMIFS(bddres_pieces,'BDD RESERVATIONS'!$G:$G,'SUIVI STOCKS PAR PAYSAN'!$V$7,bddres_c_prod_type_aff,'SUIVI STOCKS PAR PAYSAN'!$D75,'BDD RESERVATIONS'!$B:$B,"&gt;"&amp;date_inventaire)</f>
        <v>0</v>
      </c>
      <c r="X75" s="313">
        <f ca="1">SUMIFS(es_poids,es_prod_type_affinage,'SUIVI STOCKS PAR PAYSAN'!$E75,es_date_entree,"&gt;"&amp;date_inventaire)-SUMIFS(v_Poids,v_conc_prod_tye_affinage,'SUIVI STOCKS PAR PAYSAN'!$E75,v_Date_commande,"&gt;"&amp;date_inventaire)</f>
        <v>0</v>
      </c>
      <c r="Y75" s="341">
        <f ca="1">SUMIFS(bddres_c_qte,bddres_c_prod_type_aff,'SUIVI STOCKS PAR PAYSAN'!E75,'BDD RESERVATIONS'!$B:$B,"&gt;"&amp;date_inventaire)</f>
        <v>0</v>
      </c>
      <c r="Z75" s="342">
        <f ca="1">SUMIFS(bddres_pieces,es_prod_type_affinage,'SUIVI STOCKS PAR PAYSAN'!$E75,es_date_entree,"&gt;"&amp;date_inventaire,es_taille,'SUIVI STOCKS PAR PAYSAN'!$Z$7)-SUMIFS(v_Pièces,v_Taille,'SUIVI STOCKS PAR PAYSAN'!$Z$7,v_conc_prod_tye_affinage,'SUIVI STOCKS PAR PAYSAN'!$E75,v_Date_commande,"&gt;"&amp;date_inventaire)</f>
        <v>0</v>
      </c>
      <c r="AA75" s="342">
        <f ca="1">SUMIFS(bddres_pieces,'BDD RESERVATIONS'!$G:$G,'SUIVI STOCKS PAR PAYSAN'!$Z$7,bddres_c_prod_type_aff,'SUIVI STOCKS PAR PAYSAN'!$E75,'BDD RESERVATIONS'!$B:$B,"&gt;"&amp;date_inventaire)</f>
        <v>0</v>
      </c>
      <c r="AB75" s="343">
        <f ca="1">SUMIFS(es_pieces,es_prod_type_affinage,'SUIVI STOCKS PAR PAYSAN'!$E75,es_date_entree,"&gt;"&amp;date_inventaire,es_taille,'SUIVI STOCKS PAR PAYSAN'!$AB$7)-SUMIFS(v_Pièces,v_Taille,'SUIVI STOCKS PAR PAYSAN'!$AB$7,v_conc_prod_tye_affinage,'SUIVI STOCKS PAR PAYSAN'!$E75,v_Date_commande,"&gt;"&amp;date_inventaire)</f>
        <v>0</v>
      </c>
      <c r="AC75" s="353">
        <f ca="1">SUMIFS(bddres_pieces,'BDD RESERVATIONS'!$G:$G,'SUIVI STOCKS PAR PAYSAN'!$AB$7,bddres_c_prod_type_aff,'SUIVI STOCKS PAR PAYSAN'!$E75,'BDD RESERVATIONS'!$B:$B,"&gt;"&amp;date_inventaire)</f>
        <v>0</v>
      </c>
      <c r="AD75" s="313">
        <f ca="1">SUMIFS(es_poids,es_prod_type_affinage,'SUIVI STOCKS PAR PAYSAN'!$F75,es_date_entree,"&gt;"&amp;date_inventaire)-SUMIFS(v_Poids,v_conc_prod_tye_affinage,'SUIVI STOCKS PAR PAYSAN'!$F75,v_Date_commande,"&gt;"&amp;date_inventaire)</f>
        <v>0</v>
      </c>
      <c r="AE75" s="341">
        <f ca="1">SUMIFS(bddres_c_qte,bddres_c_prod_type_aff,'SUIVI STOCKS PAR PAYSAN'!F75,'BDD RESERVATIONS'!$B:$B,"&gt;"&amp;date_inventaire)</f>
        <v>0</v>
      </c>
      <c r="AF75" s="342">
        <f ca="1">SUMIFS(bddres_pieces,es_prod_type_affinage,'SUIVI STOCKS PAR PAYSAN'!$F75,es_date_entree,"&gt;"&amp;date_inventaire,es_taille,'SUIVI STOCKS PAR PAYSAN'!$Z$7)-SUMIFS(v_Pièces,v_Taille,'SUIVI STOCKS PAR PAYSAN'!$Z$7,v_conc_prod_tye_affinage,'SUIVI STOCKS PAR PAYSAN'!$F75,v_Date_commande,"&gt;"&amp;date_inventaire)</f>
        <v>0</v>
      </c>
      <c r="AG75" s="342">
        <f ca="1">SUMIFS(bddres_pieces,'BDD RESERVATIONS'!$G:$G,'SUIVI STOCKS PAR PAYSAN'!$Z$7,bddres_c_prod_type_aff,'SUIVI STOCKS PAR PAYSAN'!$F75,'BDD RESERVATIONS'!$B:$B,"&gt;"&amp;date_inventaire)</f>
        <v>0</v>
      </c>
      <c r="AH75" s="343">
        <f ca="1">SUMIFS(es_pieces,es_prod_type_affinage,'SUIVI STOCKS PAR PAYSAN'!$F75,es_date_entree,"&gt;"&amp;date_inventaire,es_taille,'SUIVI STOCKS PAR PAYSAN'!$AH$7)-SUMIFS(v_Pièces,v_Taille,'SUIVI STOCKS PAR PAYSAN'!$AH$7,v_conc_prod_tye_affinage,'SUIVI STOCKS PAR PAYSAN'!$F75,v_Date_commande,"&gt;"&amp;date_inventaire)</f>
        <v>0</v>
      </c>
      <c r="AI75" s="353">
        <f ca="1">SUMIFS(bddres_pieces,'BDD RESERVATIONS'!$G:$G,'SUIVI STOCKS PAR PAYSAN'!$AB$7,bddres_c_prod_type_aff,'SUIVI STOCKS PAR PAYSAN'!$F75,'BDD RESERVATIONS'!$B:$B,"&gt;"&amp;date_inventaire)</f>
        <v>0</v>
      </c>
      <c r="AJ75" s="352">
        <f ca="1">SUMIFS(es_poids,es_prod_type_affinage,'SUIVI STOCKS PAR PAYSAN'!$G75,es_date_entree,"&gt;"&amp;date_inventaire)-SUMIFS(v_Poids,v_conc_prod_tye_affinage,'SUIVI STOCKS PAR PAYSAN'!$G75,v_Date_commande,"&gt;"&amp;date_inventaire)</f>
        <v>0</v>
      </c>
      <c r="AK75" s="341">
        <f ca="1">SUMIFS(bddres_c_qte,bddres_c_prod_type_aff,'SUIVI STOCKS PAR PAYSAN'!G75,'BDD RESERVATIONS'!$B:$B,"&gt;"&amp;date_inventaire)</f>
        <v>0</v>
      </c>
      <c r="AL75" s="342">
        <f ca="1">SUMIFS(bddres_pieces,es_prod_type_affinage,'SUIVI STOCKS PAR PAYSAN'!$G75,es_date_entree,"&gt;"&amp;date_inventaire,es_taille,'SUIVI STOCKS PAR PAYSAN'!$AL$7)-SUMIFS(v_Pièces,v_Taille,'SUIVI STOCKS PAR PAYSAN'!$AL$7,v_conc_prod_tye_affinage,'SUIVI STOCKS PAR PAYSAN'!$G75,v_Date_commande,"&gt;"&amp;date_inventaire)</f>
        <v>0</v>
      </c>
      <c r="AM75" s="342">
        <f ca="1">SUMIFS(bddres_pieces,'BDD RESERVATIONS'!$G:$G,'SUIVI STOCKS PAR PAYSAN'!$AL$7,bddres_c_prod_type_aff,'SUIVI STOCKS PAR PAYSAN'!$G75,'BDD RESERVATIONS'!$B:$B,"&gt;"&amp;date_inventaire)</f>
        <v>0</v>
      </c>
      <c r="AN75" s="343">
        <f ca="1">SUMIFS(es_pieces,es_prod_type_affinage,'SUIVI STOCKS PAR PAYSAN'!$G75,es_date_entree,"&gt;"&amp;date_inventaire,es_taille,'SUIVI STOCKS PAR PAYSAN'!$AN$7)-SUMIFS(v_Pièces,v_Taille,'SUIVI STOCKS PAR PAYSAN'!$AN$7,v_conc_prod_tye_affinage,'SUIVI STOCKS PAR PAYSAN'!$G75,v_Date_commande,"&gt;"&amp;date_inventaire)</f>
        <v>0</v>
      </c>
      <c r="AO75" s="353">
        <f ca="1">SUMIFS(bddres_pieces,'BDD RESERVATIONS'!$G:$G,'SUIVI STOCKS PAR PAYSAN'!$AN$7,bddres_c_prod_type_aff,'SUIVI STOCKS PAR PAYSAN'!$G75,'BDD RESERVATIONS'!$B:$B,"&gt;"&amp;date_inventaire)</f>
        <v>0</v>
      </c>
      <c r="AP75" s="313">
        <f ca="1">SUMIFS(es_poids,es_prod_type_affinage,'SUIVI STOCKS PAR PAYSAN'!$H75,es_date_entree,"&gt;"&amp;date_inventaire)-SUMIFS(v_Poids,v_conc_prod_tye_affinage,'SUIVI STOCKS PAR PAYSAN'!$H75,v_Date_commande,"&gt;"&amp;date_inventaire)</f>
        <v>0</v>
      </c>
      <c r="AQ75" s="341">
        <f ca="1">SUMIFS(bddres_c_qte,bddres_c_prod_type_aff,'SUIVI STOCKS PAR PAYSAN'!H75,'BDD RESERVATIONS'!$B:$B,"&gt;"&amp;date_inventaire)</f>
        <v>0</v>
      </c>
      <c r="AR75" s="342">
        <f ca="1">SUMIFS(bddres_pieces,es_prod_type_affinage,'SUIVI STOCKS PAR PAYSAN'!$H75,es_date_entree,"&gt;"&amp;date_inventaire,es_taille,'SUIVI STOCKS PAR PAYSAN'!$AR$7)-SUMIFS(v_Pièces,v_Taille,'SUIVI STOCKS PAR PAYSAN'!$AR$7,v_conc_prod_tye_affinage,'SUIVI STOCKS PAR PAYSAN'!$H75,v_Date_commande,"&gt;"&amp;date_inventaire)</f>
        <v>0</v>
      </c>
      <c r="AS75" s="326">
        <f ca="1">SUMIFS(bddres_pieces,'BDD RESERVATIONS'!$G:$G,'SUIVI STOCKS PAR PAYSAN'!AR70,bddres_c_prod_type_aff,'SUIVI STOCKS PAR PAYSAN'!$H75,'BDD RESERVATIONS'!$B:$B,"&gt;"&amp;date_inventaire)</f>
        <v>0</v>
      </c>
      <c r="AT75" s="343">
        <f ca="1">SUMIFS(es_pieces,es_prod_type_affinage,'SUIVI STOCKS PAR PAYSAN'!$H75,es_date_entree,"&gt;"&amp;date_inventaire,es_taille,'SUIVI STOCKS PAR PAYSAN'!$AT$7)-SUMIFS(v_Pièces,v_Taille,'SUIVI STOCKS PAR PAYSAN'!$AT$7,v_conc_prod_tye_affinage,'SUIVI STOCKS PAR PAYSAN'!$H75,v_Date_commande,"&gt;"&amp;date_inventaire)</f>
        <v>0</v>
      </c>
      <c r="AU75" s="353">
        <f ca="1">SUMIFS(bddres_pieces,'BDD RESERVATIONS'!$G:$G,'SUIVI STOCKS PAR PAYSAN'!$AT$7,bddres_c_prod_type_aff,'SUIVI STOCKS PAR PAYSAN'!$H75,'BDD RESERVATIONS'!$B:$B,"&gt;"&amp;date_inventaire)</f>
        <v>0</v>
      </c>
      <c r="AV75" s="313">
        <f ca="1">SUMIFS(es_poids,es_prod_type_affinage,'SUIVI STOCKS PAR PAYSAN'!$I75,es_date_entree,"&gt;"&amp;date_inventaire)-SUMIFS(v_Poids,v_conc_prod_tye_affinage,'SUIVI STOCKS PAR PAYSAN'!$E75,v_Date_commande,"&gt;"&amp;date_inventaire)</f>
        <v>0</v>
      </c>
      <c r="AW75" s="313">
        <f ca="1">SUMIFS(bddres_c_qte,bddres_c_prod_type_aff,'SUIVI STOCKS PAR PAYSAN'!I75,'BDD RESERVATIONS'!$B:$B,"&gt;"&amp;date_inventaire)</f>
        <v>0</v>
      </c>
      <c r="AX75" s="342">
        <f ca="1">SUMIFS(bddres_pieces,es_prod_type_affinage,'SUIVI STOCKS PAR PAYSAN'!$I75,es_date_entree,"&gt;"&amp;date_inventaire,es_taille,'SUIVI STOCKS PAR PAYSAN'!$AX$7)-SUMIFS(v_Pièces,v_Taille,'SUIVI STOCKS PAR PAYSAN'!$AX$7,v_conc_prod_tye_affinage,'SUIVI STOCKS PAR PAYSAN'!$I75,v_Date_commande,"&gt;"&amp;date_inventaire)</f>
        <v>0</v>
      </c>
      <c r="AY75" s="342">
        <f ca="1">SUMIFS(bddres_pieces,'BDD RESERVATIONS'!$G:$G,'SUIVI STOCKS PAR PAYSAN'!$AX$7,bddres_c_prod_type_aff,'SUIVI STOCKS PAR PAYSAN'!$I75,'BDD RESERVATIONS'!$B:$B,"&gt;"&amp;date_inventaire)</f>
        <v>0</v>
      </c>
      <c r="AZ75" s="343">
        <f ca="1">SUMIFS(es_pieces,es_prod_type_affinage,'SUIVI STOCKS PAR PAYSAN'!$I75,es_date_entree,"&gt;"&amp;date_inventaire,es_taille,'SUIVI STOCKS PAR PAYSAN'!$AZ$7)-SUMIFS(v_Pièces,v_Taille,'SUIVI STOCKS PAR PAYSAN'!$AZ$7,v_conc_prod_tye_affinage,'SUIVI STOCKS PAR PAYSAN'!$I75,v_Date_commande,"&gt;"&amp;date_inventaire)</f>
        <v>0</v>
      </c>
      <c r="BA75" s="353">
        <f ca="1">SUMIFS(bddres_pieces,'BDD RESERVATIONS'!$G:$G,'SUIVI STOCKS PAR PAYSAN'!$AZ$7,bddres_c_prod_type_aff,'SUIVI STOCKS PAR PAYSAN'!$I75,'BDD RESERVATIONS'!$B:$B,"&gt;"&amp;date_inventaire)</f>
        <v>0</v>
      </c>
      <c r="BB75" s="313">
        <f ca="1">SUMIFS(es_poids,es_prod_type_affinage,'SUIVI STOCKS PAR PAYSAN'!$J75,es_date_entree,"&gt;"&amp;date_inventaire)-SUMIFS(v_Poids,v_conc_prod_tye_affinage,'SUIVI STOCKS PAR PAYSAN'!$J75,v_Date_commande,"&gt;"&amp;date_inventaire)</f>
        <v>0</v>
      </c>
      <c r="BC75" s="313">
        <f ca="1">SUMIFS(bddres_c_qte,bddres_c_prod_type_aff,'SUIVI STOCKS PAR PAYSAN'!J75,'BDD RESERVATIONS'!$B:$B,"&gt;"&amp;date_inventaire)</f>
        <v>0</v>
      </c>
      <c r="BD75" s="342">
        <f ca="1">SUMIFS(bddres_pieces,es_prod_type_affinage,'SUIVI STOCKS PAR PAYSAN'!$J75,es_date_entree,"&gt;"&amp;date_inventaire,es_taille,'SUIVI STOCKS PAR PAYSAN'!$BD$7)-SUMIFS(v_Pièces,v_Taille,'SUIVI STOCKS PAR PAYSAN'!$BD$7,v_conc_prod_tye_affinage,'SUIVI STOCKS PAR PAYSAN'!$J75,v_Date_commande,"&gt;"&amp;date_inventaire)</f>
        <v>0</v>
      </c>
      <c r="BE75" s="326">
        <f ca="1">SUMIFS(bddres_pieces,'BDD RESERVATIONS'!$G:$G,'SUIVI STOCKS PAR PAYSAN'!BD70,bddres_c_prod_type_aff,'SUIVI STOCKS PAR PAYSAN'!J75,'BDD RESERVATIONS'!$B:$B,"&gt;"&amp;date_inventaire)</f>
        <v>0</v>
      </c>
      <c r="BF75" s="343">
        <f ca="1">SUMIFS(es_pieces,es_prod_type_affinage,'SUIVI STOCKS PAR PAYSAN'!J75,es_date_entree,"&gt;"&amp;date_inventaire,es_taille,'SUIVI STOCKS PAR PAYSAN'!$BF$7)-SUMIFS(v_Pièces,v_Taille,'SUIVI STOCKS PAR PAYSAN'!$BF$7,v_conc_prod_tye_affinage,'SUIVI STOCKS PAR PAYSAN'!J75,v_Date_commande,"&gt;"&amp;date_inventaire)</f>
        <v>0</v>
      </c>
      <c r="BG75" s="353">
        <f ca="1">SUMIFS(bddres_pieces,'BDD RESERVATIONS'!$G:$G,'SUIVI STOCKS PAR PAYSAN'!$BF$7,bddres_c_prod_type_aff,'SUIVI STOCKS PAR PAYSAN'!J75,'BDD RESERVATIONS'!$B:$B,"&gt;"&amp;date_inventaire)</f>
        <v>0</v>
      </c>
    </row>
    <row r="76" spans="1:59" ht="18.75" customHeight="1" x14ac:dyDescent="0.25">
      <c r="A76" s="331">
        <f ca="1">OFFSET('BDD PAYSANS'!$B$1,B76,0,1,1)</f>
        <v>0</v>
      </c>
      <c r="B76" s="325">
        <v>65</v>
      </c>
      <c r="C76" s="325" t="str">
        <f t="shared" ca="1" si="3"/>
        <v>0FERMIER&lt;3 mois</v>
      </c>
      <c r="D76" s="325" t="str">
        <f t="shared" ca="1" si="3"/>
        <v>0FERMIER3-6 mois</v>
      </c>
      <c r="E76" s="325" t="str">
        <f t="shared" ca="1" si="3"/>
        <v>0FERMIER6-9 mois</v>
      </c>
      <c r="F76" s="325" t="str">
        <f t="shared" ca="1" si="3"/>
        <v>0FERMIER&gt;9 mois</v>
      </c>
      <c r="G76" s="325" t="str">
        <f t="shared" ca="1" si="3"/>
        <v>0ESTIVE&lt;3 mois</v>
      </c>
      <c r="H76" s="325" t="str">
        <f t="shared" ca="1" si="3"/>
        <v>0ESTIVE3-6 mois</v>
      </c>
      <c r="I76" s="325" t="str">
        <f t="shared" ca="1" si="3"/>
        <v>0ESTIVE6-9 mois</v>
      </c>
      <c r="J76" s="325" t="str">
        <f t="shared" ca="1" si="3"/>
        <v>0ESTIVE&gt;9 mois</v>
      </c>
      <c r="K76" s="325"/>
      <c r="L76" s="352">
        <f ca="1">SUMIFS(es_poids,es_prod_type_affinage,'SUIVI STOCKS PAR PAYSAN'!$C76,es_date_entree,"&gt;"&amp;date_inventaire)-SUMIFS(v_Poids,v_conc_prod_tye_affinage,'SUIVI STOCKS PAR PAYSAN'!$C76,v_Date_commande,"&gt;"&amp;date_inventaire)</f>
        <v>0</v>
      </c>
      <c r="M76" s="341">
        <f ca="1">SUMIFS(bddres_c_qte,bddres_c_prod_type_aff,'SUIVI STOCKS PAR PAYSAN'!C76,'BDD RESERVATIONS'!$B:$B,"&gt;"&amp;date_inventaire)</f>
        <v>0</v>
      </c>
      <c r="N76" s="342">
        <f ca="1">SUMIFS(bddres_pieces,es_prod_type_affinage,'SUIVI STOCKS PAR PAYSAN'!$C76,es_date_entree,"&gt;"&amp;date_inventaire,es_taille,'SUIVI STOCKS PAR PAYSAN'!$N$7)-SUMIFS(v_Pièces,v_Taille,'SUIVI STOCKS PAR PAYSAN'!$N$7,v_conc_prod_tye_affinage,'SUIVI STOCKS PAR PAYSAN'!$C76,v_Date_commande,"&gt;"&amp;date_inventaire)</f>
        <v>0</v>
      </c>
      <c r="O76" s="342">
        <f ca="1">SUMIFS(bddres_pieces,'BDD RESERVATIONS'!$G:$G,'SUIVI STOCKS PAR PAYSAN'!$N$7,bddres_c_prod_type_aff,'SUIVI STOCKS PAR PAYSAN'!$C76,'BDD RESERVATIONS'!$B:$B,"&gt;"&amp;date_inventaire)</f>
        <v>0</v>
      </c>
      <c r="P76" s="343">
        <f ca="1">SUMIFS(es_pieces,es_prod_type_affinage,'SUIVI STOCKS PAR PAYSAN'!$C76,es_date_entree,"&gt;"&amp;date_inventaire,es_taille,'SUIVI STOCKS PAR PAYSAN'!$P$7)-SUMIFS(v_Pièces,v_Taille,'SUIVI STOCKS PAR PAYSAN'!$P$7,v_conc_prod_tye_affinage,'SUIVI STOCKS PAR PAYSAN'!$C76,v_Date_commande,"&gt;"&amp;date_inventaire)</f>
        <v>0</v>
      </c>
      <c r="Q76" s="353">
        <f ca="1">SUMIFS(bddres_pieces,'BDD RESERVATIONS'!$G:$G,'SUIVI STOCKS PAR PAYSAN'!$P$7,bddres_c_prod_type_aff,'SUIVI STOCKS PAR PAYSAN'!$C76,'BDD RESERVATIONS'!$B:$B,"&gt;"&amp;date_inventaire)</f>
        <v>0</v>
      </c>
      <c r="R76" s="340">
        <f ca="1">SUMIFS(es_poids,es_prod_type_affinage,'SUIVI STOCKS PAR PAYSAN'!$D76,es_date_entree,"&gt;"&amp;date_inventaire)-SUMIFS(v_Poids,v_conc_prod_tye_affinage,'SUIVI STOCKS PAR PAYSAN'!$D76,v_Date_commande,"&gt;"&amp;date_inventaire)</f>
        <v>0</v>
      </c>
      <c r="S76" s="341">
        <f ca="1">SUMIFS(bddres_c_qte,bddres_c_prod_type_aff,'SUIVI STOCKS PAR PAYSAN'!D76,'BDD RESERVATIONS'!$B:$B,"&gt;"&amp;date_inventaire)</f>
        <v>0</v>
      </c>
      <c r="T76" s="342">
        <f ca="1">SUMIFS(bddres_pieces,es_prod_type_affinage,'SUIVI STOCKS PAR PAYSAN'!$D76,es_date_entree,"&gt;"&amp;date_inventaire,es_taille,'SUIVI STOCKS PAR PAYSAN'!$T$7)-SUMIFS(v_Pièces,v_Taille,'SUIVI STOCKS PAR PAYSAN'!$T$7,v_conc_prod_tye_affinage,'SUIVI STOCKS PAR PAYSAN'!$D76,v_Date_commande,"&gt;"&amp;date_inventaire)</f>
        <v>0</v>
      </c>
      <c r="U76" s="342">
        <f ca="1">SUMIFS(bddres_pieces,'BDD RESERVATIONS'!$G:$G,'SUIVI STOCKS PAR PAYSAN'!$T$7,bddres_c_prod_type_aff,'SUIVI STOCKS PAR PAYSAN'!$D76,'BDD RESERVATIONS'!$B:$B,"&gt;"&amp;date_inventaire)</f>
        <v>0</v>
      </c>
      <c r="V76" s="343">
        <f ca="1">SUMIFS(es_pieces,es_prod_type_affinage,'SUIVI STOCKS PAR PAYSAN'!$D76,es_date_entree,"&gt;"&amp;date_inventaire,es_taille,'SUIVI STOCKS PAR PAYSAN'!$V$7)-SUMIFS(v_Pièces,v_Taille,'SUIVI STOCKS PAR PAYSAN'!$V$7,v_conc_prod_tye_affinage,'SUIVI STOCKS PAR PAYSAN'!$D76,v_Date_commande,"&gt;"&amp;date_inventaire)</f>
        <v>0</v>
      </c>
      <c r="W76" s="353">
        <f ca="1">SUMIFS(bddres_pieces,'BDD RESERVATIONS'!$G:$G,'SUIVI STOCKS PAR PAYSAN'!$V$7,bddres_c_prod_type_aff,'SUIVI STOCKS PAR PAYSAN'!$D76,'BDD RESERVATIONS'!$B:$B,"&gt;"&amp;date_inventaire)</f>
        <v>0</v>
      </c>
      <c r="X76" s="313">
        <f ca="1">SUMIFS(es_poids,es_prod_type_affinage,'SUIVI STOCKS PAR PAYSAN'!$E76,es_date_entree,"&gt;"&amp;date_inventaire)-SUMIFS(v_Poids,v_conc_prod_tye_affinage,'SUIVI STOCKS PAR PAYSAN'!$E76,v_Date_commande,"&gt;"&amp;date_inventaire)</f>
        <v>0</v>
      </c>
      <c r="Y76" s="341">
        <f ca="1">SUMIFS(bddres_c_qte,bddres_c_prod_type_aff,'SUIVI STOCKS PAR PAYSAN'!E76,'BDD RESERVATIONS'!$B:$B,"&gt;"&amp;date_inventaire)</f>
        <v>0</v>
      </c>
      <c r="Z76" s="342">
        <f ca="1">SUMIFS(bddres_pieces,es_prod_type_affinage,'SUIVI STOCKS PAR PAYSAN'!$E76,es_date_entree,"&gt;"&amp;date_inventaire,es_taille,'SUIVI STOCKS PAR PAYSAN'!$Z$7)-SUMIFS(v_Pièces,v_Taille,'SUIVI STOCKS PAR PAYSAN'!$Z$7,v_conc_prod_tye_affinage,'SUIVI STOCKS PAR PAYSAN'!$E76,v_Date_commande,"&gt;"&amp;date_inventaire)</f>
        <v>0</v>
      </c>
      <c r="AA76" s="342">
        <f ca="1">SUMIFS(bddres_pieces,'BDD RESERVATIONS'!$G:$G,'SUIVI STOCKS PAR PAYSAN'!$Z$7,bddres_c_prod_type_aff,'SUIVI STOCKS PAR PAYSAN'!$E76,'BDD RESERVATIONS'!$B:$B,"&gt;"&amp;date_inventaire)</f>
        <v>0</v>
      </c>
      <c r="AB76" s="343">
        <f ca="1">SUMIFS(es_pieces,es_prod_type_affinage,'SUIVI STOCKS PAR PAYSAN'!$E76,es_date_entree,"&gt;"&amp;date_inventaire,es_taille,'SUIVI STOCKS PAR PAYSAN'!$AB$7)-SUMIFS(v_Pièces,v_Taille,'SUIVI STOCKS PAR PAYSAN'!$AB$7,v_conc_prod_tye_affinage,'SUIVI STOCKS PAR PAYSAN'!$E76,v_Date_commande,"&gt;"&amp;date_inventaire)</f>
        <v>0</v>
      </c>
      <c r="AC76" s="353">
        <f ca="1">SUMIFS(bddres_pieces,'BDD RESERVATIONS'!$G:$G,'SUIVI STOCKS PAR PAYSAN'!$AB$7,bddres_c_prod_type_aff,'SUIVI STOCKS PAR PAYSAN'!$E76,'BDD RESERVATIONS'!$B:$B,"&gt;"&amp;date_inventaire)</f>
        <v>0</v>
      </c>
      <c r="AD76" s="313">
        <f ca="1">SUMIFS(es_poids,es_prod_type_affinage,'SUIVI STOCKS PAR PAYSAN'!$F76,es_date_entree,"&gt;"&amp;date_inventaire)-SUMIFS(v_Poids,v_conc_prod_tye_affinage,'SUIVI STOCKS PAR PAYSAN'!$F76,v_Date_commande,"&gt;"&amp;date_inventaire)</f>
        <v>0</v>
      </c>
      <c r="AE76" s="341">
        <f ca="1">SUMIFS(bddres_c_qte,bddres_c_prod_type_aff,'SUIVI STOCKS PAR PAYSAN'!F76,'BDD RESERVATIONS'!$B:$B,"&gt;"&amp;date_inventaire)</f>
        <v>0</v>
      </c>
      <c r="AF76" s="342">
        <f ca="1">SUMIFS(bddres_pieces,es_prod_type_affinage,'SUIVI STOCKS PAR PAYSAN'!$F76,es_date_entree,"&gt;"&amp;date_inventaire,es_taille,'SUIVI STOCKS PAR PAYSAN'!$Z$7)-SUMIFS(v_Pièces,v_Taille,'SUIVI STOCKS PAR PAYSAN'!$Z$7,v_conc_prod_tye_affinage,'SUIVI STOCKS PAR PAYSAN'!$F76,v_Date_commande,"&gt;"&amp;date_inventaire)</f>
        <v>0</v>
      </c>
      <c r="AG76" s="342">
        <f ca="1">SUMIFS(bddres_pieces,'BDD RESERVATIONS'!$G:$G,'SUIVI STOCKS PAR PAYSAN'!$Z$7,bddres_c_prod_type_aff,'SUIVI STOCKS PAR PAYSAN'!$F76,'BDD RESERVATIONS'!$B:$B,"&gt;"&amp;date_inventaire)</f>
        <v>0</v>
      </c>
      <c r="AH76" s="343">
        <f ca="1">SUMIFS(es_pieces,es_prod_type_affinage,'SUIVI STOCKS PAR PAYSAN'!$F76,es_date_entree,"&gt;"&amp;date_inventaire,es_taille,'SUIVI STOCKS PAR PAYSAN'!$AH$7)-SUMIFS(v_Pièces,v_Taille,'SUIVI STOCKS PAR PAYSAN'!$AH$7,v_conc_prod_tye_affinage,'SUIVI STOCKS PAR PAYSAN'!$F76,v_Date_commande,"&gt;"&amp;date_inventaire)</f>
        <v>0</v>
      </c>
      <c r="AI76" s="353">
        <f ca="1">SUMIFS(bddres_pieces,'BDD RESERVATIONS'!$G:$G,'SUIVI STOCKS PAR PAYSAN'!$AB$7,bddres_c_prod_type_aff,'SUIVI STOCKS PAR PAYSAN'!$F76,'BDD RESERVATIONS'!$B:$B,"&gt;"&amp;date_inventaire)</f>
        <v>0</v>
      </c>
      <c r="AJ76" s="352">
        <f ca="1">SUMIFS(es_poids,es_prod_type_affinage,'SUIVI STOCKS PAR PAYSAN'!$G76,es_date_entree,"&gt;"&amp;date_inventaire)-SUMIFS(v_Poids,v_conc_prod_tye_affinage,'SUIVI STOCKS PAR PAYSAN'!$G76,v_Date_commande,"&gt;"&amp;date_inventaire)</f>
        <v>0</v>
      </c>
      <c r="AK76" s="341">
        <f ca="1">SUMIFS(bddres_c_qte,bddres_c_prod_type_aff,'SUIVI STOCKS PAR PAYSAN'!G76,'BDD RESERVATIONS'!$B:$B,"&gt;"&amp;date_inventaire)</f>
        <v>0</v>
      </c>
      <c r="AL76" s="342">
        <f ca="1">SUMIFS(bddres_pieces,es_prod_type_affinage,'SUIVI STOCKS PAR PAYSAN'!$G76,es_date_entree,"&gt;"&amp;date_inventaire,es_taille,'SUIVI STOCKS PAR PAYSAN'!$AL$7)-SUMIFS(v_Pièces,v_Taille,'SUIVI STOCKS PAR PAYSAN'!$AL$7,v_conc_prod_tye_affinage,'SUIVI STOCKS PAR PAYSAN'!$G76,v_Date_commande,"&gt;"&amp;date_inventaire)</f>
        <v>0</v>
      </c>
      <c r="AM76" s="342">
        <f ca="1">SUMIFS(bddres_pieces,'BDD RESERVATIONS'!$G:$G,'SUIVI STOCKS PAR PAYSAN'!$AL$7,bddres_c_prod_type_aff,'SUIVI STOCKS PAR PAYSAN'!$G76,'BDD RESERVATIONS'!$B:$B,"&gt;"&amp;date_inventaire)</f>
        <v>0</v>
      </c>
      <c r="AN76" s="343">
        <f ca="1">SUMIFS(es_pieces,es_prod_type_affinage,'SUIVI STOCKS PAR PAYSAN'!$G76,es_date_entree,"&gt;"&amp;date_inventaire,es_taille,'SUIVI STOCKS PAR PAYSAN'!$AN$7)-SUMIFS(v_Pièces,v_Taille,'SUIVI STOCKS PAR PAYSAN'!$AN$7,v_conc_prod_tye_affinage,'SUIVI STOCKS PAR PAYSAN'!$G76,v_Date_commande,"&gt;"&amp;date_inventaire)</f>
        <v>0</v>
      </c>
      <c r="AO76" s="353">
        <f ca="1">SUMIFS(bddres_pieces,'BDD RESERVATIONS'!$G:$G,'SUIVI STOCKS PAR PAYSAN'!$AN$7,bddres_c_prod_type_aff,'SUIVI STOCKS PAR PAYSAN'!$G76,'BDD RESERVATIONS'!$B:$B,"&gt;"&amp;date_inventaire)</f>
        <v>0</v>
      </c>
      <c r="AP76" s="313">
        <f ca="1">SUMIFS(es_poids,es_prod_type_affinage,'SUIVI STOCKS PAR PAYSAN'!$H76,es_date_entree,"&gt;"&amp;date_inventaire)-SUMIFS(v_Poids,v_conc_prod_tye_affinage,'SUIVI STOCKS PAR PAYSAN'!$H76,v_Date_commande,"&gt;"&amp;date_inventaire)</f>
        <v>0</v>
      </c>
      <c r="AQ76" s="341">
        <f ca="1">SUMIFS(bddres_c_qte,bddres_c_prod_type_aff,'SUIVI STOCKS PAR PAYSAN'!H76,'BDD RESERVATIONS'!$B:$B,"&gt;"&amp;date_inventaire)</f>
        <v>0</v>
      </c>
      <c r="AR76" s="342">
        <f ca="1">SUMIFS(bddres_pieces,es_prod_type_affinage,'SUIVI STOCKS PAR PAYSAN'!$H76,es_date_entree,"&gt;"&amp;date_inventaire,es_taille,'SUIVI STOCKS PAR PAYSAN'!$AR$7)-SUMIFS(v_Pièces,v_Taille,'SUIVI STOCKS PAR PAYSAN'!$AR$7,v_conc_prod_tye_affinage,'SUIVI STOCKS PAR PAYSAN'!$H76,v_Date_commande,"&gt;"&amp;date_inventaire)</f>
        <v>0</v>
      </c>
      <c r="AS76" s="326">
        <f ca="1">SUMIFS(bddres_pieces,'BDD RESERVATIONS'!$G:$G,'SUIVI STOCKS PAR PAYSAN'!AR71,bddres_c_prod_type_aff,'SUIVI STOCKS PAR PAYSAN'!$H76,'BDD RESERVATIONS'!$B:$B,"&gt;"&amp;date_inventaire)</f>
        <v>0</v>
      </c>
      <c r="AT76" s="343">
        <f ca="1">SUMIFS(es_pieces,es_prod_type_affinage,'SUIVI STOCKS PAR PAYSAN'!$H76,es_date_entree,"&gt;"&amp;date_inventaire,es_taille,'SUIVI STOCKS PAR PAYSAN'!$AT$7)-SUMIFS(v_Pièces,v_Taille,'SUIVI STOCKS PAR PAYSAN'!$AT$7,v_conc_prod_tye_affinage,'SUIVI STOCKS PAR PAYSAN'!$H76,v_Date_commande,"&gt;"&amp;date_inventaire)</f>
        <v>0</v>
      </c>
      <c r="AU76" s="353">
        <f ca="1">SUMIFS(bddres_pieces,'BDD RESERVATIONS'!$G:$G,'SUIVI STOCKS PAR PAYSAN'!$AT$7,bddres_c_prod_type_aff,'SUIVI STOCKS PAR PAYSAN'!$H76,'BDD RESERVATIONS'!$B:$B,"&gt;"&amp;date_inventaire)</f>
        <v>0</v>
      </c>
      <c r="AV76" s="313">
        <f ca="1">SUMIFS(es_poids,es_prod_type_affinage,'SUIVI STOCKS PAR PAYSAN'!$I76,es_date_entree,"&gt;"&amp;date_inventaire)-SUMIFS(v_Poids,v_conc_prod_tye_affinage,'SUIVI STOCKS PAR PAYSAN'!$E76,v_Date_commande,"&gt;"&amp;date_inventaire)</f>
        <v>0</v>
      </c>
      <c r="AW76" s="313">
        <f ca="1">SUMIFS(bddres_c_qte,bddres_c_prod_type_aff,'SUIVI STOCKS PAR PAYSAN'!I76,'BDD RESERVATIONS'!$B:$B,"&gt;"&amp;date_inventaire)</f>
        <v>0</v>
      </c>
      <c r="AX76" s="342">
        <f ca="1">SUMIFS(bddres_pieces,es_prod_type_affinage,'SUIVI STOCKS PAR PAYSAN'!$I76,es_date_entree,"&gt;"&amp;date_inventaire,es_taille,'SUIVI STOCKS PAR PAYSAN'!$AX$7)-SUMIFS(v_Pièces,v_Taille,'SUIVI STOCKS PAR PAYSAN'!$AX$7,v_conc_prod_tye_affinage,'SUIVI STOCKS PAR PAYSAN'!$I76,v_Date_commande,"&gt;"&amp;date_inventaire)</f>
        <v>0</v>
      </c>
      <c r="AY76" s="342">
        <f ca="1">SUMIFS(bddres_pieces,'BDD RESERVATIONS'!$G:$G,'SUIVI STOCKS PAR PAYSAN'!$AX$7,bddres_c_prod_type_aff,'SUIVI STOCKS PAR PAYSAN'!$I76,'BDD RESERVATIONS'!$B:$B,"&gt;"&amp;date_inventaire)</f>
        <v>0</v>
      </c>
      <c r="AZ76" s="343">
        <f ca="1">SUMIFS(es_pieces,es_prod_type_affinage,'SUIVI STOCKS PAR PAYSAN'!$I76,es_date_entree,"&gt;"&amp;date_inventaire,es_taille,'SUIVI STOCKS PAR PAYSAN'!$AZ$7)-SUMIFS(v_Pièces,v_Taille,'SUIVI STOCKS PAR PAYSAN'!$AZ$7,v_conc_prod_tye_affinage,'SUIVI STOCKS PAR PAYSAN'!$I76,v_Date_commande,"&gt;"&amp;date_inventaire)</f>
        <v>0</v>
      </c>
      <c r="BA76" s="353">
        <f ca="1">SUMIFS(bddres_pieces,'BDD RESERVATIONS'!$G:$G,'SUIVI STOCKS PAR PAYSAN'!$AZ$7,bddres_c_prod_type_aff,'SUIVI STOCKS PAR PAYSAN'!$I76,'BDD RESERVATIONS'!$B:$B,"&gt;"&amp;date_inventaire)</f>
        <v>0</v>
      </c>
      <c r="BB76" s="313">
        <f ca="1">SUMIFS(es_poids,es_prod_type_affinage,'SUIVI STOCKS PAR PAYSAN'!$J76,es_date_entree,"&gt;"&amp;date_inventaire)-SUMIFS(v_Poids,v_conc_prod_tye_affinage,'SUIVI STOCKS PAR PAYSAN'!$J76,v_Date_commande,"&gt;"&amp;date_inventaire)</f>
        <v>0</v>
      </c>
      <c r="BC76" s="313">
        <f ca="1">SUMIFS(bddres_c_qte,bddres_c_prod_type_aff,'SUIVI STOCKS PAR PAYSAN'!J76,'BDD RESERVATIONS'!$B:$B,"&gt;"&amp;date_inventaire)</f>
        <v>0</v>
      </c>
      <c r="BD76" s="342">
        <f ca="1">SUMIFS(bddres_pieces,es_prod_type_affinage,'SUIVI STOCKS PAR PAYSAN'!$J76,es_date_entree,"&gt;"&amp;date_inventaire,es_taille,'SUIVI STOCKS PAR PAYSAN'!$BD$7)-SUMIFS(v_Pièces,v_Taille,'SUIVI STOCKS PAR PAYSAN'!$BD$7,v_conc_prod_tye_affinage,'SUIVI STOCKS PAR PAYSAN'!$J76,v_Date_commande,"&gt;"&amp;date_inventaire)</f>
        <v>0</v>
      </c>
      <c r="BE76" s="326">
        <f ca="1">SUMIFS(bddres_pieces,'BDD RESERVATIONS'!$G:$G,'SUIVI STOCKS PAR PAYSAN'!BD71,bddres_c_prod_type_aff,'SUIVI STOCKS PAR PAYSAN'!J76,'BDD RESERVATIONS'!$B:$B,"&gt;"&amp;date_inventaire)</f>
        <v>0</v>
      </c>
      <c r="BF76" s="343">
        <f ca="1">SUMIFS(es_pieces,es_prod_type_affinage,'SUIVI STOCKS PAR PAYSAN'!J76,es_date_entree,"&gt;"&amp;date_inventaire,es_taille,'SUIVI STOCKS PAR PAYSAN'!$BF$7)-SUMIFS(v_Pièces,v_Taille,'SUIVI STOCKS PAR PAYSAN'!$BF$7,v_conc_prod_tye_affinage,'SUIVI STOCKS PAR PAYSAN'!J76,v_Date_commande,"&gt;"&amp;date_inventaire)</f>
        <v>0</v>
      </c>
      <c r="BG76" s="353">
        <f ca="1">SUMIFS(bddres_pieces,'BDD RESERVATIONS'!$G:$G,'SUIVI STOCKS PAR PAYSAN'!$BF$7,bddres_c_prod_type_aff,'SUIVI STOCKS PAR PAYSAN'!J76,'BDD RESERVATIONS'!$B:$B,"&gt;"&amp;date_inventaire)</f>
        <v>0</v>
      </c>
    </row>
    <row r="77" spans="1:59" ht="18.75" customHeight="1" x14ac:dyDescent="0.25">
      <c r="A77" s="331">
        <f ca="1">OFFSET('BDD PAYSANS'!$B$1,B77,0,1,1)</f>
        <v>0</v>
      </c>
      <c r="B77" s="325">
        <v>66</v>
      </c>
      <c r="C77" s="325" t="str">
        <f t="shared" ca="1" si="3"/>
        <v>0FERMIER&lt;3 mois</v>
      </c>
      <c r="D77" s="325" t="str">
        <f t="shared" ca="1" si="3"/>
        <v>0FERMIER3-6 mois</v>
      </c>
      <c r="E77" s="325" t="str">
        <f t="shared" ca="1" si="3"/>
        <v>0FERMIER6-9 mois</v>
      </c>
      <c r="F77" s="325" t="str">
        <f t="shared" ca="1" si="3"/>
        <v>0FERMIER&gt;9 mois</v>
      </c>
      <c r="G77" s="325" t="str">
        <f t="shared" ca="1" si="3"/>
        <v>0ESTIVE&lt;3 mois</v>
      </c>
      <c r="H77" s="325" t="str">
        <f t="shared" ca="1" si="3"/>
        <v>0ESTIVE3-6 mois</v>
      </c>
      <c r="I77" s="325" t="str">
        <f t="shared" ca="1" si="3"/>
        <v>0ESTIVE6-9 mois</v>
      </c>
      <c r="J77" s="325" t="str">
        <f t="shared" ca="1" si="3"/>
        <v>0ESTIVE&gt;9 mois</v>
      </c>
      <c r="K77" s="325"/>
      <c r="L77" s="352">
        <f ca="1">SUMIFS(es_poids,es_prod_type_affinage,'SUIVI STOCKS PAR PAYSAN'!$C77,es_date_entree,"&gt;"&amp;date_inventaire)-SUMIFS(v_Poids,v_conc_prod_tye_affinage,'SUIVI STOCKS PAR PAYSAN'!$C77,v_Date_commande,"&gt;"&amp;date_inventaire)</f>
        <v>0</v>
      </c>
      <c r="M77" s="341">
        <f ca="1">SUMIFS(bddres_c_qte,bddres_c_prod_type_aff,'SUIVI STOCKS PAR PAYSAN'!C77,'BDD RESERVATIONS'!$B:$B,"&gt;"&amp;date_inventaire)</f>
        <v>0</v>
      </c>
      <c r="N77" s="342">
        <f ca="1">SUMIFS(bddres_pieces,es_prod_type_affinage,'SUIVI STOCKS PAR PAYSAN'!$C77,es_date_entree,"&gt;"&amp;date_inventaire,es_taille,'SUIVI STOCKS PAR PAYSAN'!$N$7)-SUMIFS(v_Pièces,v_Taille,'SUIVI STOCKS PAR PAYSAN'!$N$7,v_conc_prod_tye_affinage,'SUIVI STOCKS PAR PAYSAN'!$C77,v_Date_commande,"&gt;"&amp;date_inventaire)</f>
        <v>0</v>
      </c>
      <c r="O77" s="342">
        <f ca="1">SUMIFS(bddres_pieces,'BDD RESERVATIONS'!$G:$G,'SUIVI STOCKS PAR PAYSAN'!$N$7,bddres_c_prod_type_aff,'SUIVI STOCKS PAR PAYSAN'!$C77,'BDD RESERVATIONS'!$B:$B,"&gt;"&amp;date_inventaire)</f>
        <v>0</v>
      </c>
      <c r="P77" s="343">
        <f ca="1">SUMIFS(es_pieces,es_prod_type_affinage,'SUIVI STOCKS PAR PAYSAN'!$C77,es_date_entree,"&gt;"&amp;date_inventaire,es_taille,'SUIVI STOCKS PAR PAYSAN'!$P$7)-SUMIFS(v_Pièces,v_Taille,'SUIVI STOCKS PAR PAYSAN'!$P$7,v_conc_prod_tye_affinage,'SUIVI STOCKS PAR PAYSAN'!$C77,v_Date_commande,"&gt;"&amp;date_inventaire)</f>
        <v>0</v>
      </c>
      <c r="Q77" s="353">
        <f ca="1">SUMIFS(bddres_pieces,'BDD RESERVATIONS'!$G:$G,'SUIVI STOCKS PAR PAYSAN'!$P$7,bddres_c_prod_type_aff,'SUIVI STOCKS PAR PAYSAN'!$C77,'BDD RESERVATIONS'!$B:$B,"&gt;"&amp;date_inventaire)</f>
        <v>0</v>
      </c>
      <c r="R77" s="340">
        <f ca="1">SUMIFS(es_poids,es_prod_type_affinage,'SUIVI STOCKS PAR PAYSAN'!$D77,es_date_entree,"&gt;"&amp;date_inventaire)-SUMIFS(v_Poids,v_conc_prod_tye_affinage,'SUIVI STOCKS PAR PAYSAN'!$D77,v_Date_commande,"&gt;"&amp;date_inventaire)</f>
        <v>0</v>
      </c>
      <c r="S77" s="341">
        <f ca="1">SUMIFS(bddres_c_qte,bddres_c_prod_type_aff,'SUIVI STOCKS PAR PAYSAN'!D77,'BDD RESERVATIONS'!$B:$B,"&gt;"&amp;date_inventaire)</f>
        <v>0</v>
      </c>
      <c r="T77" s="342">
        <f ca="1">SUMIFS(bddres_pieces,es_prod_type_affinage,'SUIVI STOCKS PAR PAYSAN'!$D77,es_date_entree,"&gt;"&amp;date_inventaire,es_taille,'SUIVI STOCKS PAR PAYSAN'!$T$7)-SUMIFS(v_Pièces,v_Taille,'SUIVI STOCKS PAR PAYSAN'!$T$7,v_conc_prod_tye_affinage,'SUIVI STOCKS PAR PAYSAN'!$D77,v_Date_commande,"&gt;"&amp;date_inventaire)</f>
        <v>0</v>
      </c>
      <c r="U77" s="342">
        <f ca="1">SUMIFS(bddres_pieces,'BDD RESERVATIONS'!$G:$G,'SUIVI STOCKS PAR PAYSAN'!$T$7,bddres_c_prod_type_aff,'SUIVI STOCKS PAR PAYSAN'!$D77,'BDD RESERVATIONS'!$B:$B,"&gt;"&amp;date_inventaire)</f>
        <v>0</v>
      </c>
      <c r="V77" s="343">
        <f ca="1">SUMIFS(es_pieces,es_prod_type_affinage,'SUIVI STOCKS PAR PAYSAN'!$D77,es_date_entree,"&gt;"&amp;date_inventaire,es_taille,'SUIVI STOCKS PAR PAYSAN'!$V$7)-SUMIFS(v_Pièces,v_Taille,'SUIVI STOCKS PAR PAYSAN'!$V$7,v_conc_prod_tye_affinage,'SUIVI STOCKS PAR PAYSAN'!$D77,v_Date_commande,"&gt;"&amp;date_inventaire)</f>
        <v>0</v>
      </c>
      <c r="W77" s="353">
        <f ca="1">SUMIFS(bddres_pieces,'BDD RESERVATIONS'!$G:$G,'SUIVI STOCKS PAR PAYSAN'!$V$7,bddres_c_prod_type_aff,'SUIVI STOCKS PAR PAYSAN'!$D77,'BDD RESERVATIONS'!$B:$B,"&gt;"&amp;date_inventaire)</f>
        <v>0</v>
      </c>
      <c r="X77" s="313">
        <f ca="1">SUMIFS(es_poids,es_prod_type_affinage,'SUIVI STOCKS PAR PAYSAN'!$E77,es_date_entree,"&gt;"&amp;date_inventaire)-SUMIFS(v_Poids,v_conc_prod_tye_affinage,'SUIVI STOCKS PAR PAYSAN'!$E77,v_Date_commande,"&gt;"&amp;date_inventaire)</f>
        <v>0</v>
      </c>
      <c r="Y77" s="341">
        <f ca="1">SUMIFS(bddres_c_qte,bddres_c_prod_type_aff,'SUIVI STOCKS PAR PAYSAN'!E77,'BDD RESERVATIONS'!$B:$B,"&gt;"&amp;date_inventaire)</f>
        <v>0</v>
      </c>
      <c r="Z77" s="342">
        <f ca="1">SUMIFS(bddres_pieces,es_prod_type_affinage,'SUIVI STOCKS PAR PAYSAN'!$E77,es_date_entree,"&gt;"&amp;date_inventaire,es_taille,'SUIVI STOCKS PAR PAYSAN'!$Z$7)-SUMIFS(v_Pièces,v_Taille,'SUIVI STOCKS PAR PAYSAN'!$Z$7,v_conc_prod_tye_affinage,'SUIVI STOCKS PAR PAYSAN'!$E77,v_Date_commande,"&gt;"&amp;date_inventaire)</f>
        <v>0</v>
      </c>
      <c r="AA77" s="342">
        <f ca="1">SUMIFS(bddres_pieces,'BDD RESERVATIONS'!$G:$G,'SUIVI STOCKS PAR PAYSAN'!$Z$7,bddres_c_prod_type_aff,'SUIVI STOCKS PAR PAYSAN'!$E77,'BDD RESERVATIONS'!$B:$B,"&gt;"&amp;date_inventaire)</f>
        <v>0</v>
      </c>
      <c r="AB77" s="343">
        <f ca="1">SUMIFS(es_pieces,es_prod_type_affinage,'SUIVI STOCKS PAR PAYSAN'!$E77,es_date_entree,"&gt;"&amp;date_inventaire,es_taille,'SUIVI STOCKS PAR PAYSAN'!$AB$7)-SUMIFS(v_Pièces,v_Taille,'SUIVI STOCKS PAR PAYSAN'!$AB$7,v_conc_prod_tye_affinage,'SUIVI STOCKS PAR PAYSAN'!$E77,v_Date_commande,"&gt;"&amp;date_inventaire)</f>
        <v>0</v>
      </c>
      <c r="AC77" s="353">
        <f ca="1">SUMIFS(bddres_pieces,'BDD RESERVATIONS'!$G:$G,'SUIVI STOCKS PAR PAYSAN'!$AB$7,bddres_c_prod_type_aff,'SUIVI STOCKS PAR PAYSAN'!$E77,'BDD RESERVATIONS'!$B:$B,"&gt;"&amp;date_inventaire)</f>
        <v>0</v>
      </c>
      <c r="AD77" s="313">
        <f ca="1">SUMIFS(es_poids,es_prod_type_affinage,'SUIVI STOCKS PAR PAYSAN'!$F77,es_date_entree,"&gt;"&amp;date_inventaire)-SUMIFS(v_Poids,v_conc_prod_tye_affinage,'SUIVI STOCKS PAR PAYSAN'!$F77,v_Date_commande,"&gt;"&amp;date_inventaire)</f>
        <v>0</v>
      </c>
      <c r="AE77" s="341">
        <f ca="1">SUMIFS(bddres_c_qte,bddres_c_prod_type_aff,'SUIVI STOCKS PAR PAYSAN'!F77,'BDD RESERVATIONS'!$B:$B,"&gt;"&amp;date_inventaire)</f>
        <v>0</v>
      </c>
      <c r="AF77" s="342">
        <f ca="1">SUMIFS(bddres_pieces,es_prod_type_affinage,'SUIVI STOCKS PAR PAYSAN'!$F77,es_date_entree,"&gt;"&amp;date_inventaire,es_taille,'SUIVI STOCKS PAR PAYSAN'!$Z$7)-SUMIFS(v_Pièces,v_Taille,'SUIVI STOCKS PAR PAYSAN'!$Z$7,v_conc_prod_tye_affinage,'SUIVI STOCKS PAR PAYSAN'!$F77,v_Date_commande,"&gt;"&amp;date_inventaire)</f>
        <v>0</v>
      </c>
      <c r="AG77" s="342">
        <f ca="1">SUMIFS(bddres_pieces,'BDD RESERVATIONS'!$G:$G,'SUIVI STOCKS PAR PAYSAN'!$Z$7,bddres_c_prod_type_aff,'SUIVI STOCKS PAR PAYSAN'!$F77,'BDD RESERVATIONS'!$B:$B,"&gt;"&amp;date_inventaire)</f>
        <v>0</v>
      </c>
      <c r="AH77" s="343">
        <f ca="1">SUMIFS(es_pieces,es_prod_type_affinage,'SUIVI STOCKS PAR PAYSAN'!$F77,es_date_entree,"&gt;"&amp;date_inventaire,es_taille,'SUIVI STOCKS PAR PAYSAN'!$AH$7)-SUMIFS(v_Pièces,v_Taille,'SUIVI STOCKS PAR PAYSAN'!$AH$7,v_conc_prod_tye_affinage,'SUIVI STOCKS PAR PAYSAN'!$F77,v_Date_commande,"&gt;"&amp;date_inventaire)</f>
        <v>0</v>
      </c>
      <c r="AI77" s="353">
        <f ca="1">SUMIFS(bddres_pieces,'BDD RESERVATIONS'!$G:$G,'SUIVI STOCKS PAR PAYSAN'!$AB$7,bddres_c_prod_type_aff,'SUIVI STOCKS PAR PAYSAN'!$F77,'BDD RESERVATIONS'!$B:$B,"&gt;"&amp;date_inventaire)</f>
        <v>0</v>
      </c>
      <c r="AJ77" s="352">
        <f ca="1">SUMIFS(es_poids,es_prod_type_affinage,'SUIVI STOCKS PAR PAYSAN'!$G77,es_date_entree,"&gt;"&amp;date_inventaire)-SUMIFS(v_Poids,v_conc_prod_tye_affinage,'SUIVI STOCKS PAR PAYSAN'!$G77,v_Date_commande,"&gt;"&amp;date_inventaire)</f>
        <v>0</v>
      </c>
      <c r="AK77" s="341">
        <f ca="1">SUMIFS(bddres_c_qte,bddres_c_prod_type_aff,'SUIVI STOCKS PAR PAYSAN'!G77,'BDD RESERVATIONS'!$B:$B,"&gt;"&amp;date_inventaire)</f>
        <v>0</v>
      </c>
      <c r="AL77" s="342">
        <f ca="1">SUMIFS(bddres_pieces,es_prod_type_affinage,'SUIVI STOCKS PAR PAYSAN'!$G77,es_date_entree,"&gt;"&amp;date_inventaire,es_taille,'SUIVI STOCKS PAR PAYSAN'!$AL$7)-SUMIFS(v_Pièces,v_Taille,'SUIVI STOCKS PAR PAYSAN'!$AL$7,v_conc_prod_tye_affinage,'SUIVI STOCKS PAR PAYSAN'!$G77,v_Date_commande,"&gt;"&amp;date_inventaire)</f>
        <v>0</v>
      </c>
      <c r="AM77" s="342">
        <f ca="1">SUMIFS(bddres_pieces,'BDD RESERVATIONS'!$G:$G,'SUIVI STOCKS PAR PAYSAN'!$AL$7,bddres_c_prod_type_aff,'SUIVI STOCKS PAR PAYSAN'!$G77,'BDD RESERVATIONS'!$B:$B,"&gt;"&amp;date_inventaire)</f>
        <v>0</v>
      </c>
      <c r="AN77" s="343">
        <f ca="1">SUMIFS(es_pieces,es_prod_type_affinage,'SUIVI STOCKS PAR PAYSAN'!$G77,es_date_entree,"&gt;"&amp;date_inventaire,es_taille,'SUIVI STOCKS PAR PAYSAN'!$AN$7)-SUMIFS(v_Pièces,v_Taille,'SUIVI STOCKS PAR PAYSAN'!$AN$7,v_conc_prod_tye_affinage,'SUIVI STOCKS PAR PAYSAN'!$G77,v_Date_commande,"&gt;"&amp;date_inventaire)</f>
        <v>0</v>
      </c>
      <c r="AO77" s="353">
        <f ca="1">SUMIFS(bddres_pieces,'BDD RESERVATIONS'!$G:$G,'SUIVI STOCKS PAR PAYSAN'!$AN$7,bddres_c_prod_type_aff,'SUIVI STOCKS PAR PAYSAN'!$G77,'BDD RESERVATIONS'!$B:$B,"&gt;"&amp;date_inventaire)</f>
        <v>0</v>
      </c>
      <c r="AP77" s="313">
        <f ca="1">SUMIFS(es_poids,es_prod_type_affinage,'SUIVI STOCKS PAR PAYSAN'!$H77,es_date_entree,"&gt;"&amp;date_inventaire)-SUMIFS(v_Poids,v_conc_prod_tye_affinage,'SUIVI STOCKS PAR PAYSAN'!$H77,v_Date_commande,"&gt;"&amp;date_inventaire)</f>
        <v>0</v>
      </c>
      <c r="AQ77" s="341">
        <f ca="1">SUMIFS(bddres_c_qte,bddres_c_prod_type_aff,'SUIVI STOCKS PAR PAYSAN'!H77,'BDD RESERVATIONS'!$B:$B,"&gt;"&amp;date_inventaire)</f>
        <v>0</v>
      </c>
      <c r="AR77" s="342">
        <f ca="1">SUMIFS(bddres_pieces,es_prod_type_affinage,'SUIVI STOCKS PAR PAYSAN'!$H77,es_date_entree,"&gt;"&amp;date_inventaire,es_taille,'SUIVI STOCKS PAR PAYSAN'!$AR$7)-SUMIFS(v_Pièces,v_Taille,'SUIVI STOCKS PAR PAYSAN'!$AR$7,v_conc_prod_tye_affinage,'SUIVI STOCKS PAR PAYSAN'!$H77,v_Date_commande,"&gt;"&amp;date_inventaire)</f>
        <v>0</v>
      </c>
      <c r="AS77" s="326">
        <f ca="1">SUMIFS(bddres_pieces,'BDD RESERVATIONS'!$G:$G,'SUIVI STOCKS PAR PAYSAN'!AR72,bddres_c_prod_type_aff,'SUIVI STOCKS PAR PAYSAN'!$H77,'BDD RESERVATIONS'!$B:$B,"&gt;"&amp;date_inventaire)</f>
        <v>0</v>
      </c>
      <c r="AT77" s="343">
        <f ca="1">SUMIFS(es_pieces,es_prod_type_affinage,'SUIVI STOCKS PAR PAYSAN'!$H77,es_date_entree,"&gt;"&amp;date_inventaire,es_taille,'SUIVI STOCKS PAR PAYSAN'!$AT$7)-SUMIFS(v_Pièces,v_Taille,'SUIVI STOCKS PAR PAYSAN'!$AT$7,v_conc_prod_tye_affinage,'SUIVI STOCKS PAR PAYSAN'!$H77,v_Date_commande,"&gt;"&amp;date_inventaire)</f>
        <v>0</v>
      </c>
      <c r="AU77" s="353">
        <f ca="1">SUMIFS(bddres_pieces,'BDD RESERVATIONS'!$G:$G,'SUIVI STOCKS PAR PAYSAN'!$AT$7,bddres_c_prod_type_aff,'SUIVI STOCKS PAR PAYSAN'!$H77,'BDD RESERVATIONS'!$B:$B,"&gt;"&amp;date_inventaire)</f>
        <v>0</v>
      </c>
      <c r="AV77" s="313">
        <f ca="1">SUMIFS(es_poids,es_prod_type_affinage,'SUIVI STOCKS PAR PAYSAN'!$I77,es_date_entree,"&gt;"&amp;date_inventaire)-SUMIFS(v_Poids,v_conc_prod_tye_affinage,'SUIVI STOCKS PAR PAYSAN'!$E77,v_Date_commande,"&gt;"&amp;date_inventaire)</f>
        <v>0</v>
      </c>
      <c r="AW77" s="313">
        <f ca="1">SUMIFS(bddres_c_qte,bddres_c_prod_type_aff,'SUIVI STOCKS PAR PAYSAN'!I77,'BDD RESERVATIONS'!$B:$B,"&gt;"&amp;date_inventaire)</f>
        <v>0</v>
      </c>
      <c r="AX77" s="342">
        <f ca="1">SUMIFS(bddres_pieces,es_prod_type_affinage,'SUIVI STOCKS PAR PAYSAN'!$I77,es_date_entree,"&gt;"&amp;date_inventaire,es_taille,'SUIVI STOCKS PAR PAYSAN'!$AX$7)-SUMIFS(v_Pièces,v_Taille,'SUIVI STOCKS PAR PAYSAN'!$AX$7,v_conc_prod_tye_affinage,'SUIVI STOCKS PAR PAYSAN'!$I77,v_Date_commande,"&gt;"&amp;date_inventaire)</f>
        <v>0</v>
      </c>
      <c r="AY77" s="342">
        <f ca="1">SUMIFS(bddres_pieces,'BDD RESERVATIONS'!$G:$G,'SUIVI STOCKS PAR PAYSAN'!$AX$7,bddres_c_prod_type_aff,'SUIVI STOCKS PAR PAYSAN'!$I77,'BDD RESERVATIONS'!$B:$B,"&gt;"&amp;date_inventaire)</f>
        <v>0</v>
      </c>
      <c r="AZ77" s="343">
        <f ca="1">SUMIFS(es_pieces,es_prod_type_affinage,'SUIVI STOCKS PAR PAYSAN'!$I77,es_date_entree,"&gt;"&amp;date_inventaire,es_taille,'SUIVI STOCKS PAR PAYSAN'!$AZ$7)-SUMIFS(v_Pièces,v_Taille,'SUIVI STOCKS PAR PAYSAN'!$AZ$7,v_conc_prod_tye_affinage,'SUIVI STOCKS PAR PAYSAN'!$I77,v_Date_commande,"&gt;"&amp;date_inventaire)</f>
        <v>0</v>
      </c>
      <c r="BA77" s="353">
        <f ca="1">SUMIFS(bddres_pieces,'BDD RESERVATIONS'!$G:$G,'SUIVI STOCKS PAR PAYSAN'!$AZ$7,bddres_c_prod_type_aff,'SUIVI STOCKS PAR PAYSAN'!$I77,'BDD RESERVATIONS'!$B:$B,"&gt;"&amp;date_inventaire)</f>
        <v>0</v>
      </c>
      <c r="BB77" s="313">
        <f ca="1">SUMIFS(es_poids,es_prod_type_affinage,'SUIVI STOCKS PAR PAYSAN'!$J77,es_date_entree,"&gt;"&amp;date_inventaire)-SUMIFS(v_Poids,v_conc_prod_tye_affinage,'SUIVI STOCKS PAR PAYSAN'!$J77,v_Date_commande,"&gt;"&amp;date_inventaire)</f>
        <v>0</v>
      </c>
      <c r="BC77" s="313">
        <f ca="1">SUMIFS(bddres_c_qte,bddres_c_prod_type_aff,'SUIVI STOCKS PAR PAYSAN'!J77,'BDD RESERVATIONS'!$B:$B,"&gt;"&amp;date_inventaire)</f>
        <v>0</v>
      </c>
      <c r="BD77" s="342">
        <f ca="1">SUMIFS(bddres_pieces,es_prod_type_affinage,'SUIVI STOCKS PAR PAYSAN'!$J77,es_date_entree,"&gt;"&amp;date_inventaire,es_taille,'SUIVI STOCKS PAR PAYSAN'!$BD$7)-SUMIFS(v_Pièces,v_Taille,'SUIVI STOCKS PAR PAYSAN'!$BD$7,v_conc_prod_tye_affinage,'SUIVI STOCKS PAR PAYSAN'!$J77,v_Date_commande,"&gt;"&amp;date_inventaire)</f>
        <v>0</v>
      </c>
      <c r="BE77" s="326">
        <f ca="1">SUMIFS(bddres_pieces,'BDD RESERVATIONS'!$G:$G,'SUIVI STOCKS PAR PAYSAN'!BD72,bddres_c_prod_type_aff,'SUIVI STOCKS PAR PAYSAN'!J77,'BDD RESERVATIONS'!$B:$B,"&gt;"&amp;date_inventaire)</f>
        <v>0</v>
      </c>
      <c r="BF77" s="343">
        <f ca="1">SUMIFS(es_pieces,es_prod_type_affinage,'SUIVI STOCKS PAR PAYSAN'!J77,es_date_entree,"&gt;"&amp;date_inventaire,es_taille,'SUIVI STOCKS PAR PAYSAN'!$BF$7)-SUMIFS(v_Pièces,v_Taille,'SUIVI STOCKS PAR PAYSAN'!$BF$7,v_conc_prod_tye_affinage,'SUIVI STOCKS PAR PAYSAN'!J77,v_Date_commande,"&gt;"&amp;date_inventaire)</f>
        <v>0</v>
      </c>
      <c r="BG77" s="353">
        <f ca="1">SUMIFS(bddres_pieces,'BDD RESERVATIONS'!$G:$G,'SUIVI STOCKS PAR PAYSAN'!$BF$7,bddres_c_prod_type_aff,'SUIVI STOCKS PAR PAYSAN'!J77,'BDD RESERVATIONS'!$B:$B,"&gt;"&amp;date_inventaire)</f>
        <v>0</v>
      </c>
    </row>
    <row r="78" spans="1:59" ht="18.75" customHeight="1" x14ac:dyDescent="0.25">
      <c r="A78" s="331">
        <f ca="1">OFFSET('BDD PAYSANS'!$B$1,B78,0,1,1)</f>
        <v>0</v>
      </c>
      <c r="B78" s="325">
        <v>67</v>
      </c>
      <c r="C78" s="325" t="str">
        <f t="shared" ca="1" si="3"/>
        <v>0FERMIER&lt;3 mois</v>
      </c>
      <c r="D78" s="325" t="str">
        <f t="shared" ca="1" si="3"/>
        <v>0FERMIER3-6 mois</v>
      </c>
      <c r="E78" s="325" t="str">
        <f t="shared" ca="1" si="3"/>
        <v>0FERMIER6-9 mois</v>
      </c>
      <c r="F78" s="325" t="str">
        <f t="shared" ca="1" si="3"/>
        <v>0FERMIER&gt;9 mois</v>
      </c>
      <c r="G78" s="325" t="str">
        <f t="shared" ca="1" si="3"/>
        <v>0ESTIVE&lt;3 mois</v>
      </c>
      <c r="H78" s="325" t="str">
        <f t="shared" ca="1" si="3"/>
        <v>0ESTIVE3-6 mois</v>
      </c>
      <c r="I78" s="325" t="str">
        <f t="shared" ca="1" si="3"/>
        <v>0ESTIVE6-9 mois</v>
      </c>
      <c r="J78" s="325" t="str">
        <f t="shared" ca="1" si="3"/>
        <v>0ESTIVE&gt;9 mois</v>
      </c>
      <c r="K78" s="325"/>
      <c r="L78" s="352">
        <f ca="1">SUMIFS(es_poids,es_prod_type_affinage,'SUIVI STOCKS PAR PAYSAN'!$C78,es_date_entree,"&gt;"&amp;date_inventaire)-SUMIFS(v_Poids,v_conc_prod_tye_affinage,'SUIVI STOCKS PAR PAYSAN'!$C78,v_Date_commande,"&gt;"&amp;date_inventaire)</f>
        <v>0</v>
      </c>
      <c r="M78" s="341">
        <f ca="1">SUMIFS(bddres_c_qte,bddres_c_prod_type_aff,'SUIVI STOCKS PAR PAYSAN'!C78,'BDD RESERVATIONS'!$B:$B,"&gt;"&amp;date_inventaire)</f>
        <v>0</v>
      </c>
      <c r="N78" s="342">
        <f ca="1">SUMIFS(bddres_pieces,es_prod_type_affinage,'SUIVI STOCKS PAR PAYSAN'!$C78,es_date_entree,"&gt;"&amp;date_inventaire,es_taille,'SUIVI STOCKS PAR PAYSAN'!$N$7)-SUMIFS(v_Pièces,v_Taille,'SUIVI STOCKS PAR PAYSAN'!$N$7,v_conc_prod_tye_affinage,'SUIVI STOCKS PAR PAYSAN'!$C78,v_Date_commande,"&gt;"&amp;date_inventaire)</f>
        <v>0</v>
      </c>
      <c r="O78" s="342">
        <f ca="1">SUMIFS(bddres_pieces,'BDD RESERVATIONS'!$G:$G,'SUIVI STOCKS PAR PAYSAN'!$N$7,bddres_c_prod_type_aff,'SUIVI STOCKS PAR PAYSAN'!$C78,'BDD RESERVATIONS'!$B:$B,"&gt;"&amp;date_inventaire)</f>
        <v>0</v>
      </c>
      <c r="P78" s="343">
        <f ca="1">SUMIFS(es_pieces,es_prod_type_affinage,'SUIVI STOCKS PAR PAYSAN'!$C78,es_date_entree,"&gt;"&amp;date_inventaire,es_taille,'SUIVI STOCKS PAR PAYSAN'!$P$7)-SUMIFS(v_Pièces,v_Taille,'SUIVI STOCKS PAR PAYSAN'!$P$7,v_conc_prod_tye_affinage,'SUIVI STOCKS PAR PAYSAN'!$C78,v_Date_commande,"&gt;"&amp;date_inventaire)</f>
        <v>0</v>
      </c>
      <c r="Q78" s="353">
        <f ca="1">SUMIFS(bddres_pieces,'BDD RESERVATIONS'!$G:$G,'SUIVI STOCKS PAR PAYSAN'!$P$7,bddres_c_prod_type_aff,'SUIVI STOCKS PAR PAYSAN'!$C78,'BDD RESERVATIONS'!$B:$B,"&gt;"&amp;date_inventaire)</f>
        <v>0</v>
      </c>
      <c r="R78" s="340">
        <f ca="1">SUMIFS(es_poids,es_prod_type_affinage,'SUIVI STOCKS PAR PAYSAN'!$D78,es_date_entree,"&gt;"&amp;date_inventaire)-SUMIFS(v_Poids,v_conc_prod_tye_affinage,'SUIVI STOCKS PAR PAYSAN'!$D78,v_Date_commande,"&gt;"&amp;date_inventaire)</f>
        <v>0</v>
      </c>
      <c r="S78" s="341">
        <f ca="1">SUMIFS(bddres_c_qte,bddres_c_prod_type_aff,'SUIVI STOCKS PAR PAYSAN'!D78,'BDD RESERVATIONS'!$B:$B,"&gt;"&amp;date_inventaire)</f>
        <v>0</v>
      </c>
      <c r="T78" s="342">
        <f ca="1">SUMIFS(bddres_pieces,es_prod_type_affinage,'SUIVI STOCKS PAR PAYSAN'!$D78,es_date_entree,"&gt;"&amp;date_inventaire,es_taille,'SUIVI STOCKS PAR PAYSAN'!$T$7)-SUMIFS(v_Pièces,v_Taille,'SUIVI STOCKS PAR PAYSAN'!$T$7,v_conc_prod_tye_affinage,'SUIVI STOCKS PAR PAYSAN'!$D78,v_Date_commande,"&gt;"&amp;date_inventaire)</f>
        <v>0</v>
      </c>
      <c r="U78" s="342">
        <f ca="1">SUMIFS(bddres_pieces,'BDD RESERVATIONS'!$G:$G,'SUIVI STOCKS PAR PAYSAN'!$T$7,bddres_c_prod_type_aff,'SUIVI STOCKS PAR PAYSAN'!$D78,'BDD RESERVATIONS'!$B:$B,"&gt;"&amp;date_inventaire)</f>
        <v>0</v>
      </c>
      <c r="V78" s="343">
        <f ca="1">SUMIFS(es_pieces,es_prod_type_affinage,'SUIVI STOCKS PAR PAYSAN'!$D78,es_date_entree,"&gt;"&amp;date_inventaire,es_taille,'SUIVI STOCKS PAR PAYSAN'!$V$7)-SUMIFS(v_Pièces,v_Taille,'SUIVI STOCKS PAR PAYSAN'!$V$7,v_conc_prod_tye_affinage,'SUIVI STOCKS PAR PAYSAN'!$D78,v_Date_commande,"&gt;"&amp;date_inventaire)</f>
        <v>0</v>
      </c>
      <c r="W78" s="353">
        <f ca="1">SUMIFS(bddres_pieces,'BDD RESERVATIONS'!$G:$G,'SUIVI STOCKS PAR PAYSAN'!$V$7,bddres_c_prod_type_aff,'SUIVI STOCKS PAR PAYSAN'!$D78,'BDD RESERVATIONS'!$B:$B,"&gt;"&amp;date_inventaire)</f>
        <v>0</v>
      </c>
      <c r="X78" s="313">
        <f ca="1">SUMIFS(es_poids,es_prod_type_affinage,'SUIVI STOCKS PAR PAYSAN'!$E78,es_date_entree,"&gt;"&amp;date_inventaire)-SUMIFS(v_Poids,v_conc_prod_tye_affinage,'SUIVI STOCKS PAR PAYSAN'!$E78,v_Date_commande,"&gt;"&amp;date_inventaire)</f>
        <v>0</v>
      </c>
      <c r="Y78" s="341">
        <f ca="1">SUMIFS(bddres_c_qte,bddres_c_prod_type_aff,'SUIVI STOCKS PAR PAYSAN'!E78,'BDD RESERVATIONS'!$B:$B,"&gt;"&amp;date_inventaire)</f>
        <v>0</v>
      </c>
      <c r="Z78" s="342">
        <f ca="1">SUMIFS(bddres_pieces,es_prod_type_affinage,'SUIVI STOCKS PAR PAYSAN'!$E78,es_date_entree,"&gt;"&amp;date_inventaire,es_taille,'SUIVI STOCKS PAR PAYSAN'!$Z$7)-SUMIFS(v_Pièces,v_Taille,'SUIVI STOCKS PAR PAYSAN'!$Z$7,v_conc_prod_tye_affinage,'SUIVI STOCKS PAR PAYSAN'!$E78,v_Date_commande,"&gt;"&amp;date_inventaire)</f>
        <v>0</v>
      </c>
      <c r="AA78" s="342">
        <f ca="1">SUMIFS(bddres_pieces,'BDD RESERVATIONS'!$G:$G,'SUIVI STOCKS PAR PAYSAN'!$Z$7,bddres_c_prod_type_aff,'SUIVI STOCKS PAR PAYSAN'!$E78,'BDD RESERVATIONS'!$B:$B,"&gt;"&amp;date_inventaire)</f>
        <v>0</v>
      </c>
      <c r="AB78" s="343">
        <f ca="1">SUMIFS(es_pieces,es_prod_type_affinage,'SUIVI STOCKS PAR PAYSAN'!$E78,es_date_entree,"&gt;"&amp;date_inventaire,es_taille,'SUIVI STOCKS PAR PAYSAN'!$AB$7)-SUMIFS(v_Pièces,v_Taille,'SUIVI STOCKS PAR PAYSAN'!$AB$7,v_conc_prod_tye_affinage,'SUIVI STOCKS PAR PAYSAN'!$E78,v_Date_commande,"&gt;"&amp;date_inventaire)</f>
        <v>0</v>
      </c>
      <c r="AC78" s="353">
        <f ca="1">SUMIFS(bddres_pieces,'BDD RESERVATIONS'!$G:$G,'SUIVI STOCKS PAR PAYSAN'!$AB$7,bddres_c_prod_type_aff,'SUIVI STOCKS PAR PAYSAN'!$E78,'BDD RESERVATIONS'!$B:$B,"&gt;"&amp;date_inventaire)</f>
        <v>0</v>
      </c>
      <c r="AD78" s="313">
        <f ca="1">SUMIFS(es_poids,es_prod_type_affinage,'SUIVI STOCKS PAR PAYSAN'!$F78,es_date_entree,"&gt;"&amp;date_inventaire)-SUMIFS(v_Poids,v_conc_prod_tye_affinage,'SUIVI STOCKS PAR PAYSAN'!$F78,v_Date_commande,"&gt;"&amp;date_inventaire)</f>
        <v>0</v>
      </c>
      <c r="AE78" s="341">
        <f ca="1">SUMIFS(bddres_c_qte,bddres_c_prod_type_aff,'SUIVI STOCKS PAR PAYSAN'!F78,'BDD RESERVATIONS'!$B:$B,"&gt;"&amp;date_inventaire)</f>
        <v>0</v>
      </c>
      <c r="AF78" s="342">
        <f ca="1">SUMIFS(bddres_pieces,es_prod_type_affinage,'SUIVI STOCKS PAR PAYSAN'!$F78,es_date_entree,"&gt;"&amp;date_inventaire,es_taille,'SUIVI STOCKS PAR PAYSAN'!$Z$7)-SUMIFS(v_Pièces,v_Taille,'SUIVI STOCKS PAR PAYSAN'!$Z$7,v_conc_prod_tye_affinage,'SUIVI STOCKS PAR PAYSAN'!$F78,v_Date_commande,"&gt;"&amp;date_inventaire)</f>
        <v>0</v>
      </c>
      <c r="AG78" s="342">
        <f ca="1">SUMIFS(bddres_pieces,'BDD RESERVATIONS'!$G:$G,'SUIVI STOCKS PAR PAYSAN'!$Z$7,bddres_c_prod_type_aff,'SUIVI STOCKS PAR PAYSAN'!$F78,'BDD RESERVATIONS'!$B:$B,"&gt;"&amp;date_inventaire)</f>
        <v>0</v>
      </c>
      <c r="AH78" s="343">
        <f ca="1">SUMIFS(es_pieces,es_prod_type_affinage,'SUIVI STOCKS PAR PAYSAN'!$F78,es_date_entree,"&gt;"&amp;date_inventaire,es_taille,'SUIVI STOCKS PAR PAYSAN'!$AH$7)-SUMIFS(v_Pièces,v_Taille,'SUIVI STOCKS PAR PAYSAN'!$AH$7,v_conc_prod_tye_affinage,'SUIVI STOCKS PAR PAYSAN'!$F78,v_Date_commande,"&gt;"&amp;date_inventaire)</f>
        <v>0</v>
      </c>
      <c r="AI78" s="353">
        <f ca="1">SUMIFS(bddres_pieces,'BDD RESERVATIONS'!$G:$G,'SUIVI STOCKS PAR PAYSAN'!$AB$7,bddres_c_prod_type_aff,'SUIVI STOCKS PAR PAYSAN'!$F78,'BDD RESERVATIONS'!$B:$B,"&gt;"&amp;date_inventaire)</f>
        <v>0</v>
      </c>
      <c r="AJ78" s="352">
        <f ca="1">SUMIFS(es_poids,es_prod_type_affinage,'SUIVI STOCKS PAR PAYSAN'!$G78,es_date_entree,"&gt;"&amp;date_inventaire)-SUMIFS(v_Poids,v_conc_prod_tye_affinage,'SUIVI STOCKS PAR PAYSAN'!$G78,v_Date_commande,"&gt;"&amp;date_inventaire)</f>
        <v>0</v>
      </c>
      <c r="AK78" s="341">
        <f ca="1">SUMIFS(bddres_c_qte,bddres_c_prod_type_aff,'SUIVI STOCKS PAR PAYSAN'!G78,'BDD RESERVATIONS'!$B:$B,"&gt;"&amp;date_inventaire)</f>
        <v>0</v>
      </c>
      <c r="AL78" s="342">
        <f ca="1">SUMIFS(bddres_pieces,es_prod_type_affinage,'SUIVI STOCKS PAR PAYSAN'!$G78,es_date_entree,"&gt;"&amp;date_inventaire,es_taille,'SUIVI STOCKS PAR PAYSAN'!$AL$7)-SUMIFS(v_Pièces,v_Taille,'SUIVI STOCKS PAR PAYSAN'!$AL$7,v_conc_prod_tye_affinage,'SUIVI STOCKS PAR PAYSAN'!$G78,v_Date_commande,"&gt;"&amp;date_inventaire)</f>
        <v>0</v>
      </c>
      <c r="AM78" s="342">
        <f ca="1">SUMIFS(bddres_pieces,'BDD RESERVATIONS'!$G:$G,'SUIVI STOCKS PAR PAYSAN'!$AL$7,bddres_c_prod_type_aff,'SUIVI STOCKS PAR PAYSAN'!$G78,'BDD RESERVATIONS'!$B:$B,"&gt;"&amp;date_inventaire)</f>
        <v>0</v>
      </c>
      <c r="AN78" s="343">
        <f ca="1">SUMIFS(es_pieces,es_prod_type_affinage,'SUIVI STOCKS PAR PAYSAN'!$G78,es_date_entree,"&gt;"&amp;date_inventaire,es_taille,'SUIVI STOCKS PAR PAYSAN'!$AN$7)-SUMIFS(v_Pièces,v_Taille,'SUIVI STOCKS PAR PAYSAN'!$AN$7,v_conc_prod_tye_affinage,'SUIVI STOCKS PAR PAYSAN'!$G78,v_Date_commande,"&gt;"&amp;date_inventaire)</f>
        <v>0</v>
      </c>
      <c r="AO78" s="353">
        <f ca="1">SUMIFS(bddres_pieces,'BDD RESERVATIONS'!$G:$G,'SUIVI STOCKS PAR PAYSAN'!$AN$7,bddres_c_prod_type_aff,'SUIVI STOCKS PAR PAYSAN'!$G78,'BDD RESERVATIONS'!$B:$B,"&gt;"&amp;date_inventaire)</f>
        <v>0</v>
      </c>
      <c r="AP78" s="313">
        <f ca="1">SUMIFS(es_poids,es_prod_type_affinage,'SUIVI STOCKS PAR PAYSAN'!$H78,es_date_entree,"&gt;"&amp;date_inventaire)-SUMIFS(v_Poids,v_conc_prod_tye_affinage,'SUIVI STOCKS PAR PAYSAN'!$H78,v_Date_commande,"&gt;"&amp;date_inventaire)</f>
        <v>0</v>
      </c>
      <c r="AQ78" s="341">
        <f ca="1">SUMIFS(bddres_c_qte,bddres_c_prod_type_aff,'SUIVI STOCKS PAR PAYSAN'!H78,'BDD RESERVATIONS'!$B:$B,"&gt;"&amp;date_inventaire)</f>
        <v>0</v>
      </c>
      <c r="AR78" s="342">
        <f ca="1">SUMIFS(bddres_pieces,es_prod_type_affinage,'SUIVI STOCKS PAR PAYSAN'!$H78,es_date_entree,"&gt;"&amp;date_inventaire,es_taille,'SUIVI STOCKS PAR PAYSAN'!$AR$7)-SUMIFS(v_Pièces,v_Taille,'SUIVI STOCKS PAR PAYSAN'!$AR$7,v_conc_prod_tye_affinage,'SUIVI STOCKS PAR PAYSAN'!$H78,v_Date_commande,"&gt;"&amp;date_inventaire)</f>
        <v>0</v>
      </c>
      <c r="AS78" s="326">
        <f ca="1">SUMIFS(bddres_pieces,'BDD RESERVATIONS'!$G:$G,'SUIVI STOCKS PAR PAYSAN'!AR73,bddres_c_prod_type_aff,'SUIVI STOCKS PAR PAYSAN'!$H78,'BDD RESERVATIONS'!$B:$B,"&gt;"&amp;date_inventaire)</f>
        <v>0</v>
      </c>
      <c r="AT78" s="343">
        <f ca="1">SUMIFS(es_pieces,es_prod_type_affinage,'SUIVI STOCKS PAR PAYSAN'!$H78,es_date_entree,"&gt;"&amp;date_inventaire,es_taille,'SUIVI STOCKS PAR PAYSAN'!$AT$7)-SUMIFS(v_Pièces,v_Taille,'SUIVI STOCKS PAR PAYSAN'!$AT$7,v_conc_prod_tye_affinage,'SUIVI STOCKS PAR PAYSAN'!$H78,v_Date_commande,"&gt;"&amp;date_inventaire)</f>
        <v>0</v>
      </c>
      <c r="AU78" s="353">
        <f ca="1">SUMIFS(bddres_pieces,'BDD RESERVATIONS'!$G:$G,'SUIVI STOCKS PAR PAYSAN'!$AT$7,bddres_c_prod_type_aff,'SUIVI STOCKS PAR PAYSAN'!$H78,'BDD RESERVATIONS'!$B:$B,"&gt;"&amp;date_inventaire)</f>
        <v>0</v>
      </c>
      <c r="AV78" s="313">
        <f ca="1">SUMIFS(es_poids,es_prod_type_affinage,'SUIVI STOCKS PAR PAYSAN'!$I78,es_date_entree,"&gt;"&amp;date_inventaire)-SUMIFS(v_Poids,v_conc_prod_tye_affinage,'SUIVI STOCKS PAR PAYSAN'!$E78,v_Date_commande,"&gt;"&amp;date_inventaire)</f>
        <v>0</v>
      </c>
      <c r="AW78" s="313">
        <f ca="1">SUMIFS(bddres_c_qte,bddres_c_prod_type_aff,'SUIVI STOCKS PAR PAYSAN'!I78,'BDD RESERVATIONS'!$B:$B,"&gt;"&amp;date_inventaire)</f>
        <v>0</v>
      </c>
      <c r="AX78" s="342">
        <f ca="1">SUMIFS(bddres_pieces,es_prod_type_affinage,'SUIVI STOCKS PAR PAYSAN'!$I78,es_date_entree,"&gt;"&amp;date_inventaire,es_taille,'SUIVI STOCKS PAR PAYSAN'!$AX$7)-SUMIFS(v_Pièces,v_Taille,'SUIVI STOCKS PAR PAYSAN'!$AX$7,v_conc_prod_tye_affinage,'SUIVI STOCKS PAR PAYSAN'!$I78,v_Date_commande,"&gt;"&amp;date_inventaire)</f>
        <v>0</v>
      </c>
      <c r="AY78" s="342">
        <f ca="1">SUMIFS(bddres_pieces,'BDD RESERVATIONS'!$G:$G,'SUIVI STOCKS PAR PAYSAN'!$AX$7,bddres_c_prod_type_aff,'SUIVI STOCKS PAR PAYSAN'!$I78,'BDD RESERVATIONS'!$B:$B,"&gt;"&amp;date_inventaire)</f>
        <v>0</v>
      </c>
      <c r="AZ78" s="343">
        <f ca="1">SUMIFS(es_pieces,es_prod_type_affinage,'SUIVI STOCKS PAR PAYSAN'!$I78,es_date_entree,"&gt;"&amp;date_inventaire,es_taille,'SUIVI STOCKS PAR PAYSAN'!$AZ$7)-SUMIFS(v_Pièces,v_Taille,'SUIVI STOCKS PAR PAYSAN'!$AZ$7,v_conc_prod_tye_affinage,'SUIVI STOCKS PAR PAYSAN'!$I78,v_Date_commande,"&gt;"&amp;date_inventaire)</f>
        <v>0</v>
      </c>
      <c r="BA78" s="353">
        <f ca="1">SUMIFS(bddres_pieces,'BDD RESERVATIONS'!$G:$G,'SUIVI STOCKS PAR PAYSAN'!$AZ$7,bddres_c_prod_type_aff,'SUIVI STOCKS PAR PAYSAN'!$I78,'BDD RESERVATIONS'!$B:$B,"&gt;"&amp;date_inventaire)</f>
        <v>0</v>
      </c>
      <c r="BB78" s="313">
        <f ca="1">SUMIFS(es_poids,es_prod_type_affinage,'SUIVI STOCKS PAR PAYSAN'!$J78,es_date_entree,"&gt;"&amp;date_inventaire)-SUMIFS(v_Poids,v_conc_prod_tye_affinage,'SUIVI STOCKS PAR PAYSAN'!$J78,v_Date_commande,"&gt;"&amp;date_inventaire)</f>
        <v>0</v>
      </c>
      <c r="BC78" s="313">
        <f ca="1">SUMIFS(bddres_c_qte,bddres_c_prod_type_aff,'SUIVI STOCKS PAR PAYSAN'!J78,'BDD RESERVATIONS'!$B:$B,"&gt;"&amp;date_inventaire)</f>
        <v>0</v>
      </c>
      <c r="BD78" s="342">
        <f ca="1">SUMIFS(bddres_pieces,es_prod_type_affinage,'SUIVI STOCKS PAR PAYSAN'!$J78,es_date_entree,"&gt;"&amp;date_inventaire,es_taille,'SUIVI STOCKS PAR PAYSAN'!$BD$7)-SUMIFS(v_Pièces,v_Taille,'SUIVI STOCKS PAR PAYSAN'!$BD$7,v_conc_prod_tye_affinage,'SUIVI STOCKS PAR PAYSAN'!$J78,v_Date_commande,"&gt;"&amp;date_inventaire)</f>
        <v>0</v>
      </c>
      <c r="BE78" s="326">
        <f ca="1">SUMIFS(bddres_pieces,'BDD RESERVATIONS'!$G:$G,'SUIVI STOCKS PAR PAYSAN'!BD73,bddres_c_prod_type_aff,'SUIVI STOCKS PAR PAYSAN'!J78,'BDD RESERVATIONS'!$B:$B,"&gt;"&amp;date_inventaire)</f>
        <v>0</v>
      </c>
      <c r="BF78" s="343">
        <f ca="1">SUMIFS(es_pieces,es_prod_type_affinage,'SUIVI STOCKS PAR PAYSAN'!J78,es_date_entree,"&gt;"&amp;date_inventaire,es_taille,'SUIVI STOCKS PAR PAYSAN'!$BF$7)-SUMIFS(v_Pièces,v_Taille,'SUIVI STOCKS PAR PAYSAN'!$BF$7,v_conc_prod_tye_affinage,'SUIVI STOCKS PAR PAYSAN'!J78,v_Date_commande,"&gt;"&amp;date_inventaire)</f>
        <v>0</v>
      </c>
      <c r="BG78" s="353">
        <f ca="1">SUMIFS(bddres_pieces,'BDD RESERVATIONS'!$G:$G,'SUIVI STOCKS PAR PAYSAN'!$BF$7,bddres_c_prod_type_aff,'SUIVI STOCKS PAR PAYSAN'!J78,'BDD RESERVATIONS'!$B:$B,"&gt;"&amp;date_inventaire)</f>
        <v>0</v>
      </c>
    </row>
    <row r="79" spans="1:59" ht="18.75" customHeight="1" x14ac:dyDescent="0.25">
      <c r="A79" s="331">
        <f ca="1">OFFSET('BDD PAYSANS'!$B$1,B79,0,1,1)</f>
        <v>0</v>
      </c>
      <c r="B79" s="325">
        <v>68</v>
      </c>
      <c r="C79" s="325" t="str">
        <f t="shared" ca="1" si="3"/>
        <v>0FERMIER&lt;3 mois</v>
      </c>
      <c r="D79" s="325" t="str">
        <f t="shared" ca="1" si="3"/>
        <v>0FERMIER3-6 mois</v>
      </c>
      <c r="E79" s="325" t="str">
        <f t="shared" ca="1" si="3"/>
        <v>0FERMIER6-9 mois</v>
      </c>
      <c r="F79" s="325" t="str">
        <f t="shared" ca="1" si="3"/>
        <v>0FERMIER&gt;9 mois</v>
      </c>
      <c r="G79" s="325" t="str">
        <f t="shared" ca="1" si="3"/>
        <v>0ESTIVE&lt;3 mois</v>
      </c>
      <c r="H79" s="325" t="str">
        <f t="shared" ca="1" si="3"/>
        <v>0ESTIVE3-6 mois</v>
      </c>
      <c r="I79" s="325" t="str">
        <f t="shared" ca="1" si="3"/>
        <v>0ESTIVE6-9 mois</v>
      </c>
      <c r="J79" s="325" t="str">
        <f t="shared" ca="1" si="3"/>
        <v>0ESTIVE&gt;9 mois</v>
      </c>
      <c r="K79" s="325"/>
      <c r="L79" s="352">
        <f ca="1">SUMIFS(es_poids,es_prod_type_affinage,'SUIVI STOCKS PAR PAYSAN'!$C79,es_date_entree,"&gt;"&amp;date_inventaire)-SUMIFS(v_Poids,v_conc_prod_tye_affinage,'SUIVI STOCKS PAR PAYSAN'!$C79,v_Date_commande,"&gt;"&amp;date_inventaire)</f>
        <v>0</v>
      </c>
      <c r="M79" s="341">
        <f ca="1">SUMIFS(bddres_c_qte,bddres_c_prod_type_aff,'SUIVI STOCKS PAR PAYSAN'!C79,'BDD RESERVATIONS'!$B:$B,"&gt;"&amp;date_inventaire)</f>
        <v>0</v>
      </c>
      <c r="N79" s="342">
        <f ca="1">SUMIFS(bddres_pieces,es_prod_type_affinage,'SUIVI STOCKS PAR PAYSAN'!$C79,es_date_entree,"&gt;"&amp;date_inventaire,es_taille,'SUIVI STOCKS PAR PAYSAN'!$N$7)-SUMIFS(v_Pièces,v_Taille,'SUIVI STOCKS PAR PAYSAN'!$N$7,v_conc_prod_tye_affinage,'SUIVI STOCKS PAR PAYSAN'!$C79,v_Date_commande,"&gt;"&amp;date_inventaire)</f>
        <v>0</v>
      </c>
      <c r="O79" s="342">
        <f ca="1">SUMIFS(bddres_pieces,'BDD RESERVATIONS'!$G:$G,'SUIVI STOCKS PAR PAYSAN'!$N$7,bddres_c_prod_type_aff,'SUIVI STOCKS PAR PAYSAN'!$C79,'BDD RESERVATIONS'!$B:$B,"&gt;"&amp;date_inventaire)</f>
        <v>0</v>
      </c>
      <c r="P79" s="343">
        <f ca="1">SUMIFS(es_pieces,es_prod_type_affinage,'SUIVI STOCKS PAR PAYSAN'!$C79,es_date_entree,"&gt;"&amp;date_inventaire,es_taille,'SUIVI STOCKS PAR PAYSAN'!$P$7)-SUMIFS(v_Pièces,v_Taille,'SUIVI STOCKS PAR PAYSAN'!$P$7,v_conc_prod_tye_affinage,'SUIVI STOCKS PAR PAYSAN'!$C79,v_Date_commande,"&gt;"&amp;date_inventaire)</f>
        <v>0</v>
      </c>
      <c r="Q79" s="353">
        <f ca="1">SUMIFS(bddres_pieces,'BDD RESERVATIONS'!$G:$G,'SUIVI STOCKS PAR PAYSAN'!$P$7,bddres_c_prod_type_aff,'SUIVI STOCKS PAR PAYSAN'!$C79,'BDD RESERVATIONS'!$B:$B,"&gt;"&amp;date_inventaire)</f>
        <v>0</v>
      </c>
      <c r="R79" s="340">
        <f ca="1">SUMIFS(es_poids,es_prod_type_affinage,'SUIVI STOCKS PAR PAYSAN'!$D79,es_date_entree,"&gt;"&amp;date_inventaire)-SUMIFS(v_Poids,v_conc_prod_tye_affinage,'SUIVI STOCKS PAR PAYSAN'!$D79,v_Date_commande,"&gt;"&amp;date_inventaire)</f>
        <v>0</v>
      </c>
      <c r="S79" s="341">
        <f ca="1">SUMIFS(bddres_c_qte,bddres_c_prod_type_aff,'SUIVI STOCKS PAR PAYSAN'!D79,'BDD RESERVATIONS'!$B:$B,"&gt;"&amp;date_inventaire)</f>
        <v>0</v>
      </c>
      <c r="T79" s="342">
        <f ca="1">SUMIFS(bddres_pieces,es_prod_type_affinage,'SUIVI STOCKS PAR PAYSAN'!$D79,es_date_entree,"&gt;"&amp;date_inventaire,es_taille,'SUIVI STOCKS PAR PAYSAN'!$T$7)-SUMIFS(v_Pièces,v_Taille,'SUIVI STOCKS PAR PAYSAN'!$T$7,v_conc_prod_tye_affinage,'SUIVI STOCKS PAR PAYSAN'!$D79,v_Date_commande,"&gt;"&amp;date_inventaire)</f>
        <v>0</v>
      </c>
      <c r="U79" s="342">
        <f ca="1">SUMIFS(bddres_pieces,'BDD RESERVATIONS'!$G:$G,'SUIVI STOCKS PAR PAYSAN'!$T$7,bddres_c_prod_type_aff,'SUIVI STOCKS PAR PAYSAN'!$D79,'BDD RESERVATIONS'!$B:$B,"&gt;"&amp;date_inventaire)</f>
        <v>0</v>
      </c>
      <c r="V79" s="343">
        <f ca="1">SUMIFS(es_pieces,es_prod_type_affinage,'SUIVI STOCKS PAR PAYSAN'!$D79,es_date_entree,"&gt;"&amp;date_inventaire,es_taille,'SUIVI STOCKS PAR PAYSAN'!$V$7)-SUMIFS(v_Pièces,v_Taille,'SUIVI STOCKS PAR PAYSAN'!$V$7,v_conc_prod_tye_affinage,'SUIVI STOCKS PAR PAYSAN'!$D79,v_Date_commande,"&gt;"&amp;date_inventaire)</f>
        <v>0</v>
      </c>
      <c r="W79" s="353">
        <f ca="1">SUMIFS(bddres_pieces,'BDD RESERVATIONS'!$G:$G,'SUIVI STOCKS PAR PAYSAN'!$V$7,bddres_c_prod_type_aff,'SUIVI STOCKS PAR PAYSAN'!$D79,'BDD RESERVATIONS'!$B:$B,"&gt;"&amp;date_inventaire)</f>
        <v>0</v>
      </c>
      <c r="X79" s="313">
        <f ca="1">SUMIFS(es_poids,es_prod_type_affinage,'SUIVI STOCKS PAR PAYSAN'!$E79,es_date_entree,"&gt;"&amp;date_inventaire)-SUMIFS(v_Poids,v_conc_prod_tye_affinage,'SUIVI STOCKS PAR PAYSAN'!$E79,v_Date_commande,"&gt;"&amp;date_inventaire)</f>
        <v>0</v>
      </c>
      <c r="Y79" s="341">
        <f ca="1">SUMIFS(bddres_c_qte,bddres_c_prod_type_aff,'SUIVI STOCKS PAR PAYSAN'!E79,'BDD RESERVATIONS'!$B:$B,"&gt;"&amp;date_inventaire)</f>
        <v>0</v>
      </c>
      <c r="Z79" s="342">
        <f ca="1">SUMIFS(bddres_pieces,es_prod_type_affinage,'SUIVI STOCKS PAR PAYSAN'!$E79,es_date_entree,"&gt;"&amp;date_inventaire,es_taille,'SUIVI STOCKS PAR PAYSAN'!$Z$7)-SUMIFS(v_Pièces,v_Taille,'SUIVI STOCKS PAR PAYSAN'!$Z$7,v_conc_prod_tye_affinage,'SUIVI STOCKS PAR PAYSAN'!$E79,v_Date_commande,"&gt;"&amp;date_inventaire)</f>
        <v>0</v>
      </c>
      <c r="AA79" s="342">
        <f ca="1">SUMIFS(bddres_pieces,'BDD RESERVATIONS'!$G:$G,'SUIVI STOCKS PAR PAYSAN'!$Z$7,bddres_c_prod_type_aff,'SUIVI STOCKS PAR PAYSAN'!$E79,'BDD RESERVATIONS'!$B:$B,"&gt;"&amp;date_inventaire)</f>
        <v>0</v>
      </c>
      <c r="AB79" s="343">
        <f ca="1">SUMIFS(es_pieces,es_prod_type_affinage,'SUIVI STOCKS PAR PAYSAN'!$E79,es_date_entree,"&gt;"&amp;date_inventaire,es_taille,'SUIVI STOCKS PAR PAYSAN'!$AB$7)-SUMIFS(v_Pièces,v_Taille,'SUIVI STOCKS PAR PAYSAN'!$AB$7,v_conc_prod_tye_affinage,'SUIVI STOCKS PAR PAYSAN'!$E79,v_Date_commande,"&gt;"&amp;date_inventaire)</f>
        <v>0</v>
      </c>
      <c r="AC79" s="353">
        <f ca="1">SUMIFS(bddres_pieces,'BDD RESERVATIONS'!$G:$G,'SUIVI STOCKS PAR PAYSAN'!$AB$7,bddres_c_prod_type_aff,'SUIVI STOCKS PAR PAYSAN'!$E79,'BDD RESERVATIONS'!$B:$B,"&gt;"&amp;date_inventaire)</f>
        <v>0</v>
      </c>
      <c r="AD79" s="313">
        <f ca="1">SUMIFS(es_poids,es_prod_type_affinage,'SUIVI STOCKS PAR PAYSAN'!$F79,es_date_entree,"&gt;"&amp;date_inventaire)-SUMIFS(v_Poids,v_conc_prod_tye_affinage,'SUIVI STOCKS PAR PAYSAN'!$F79,v_Date_commande,"&gt;"&amp;date_inventaire)</f>
        <v>0</v>
      </c>
      <c r="AE79" s="341">
        <f ca="1">SUMIFS(bddres_c_qte,bddres_c_prod_type_aff,'SUIVI STOCKS PAR PAYSAN'!F79,'BDD RESERVATIONS'!$B:$B,"&gt;"&amp;date_inventaire)</f>
        <v>0</v>
      </c>
      <c r="AF79" s="342">
        <f ca="1">SUMIFS(bddres_pieces,es_prod_type_affinage,'SUIVI STOCKS PAR PAYSAN'!$F79,es_date_entree,"&gt;"&amp;date_inventaire,es_taille,'SUIVI STOCKS PAR PAYSAN'!$Z$7)-SUMIFS(v_Pièces,v_Taille,'SUIVI STOCKS PAR PAYSAN'!$Z$7,v_conc_prod_tye_affinage,'SUIVI STOCKS PAR PAYSAN'!$F79,v_Date_commande,"&gt;"&amp;date_inventaire)</f>
        <v>0</v>
      </c>
      <c r="AG79" s="342">
        <f ca="1">SUMIFS(bddres_pieces,'BDD RESERVATIONS'!$G:$G,'SUIVI STOCKS PAR PAYSAN'!$Z$7,bddres_c_prod_type_aff,'SUIVI STOCKS PAR PAYSAN'!$F79,'BDD RESERVATIONS'!$B:$B,"&gt;"&amp;date_inventaire)</f>
        <v>0</v>
      </c>
      <c r="AH79" s="343">
        <f ca="1">SUMIFS(es_pieces,es_prod_type_affinage,'SUIVI STOCKS PAR PAYSAN'!$F79,es_date_entree,"&gt;"&amp;date_inventaire,es_taille,'SUIVI STOCKS PAR PAYSAN'!$AH$7)-SUMIFS(v_Pièces,v_Taille,'SUIVI STOCKS PAR PAYSAN'!$AH$7,v_conc_prod_tye_affinage,'SUIVI STOCKS PAR PAYSAN'!$F79,v_Date_commande,"&gt;"&amp;date_inventaire)</f>
        <v>0</v>
      </c>
      <c r="AI79" s="353">
        <f ca="1">SUMIFS(bddres_pieces,'BDD RESERVATIONS'!$G:$G,'SUIVI STOCKS PAR PAYSAN'!$AB$7,bddres_c_prod_type_aff,'SUIVI STOCKS PAR PAYSAN'!$F79,'BDD RESERVATIONS'!$B:$B,"&gt;"&amp;date_inventaire)</f>
        <v>0</v>
      </c>
      <c r="AJ79" s="352">
        <f ca="1">SUMIFS(es_poids,es_prod_type_affinage,'SUIVI STOCKS PAR PAYSAN'!$G79,es_date_entree,"&gt;"&amp;date_inventaire)-SUMIFS(v_Poids,v_conc_prod_tye_affinage,'SUIVI STOCKS PAR PAYSAN'!$G79,v_Date_commande,"&gt;"&amp;date_inventaire)</f>
        <v>0</v>
      </c>
      <c r="AK79" s="341">
        <f ca="1">SUMIFS(bddres_c_qte,bddres_c_prod_type_aff,'SUIVI STOCKS PAR PAYSAN'!G79,'BDD RESERVATIONS'!$B:$B,"&gt;"&amp;date_inventaire)</f>
        <v>0</v>
      </c>
      <c r="AL79" s="342">
        <f ca="1">SUMIFS(bddres_pieces,es_prod_type_affinage,'SUIVI STOCKS PAR PAYSAN'!$G79,es_date_entree,"&gt;"&amp;date_inventaire,es_taille,'SUIVI STOCKS PAR PAYSAN'!$AL$7)-SUMIFS(v_Pièces,v_Taille,'SUIVI STOCKS PAR PAYSAN'!$AL$7,v_conc_prod_tye_affinage,'SUIVI STOCKS PAR PAYSAN'!$G79,v_Date_commande,"&gt;"&amp;date_inventaire)</f>
        <v>0</v>
      </c>
      <c r="AM79" s="342">
        <f ca="1">SUMIFS(bddres_pieces,'BDD RESERVATIONS'!$G:$G,'SUIVI STOCKS PAR PAYSAN'!$AL$7,bddres_c_prod_type_aff,'SUIVI STOCKS PAR PAYSAN'!$G79,'BDD RESERVATIONS'!$B:$B,"&gt;"&amp;date_inventaire)</f>
        <v>0</v>
      </c>
      <c r="AN79" s="343">
        <f ca="1">SUMIFS(es_pieces,es_prod_type_affinage,'SUIVI STOCKS PAR PAYSAN'!$G79,es_date_entree,"&gt;"&amp;date_inventaire,es_taille,'SUIVI STOCKS PAR PAYSAN'!$AN$7)-SUMIFS(v_Pièces,v_Taille,'SUIVI STOCKS PAR PAYSAN'!$AN$7,v_conc_prod_tye_affinage,'SUIVI STOCKS PAR PAYSAN'!$G79,v_Date_commande,"&gt;"&amp;date_inventaire)</f>
        <v>0</v>
      </c>
      <c r="AO79" s="353">
        <f ca="1">SUMIFS(bddres_pieces,'BDD RESERVATIONS'!$G:$G,'SUIVI STOCKS PAR PAYSAN'!$AN$7,bddres_c_prod_type_aff,'SUIVI STOCKS PAR PAYSAN'!$G79,'BDD RESERVATIONS'!$B:$B,"&gt;"&amp;date_inventaire)</f>
        <v>0</v>
      </c>
      <c r="AP79" s="313">
        <f ca="1">SUMIFS(es_poids,es_prod_type_affinage,'SUIVI STOCKS PAR PAYSAN'!$H79,es_date_entree,"&gt;"&amp;date_inventaire)-SUMIFS(v_Poids,v_conc_prod_tye_affinage,'SUIVI STOCKS PAR PAYSAN'!$H79,v_Date_commande,"&gt;"&amp;date_inventaire)</f>
        <v>0</v>
      </c>
      <c r="AQ79" s="341">
        <f ca="1">SUMIFS(bddres_c_qte,bddres_c_prod_type_aff,'SUIVI STOCKS PAR PAYSAN'!H79,'BDD RESERVATIONS'!$B:$B,"&gt;"&amp;date_inventaire)</f>
        <v>0</v>
      </c>
      <c r="AR79" s="342">
        <f ca="1">SUMIFS(bddres_pieces,es_prod_type_affinage,'SUIVI STOCKS PAR PAYSAN'!$H79,es_date_entree,"&gt;"&amp;date_inventaire,es_taille,'SUIVI STOCKS PAR PAYSAN'!$AR$7)-SUMIFS(v_Pièces,v_Taille,'SUIVI STOCKS PAR PAYSAN'!$AR$7,v_conc_prod_tye_affinage,'SUIVI STOCKS PAR PAYSAN'!$H79,v_Date_commande,"&gt;"&amp;date_inventaire)</f>
        <v>0</v>
      </c>
      <c r="AS79" s="326">
        <f ca="1">SUMIFS(bddres_pieces,'BDD RESERVATIONS'!$G:$G,'SUIVI STOCKS PAR PAYSAN'!AR74,bddres_c_prod_type_aff,'SUIVI STOCKS PAR PAYSAN'!$H79,'BDD RESERVATIONS'!$B:$B,"&gt;"&amp;date_inventaire)</f>
        <v>0</v>
      </c>
      <c r="AT79" s="343">
        <f ca="1">SUMIFS(es_pieces,es_prod_type_affinage,'SUIVI STOCKS PAR PAYSAN'!$H79,es_date_entree,"&gt;"&amp;date_inventaire,es_taille,'SUIVI STOCKS PAR PAYSAN'!$AT$7)-SUMIFS(v_Pièces,v_Taille,'SUIVI STOCKS PAR PAYSAN'!$AT$7,v_conc_prod_tye_affinage,'SUIVI STOCKS PAR PAYSAN'!$H79,v_Date_commande,"&gt;"&amp;date_inventaire)</f>
        <v>0</v>
      </c>
      <c r="AU79" s="353">
        <f ca="1">SUMIFS(bddres_pieces,'BDD RESERVATIONS'!$G:$G,'SUIVI STOCKS PAR PAYSAN'!$AT$7,bddres_c_prod_type_aff,'SUIVI STOCKS PAR PAYSAN'!$H79,'BDD RESERVATIONS'!$B:$B,"&gt;"&amp;date_inventaire)</f>
        <v>0</v>
      </c>
      <c r="AV79" s="313">
        <f ca="1">SUMIFS(es_poids,es_prod_type_affinage,'SUIVI STOCKS PAR PAYSAN'!$I79,es_date_entree,"&gt;"&amp;date_inventaire)-SUMIFS(v_Poids,v_conc_prod_tye_affinage,'SUIVI STOCKS PAR PAYSAN'!$E79,v_Date_commande,"&gt;"&amp;date_inventaire)</f>
        <v>0</v>
      </c>
      <c r="AW79" s="313">
        <f ca="1">SUMIFS(bddres_c_qte,bddres_c_prod_type_aff,'SUIVI STOCKS PAR PAYSAN'!I79,'BDD RESERVATIONS'!$B:$B,"&gt;"&amp;date_inventaire)</f>
        <v>0</v>
      </c>
      <c r="AX79" s="342">
        <f ca="1">SUMIFS(bddres_pieces,es_prod_type_affinage,'SUIVI STOCKS PAR PAYSAN'!$I79,es_date_entree,"&gt;"&amp;date_inventaire,es_taille,'SUIVI STOCKS PAR PAYSAN'!$AX$7)-SUMIFS(v_Pièces,v_Taille,'SUIVI STOCKS PAR PAYSAN'!$AX$7,v_conc_prod_tye_affinage,'SUIVI STOCKS PAR PAYSAN'!$I79,v_Date_commande,"&gt;"&amp;date_inventaire)</f>
        <v>0</v>
      </c>
      <c r="AY79" s="342">
        <f ca="1">SUMIFS(bddres_pieces,'BDD RESERVATIONS'!$G:$G,'SUIVI STOCKS PAR PAYSAN'!$AX$7,bddres_c_prod_type_aff,'SUIVI STOCKS PAR PAYSAN'!$I79,'BDD RESERVATIONS'!$B:$B,"&gt;"&amp;date_inventaire)</f>
        <v>0</v>
      </c>
      <c r="AZ79" s="343">
        <f ca="1">SUMIFS(es_pieces,es_prod_type_affinage,'SUIVI STOCKS PAR PAYSAN'!$I79,es_date_entree,"&gt;"&amp;date_inventaire,es_taille,'SUIVI STOCKS PAR PAYSAN'!$AZ$7)-SUMIFS(v_Pièces,v_Taille,'SUIVI STOCKS PAR PAYSAN'!$AZ$7,v_conc_prod_tye_affinage,'SUIVI STOCKS PAR PAYSAN'!$I79,v_Date_commande,"&gt;"&amp;date_inventaire)</f>
        <v>0</v>
      </c>
      <c r="BA79" s="353">
        <f ca="1">SUMIFS(bddres_pieces,'BDD RESERVATIONS'!$G:$G,'SUIVI STOCKS PAR PAYSAN'!$AZ$7,bddres_c_prod_type_aff,'SUIVI STOCKS PAR PAYSAN'!$I79,'BDD RESERVATIONS'!$B:$B,"&gt;"&amp;date_inventaire)</f>
        <v>0</v>
      </c>
      <c r="BB79" s="313">
        <f ca="1">SUMIFS(es_poids,es_prod_type_affinage,'SUIVI STOCKS PAR PAYSAN'!$J79,es_date_entree,"&gt;"&amp;date_inventaire)-SUMIFS(v_Poids,v_conc_prod_tye_affinage,'SUIVI STOCKS PAR PAYSAN'!$J79,v_Date_commande,"&gt;"&amp;date_inventaire)</f>
        <v>0</v>
      </c>
      <c r="BC79" s="313">
        <f ca="1">SUMIFS(bddres_c_qte,bddres_c_prod_type_aff,'SUIVI STOCKS PAR PAYSAN'!J79,'BDD RESERVATIONS'!$B:$B,"&gt;"&amp;date_inventaire)</f>
        <v>0</v>
      </c>
      <c r="BD79" s="342">
        <f ca="1">SUMIFS(bddres_pieces,es_prod_type_affinage,'SUIVI STOCKS PAR PAYSAN'!$J79,es_date_entree,"&gt;"&amp;date_inventaire,es_taille,'SUIVI STOCKS PAR PAYSAN'!$BD$7)-SUMIFS(v_Pièces,v_Taille,'SUIVI STOCKS PAR PAYSAN'!$BD$7,v_conc_prod_tye_affinage,'SUIVI STOCKS PAR PAYSAN'!$J79,v_Date_commande,"&gt;"&amp;date_inventaire)</f>
        <v>0</v>
      </c>
      <c r="BE79" s="326">
        <f ca="1">SUMIFS(bddres_pieces,'BDD RESERVATIONS'!$G:$G,'SUIVI STOCKS PAR PAYSAN'!BD74,bddres_c_prod_type_aff,'SUIVI STOCKS PAR PAYSAN'!J79,'BDD RESERVATIONS'!$B:$B,"&gt;"&amp;date_inventaire)</f>
        <v>0</v>
      </c>
      <c r="BF79" s="343">
        <f ca="1">SUMIFS(es_pieces,es_prod_type_affinage,'SUIVI STOCKS PAR PAYSAN'!J79,es_date_entree,"&gt;"&amp;date_inventaire,es_taille,'SUIVI STOCKS PAR PAYSAN'!$BF$7)-SUMIFS(v_Pièces,v_Taille,'SUIVI STOCKS PAR PAYSAN'!$BF$7,v_conc_prod_tye_affinage,'SUIVI STOCKS PAR PAYSAN'!J79,v_Date_commande,"&gt;"&amp;date_inventaire)</f>
        <v>0</v>
      </c>
      <c r="BG79" s="353">
        <f ca="1">SUMIFS(bddres_pieces,'BDD RESERVATIONS'!$G:$G,'SUIVI STOCKS PAR PAYSAN'!$BF$7,bddres_c_prod_type_aff,'SUIVI STOCKS PAR PAYSAN'!J79,'BDD RESERVATIONS'!$B:$B,"&gt;"&amp;date_inventaire)</f>
        <v>0</v>
      </c>
    </row>
    <row r="80" spans="1:59" ht="18.75" customHeight="1" x14ac:dyDescent="0.25">
      <c r="A80" s="331">
        <f ca="1">OFFSET('BDD PAYSANS'!$B$1,B80,0,1,1)</f>
        <v>0</v>
      </c>
      <c r="B80" s="325">
        <v>69</v>
      </c>
      <c r="C80" s="325" t="str">
        <f t="shared" ca="1" si="3"/>
        <v>0FERMIER&lt;3 mois</v>
      </c>
      <c r="D80" s="325" t="str">
        <f t="shared" ca="1" si="3"/>
        <v>0FERMIER3-6 mois</v>
      </c>
      <c r="E80" s="325" t="str">
        <f t="shared" ca="1" si="3"/>
        <v>0FERMIER6-9 mois</v>
      </c>
      <c r="F80" s="325" t="str">
        <f t="shared" ca="1" si="3"/>
        <v>0FERMIER&gt;9 mois</v>
      </c>
      <c r="G80" s="325" t="str">
        <f t="shared" ca="1" si="3"/>
        <v>0ESTIVE&lt;3 mois</v>
      </c>
      <c r="H80" s="325" t="str">
        <f t="shared" ca="1" si="3"/>
        <v>0ESTIVE3-6 mois</v>
      </c>
      <c r="I80" s="325" t="str">
        <f t="shared" ca="1" si="3"/>
        <v>0ESTIVE6-9 mois</v>
      </c>
      <c r="J80" s="325" t="str">
        <f t="shared" ca="1" si="3"/>
        <v>0ESTIVE&gt;9 mois</v>
      </c>
      <c r="K80" s="325"/>
      <c r="L80" s="352">
        <f ca="1">SUMIFS(es_poids,es_prod_type_affinage,'SUIVI STOCKS PAR PAYSAN'!$C80,es_date_entree,"&gt;"&amp;date_inventaire)-SUMIFS(v_Poids,v_conc_prod_tye_affinage,'SUIVI STOCKS PAR PAYSAN'!$C80,v_Date_commande,"&gt;"&amp;date_inventaire)</f>
        <v>0</v>
      </c>
      <c r="M80" s="341">
        <f ca="1">SUMIFS(bddres_c_qte,bddres_c_prod_type_aff,'SUIVI STOCKS PAR PAYSAN'!C80,'BDD RESERVATIONS'!$B:$B,"&gt;"&amp;date_inventaire)</f>
        <v>0</v>
      </c>
      <c r="N80" s="342">
        <f ca="1">SUMIFS(bddres_pieces,es_prod_type_affinage,'SUIVI STOCKS PAR PAYSAN'!$C80,es_date_entree,"&gt;"&amp;date_inventaire,es_taille,'SUIVI STOCKS PAR PAYSAN'!$N$7)-SUMIFS(v_Pièces,v_Taille,'SUIVI STOCKS PAR PAYSAN'!$N$7,v_conc_prod_tye_affinage,'SUIVI STOCKS PAR PAYSAN'!$C80,v_Date_commande,"&gt;"&amp;date_inventaire)</f>
        <v>0</v>
      </c>
      <c r="O80" s="342">
        <f ca="1">SUMIFS(bddres_pieces,'BDD RESERVATIONS'!$G:$G,'SUIVI STOCKS PAR PAYSAN'!$N$7,bddres_c_prod_type_aff,'SUIVI STOCKS PAR PAYSAN'!$C80,'BDD RESERVATIONS'!$B:$B,"&gt;"&amp;date_inventaire)</f>
        <v>0</v>
      </c>
      <c r="P80" s="343">
        <f ca="1">SUMIFS(es_pieces,es_prod_type_affinage,'SUIVI STOCKS PAR PAYSAN'!$C80,es_date_entree,"&gt;"&amp;date_inventaire,es_taille,'SUIVI STOCKS PAR PAYSAN'!$P$7)-SUMIFS(v_Pièces,v_Taille,'SUIVI STOCKS PAR PAYSAN'!$P$7,v_conc_prod_tye_affinage,'SUIVI STOCKS PAR PAYSAN'!$C80,v_Date_commande,"&gt;"&amp;date_inventaire)</f>
        <v>0</v>
      </c>
      <c r="Q80" s="353">
        <f ca="1">SUMIFS(bddres_pieces,'BDD RESERVATIONS'!$G:$G,'SUIVI STOCKS PAR PAYSAN'!$P$7,bddres_c_prod_type_aff,'SUIVI STOCKS PAR PAYSAN'!$C80,'BDD RESERVATIONS'!$B:$B,"&gt;"&amp;date_inventaire)</f>
        <v>0</v>
      </c>
      <c r="R80" s="340">
        <f ca="1">SUMIFS(es_poids,es_prod_type_affinage,'SUIVI STOCKS PAR PAYSAN'!$D80,es_date_entree,"&gt;"&amp;date_inventaire)-SUMIFS(v_Poids,v_conc_prod_tye_affinage,'SUIVI STOCKS PAR PAYSAN'!$D80,v_Date_commande,"&gt;"&amp;date_inventaire)</f>
        <v>0</v>
      </c>
      <c r="S80" s="341">
        <f ca="1">SUMIFS(bddres_c_qte,bddres_c_prod_type_aff,'SUIVI STOCKS PAR PAYSAN'!D80,'BDD RESERVATIONS'!$B:$B,"&gt;"&amp;date_inventaire)</f>
        <v>0</v>
      </c>
      <c r="T80" s="342">
        <f ca="1">SUMIFS(bddres_pieces,es_prod_type_affinage,'SUIVI STOCKS PAR PAYSAN'!$D80,es_date_entree,"&gt;"&amp;date_inventaire,es_taille,'SUIVI STOCKS PAR PAYSAN'!$T$7)-SUMIFS(v_Pièces,v_Taille,'SUIVI STOCKS PAR PAYSAN'!$T$7,v_conc_prod_tye_affinage,'SUIVI STOCKS PAR PAYSAN'!$D80,v_Date_commande,"&gt;"&amp;date_inventaire)</f>
        <v>0</v>
      </c>
      <c r="U80" s="342">
        <f ca="1">SUMIFS(bddres_pieces,'BDD RESERVATIONS'!$G:$G,'SUIVI STOCKS PAR PAYSAN'!$T$7,bddres_c_prod_type_aff,'SUIVI STOCKS PAR PAYSAN'!$D80,'BDD RESERVATIONS'!$B:$B,"&gt;"&amp;date_inventaire)</f>
        <v>0</v>
      </c>
      <c r="V80" s="343">
        <f ca="1">SUMIFS(es_pieces,es_prod_type_affinage,'SUIVI STOCKS PAR PAYSAN'!$D80,es_date_entree,"&gt;"&amp;date_inventaire,es_taille,'SUIVI STOCKS PAR PAYSAN'!$V$7)-SUMIFS(v_Pièces,v_Taille,'SUIVI STOCKS PAR PAYSAN'!$V$7,v_conc_prod_tye_affinage,'SUIVI STOCKS PAR PAYSAN'!$D80,v_Date_commande,"&gt;"&amp;date_inventaire)</f>
        <v>0</v>
      </c>
      <c r="W80" s="353">
        <f ca="1">SUMIFS(bddres_pieces,'BDD RESERVATIONS'!$G:$G,'SUIVI STOCKS PAR PAYSAN'!$V$7,bddres_c_prod_type_aff,'SUIVI STOCKS PAR PAYSAN'!$D80,'BDD RESERVATIONS'!$B:$B,"&gt;"&amp;date_inventaire)</f>
        <v>0</v>
      </c>
      <c r="X80" s="313">
        <f ca="1">SUMIFS(es_poids,es_prod_type_affinage,'SUIVI STOCKS PAR PAYSAN'!$E80,es_date_entree,"&gt;"&amp;date_inventaire)-SUMIFS(v_Poids,v_conc_prod_tye_affinage,'SUIVI STOCKS PAR PAYSAN'!$E80,v_Date_commande,"&gt;"&amp;date_inventaire)</f>
        <v>0</v>
      </c>
      <c r="Y80" s="341">
        <f ca="1">SUMIFS(bddres_c_qte,bddres_c_prod_type_aff,'SUIVI STOCKS PAR PAYSAN'!E80,'BDD RESERVATIONS'!$B:$B,"&gt;"&amp;date_inventaire)</f>
        <v>0</v>
      </c>
      <c r="Z80" s="342">
        <f ca="1">SUMIFS(bddres_pieces,es_prod_type_affinage,'SUIVI STOCKS PAR PAYSAN'!$E80,es_date_entree,"&gt;"&amp;date_inventaire,es_taille,'SUIVI STOCKS PAR PAYSAN'!$Z$7)-SUMIFS(v_Pièces,v_Taille,'SUIVI STOCKS PAR PAYSAN'!$Z$7,v_conc_prod_tye_affinage,'SUIVI STOCKS PAR PAYSAN'!$E80,v_Date_commande,"&gt;"&amp;date_inventaire)</f>
        <v>0</v>
      </c>
      <c r="AA80" s="342">
        <f ca="1">SUMIFS(bddres_pieces,'BDD RESERVATIONS'!$G:$G,'SUIVI STOCKS PAR PAYSAN'!$Z$7,bddres_c_prod_type_aff,'SUIVI STOCKS PAR PAYSAN'!$E80,'BDD RESERVATIONS'!$B:$B,"&gt;"&amp;date_inventaire)</f>
        <v>0</v>
      </c>
      <c r="AB80" s="343">
        <f ca="1">SUMIFS(es_pieces,es_prod_type_affinage,'SUIVI STOCKS PAR PAYSAN'!$E80,es_date_entree,"&gt;"&amp;date_inventaire,es_taille,'SUIVI STOCKS PAR PAYSAN'!$AB$7)-SUMIFS(v_Pièces,v_Taille,'SUIVI STOCKS PAR PAYSAN'!$AB$7,v_conc_prod_tye_affinage,'SUIVI STOCKS PAR PAYSAN'!$E80,v_Date_commande,"&gt;"&amp;date_inventaire)</f>
        <v>0</v>
      </c>
      <c r="AC80" s="353">
        <f ca="1">SUMIFS(bddres_pieces,'BDD RESERVATIONS'!$G:$G,'SUIVI STOCKS PAR PAYSAN'!$AB$7,bddres_c_prod_type_aff,'SUIVI STOCKS PAR PAYSAN'!$E80,'BDD RESERVATIONS'!$B:$B,"&gt;"&amp;date_inventaire)</f>
        <v>0</v>
      </c>
      <c r="AD80" s="313">
        <f ca="1">SUMIFS(es_poids,es_prod_type_affinage,'SUIVI STOCKS PAR PAYSAN'!$F80,es_date_entree,"&gt;"&amp;date_inventaire)-SUMIFS(v_Poids,v_conc_prod_tye_affinage,'SUIVI STOCKS PAR PAYSAN'!$F80,v_Date_commande,"&gt;"&amp;date_inventaire)</f>
        <v>0</v>
      </c>
      <c r="AE80" s="341">
        <f ca="1">SUMIFS(bddres_c_qte,bddres_c_prod_type_aff,'SUIVI STOCKS PAR PAYSAN'!F80,'BDD RESERVATIONS'!$B:$B,"&gt;"&amp;date_inventaire)</f>
        <v>0</v>
      </c>
      <c r="AF80" s="342">
        <f ca="1">SUMIFS(bddres_pieces,es_prod_type_affinage,'SUIVI STOCKS PAR PAYSAN'!$F80,es_date_entree,"&gt;"&amp;date_inventaire,es_taille,'SUIVI STOCKS PAR PAYSAN'!$Z$7)-SUMIFS(v_Pièces,v_Taille,'SUIVI STOCKS PAR PAYSAN'!$Z$7,v_conc_prod_tye_affinage,'SUIVI STOCKS PAR PAYSAN'!$F80,v_Date_commande,"&gt;"&amp;date_inventaire)</f>
        <v>0</v>
      </c>
      <c r="AG80" s="342">
        <f ca="1">SUMIFS(bddres_pieces,'BDD RESERVATIONS'!$G:$G,'SUIVI STOCKS PAR PAYSAN'!$Z$7,bddres_c_prod_type_aff,'SUIVI STOCKS PAR PAYSAN'!$F80,'BDD RESERVATIONS'!$B:$B,"&gt;"&amp;date_inventaire)</f>
        <v>0</v>
      </c>
      <c r="AH80" s="343">
        <f ca="1">SUMIFS(es_pieces,es_prod_type_affinage,'SUIVI STOCKS PAR PAYSAN'!$F80,es_date_entree,"&gt;"&amp;date_inventaire,es_taille,'SUIVI STOCKS PAR PAYSAN'!$AH$7)-SUMIFS(v_Pièces,v_Taille,'SUIVI STOCKS PAR PAYSAN'!$AH$7,v_conc_prod_tye_affinage,'SUIVI STOCKS PAR PAYSAN'!$F80,v_Date_commande,"&gt;"&amp;date_inventaire)</f>
        <v>0</v>
      </c>
      <c r="AI80" s="353">
        <f ca="1">SUMIFS(bddres_pieces,'BDD RESERVATIONS'!$G:$G,'SUIVI STOCKS PAR PAYSAN'!$AB$7,bddres_c_prod_type_aff,'SUIVI STOCKS PAR PAYSAN'!$F80,'BDD RESERVATIONS'!$B:$B,"&gt;"&amp;date_inventaire)</f>
        <v>0</v>
      </c>
      <c r="AJ80" s="352">
        <f ca="1">SUMIFS(es_poids,es_prod_type_affinage,'SUIVI STOCKS PAR PAYSAN'!$G80,es_date_entree,"&gt;"&amp;date_inventaire)-SUMIFS(v_Poids,v_conc_prod_tye_affinage,'SUIVI STOCKS PAR PAYSAN'!$G80,v_Date_commande,"&gt;"&amp;date_inventaire)</f>
        <v>0</v>
      </c>
      <c r="AK80" s="341">
        <f ca="1">SUMIFS(bddres_c_qte,bddres_c_prod_type_aff,'SUIVI STOCKS PAR PAYSAN'!G80,'BDD RESERVATIONS'!$B:$B,"&gt;"&amp;date_inventaire)</f>
        <v>0</v>
      </c>
      <c r="AL80" s="342">
        <f ca="1">SUMIFS(bddres_pieces,es_prod_type_affinage,'SUIVI STOCKS PAR PAYSAN'!$G80,es_date_entree,"&gt;"&amp;date_inventaire,es_taille,'SUIVI STOCKS PAR PAYSAN'!$AL$7)-SUMIFS(v_Pièces,v_Taille,'SUIVI STOCKS PAR PAYSAN'!$AL$7,v_conc_prod_tye_affinage,'SUIVI STOCKS PAR PAYSAN'!$G80,v_Date_commande,"&gt;"&amp;date_inventaire)</f>
        <v>0</v>
      </c>
      <c r="AM80" s="342">
        <f ca="1">SUMIFS(bddres_pieces,'BDD RESERVATIONS'!$G:$G,'SUIVI STOCKS PAR PAYSAN'!$AL$7,bddres_c_prod_type_aff,'SUIVI STOCKS PAR PAYSAN'!$G80,'BDD RESERVATIONS'!$B:$B,"&gt;"&amp;date_inventaire)</f>
        <v>0</v>
      </c>
      <c r="AN80" s="343">
        <f ca="1">SUMIFS(es_pieces,es_prod_type_affinage,'SUIVI STOCKS PAR PAYSAN'!$G80,es_date_entree,"&gt;"&amp;date_inventaire,es_taille,'SUIVI STOCKS PAR PAYSAN'!$AN$7)-SUMIFS(v_Pièces,v_Taille,'SUIVI STOCKS PAR PAYSAN'!$AN$7,v_conc_prod_tye_affinage,'SUIVI STOCKS PAR PAYSAN'!$G80,v_Date_commande,"&gt;"&amp;date_inventaire)</f>
        <v>0</v>
      </c>
      <c r="AO80" s="353">
        <f ca="1">SUMIFS(bddres_pieces,'BDD RESERVATIONS'!$G:$G,'SUIVI STOCKS PAR PAYSAN'!$AN$7,bddres_c_prod_type_aff,'SUIVI STOCKS PAR PAYSAN'!$G80,'BDD RESERVATIONS'!$B:$B,"&gt;"&amp;date_inventaire)</f>
        <v>0</v>
      </c>
      <c r="AP80" s="313">
        <f ca="1">SUMIFS(es_poids,es_prod_type_affinage,'SUIVI STOCKS PAR PAYSAN'!$H80,es_date_entree,"&gt;"&amp;date_inventaire)-SUMIFS(v_Poids,v_conc_prod_tye_affinage,'SUIVI STOCKS PAR PAYSAN'!$H80,v_Date_commande,"&gt;"&amp;date_inventaire)</f>
        <v>0</v>
      </c>
      <c r="AQ80" s="341">
        <f ca="1">SUMIFS(bddres_c_qte,bddres_c_prod_type_aff,'SUIVI STOCKS PAR PAYSAN'!H80,'BDD RESERVATIONS'!$B:$B,"&gt;"&amp;date_inventaire)</f>
        <v>0</v>
      </c>
      <c r="AR80" s="342">
        <f ca="1">SUMIFS(bddres_pieces,es_prod_type_affinage,'SUIVI STOCKS PAR PAYSAN'!$H80,es_date_entree,"&gt;"&amp;date_inventaire,es_taille,'SUIVI STOCKS PAR PAYSAN'!$AR$7)-SUMIFS(v_Pièces,v_Taille,'SUIVI STOCKS PAR PAYSAN'!$AR$7,v_conc_prod_tye_affinage,'SUIVI STOCKS PAR PAYSAN'!$H80,v_Date_commande,"&gt;"&amp;date_inventaire)</f>
        <v>0</v>
      </c>
      <c r="AS80" s="326">
        <f ca="1">SUMIFS(bddres_pieces,'BDD RESERVATIONS'!$G:$G,'SUIVI STOCKS PAR PAYSAN'!AR75,bddres_c_prod_type_aff,'SUIVI STOCKS PAR PAYSAN'!$H80,'BDD RESERVATIONS'!$B:$B,"&gt;"&amp;date_inventaire)</f>
        <v>0</v>
      </c>
      <c r="AT80" s="343">
        <f ca="1">SUMIFS(es_pieces,es_prod_type_affinage,'SUIVI STOCKS PAR PAYSAN'!$H80,es_date_entree,"&gt;"&amp;date_inventaire,es_taille,'SUIVI STOCKS PAR PAYSAN'!$AT$7)-SUMIFS(v_Pièces,v_Taille,'SUIVI STOCKS PAR PAYSAN'!$AT$7,v_conc_prod_tye_affinage,'SUIVI STOCKS PAR PAYSAN'!$H80,v_Date_commande,"&gt;"&amp;date_inventaire)</f>
        <v>0</v>
      </c>
      <c r="AU80" s="353">
        <f ca="1">SUMIFS(bddres_pieces,'BDD RESERVATIONS'!$G:$G,'SUIVI STOCKS PAR PAYSAN'!$AT$7,bddres_c_prod_type_aff,'SUIVI STOCKS PAR PAYSAN'!$H80,'BDD RESERVATIONS'!$B:$B,"&gt;"&amp;date_inventaire)</f>
        <v>0</v>
      </c>
      <c r="AV80" s="313">
        <f ca="1">SUMIFS(es_poids,es_prod_type_affinage,'SUIVI STOCKS PAR PAYSAN'!$I80,es_date_entree,"&gt;"&amp;date_inventaire)-SUMIFS(v_Poids,v_conc_prod_tye_affinage,'SUIVI STOCKS PAR PAYSAN'!$E80,v_Date_commande,"&gt;"&amp;date_inventaire)</f>
        <v>0</v>
      </c>
      <c r="AW80" s="313">
        <f ca="1">SUMIFS(bddres_c_qte,bddres_c_prod_type_aff,'SUIVI STOCKS PAR PAYSAN'!I80,'BDD RESERVATIONS'!$B:$B,"&gt;"&amp;date_inventaire)</f>
        <v>0</v>
      </c>
      <c r="AX80" s="342">
        <f ca="1">SUMIFS(bddres_pieces,es_prod_type_affinage,'SUIVI STOCKS PAR PAYSAN'!$I80,es_date_entree,"&gt;"&amp;date_inventaire,es_taille,'SUIVI STOCKS PAR PAYSAN'!$AX$7)-SUMIFS(v_Pièces,v_Taille,'SUIVI STOCKS PAR PAYSAN'!$AX$7,v_conc_prod_tye_affinage,'SUIVI STOCKS PAR PAYSAN'!$I80,v_Date_commande,"&gt;"&amp;date_inventaire)</f>
        <v>0</v>
      </c>
      <c r="AY80" s="342">
        <f ca="1">SUMIFS(bddres_pieces,'BDD RESERVATIONS'!$G:$G,'SUIVI STOCKS PAR PAYSAN'!$AX$7,bddres_c_prod_type_aff,'SUIVI STOCKS PAR PAYSAN'!$I80,'BDD RESERVATIONS'!$B:$B,"&gt;"&amp;date_inventaire)</f>
        <v>0</v>
      </c>
      <c r="AZ80" s="343">
        <f ca="1">SUMIFS(es_pieces,es_prod_type_affinage,'SUIVI STOCKS PAR PAYSAN'!$I80,es_date_entree,"&gt;"&amp;date_inventaire,es_taille,'SUIVI STOCKS PAR PAYSAN'!$AZ$7)-SUMIFS(v_Pièces,v_Taille,'SUIVI STOCKS PAR PAYSAN'!$AZ$7,v_conc_prod_tye_affinage,'SUIVI STOCKS PAR PAYSAN'!$I80,v_Date_commande,"&gt;"&amp;date_inventaire)</f>
        <v>0</v>
      </c>
      <c r="BA80" s="353">
        <f ca="1">SUMIFS(bddres_pieces,'BDD RESERVATIONS'!$G:$G,'SUIVI STOCKS PAR PAYSAN'!$AZ$7,bddres_c_prod_type_aff,'SUIVI STOCKS PAR PAYSAN'!$I80,'BDD RESERVATIONS'!$B:$B,"&gt;"&amp;date_inventaire)</f>
        <v>0</v>
      </c>
      <c r="BB80" s="313">
        <f ca="1">SUMIFS(es_poids,es_prod_type_affinage,'SUIVI STOCKS PAR PAYSAN'!$J80,es_date_entree,"&gt;"&amp;date_inventaire)-SUMIFS(v_Poids,v_conc_prod_tye_affinage,'SUIVI STOCKS PAR PAYSAN'!$J80,v_Date_commande,"&gt;"&amp;date_inventaire)</f>
        <v>0</v>
      </c>
      <c r="BC80" s="313">
        <f ca="1">SUMIFS(bddres_c_qte,bddres_c_prod_type_aff,'SUIVI STOCKS PAR PAYSAN'!J80,'BDD RESERVATIONS'!$B:$B,"&gt;"&amp;date_inventaire)</f>
        <v>0</v>
      </c>
      <c r="BD80" s="342">
        <f ca="1">SUMIFS(bddres_pieces,es_prod_type_affinage,'SUIVI STOCKS PAR PAYSAN'!$J80,es_date_entree,"&gt;"&amp;date_inventaire,es_taille,'SUIVI STOCKS PAR PAYSAN'!$BD$7)-SUMIFS(v_Pièces,v_Taille,'SUIVI STOCKS PAR PAYSAN'!$BD$7,v_conc_prod_tye_affinage,'SUIVI STOCKS PAR PAYSAN'!$J80,v_Date_commande,"&gt;"&amp;date_inventaire)</f>
        <v>0</v>
      </c>
      <c r="BE80" s="326">
        <f ca="1">SUMIFS(bddres_pieces,'BDD RESERVATIONS'!$G:$G,'SUIVI STOCKS PAR PAYSAN'!BD75,bddres_c_prod_type_aff,'SUIVI STOCKS PAR PAYSAN'!J80,'BDD RESERVATIONS'!$B:$B,"&gt;"&amp;date_inventaire)</f>
        <v>0</v>
      </c>
      <c r="BF80" s="343">
        <f ca="1">SUMIFS(es_pieces,es_prod_type_affinage,'SUIVI STOCKS PAR PAYSAN'!J80,es_date_entree,"&gt;"&amp;date_inventaire,es_taille,'SUIVI STOCKS PAR PAYSAN'!$BF$7)-SUMIFS(v_Pièces,v_Taille,'SUIVI STOCKS PAR PAYSAN'!$BF$7,v_conc_prod_tye_affinage,'SUIVI STOCKS PAR PAYSAN'!J80,v_Date_commande,"&gt;"&amp;date_inventaire)</f>
        <v>0</v>
      </c>
      <c r="BG80" s="353">
        <f ca="1">SUMIFS(bddres_pieces,'BDD RESERVATIONS'!$G:$G,'SUIVI STOCKS PAR PAYSAN'!$BF$7,bddres_c_prod_type_aff,'SUIVI STOCKS PAR PAYSAN'!J80,'BDD RESERVATIONS'!$B:$B,"&gt;"&amp;date_inventaire)</f>
        <v>0</v>
      </c>
    </row>
    <row r="81" spans="1:59" ht="18.75" customHeight="1" x14ac:dyDescent="0.25">
      <c r="A81" s="331">
        <f ca="1">OFFSET('BDD PAYSANS'!$B$1,B81,0,1,1)</f>
        <v>0</v>
      </c>
      <c r="B81" s="325">
        <v>70</v>
      </c>
      <c r="C81" s="325" t="str">
        <f t="shared" ca="1" si="3"/>
        <v>0FERMIER&lt;3 mois</v>
      </c>
      <c r="D81" s="325" t="str">
        <f t="shared" ca="1" si="3"/>
        <v>0FERMIER3-6 mois</v>
      </c>
      <c r="E81" s="325" t="str">
        <f t="shared" ca="1" si="3"/>
        <v>0FERMIER6-9 mois</v>
      </c>
      <c r="F81" s="325" t="str">
        <f t="shared" ca="1" si="3"/>
        <v>0FERMIER&gt;9 mois</v>
      </c>
      <c r="G81" s="325" t="str">
        <f t="shared" ca="1" si="3"/>
        <v>0ESTIVE&lt;3 mois</v>
      </c>
      <c r="H81" s="325" t="str">
        <f t="shared" ca="1" si="3"/>
        <v>0ESTIVE3-6 mois</v>
      </c>
      <c r="I81" s="325" t="str">
        <f t="shared" ca="1" si="3"/>
        <v>0ESTIVE6-9 mois</v>
      </c>
      <c r="J81" s="325" t="str">
        <f t="shared" ca="1" si="3"/>
        <v>0ESTIVE&gt;9 mois</v>
      </c>
      <c r="K81" s="325"/>
      <c r="L81" s="352">
        <f ca="1">SUMIFS(es_poids,es_prod_type_affinage,'SUIVI STOCKS PAR PAYSAN'!$C81,es_date_entree,"&gt;"&amp;date_inventaire)-SUMIFS(v_Poids,v_conc_prod_tye_affinage,'SUIVI STOCKS PAR PAYSAN'!$C81,v_Date_commande,"&gt;"&amp;date_inventaire)</f>
        <v>0</v>
      </c>
      <c r="M81" s="341">
        <f ca="1">SUMIFS(bddres_c_qte,bddres_c_prod_type_aff,'SUIVI STOCKS PAR PAYSAN'!C81,'BDD RESERVATIONS'!$B:$B,"&gt;"&amp;date_inventaire)</f>
        <v>0</v>
      </c>
      <c r="N81" s="342">
        <f ca="1">SUMIFS(bddres_pieces,es_prod_type_affinage,'SUIVI STOCKS PAR PAYSAN'!$C81,es_date_entree,"&gt;"&amp;date_inventaire,es_taille,'SUIVI STOCKS PAR PAYSAN'!$N$7)-SUMIFS(v_Pièces,v_Taille,'SUIVI STOCKS PAR PAYSAN'!$N$7,v_conc_prod_tye_affinage,'SUIVI STOCKS PAR PAYSAN'!$C81,v_Date_commande,"&gt;"&amp;date_inventaire)</f>
        <v>0</v>
      </c>
      <c r="O81" s="342">
        <f ca="1">SUMIFS(bddres_pieces,'BDD RESERVATIONS'!$G:$G,'SUIVI STOCKS PAR PAYSAN'!$N$7,bddres_c_prod_type_aff,'SUIVI STOCKS PAR PAYSAN'!$C81,'BDD RESERVATIONS'!$B:$B,"&gt;"&amp;date_inventaire)</f>
        <v>0</v>
      </c>
      <c r="P81" s="343">
        <f ca="1">SUMIFS(es_pieces,es_prod_type_affinage,'SUIVI STOCKS PAR PAYSAN'!$C81,es_date_entree,"&gt;"&amp;date_inventaire,es_taille,'SUIVI STOCKS PAR PAYSAN'!$P$7)-SUMIFS(v_Pièces,v_Taille,'SUIVI STOCKS PAR PAYSAN'!$P$7,v_conc_prod_tye_affinage,'SUIVI STOCKS PAR PAYSAN'!$C81,v_Date_commande,"&gt;"&amp;date_inventaire)</f>
        <v>0</v>
      </c>
      <c r="Q81" s="353">
        <f ca="1">SUMIFS(bddres_pieces,'BDD RESERVATIONS'!$G:$G,'SUIVI STOCKS PAR PAYSAN'!$P$7,bddres_c_prod_type_aff,'SUIVI STOCKS PAR PAYSAN'!$C81,'BDD RESERVATIONS'!$B:$B,"&gt;"&amp;date_inventaire)</f>
        <v>0</v>
      </c>
      <c r="R81" s="340">
        <f ca="1">SUMIFS(es_poids,es_prod_type_affinage,'SUIVI STOCKS PAR PAYSAN'!$D81,es_date_entree,"&gt;"&amp;date_inventaire)-SUMIFS(v_Poids,v_conc_prod_tye_affinage,'SUIVI STOCKS PAR PAYSAN'!$D81,v_Date_commande,"&gt;"&amp;date_inventaire)</f>
        <v>0</v>
      </c>
      <c r="S81" s="341">
        <f ca="1">SUMIFS(bddres_c_qte,bddres_c_prod_type_aff,'SUIVI STOCKS PAR PAYSAN'!D81,'BDD RESERVATIONS'!$B:$B,"&gt;"&amp;date_inventaire)</f>
        <v>0</v>
      </c>
      <c r="T81" s="342">
        <f ca="1">SUMIFS(bddres_pieces,es_prod_type_affinage,'SUIVI STOCKS PAR PAYSAN'!$D81,es_date_entree,"&gt;"&amp;date_inventaire,es_taille,'SUIVI STOCKS PAR PAYSAN'!$T$7)-SUMIFS(v_Pièces,v_Taille,'SUIVI STOCKS PAR PAYSAN'!$T$7,v_conc_prod_tye_affinage,'SUIVI STOCKS PAR PAYSAN'!$D81,v_Date_commande,"&gt;"&amp;date_inventaire)</f>
        <v>0</v>
      </c>
      <c r="U81" s="342">
        <f ca="1">SUMIFS(bddres_pieces,'BDD RESERVATIONS'!$G:$G,'SUIVI STOCKS PAR PAYSAN'!$T$7,bddres_c_prod_type_aff,'SUIVI STOCKS PAR PAYSAN'!$D81,'BDD RESERVATIONS'!$B:$B,"&gt;"&amp;date_inventaire)</f>
        <v>0</v>
      </c>
      <c r="V81" s="343">
        <f ca="1">SUMIFS(es_pieces,es_prod_type_affinage,'SUIVI STOCKS PAR PAYSAN'!$D81,es_date_entree,"&gt;"&amp;date_inventaire,es_taille,'SUIVI STOCKS PAR PAYSAN'!$V$7)-SUMIFS(v_Pièces,v_Taille,'SUIVI STOCKS PAR PAYSAN'!$V$7,v_conc_prod_tye_affinage,'SUIVI STOCKS PAR PAYSAN'!$D81,v_Date_commande,"&gt;"&amp;date_inventaire)</f>
        <v>0</v>
      </c>
      <c r="W81" s="353">
        <f ca="1">SUMIFS(bddres_pieces,'BDD RESERVATIONS'!$G:$G,'SUIVI STOCKS PAR PAYSAN'!$V$7,bddres_c_prod_type_aff,'SUIVI STOCKS PAR PAYSAN'!$D81,'BDD RESERVATIONS'!$B:$B,"&gt;"&amp;date_inventaire)</f>
        <v>0</v>
      </c>
      <c r="X81" s="313">
        <f ca="1">SUMIFS(es_poids,es_prod_type_affinage,'SUIVI STOCKS PAR PAYSAN'!$E81,es_date_entree,"&gt;"&amp;date_inventaire)-SUMIFS(v_Poids,v_conc_prod_tye_affinage,'SUIVI STOCKS PAR PAYSAN'!$E81,v_Date_commande,"&gt;"&amp;date_inventaire)</f>
        <v>0</v>
      </c>
      <c r="Y81" s="341">
        <f ca="1">SUMIFS(bddres_c_qte,bddres_c_prod_type_aff,'SUIVI STOCKS PAR PAYSAN'!E81,'BDD RESERVATIONS'!$B:$B,"&gt;"&amp;date_inventaire)</f>
        <v>0</v>
      </c>
      <c r="Z81" s="342">
        <f ca="1">SUMIFS(bddres_pieces,es_prod_type_affinage,'SUIVI STOCKS PAR PAYSAN'!$E81,es_date_entree,"&gt;"&amp;date_inventaire,es_taille,'SUIVI STOCKS PAR PAYSAN'!$Z$7)-SUMIFS(v_Pièces,v_Taille,'SUIVI STOCKS PAR PAYSAN'!$Z$7,v_conc_prod_tye_affinage,'SUIVI STOCKS PAR PAYSAN'!$E81,v_Date_commande,"&gt;"&amp;date_inventaire)</f>
        <v>0</v>
      </c>
      <c r="AA81" s="342">
        <f ca="1">SUMIFS(bddres_pieces,'BDD RESERVATIONS'!$G:$G,'SUIVI STOCKS PAR PAYSAN'!$Z$7,bddres_c_prod_type_aff,'SUIVI STOCKS PAR PAYSAN'!$E81,'BDD RESERVATIONS'!$B:$B,"&gt;"&amp;date_inventaire)</f>
        <v>0</v>
      </c>
      <c r="AB81" s="343">
        <f ca="1">SUMIFS(es_pieces,es_prod_type_affinage,'SUIVI STOCKS PAR PAYSAN'!$E81,es_date_entree,"&gt;"&amp;date_inventaire,es_taille,'SUIVI STOCKS PAR PAYSAN'!$AB$7)-SUMIFS(v_Pièces,v_Taille,'SUIVI STOCKS PAR PAYSAN'!$AB$7,v_conc_prod_tye_affinage,'SUIVI STOCKS PAR PAYSAN'!$E81,v_Date_commande,"&gt;"&amp;date_inventaire)</f>
        <v>0</v>
      </c>
      <c r="AC81" s="353">
        <f ca="1">SUMIFS(bddres_pieces,'BDD RESERVATIONS'!$G:$G,'SUIVI STOCKS PAR PAYSAN'!$AB$7,bddres_c_prod_type_aff,'SUIVI STOCKS PAR PAYSAN'!$E81,'BDD RESERVATIONS'!$B:$B,"&gt;"&amp;date_inventaire)</f>
        <v>0</v>
      </c>
      <c r="AD81" s="313">
        <f ca="1">SUMIFS(es_poids,es_prod_type_affinage,'SUIVI STOCKS PAR PAYSAN'!$F81,es_date_entree,"&gt;"&amp;date_inventaire)-SUMIFS(v_Poids,v_conc_prod_tye_affinage,'SUIVI STOCKS PAR PAYSAN'!$F81,v_Date_commande,"&gt;"&amp;date_inventaire)</f>
        <v>0</v>
      </c>
      <c r="AE81" s="341">
        <f ca="1">SUMIFS(bddres_c_qte,bddres_c_prod_type_aff,'SUIVI STOCKS PAR PAYSAN'!F81,'BDD RESERVATIONS'!$B:$B,"&gt;"&amp;date_inventaire)</f>
        <v>0</v>
      </c>
      <c r="AF81" s="342">
        <f ca="1">SUMIFS(bddres_pieces,es_prod_type_affinage,'SUIVI STOCKS PAR PAYSAN'!$F81,es_date_entree,"&gt;"&amp;date_inventaire,es_taille,'SUIVI STOCKS PAR PAYSAN'!$Z$7)-SUMIFS(v_Pièces,v_Taille,'SUIVI STOCKS PAR PAYSAN'!$Z$7,v_conc_prod_tye_affinage,'SUIVI STOCKS PAR PAYSAN'!$F81,v_Date_commande,"&gt;"&amp;date_inventaire)</f>
        <v>0</v>
      </c>
      <c r="AG81" s="342">
        <f ca="1">SUMIFS(bddres_pieces,'BDD RESERVATIONS'!$G:$G,'SUIVI STOCKS PAR PAYSAN'!$Z$7,bddres_c_prod_type_aff,'SUIVI STOCKS PAR PAYSAN'!$F81,'BDD RESERVATIONS'!$B:$B,"&gt;"&amp;date_inventaire)</f>
        <v>0</v>
      </c>
      <c r="AH81" s="343">
        <f ca="1">SUMIFS(es_pieces,es_prod_type_affinage,'SUIVI STOCKS PAR PAYSAN'!$F81,es_date_entree,"&gt;"&amp;date_inventaire,es_taille,'SUIVI STOCKS PAR PAYSAN'!$AH$7)-SUMIFS(v_Pièces,v_Taille,'SUIVI STOCKS PAR PAYSAN'!$AH$7,v_conc_prod_tye_affinage,'SUIVI STOCKS PAR PAYSAN'!$F81,v_Date_commande,"&gt;"&amp;date_inventaire)</f>
        <v>0</v>
      </c>
      <c r="AI81" s="353">
        <f ca="1">SUMIFS(bddres_pieces,'BDD RESERVATIONS'!$G:$G,'SUIVI STOCKS PAR PAYSAN'!$AB$7,bddres_c_prod_type_aff,'SUIVI STOCKS PAR PAYSAN'!$F81,'BDD RESERVATIONS'!$B:$B,"&gt;"&amp;date_inventaire)</f>
        <v>0</v>
      </c>
      <c r="AJ81" s="352">
        <f ca="1">SUMIFS(es_poids,es_prod_type_affinage,'SUIVI STOCKS PAR PAYSAN'!$G81,es_date_entree,"&gt;"&amp;date_inventaire)-SUMIFS(v_Poids,v_conc_prod_tye_affinage,'SUIVI STOCKS PAR PAYSAN'!$G81,v_Date_commande,"&gt;"&amp;date_inventaire)</f>
        <v>0</v>
      </c>
      <c r="AK81" s="341">
        <f ca="1">SUMIFS(bddres_c_qte,bddres_c_prod_type_aff,'SUIVI STOCKS PAR PAYSAN'!G81,'BDD RESERVATIONS'!$B:$B,"&gt;"&amp;date_inventaire)</f>
        <v>0</v>
      </c>
      <c r="AL81" s="342">
        <f ca="1">SUMIFS(bddres_pieces,es_prod_type_affinage,'SUIVI STOCKS PAR PAYSAN'!$G81,es_date_entree,"&gt;"&amp;date_inventaire,es_taille,'SUIVI STOCKS PAR PAYSAN'!$AL$7)-SUMIFS(v_Pièces,v_Taille,'SUIVI STOCKS PAR PAYSAN'!$AL$7,v_conc_prod_tye_affinage,'SUIVI STOCKS PAR PAYSAN'!$G81,v_Date_commande,"&gt;"&amp;date_inventaire)</f>
        <v>0</v>
      </c>
      <c r="AM81" s="342">
        <f ca="1">SUMIFS(bddres_pieces,'BDD RESERVATIONS'!$G:$G,'SUIVI STOCKS PAR PAYSAN'!$AL$7,bddres_c_prod_type_aff,'SUIVI STOCKS PAR PAYSAN'!$G81,'BDD RESERVATIONS'!$B:$B,"&gt;"&amp;date_inventaire)</f>
        <v>0</v>
      </c>
      <c r="AN81" s="343">
        <f ca="1">SUMIFS(es_pieces,es_prod_type_affinage,'SUIVI STOCKS PAR PAYSAN'!$G81,es_date_entree,"&gt;"&amp;date_inventaire,es_taille,'SUIVI STOCKS PAR PAYSAN'!$AN$7)-SUMIFS(v_Pièces,v_Taille,'SUIVI STOCKS PAR PAYSAN'!$AN$7,v_conc_prod_tye_affinage,'SUIVI STOCKS PAR PAYSAN'!$G81,v_Date_commande,"&gt;"&amp;date_inventaire)</f>
        <v>0</v>
      </c>
      <c r="AO81" s="353">
        <f ca="1">SUMIFS(bddres_pieces,'BDD RESERVATIONS'!$G:$G,'SUIVI STOCKS PAR PAYSAN'!$AN$7,bddres_c_prod_type_aff,'SUIVI STOCKS PAR PAYSAN'!$G81,'BDD RESERVATIONS'!$B:$B,"&gt;"&amp;date_inventaire)</f>
        <v>0</v>
      </c>
      <c r="AP81" s="313">
        <f ca="1">SUMIFS(es_poids,es_prod_type_affinage,'SUIVI STOCKS PAR PAYSAN'!$H81,es_date_entree,"&gt;"&amp;date_inventaire)-SUMIFS(v_Poids,v_conc_prod_tye_affinage,'SUIVI STOCKS PAR PAYSAN'!$H81,v_Date_commande,"&gt;"&amp;date_inventaire)</f>
        <v>0</v>
      </c>
      <c r="AQ81" s="341">
        <f ca="1">SUMIFS(bddres_c_qte,bddres_c_prod_type_aff,'SUIVI STOCKS PAR PAYSAN'!H81,'BDD RESERVATIONS'!$B:$B,"&gt;"&amp;date_inventaire)</f>
        <v>0</v>
      </c>
      <c r="AR81" s="342">
        <f ca="1">SUMIFS(bddres_pieces,es_prod_type_affinage,'SUIVI STOCKS PAR PAYSAN'!$H81,es_date_entree,"&gt;"&amp;date_inventaire,es_taille,'SUIVI STOCKS PAR PAYSAN'!$AR$7)-SUMIFS(v_Pièces,v_Taille,'SUIVI STOCKS PAR PAYSAN'!$AR$7,v_conc_prod_tye_affinage,'SUIVI STOCKS PAR PAYSAN'!$H81,v_Date_commande,"&gt;"&amp;date_inventaire)</f>
        <v>0</v>
      </c>
      <c r="AS81" s="326">
        <f ca="1">SUMIFS(bddres_pieces,'BDD RESERVATIONS'!$G:$G,'SUIVI STOCKS PAR PAYSAN'!AR76,bddres_c_prod_type_aff,'SUIVI STOCKS PAR PAYSAN'!$H81,'BDD RESERVATIONS'!$B:$B,"&gt;"&amp;date_inventaire)</f>
        <v>0</v>
      </c>
      <c r="AT81" s="343">
        <f ca="1">SUMIFS(es_pieces,es_prod_type_affinage,'SUIVI STOCKS PAR PAYSAN'!$H81,es_date_entree,"&gt;"&amp;date_inventaire,es_taille,'SUIVI STOCKS PAR PAYSAN'!$AT$7)-SUMIFS(v_Pièces,v_Taille,'SUIVI STOCKS PAR PAYSAN'!$AT$7,v_conc_prod_tye_affinage,'SUIVI STOCKS PAR PAYSAN'!$H81,v_Date_commande,"&gt;"&amp;date_inventaire)</f>
        <v>0</v>
      </c>
      <c r="AU81" s="353">
        <f ca="1">SUMIFS(bddres_pieces,'BDD RESERVATIONS'!$G:$G,'SUIVI STOCKS PAR PAYSAN'!$AT$7,bddres_c_prod_type_aff,'SUIVI STOCKS PAR PAYSAN'!$H81,'BDD RESERVATIONS'!$B:$B,"&gt;"&amp;date_inventaire)</f>
        <v>0</v>
      </c>
      <c r="AV81" s="313">
        <f ca="1">SUMIFS(es_poids,es_prod_type_affinage,'SUIVI STOCKS PAR PAYSAN'!$I81,es_date_entree,"&gt;"&amp;date_inventaire)-SUMIFS(v_Poids,v_conc_prod_tye_affinage,'SUIVI STOCKS PAR PAYSAN'!$E81,v_Date_commande,"&gt;"&amp;date_inventaire)</f>
        <v>0</v>
      </c>
      <c r="AW81" s="313">
        <f ca="1">SUMIFS(bddres_c_qte,bddres_c_prod_type_aff,'SUIVI STOCKS PAR PAYSAN'!I81,'BDD RESERVATIONS'!$B:$B,"&gt;"&amp;date_inventaire)</f>
        <v>0</v>
      </c>
      <c r="AX81" s="342">
        <f ca="1">SUMIFS(bddres_pieces,es_prod_type_affinage,'SUIVI STOCKS PAR PAYSAN'!$I81,es_date_entree,"&gt;"&amp;date_inventaire,es_taille,'SUIVI STOCKS PAR PAYSAN'!$AX$7)-SUMIFS(v_Pièces,v_Taille,'SUIVI STOCKS PAR PAYSAN'!$AX$7,v_conc_prod_tye_affinage,'SUIVI STOCKS PAR PAYSAN'!$I81,v_Date_commande,"&gt;"&amp;date_inventaire)</f>
        <v>0</v>
      </c>
      <c r="AY81" s="342">
        <f ca="1">SUMIFS(bddres_pieces,'BDD RESERVATIONS'!$G:$G,'SUIVI STOCKS PAR PAYSAN'!$AX$7,bddres_c_prod_type_aff,'SUIVI STOCKS PAR PAYSAN'!$I81,'BDD RESERVATIONS'!$B:$B,"&gt;"&amp;date_inventaire)</f>
        <v>0</v>
      </c>
      <c r="AZ81" s="343">
        <f ca="1">SUMIFS(es_pieces,es_prod_type_affinage,'SUIVI STOCKS PAR PAYSAN'!$I81,es_date_entree,"&gt;"&amp;date_inventaire,es_taille,'SUIVI STOCKS PAR PAYSAN'!$AZ$7)-SUMIFS(v_Pièces,v_Taille,'SUIVI STOCKS PAR PAYSAN'!$AZ$7,v_conc_prod_tye_affinage,'SUIVI STOCKS PAR PAYSAN'!$I81,v_Date_commande,"&gt;"&amp;date_inventaire)</f>
        <v>0</v>
      </c>
      <c r="BA81" s="353">
        <f ca="1">SUMIFS(bddres_pieces,'BDD RESERVATIONS'!$G:$G,'SUIVI STOCKS PAR PAYSAN'!$AZ$7,bddres_c_prod_type_aff,'SUIVI STOCKS PAR PAYSAN'!$I81,'BDD RESERVATIONS'!$B:$B,"&gt;"&amp;date_inventaire)</f>
        <v>0</v>
      </c>
      <c r="BB81" s="313">
        <f ca="1">SUMIFS(es_poids,es_prod_type_affinage,'SUIVI STOCKS PAR PAYSAN'!$J81,es_date_entree,"&gt;"&amp;date_inventaire)-SUMIFS(v_Poids,v_conc_prod_tye_affinage,'SUIVI STOCKS PAR PAYSAN'!$J81,v_Date_commande,"&gt;"&amp;date_inventaire)</f>
        <v>0</v>
      </c>
      <c r="BC81" s="313">
        <f ca="1">SUMIFS(bddres_c_qte,bddres_c_prod_type_aff,'SUIVI STOCKS PAR PAYSAN'!J81,'BDD RESERVATIONS'!$B:$B,"&gt;"&amp;date_inventaire)</f>
        <v>0</v>
      </c>
      <c r="BD81" s="342">
        <f ca="1">SUMIFS(bddres_pieces,es_prod_type_affinage,'SUIVI STOCKS PAR PAYSAN'!$J81,es_date_entree,"&gt;"&amp;date_inventaire,es_taille,'SUIVI STOCKS PAR PAYSAN'!$BD$7)-SUMIFS(v_Pièces,v_Taille,'SUIVI STOCKS PAR PAYSAN'!$BD$7,v_conc_prod_tye_affinage,'SUIVI STOCKS PAR PAYSAN'!$J81,v_Date_commande,"&gt;"&amp;date_inventaire)</f>
        <v>0</v>
      </c>
      <c r="BE81" s="326">
        <f ca="1">SUMIFS(bddres_pieces,'BDD RESERVATIONS'!$G:$G,'SUIVI STOCKS PAR PAYSAN'!BD76,bddres_c_prod_type_aff,'SUIVI STOCKS PAR PAYSAN'!J81,'BDD RESERVATIONS'!$B:$B,"&gt;"&amp;date_inventaire)</f>
        <v>0</v>
      </c>
      <c r="BF81" s="343">
        <f ca="1">SUMIFS(es_pieces,es_prod_type_affinage,'SUIVI STOCKS PAR PAYSAN'!J81,es_date_entree,"&gt;"&amp;date_inventaire,es_taille,'SUIVI STOCKS PAR PAYSAN'!$BF$7)-SUMIFS(v_Pièces,v_Taille,'SUIVI STOCKS PAR PAYSAN'!$BF$7,v_conc_prod_tye_affinage,'SUIVI STOCKS PAR PAYSAN'!J81,v_Date_commande,"&gt;"&amp;date_inventaire)</f>
        <v>0</v>
      </c>
      <c r="BG81" s="353">
        <f ca="1">SUMIFS(bddres_pieces,'BDD RESERVATIONS'!$G:$G,'SUIVI STOCKS PAR PAYSAN'!$BF$7,bddres_c_prod_type_aff,'SUIVI STOCKS PAR PAYSAN'!J81,'BDD RESERVATIONS'!$B:$B,"&gt;"&amp;date_inventaire)</f>
        <v>0</v>
      </c>
    </row>
    <row r="82" spans="1:59" ht="18.75" customHeight="1" x14ac:dyDescent="0.25">
      <c r="A82" s="331">
        <f ca="1">OFFSET('BDD PAYSANS'!$B$1,B82,0,1,1)</f>
        <v>0</v>
      </c>
      <c r="B82" s="325">
        <v>71</v>
      </c>
      <c r="C82" s="325" t="str">
        <f t="shared" ca="1" si="3"/>
        <v>0FERMIER&lt;3 mois</v>
      </c>
      <c r="D82" s="325" t="str">
        <f t="shared" ca="1" si="3"/>
        <v>0FERMIER3-6 mois</v>
      </c>
      <c r="E82" s="325" t="str">
        <f t="shared" ca="1" si="3"/>
        <v>0FERMIER6-9 mois</v>
      </c>
      <c r="F82" s="325" t="str">
        <f t="shared" ca="1" si="3"/>
        <v>0FERMIER&gt;9 mois</v>
      </c>
      <c r="G82" s="325" t="str">
        <f t="shared" ca="1" si="3"/>
        <v>0ESTIVE&lt;3 mois</v>
      </c>
      <c r="H82" s="325" t="str">
        <f t="shared" ca="1" si="3"/>
        <v>0ESTIVE3-6 mois</v>
      </c>
      <c r="I82" s="325" t="str">
        <f t="shared" ca="1" si="3"/>
        <v>0ESTIVE6-9 mois</v>
      </c>
      <c r="J82" s="325" t="str">
        <f t="shared" ca="1" si="3"/>
        <v>0ESTIVE&gt;9 mois</v>
      </c>
      <c r="K82" s="325"/>
      <c r="L82" s="352">
        <f ca="1">SUMIFS(es_poids,es_prod_type_affinage,'SUIVI STOCKS PAR PAYSAN'!$C82,es_date_entree,"&gt;"&amp;date_inventaire)-SUMIFS(v_Poids,v_conc_prod_tye_affinage,'SUIVI STOCKS PAR PAYSAN'!$C82,v_Date_commande,"&gt;"&amp;date_inventaire)</f>
        <v>0</v>
      </c>
      <c r="M82" s="341">
        <f ca="1">SUMIFS(bddres_c_qte,bddres_c_prod_type_aff,'SUIVI STOCKS PAR PAYSAN'!C82,'BDD RESERVATIONS'!$B:$B,"&gt;"&amp;date_inventaire)</f>
        <v>0</v>
      </c>
      <c r="N82" s="342">
        <f ca="1">SUMIFS(bddres_pieces,es_prod_type_affinage,'SUIVI STOCKS PAR PAYSAN'!$C82,es_date_entree,"&gt;"&amp;date_inventaire,es_taille,'SUIVI STOCKS PAR PAYSAN'!$N$7)-SUMIFS(v_Pièces,v_Taille,'SUIVI STOCKS PAR PAYSAN'!$N$7,v_conc_prod_tye_affinage,'SUIVI STOCKS PAR PAYSAN'!$C82,v_Date_commande,"&gt;"&amp;date_inventaire)</f>
        <v>0</v>
      </c>
      <c r="O82" s="342">
        <f ca="1">SUMIFS(bddres_pieces,'BDD RESERVATIONS'!$G:$G,'SUIVI STOCKS PAR PAYSAN'!$N$7,bddres_c_prod_type_aff,'SUIVI STOCKS PAR PAYSAN'!$C82,'BDD RESERVATIONS'!$B:$B,"&gt;"&amp;date_inventaire)</f>
        <v>0</v>
      </c>
      <c r="P82" s="343">
        <f ca="1">SUMIFS(es_pieces,es_prod_type_affinage,'SUIVI STOCKS PAR PAYSAN'!$C82,es_date_entree,"&gt;"&amp;date_inventaire,es_taille,'SUIVI STOCKS PAR PAYSAN'!$P$7)-SUMIFS(v_Pièces,v_Taille,'SUIVI STOCKS PAR PAYSAN'!$P$7,v_conc_prod_tye_affinage,'SUIVI STOCKS PAR PAYSAN'!$C82,v_Date_commande,"&gt;"&amp;date_inventaire)</f>
        <v>0</v>
      </c>
      <c r="Q82" s="353">
        <f ca="1">SUMIFS(bddres_pieces,'BDD RESERVATIONS'!$G:$G,'SUIVI STOCKS PAR PAYSAN'!$P$7,bddres_c_prod_type_aff,'SUIVI STOCKS PAR PAYSAN'!$C82,'BDD RESERVATIONS'!$B:$B,"&gt;"&amp;date_inventaire)</f>
        <v>0</v>
      </c>
      <c r="R82" s="340">
        <f ca="1">SUMIFS(es_poids,es_prod_type_affinage,'SUIVI STOCKS PAR PAYSAN'!$D82,es_date_entree,"&gt;"&amp;date_inventaire)-SUMIFS(v_Poids,v_conc_prod_tye_affinage,'SUIVI STOCKS PAR PAYSAN'!$D82,v_Date_commande,"&gt;"&amp;date_inventaire)</f>
        <v>0</v>
      </c>
      <c r="S82" s="341">
        <f ca="1">SUMIFS(bddres_c_qte,bddres_c_prod_type_aff,'SUIVI STOCKS PAR PAYSAN'!D82,'BDD RESERVATIONS'!$B:$B,"&gt;"&amp;date_inventaire)</f>
        <v>0</v>
      </c>
      <c r="T82" s="342">
        <f ca="1">SUMIFS(bddres_pieces,es_prod_type_affinage,'SUIVI STOCKS PAR PAYSAN'!$D82,es_date_entree,"&gt;"&amp;date_inventaire,es_taille,'SUIVI STOCKS PAR PAYSAN'!$T$7)-SUMIFS(v_Pièces,v_Taille,'SUIVI STOCKS PAR PAYSAN'!$T$7,v_conc_prod_tye_affinage,'SUIVI STOCKS PAR PAYSAN'!$D82,v_Date_commande,"&gt;"&amp;date_inventaire)</f>
        <v>0</v>
      </c>
      <c r="U82" s="342">
        <f ca="1">SUMIFS(bddres_pieces,'BDD RESERVATIONS'!$G:$G,'SUIVI STOCKS PAR PAYSAN'!$T$7,bddres_c_prod_type_aff,'SUIVI STOCKS PAR PAYSAN'!$D82,'BDD RESERVATIONS'!$B:$B,"&gt;"&amp;date_inventaire)</f>
        <v>0</v>
      </c>
      <c r="V82" s="343">
        <f ca="1">SUMIFS(es_pieces,es_prod_type_affinage,'SUIVI STOCKS PAR PAYSAN'!$D82,es_date_entree,"&gt;"&amp;date_inventaire,es_taille,'SUIVI STOCKS PAR PAYSAN'!$V$7)-SUMIFS(v_Pièces,v_Taille,'SUIVI STOCKS PAR PAYSAN'!$V$7,v_conc_prod_tye_affinage,'SUIVI STOCKS PAR PAYSAN'!$D82,v_Date_commande,"&gt;"&amp;date_inventaire)</f>
        <v>0</v>
      </c>
      <c r="W82" s="353">
        <f ca="1">SUMIFS(bddres_pieces,'BDD RESERVATIONS'!$G:$G,'SUIVI STOCKS PAR PAYSAN'!$V$7,bddres_c_prod_type_aff,'SUIVI STOCKS PAR PAYSAN'!$D82,'BDD RESERVATIONS'!$B:$B,"&gt;"&amp;date_inventaire)</f>
        <v>0</v>
      </c>
      <c r="X82" s="313">
        <f ca="1">SUMIFS(es_poids,es_prod_type_affinage,'SUIVI STOCKS PAR PAYSAN'!$E82,es_date_entree,"&gt;"&amp;date_inventaire)-SUMIFS(v_Poids,v_conc_prod_tye_affinage,'SUIVI STOCKS PAR PAYSAN'!$E82,v_Date_commande,"&gt;"&amp;date_inventaire)</f>
        <v>0</v>
      </c>
      <c r="Y82" s="341">
        <f ca="1">SUMIFS(bddres_c_qte,bddres_c_prod_type_aff,'SUIVI STOCKS PAR PAYSAN'!E82,'BDD RESERVATIONS'!$B:$B,"&gt;"&amp;date_inventaire)</f>
        <v>0</v>
      </c>
      <c r="Z82" s="342">
        <f ca="1">SUMIFS(bddres_pieces,es_prod_type_affinage,'SUIVI STOCKS PAR PAYSAN'!$E82,es_date_entree,"&gt;"&amp;date_inventaire,es_taille,'SUIVI STOCKS PAR PAYSAN'!$Z$7)-SUMIFS(v_Pièces,v_Taille,'SUIVI STOCKS PAR PAYSAN'!$Z$7,v_conc_prod_tye_affinage,'SUIVI STOCKS PAR PAYSAN'!$E82,v_Date_commande,"&gt;"&amp;date_inventaire)</f>
        <v>0</v>
      </c>
      <c r="AA82" s="342">
        <f ca="1">SUMIFS(bddres_pieces,'BDD RESERVATIONS'!$G:$G,'SUIVI STOCKS PAR PAYSAN'!$Z$7,bddres_c_prod_type_aff,'SUIVI STOCKS PAR PAYSAN'!$E82,'BDD RESERVATIONS'!$B:$B,"&gt;"&amp;date_inventaire)</f>
        <v>0</v>
      </c>
      <c r="AB82" s="343">
        <f ca="1">SUMIFS(es_pieces,es_prod_type_affinage,'SUIVI STOCKS PAR PAYSAN'!$E82,es_date_entree,"&gt;"&amp;date_inventaire,es_taille,'SUIVI STOCKS PAR PAYSAN'!$AB$7)-SUMIFS(v_Pièces,v_Taille,'SUIVI STOCKS PAR PAYSAN'!$AB$7,v_conc_prod_tye_affinage,'SUIVI STOCKS PAR PAYSAN'!$E82,v_Date_commande,"&gt;"&amp;date_inventaire)</f>
        <v>0</v>
      </c>
      <c r="AC82" s="353">
        <f ca="1">SUMIFS(bddres_pieces,'BDD RESERVATIONS'!$G:$G,'SUIVI STOCKS PAR PAYSAN'!$AB$7,bddres_c_prod_type_aff,'SUIVI STOCKS PAR PAYSAN'!$E82,'BDD RESERVATIONS'!$B:$B,"&gt;"&amp;date_inventaire)</f>
        <v>0</v>
      </c>
      <c r="AD82" s="313">
        <f ca="1">SUMIFS(es_poids,es_prod_type_affinage,'SUIVI STOCKS PAR PAYSAN'!$F82,es_date_entree,"&gt;"&amp;date_inventaire)-SUMIFS(v_Poids,v_conc_prod_tye_affinage,'SUIVI STOCKS PAR PAYSAN'!$F82,v_Date_commande,"&gt;"&amp;date_inventaire)</f>
        <v>0</v>
      </c>
      <c r="AE82" s="341">
        <f ca="1">SUMIFS(bddres_c_qte,bddres_c_prod_type_aff,'SUIVI STOCKS PAR PAYSAN'!F82,'BDD RESERVATIONS'!$B:$B,"&gt;"&amp;date_inventaire)</f>
        <v>0</v>
      </c>
      <c r="AF82" s="342">
        <f ca="1">SUMIFS(bddres_pieces,es_prod_type_affinage,'SUIVI STOCKS PAR PAYSAN'!$F82,es_date_entree,"&gt;"&amp;date_inventaire,es_taille,'SUIVI STOCKS PAR PAYSAN'!$Z$7)-SUMIFS(v_Pièces,v_Taille,'SUIVI STOCKS PAR PAYSAN'!$Z$7,v_conc_prod_tye_affinage,'SUIVI STOCKS PAR PAYSAN'!$F82,v_Date_commande,"&gt;"&amp;date_inventaire)</f>
        <v>0</v>
      </c>
      <c r="AG82" s="342">
        <f ca="1">SUMIFS(bddres_pieces,'BDD RESERVATIONS'!$G:$G,'SUIVI STOCKS PAR PAYSAN'!$Z$7,bddres_c_prod_type_aff,'SUIVI STOCKS PAR PAYSAN'!$F82,'BDD RESERVATIONS'!$B:$B,"&gt;"&amp;date_inventaire)</f>
        <v>0</v>
      </c>
      <c r="AH82" s="343">
        <f ca="1">SUMIFS(es_pieces,es_prod_type_affinage,'SUIVI STOCKS PAR PAYSAN'!$F82,es_date_entree,"&gt;"&amp;date_inventaire,es_taille,'SUIVI STOCKS PAR PAYSAN'!$AH$7)-SUMIFS(v_Pièces,v_Taille,'SUIVI STOCKS PAR PAYSAN'!$AH$7,v_conc_prod_tye_affinage,'SUIVI STOCKS PAR PAYSAN'!$F82,v_Date_commande,"&gt;"&amp;date_inventaire)</f>
        <v>0</v>
      </c>
      <c r="AI82" s="353">
        <f ca="1">SUMIFS(bddres_pieces,'BDD RESERVATIONS'!$G:$G,'SUIVI STOCKS PAR PAYSAN'!$AB$7,bddres_c_prod_type_aff,'SUIVI STOCKS PAR PAYSAN'!$F82,'BDD RESERVATIONS'!$B:$B,"&gt;"&amp;date_inventaire)</f>
        <v>0</v>
      </c>
      <c r="AJ82" s="352">
        <f ca="1">SUMIFS(es_poids,es_prod_type_affinage,'SUIVI STOCKS PAR PAYSAN'!$G82,es_date_entree,"&gt;"&amp;date_inventaire)-SUMIFS(v_Poids,v_conc_prod_tye_affinage,'SUIVI STOCKS PAR PAYSAN'!$G82,v_Date_commande,"&gt;"&amp;date_inventaire)</f>
        <v>0</v>
      </c>
      <c r="AK82" s="341">
        <f ca="1">SUMIFS(bddres_c_qte,bddres_c_prod_type_aff,'SUIVI STOCKS PAR PAYSAN'!G82,'BDD RESERVATIONS'!$B:$B,"&gt;"&amp;date_inventaire)</f>
        <v>0</v>
      </c>
      <c r="AL82" s="342">
        <f ca="1">SUMIFS(bddres_pieces,es_prod_type_affinage,'SUIVI STOCKS PAR PAYSAN'!$G82,es_date_entree,"&gt;"&amp;date_inventaire,es_taille,'SUIVI STOCKS PAR PAYSAN'!$AL$7)-SUMIFS(v_Pièces,v_Taille,'SUIVI STOCKS PAR PAYSAN'!$AL$7,v_conc_prod_tye_affinage,'SUIVI STOCKS PAR PAYSAN'!$G82,v_Date_commande,"&gt;"&amp;date_inventaire)</f>
        <v>0</v>
      </c>
      <c r="AM82" s="342">
        <f ca="1">SUMIFS(bddres_pieces,'BDD RESERVATIONS'!$G:$G,'SUIVI STOCKS PAR PAYSAN'!$AL$7,bddres_c_prod_type_aff,'SUIVI STOCKS PAR PAYSAN'!$G82,'BDD RESERVATIONS'!$B:$B,"&gt;"&amp;date_inventaire)</f>
        <v>0</v>
      </c>
      <c r="AN82" s="343">
        <f ca="1">SUMIFS(es_pieces,es_prod_type_affinage,'SUIVI STOCKS PAR PAYSAN'!$G82,es_date_entree,"&gt;"&amp;date_inventaire,es_taille,'SUIVI STOCKS PAR PAYSAN'!$AN$7)-SUMIFS(v_Pièces,v_Taille,'SUIVI STOCKS PAR PAYSAN'!$AN$7,v_conc_prod_tye_affinage,'SUIVI STOCKS PAR PAYSAN'!$G82,v_Date_commande,"&gt;"&amp;date_inventaire)</f>
        <v>0</v>
      </c>
      <c r="AO82" s="353">
        <f ca="1">SUMIFS(bddres_pieces,'BDD RESERVATIONS'!$G:$G,'SUIVI STOCKS PAR PAYSAN'!$AN$7,bddres_c_prod_type_aff,'SUIVI STOCKS PAR PAYSAN'!$G82,'BDD RESERVATIONS'!$B:$B,"&gt;"&amp;date_inventaire)</f>
        <v>0</v>
      </c>
      <c r="AP82" s="313">
        <f ca="1">SUMIFS(es_poids,es_prod_type_affinage,'SUIVI STOCKS PAR PAYSAN'!$H82,es_date_entree,"&gt;"&amp;date_inventaire)-SUMIFS(v_Poids,v_conc_prod_tye_affinage,'SUIVI STOCKS PAR PAYSAN'!$H82,v_Date_commande,"&gt;"&amp;date_inventaire)</f>
        <v>0</v>
      </c>
      <c r="AQ82" s="341">
        <f ca="1">SUMIFS(bddres_c_qte,bddres_c_prod_type_aff,'SUIVI STOCKS PAR PAYSAN'!H82,'BDD RESERVATIONS'!$B:$B,"&gt;"&amp;date_inventaire)</f>
        <v>0</v>
      </c>
      <c r="AR82" s="342">
        <f ca="1">SUMIFS(bddres_pieces,es_prod_type_affinage,'SUIVI STOCKS PAR PAYSAN'!$H82,es_date_entree,"&gt;"&amp;date_inventaire,es_taille,'SUIVI STOCKS PAR PAYSAN'!$AR$7)-SUMIFS(v_Pièces,v_Taille,'SUIVI STOCKS PAR PAYSAN'!$AR$7,v_conc_prod_tye_affinage,'SUIVI STOCKS PAR PAYSAN'!$H82,v_Date_commande,"&gt;"&amp;date_inventaire)</f>
        <v>0</v>
      </c>
      <c r="AS82" s="326">
        <f ca="1">SUMIFS(bddres_pieces,'BDD RESERVATIONS'!$G:$G,'SUIVI STOCKS PAR PAYSAN'!AR77,bddres_c_prod_type_aff,'SUIVI STOCKS PAR PAYSAN'!$H82,'BDD RESERVATIONS'!$B:$B,"&gt;"&amp;date_inventaire)</f>
        <v>0</v>
      </c>
      <c r="AT82" s="343">
        <f ca="1">SUMIFS(es_pieces,es_prod_type_affinage,'SUIVI STOCKS PAR PAYSAN'!$H82,es_date_entree,"&gt;"&amp;date_inventaire,es_taille,'SUIVI STOCKS PAR PAYSAN'!$AT$7)-SUMIFS(v_Pièces,v_Taille,'SUIVI STOCKS PAR PAYSAN'!$AT$7,v_conc_prod_tye_affinage,'SUIVI STOCKS PAR PAYSAN'!$H82,v_Date_commande,"&gt;"&amp;date_inventaire)</f>
        <v>0</v>
      </c>
      <c r="AU82" s="353">
        <f ca="1">SUMIFS(bddres_pieces,'BDD RESERVATIONS'!$G:$G,'SUIVI STOCKS PAR PAYSAN'!$AT$7,bddres_c_prod_type_aff,'SUIVI STOCKS PAR PAYSAN'!$H82,'BDD RESERVATIONS'!$B:$B,"&gt;"&amp;date_inventaire)</f>
        <v>0</v>
      </c>
      <c r="AV82" s="313">
        <f ca="1">SUMIFS(es_poids,es_prod_type_affinage,'SUIVI STOCKS PAR PAYSAN'!$I82,es_date_entree,"&gt;"&amp;date_inventaire)-SUMIFS(v_Poids,v_conc_prod_tye_affinage,'SUIVI STOCKS PAR PAYSAN'!$E82,v_Date_commande,"&gt;"&amp;date_inventaire)</f>
        <v>0</v>
      </c>
      <c r="AW82" s="313">
        <f ca="1">SUMIFS(bddres_c_qte,bddres_c_prod_type_aff,'SUIVI STOCKS PAR PAYSAN'!I82,'BDD RESERVATIONS'!$B:$B,"&gt;"&amp;date_inventaire)</f>
        <v>0</v>
      </c>
      <c r="AX82" s="342">
        <f ca="1">SUMIFS(bddres_pieces,es_prod_type_affinage,'SUIVI STOCKS PAR PAYSAN'!$I82,es_date_entree,"&gt;"&amp;date_inventaire,es_taille,'SUIVI STOCKS PAR PAYSAN'!$AX$7)-SUMIFS(v_Pièces,v_Taille,'SUIVI STOCKS PAR PAYSAN'!$AX$7,v_conc_prod_tye_affinage,'SUIVI STOCKS PAR PAYSAN'!$I82,v_Date_commande,"&gt;"&amp;date_inventaire)</f>
        <v>0</v>
      </c>
      <c r="AY82" s="342">
        <f ca="1">SUMIFS(bddres_pieces,'BDD RESERVATIONS'!$G:$G,'SUIVI STOCKS PAR PAYSAN'!$AX$7,bddres_c_prod_type_aff,'SUIVI STOCKS PAR PAYSAN'!$I82,'BDD RESERVATIONS'!$B:$B,"&gt;"&amp;date_inventaire)</f>
        <v>0</v>
      </c>
      <c r="AZ82" s="343">
        <f ca="1">SUMIFS(es_pieces,es_prod_type_affinage,'SUIVI STOCKS PAR PAYSAN'!$I82,es_date_entree,"&gt;"&amp;date_inventaire,es_taille,'SUIVI STOCKS PAR PAYSAN'!$AZ$7)-SUMIFS(v_Pièces,v_Taille,'SUIVI STOCKS PAR PAYSAN'!$AZ$7,v_conc_prod_tye_affinage,'SUIVI STOCKS PAR PAYSAN'!$I82,v_Date_commande,"&gt;"&amp;date_inventaire)</f>
        <v>0</v>
      </c>
      <c r="BA82" s="353">
        <f ca="1">SUMIFS(bddres_pieces,'BDD RESERVATIONS'!$G:$G,'SUIVI STOCKS PAR PAYSAN'!$AZ$7,bddres_c_prod_type_aff,'SUIVI STOCKS PAR PAYSAN'!$I82,'BDD RESERVATIONS'!$B:$B,"&gt;"&amp;date_inventaire)</f>
        <v>0</v>
      </c>
      <c r="BB82" s="313">
        <f ca="1">SUMIFS(es_poids,es_prod_type_affinage,'SUIVI STOCKS PAR PAYSAN'!$J82,es_date_entree,"&gt;"&amp;date_inventaire)-SUMIFS(v_Poids,v_conc_prod_tye_affinage,'SUIVI STOCKS PAR PAYSAN'!$J82,v_Date_commande,"&gt;"&amp;date_inventaire)</f>
        <v>0</v>
      </c>
      <c r="BC82" s="313">
        <f ca="1">SUMIFS(bddres_c_qte,bddres_c_prod_type_aff,'SUIVI STOCKS PAR PAYSAN'!J82,'BDD RESERVATIONS'!$B:$B,"&gt;"&amp;date_inventaire)</f>
        <v>0</v>
      </c>
      <c r="BD82" s="342">
        <f ca="1">SUMIFS(bddres_pieces,es_prod_type_affinage,'SUIVI STOCKS PAR PAYSAN'!$J82,es_date_entree,"&gt;"&amp;date_inventaire,es_taille,'SUIVI STOCKS PAR PAYSAN'!$BD$7)-SUMIFS(v_Pièces,v_Taille,'SUIVI STOCKS PAR PAYSAN'!$BD$7,v_conc_prod_tye_affinage,'SUIVI STOCKS PAR PAYSAN'!$J82,v_Date_commande,"&gt;"&amp;date_inventaire)</f>
        <v>0</v>
      </c>
      <c r="BE82" s="326">
        <f ca="1">SUMIFS(bddres_pieces,'BDD RESERVATIONS'!$G:$G,'SUIVI STOCKS PAR PAYSAN'!BD77,bddres_c_prod_type_aff,'SUIVI STOCKS PAR PAYSAN'!J82,'BDD RESERVATIONS'!$B:$B,"&gt;"&amp;date_inventaire)</f>
        <v>0</v>
      </c>
      <c r="BF82" s="343">
        <f ca="1">SUMIFS(es_pieces,es_prod_type_affinage,'SUIVI STOCKS PAR PAYSAN'!J82,es_date_entree,"&gt;"&amp;date_inventaire,es_taille,'SUIVI STOCKS PAR PAYSAN'!$BF$7)-SUMIFS(v_Pièces,v_Taille,'SUIVI STOCKS PAR PAYSAN'!$BF$7,v_conc_prod_tye_affinage,'SUIVI STOCKS PAR PAYSAN'!J82,v_Date_commande,"&gt;"&amp;date_inventaire)</f>
        <v>0</v>
      </c>
      <c r="BG82" s="353">
        <f ca="1">SUMIFS(bddres_pieces,'BDD RESERVATIONS'!$G:$G,'SUIVI STOCKS PAR PAYSAN'!$BF$7,bddres_c_prod_type_aff,'SUIVI STOCKS PAR PAYSAN'!J82,'BDD RESERVATIONS'!$B:$B,"&gt;"&amp;date_inventaire)</f>
        <v>0</v>
      </c>
    </row>
    <row r="83" spans="1:59" ht="18.75" customHeight="1" x14ac:dyDescent="0.25">
      <c r="A83" s="331">
        <f ca="1">OFFSET('BDD PAYSANS'!$B$1,B83,0,1,1)</f>
        <v>0</v>
      </c>
      <c r="B83" s="325">
        <v>72</v>
      </c>
      <c r="C83" s="325" t="str">
        <f t="shared" ca="1" si="3"/>
        <v>0FERMIER&lt;3 mois</v>
      </c>
      <c r="D83" s="325" t="str">
        <f t="shared" ca="1" si="3"/>
        <v>0FERMIER3-6 mois</v>
      </c>
      <c r="E83" s="325" t="str">
        <f t="shared" ca="1" si="3"/>
        <v>0FERMIER6-9 mois</v>
      </c>
      <c r="F83" s="325" t="str">
        <f t="shared" ca="1" si="3"/>
        <v>0FERMIER&gt;9 mois</v>
      </c>
      <c r="G83" s="325" t="str">
        <f t="shared" ca="1" si="3"/>
        <v>0ESTIVE&lt;3 mois</v>
      </c>
      <c r="H83" s="325" t="str">
        <f t="shared" ca="1" si="3"/>
        <v>0ESTIVE3-6 mois</v>
      </c>
      <c r="I83" s="325" t="str">
        <f t="shared" ca="1" si="3"/>
        <v>0ESTIVE6-9 mois</v>
      </c>
      <c r="J83" s="325" t="str">
        <f t="shared" ca="1" si="3"/>
        <v>0ESTIVE&gt;9 mois</v>
      </c>
      <c r="K83" s="325"/>
      <c r="L83" s="352">
        <f ca="1">SUMIFS(es_poids,es_prod_type_affinage,'SUIVI STOCKS PAR PAYSAN'!$C83,es_date_entree,"&gt;"&amp;date_inventaire)-SUMIFS(v_Poids,v_conc_prod_tye_affinage,'SUIVI STOCKS PAR PAYSAN'!$C83,v_Date_commande,"&gt;"&amp;date_inventaire)</f>
        <v>0</v>
      </c>
      <c r="M83" s="341">
        <f ca="1">SUMIFS(bddres_c_qte,bddres_c_prod_type_aff,'SUIVI STOCKS PAR PAYSAN'!C83,'BDD RESERVATIONS'!$B:$B,"&gt;"&amp;date_inventaire)</f>
        <v>0</v>
      </c>
      <c r="N83" s="342">
        <f ca="1">SUMIFS(bddres_pieces,es_prod_type_affinage,'SUIVI STOCKS PAR PAYSAN'!$C83,es_date_entree,"&gt;"&amp;date_inventaire,es_taille,'SUIVI STOCKS PAR PAYSAN'!$N$7)-SUMIFS(v_Pièces,v_Taille,'SUIVI STOCKS PAR PAYSAN'!$N$7,v_conc_prod_tye_affinage,'SUIVI STOCKS PAR PAYSAN'!$C83,v_Date_commande,"&gt;"&amp;date_inventaire)</f>
        <v>0</v>
      </c>
      <c r="O83" s="342">
        <f ca="1">SUMIFS(bddres_pieces,'BDD RESERVATIONS'!$G:$G,'SUIVI STOCKS PAR PAYSAN'!$N$7,bddres_c_prod_type_aff,'SUIVI STOCKS PAR PAYSAN'!$C83,'BDD RESERVATIONS'!$B:$B,"&gt;"&amp;date_inventaire)</f>
        <v>0</v>
      </c>
      <c r="P83" s="343">
        <f ca="1">SUMIFS(es_pieces,es_prod_type_affinage,'SUIVI STOCKS PAR PAYSAN'!$C83,es_date_entree,"&gt;"&amp;date_inventaire,es_taille,'SUIVI STOCKS PAR PAYSAN'!$P$7)-SUMIFS(v_Pièces,v_Taille,'SUIVI STOCKS PAR PAYSAN'!$P$7,v_conc_prod_tye_affinage,'SUIVI STOCKS PAR PAYSAN'!$C83,v_Date_commande,"&gt;"&amp;date_inventaire)</f>
        <v>0</v>
      </c>
      <c r="Q83" s="353">
        <f ca="1">SUMIFS(bddres_pieces,'BDD RESERVATIONS'!$G:$G,'SUIVI STOCKS PAR PAYSAN'!$P$7,bddres_c_prod_type_aff,'SUIVI STOCKS PAR PAYSAN'!$C83,'BDD RESERVATIONS'!$B:$B,"&gt;"&amp;date_inventaire)</f>
        <v>0</v>
      </c>
      <c r="R83" s="340">
        <f ca="1">SUMIFS(es_poids,es_prod_type_affinage,'SUIVI STOCKS PAR PAYSAN'!$D83,es_date_entree,"&gt;"&amp;date_inventaire)-SUMIFS(v_Poids,v_conc_prod_tye_affinage,'SUIVI STOCKS PAR PAYSAN'!$D83,v_Date_commande,"&gt;"&amp;date_inventaire)</f>
        <v>0</v>
      </c>
      <c r="S83" s="341">
        <f ca="1">SUMIFS(bddres_c_qte,bddres_c_prod_type_aff,'SUIVI STOCKS PAR PAYSAN'!D83,'BDD RESERVATIONS'!$B:$B,"&gt;"&amp;date_inventaire)</f>
        <v>0</v>
      </c>
      <c r="T83" s="342">
        <f ca="1">SUMIFS(bddres_pieces,es_prod_type_affinage,'SUIVI STOCKS PAR PAYSAN'!$D83,es_date_entree,"&gt;"&amp;date_inventaire,es_taille,'SUIVI STOCKS PAR PAYSAN'!$T$7)-SUMIFS(v_Pièces,v_Taille,'SUIVI STOCKS PAR PAYSAN'!$T$7,v_conc_prod_tye_affinage,'SUIVI STOCKS PAR PAYSAN'!$D83,v_Date_commande,"&gt;"&amp;date_inventaire)</f>
        <v>0</v>
      </c>
      <c r="U83" s="342">
        <f ca="1">SUMIFS(bddres_pieces,'BDD RESERVATIONS'!$G:$G,'SUIVI STOCKS PAR PAYSAN'!$T$7,bddres_c_prod_type_aff,'SUIVI STOCKS PAR PAYSAN'!$D83,'BDD RESERVATIONS'!$B:$B,"&gt;"&amp;date_inventaire)</f>
        <v>0</v>
      </c>
      <c r="V83" s="343">
        <f ca="1">SUMIFS(es_pieces,es_prod_type_affinage,'SUIVI STOCKS PAR PAYSAN'!$D83,es_date_entree,"&gt;"&amp;date_inventaire,es_taille,'SUIVI STOCKS PAR PAYSAN'!$V$7)-SUMIFS(v_Pièces,v_Taille,'SUIVI STOCKS PAR PAYSAN'!$V$7,v_conc_prod_tye_affinage,'SUIVI STOCKS PAR PAYSAN'!$D83,v_Date_commande,"&gt;"&amp;date_inventaire)</f>
        <v>0</v>
      </c>
      <c r="W83" s="353">
        <f ca="1">SUMIFS(bddres_pieces,'BDD RESERVATIONS'!$G:$G,'SUIVI STOCKS PAR PAYSAN'!$V$7,bddres_c_prod_type_aff,'SUIVI STOCKS PAR PAYSAN'!$D83,'BDD RESERVATIONS'!$B:$B,"&gt;"&amp;date_inventaire)</f>
        <v>0</v>
      </c>
      <c r="X83" s="313">
        <f ca="1">SUMIFS(es_poids,es_prod_type_affinage,'SUIVI STOCKS PAR PAYSAN'!$E83,es_date_entree,"&gt;"&amp;date_inventaire)-SUMIFS(v_Poids,v_conc_prod_tye_affinage,'SUIVI STOCKS PAR PAYSAN'!$E83,v_Date_commande,"&gt;"&amp;date_inventaire)</f>
        <v>0</v>
      </c>
      <c r="Y83" s="341">
        <f ca="1">SUMIFS(bddres_c_qte,bddres_c_prod_type_aff,'SUIVI STOCKS PAR PAYSAN'!E83,'BDD RESERVATIONS'!$B:$B,"&gt;"&amp;date_inventaire)</f>
        <v>0</v>
      </c>
      <c r="Z83" s="342">
        <f ca="1">SUMIFS(bddres_pieces,es_prod_type_affinage,'SUIVI STOCKS PAR PAYSAN'!$E83,es_date_entree,"&gt;"&amp;date_inventaire,es_taille,'SUIVI STOCKS PAR PAYSAN'!$Z$7)-SUMIFS(v_Pièces,v_Taille,'SUIVI STOCKS PAR PAYSAN'!$Z$7,v_conc_prod_tye_affinage,'SUIVI STOCKS PAR PAYSAN'!$E83,v_Date_commande,"&gt;"&amp;date_inventaire)</f>
        <v>0</v>
      </c>
      <c r="AA83" s="342">
        <f ca="1">SUMIFS(bddres_pieces,'BDD RESERVATIONS'!$G:$G,'SUIVI STOCKS PAR PAYSAN'!$Z$7,bddres_c_prod_type_aff,'SUIVI STOCKS PAR PAYSAN'!$E83,'BDD RESERVATIONS'!$B:$B,"&gt;"&amp;date_inventaire)</f>
        <v>0</v>
      </c>
      <c r="AB83" s="343">
        <f ca="1">SUMIFS(es_pieces,es_prod_type_affinage,'SUIVI STOCKS PAR PAYSAN'!$E83,es_date_entree,"&gt;"&amp;date_inventaire,es_taille,'SUIVI STOCKS PAR PAYSAN'!$AB$7)-SUMIFS(v_Pièces,v_Taille,'SUIVI STOCKS PAR PAYSAN'!$AB$7,v_conc_prod_tye_affinage,'SUIVI STOCKS PAR PAYSAN'!$E83,v_Date_commande,"&gt;"&amp;date_inventaire)</f>
        <v>0</v>
      </c>
      <c r="AC83" s="353">
        <f ca="1">SUMIFS(bddres_pieces,'BDD RESERVATIONS'!$G:$G,'SUIVI STOCKS PAR PAYSAN'!$AB$7,bddres_c_prod_type_aff,'SUIVI STOCKS PAR PAYSAN'!$E83,'BDD RESERVATIONS'!$B:$B,"&gt;"&amp;date_inventaire)</f>
        <v>0</v>
      </c>
      <c r="AD83" s="313">
        <f ca="1">SUMIFS(es_poids,es_prod_type_affinage,'SUIVI STOCKS PAR PAYSAN'!$F83,es_date_entree,"&gt;"&amp;date_inventaire)-SUMIFS(v_Poids,v_conc_prod_tye_affinage,'SUIVI STOCKS PAR PAYSAN'!$F83,v_Date_commande,"&gt;"&amp;date_inventaire)</f>
        <v>0</v>
      </c>
      <c r="AE83" s="341">
        <f ca="1">SUMIFS(bddres_c_qte,bddres_c_prod_type_aff,'SUIVI STOCKS PAR PAYSAN'!F83,'BDD RESERVATIONS'!$B:$B,"&gt;"&amp;date_inventaire)</f>
        <v>0</v>
      </c>
      <c r="AF83" s="342">
        <f ca="1">SUMIFS(bddres_pieces,es_prod_type_affinage,'SUIVI STOCKS PAR PAYSAN'!$F83,es_date_entree,"&gt;"&amp;date_inventaire,es_taille,'SUIVI STOCKS PAR PAYSAN'!$Z$7)-SUMIFS(v_Pièces,v_Taille,'SUIVI STOCKS PAR PAYSAN'!$Z$7,v_conc_prod_tye_affinage,'SUIVI STOCKS PAR PAYSAN'!$F83,v_Date_commande,"&gt;"&amp;date_inventaire)</f>
        <v>0</v>
      </c>
      <c r="AG83" s="342">
        <f ca="1">SUMIFS(bddres_pieces,'BDD RESERVATIONS'!$G:$G,'SUIVI STOCKS PAR PAYSAN'!$Z$7,bddres_c_prod_type_aff,'SUIVI STOCKS PAR PAYSAN'!$F83,'BDD RESERVATIONS'!$B:$B,"&gt;"&amp;date_inventaire)</f>
        <v>0</v>
      </c>
      <c r="AH83" s="343">
        <f ca="1">SUMIFS(es_pieces,es_prod_type_affinage,'SUIVI STOCKS PAR PAYSAN'!$F83,es_date_entree,"&gt;"&amp;date_inventaire,es_taille,'SUIVI STOCKS PAR PAYSAN'!$AH$7)-SUMIFS(v_Pièces,v_Taille,'SUIVI STOCKS PAR PAYSAN'!$AH$7,v_conc_prod_tye_affinage,'SUIVI STOCKS PAR PAYSAN'!$F83,v_Date_commande,"&gt;"&amp;date_inventaire)</f>
        <v>0</v>
      </c>
      <c r="AI83" s="353">
        <f ca="1">SUMIFS(bddres_pieces,'BDD RESERVATIONS'!$G:$G,'SUIVI STOCKS PAR PAYSAN'!$AB$7,bddres_c_prod_type_aff,'SUIVI STOCKS PAR PAYSAN'!$F83,'BDD RESERVATIONS'!$B:$B,"&gt;"&amp;date_inventaire)</f>
        <v>0</v>
      </c>
      <c r="AJ83" s="352">
        <f ca="1">SUMIFS(es_poids,es_prod_type_affinage,'SUIVI STOCKS PAR PAYSAN'!$G83,es_date_entree,"&gt;"&amp;date_inventaire)-SUMIFS(v_Poids,v_conc_prod_tye_affinage,'SUIVI STOCKS PAR PAYSAN'!$G83,v_Date_commande,"&gt;"&amp;date_inventaire)</f>
        <v>0</v>
      </c>
      <c r="AK83" s="341">
        <f ca="1">SUMIFS(bddres_c_qte,bddres_c_prod_type_aff,'SUIVI STOCKS PAR PAYSAN'!G83,'BDD RESERVATIONS'!$B:$B,"&gt;"&amp;date_inventaire)</f>
        <v>0</v>
      </c>
      <c r="AL83" s="342">
        <f ca="1">SUMIFS(bddres_pieces,es_prod_type_affinage,'SUIVI STOCKS PAR PAYSAN'!$G83,es_date_entree,"&gt;"&amp;date_inventaire,es_taille,'SUIVI STOCKS PAR PAYSAN'!$AL$7)-SUMIFS(v_Pièces,v_Taille,'SUIVI STOCKS PAR PAYSAN'!$AL$7,v_conc_prod_tye_affinage,'SUIVI STOCKS PAR PAYSAN'!$G83,v_Date_commande,"&gt;"&amp;date_inventaire)</f>
        <v>0</v>
      </c>
      <c r="AM83" s="342">
        <f ca="1">SUMIFS(bddres_pieces,'BDD RESERVATIONS'!$G:$G,'SUIVI STOCKS PAR PAYSAN'!$AL$7,bddres_c_prod_type_aff,'SUIVI STOCKS PAR PAYSAN'!$G83,'BDD RESERVATIONS'!$B:$B,"&gt;"&amp;date_inventaire)</f>
        <v>0</v>
      </c>
      <c r="AN83" s="343">
        <f ca="1">SUMIFS(es_pieces,es_prod_type_affinage,'SUIVI STOCKS PAR PAYSAN'!$G83,es_date_entree,"&gt;"&amp;date_inventaire,es_taille,'SUIVI STOCKS PAR PAYSAN'!$AN$7)-SUMIFS(v_Pièces,v_Taille,'SUIVI STOCKS PAR PAYSAN'!$AN$7,v_conc_prod_tye_affinage,'SUIVI STOCKS PAR PAYSAN'!$G83,v_Date_commande,"&gt;"&amp;date_inventaire)</f>
        <v>0</v>
      </c>
      <c r="AO83" s="353">
        <f ca="1">SUMIFS(bddres_pieces,'BDD RESERVATIONS'!$G:$G,'SUIVI STOCKS PAR PAYSAN'!$AN$7,bddres_c_prod_type_aff,'SUIVI STOCKS PAR PAYSAN'!$G83,'BDD RESERVATIONS'!$B:$B,"&gt;"&amp;date_inventaire)</f>
        <v>0</v>
      </c>
      <c r="AP83" s="313">
        <f ca="1">SUMIFS(es_poids,es_prod_type_affinage,'SUIVI STOCKS PAR PAYSAN'!$H83,es_date_entree,"&gt;"&amp;date_inventaire)-SUMIFS(v_Poids,v_conc_prod_tye_affinage,'SUIVI STOCKS PAR PAYSAN'!$H83,v_Date_commande,"&gt;"&amp;date_inventaire)</f>
        <v>0</v>
      </c>
      <c r="AQ83" s="341">
        <f ca="1">SUMIFS(bddres_c_qte,bddres_c_prod_type_aff,'SUIVI STOCKS PAR PAYSAN'!H83,'BDD RESERVATIONS'!$B:$B,"&gt;"&amp;date_inventaire)</f>
        <v>0</v>
      </c>
      <c r="AR83" s="342">
        <f ca="1">SUMIFS(bddres_pieces,es_prod_type_affinage,'SUIVI STOCKS PAR PAYSAN'!$H83,es_date_entree,"&gt;"&amp;date_inventaire,es_taille,'SUIVI STOCKS PAR PAYSAN'!$AR$7)-SUMIFS(v_Pièces,v_Taille,'SUIVI STOCKS PAR PAYSAN'!$AR$7,v_conc_prod_tye_affinage,'SUIVI STOCKS PAR PAYSAN'!$H83,v_Date_commande,"&gt;"&amp;date_inventaire)</f>
        <v>0</v>
      </c>
      <c r="AS83" s="326">
        <f ca="1">SUMIFS(bddres_pieces,'BDD RESERVATIONS'!$G:$G,'SUIVI STOCKS PAR PAYSAN'!AR78,bddres_c_prod_type_aff,'SUIVI STOCKS PAR PAYSAN'!$H83,'BDD RESERVATIONS'!$B:$B,"&gt;"&amp;date_inventaire)</f>
        <v>0</v>
      </c>
      <c r="AT83" s="343">
        <f ca="1">SUMIFS(es_pieces,es_prod_type_affinage,'SUIVI STOCKS PAR PAYSAN'!$H83,es_date_entree,"&gt;"&amp;date_inventaire,es_taille,'SUIVI STOCKS PAR PAYSAN'!$AT$7)-SUMIFS(v_Pièces,v_Taille,'SUIVI STOCKS PAR PAYSAN'!$AT$7,v_conc_prod_tye_affinage,'SUIVI STOCKS PAR PAYSAN'!$H83,v_Date_commande,"&gt;"&amp;date_inventaire)</f>
        <v>0</v>
      </c>
      <c r="AU83" s="353">
        <f ca="1">SUMIFS(bddres_pieces,'BDD RESERVATIONS'!$G:$G,'SUIVI STOCKS PAR PAYSAN'!$AT$7,bddres_c_prod_type_aff,'SUIVI STOCKS PAR PAYSAN'!$H83,'BDD RESERVATIONS'!$B:$B,"&gt;"&amp;date_inventaire)</f>
        <v>0</v>
      </c>
      <c r="AV83" s="313">
        <f ca="1">SUMIFS(es_poids,es_prod_type_affinage,'SUIVI STOCKS PAR PAYSAN'!$I83,es_date_entree,"&gt;"&amp;date_inventaire)-SUMIFS(v_Poids,v_conc_prod_tye_affinage,'SUIVI STOCKS PAR PAYSAN'!$E83,v_Date_commande,"&gt;"&amp;date_inventaire)</f>
        <v>0</v>
      </c>
      <c r="AW83" s="313">
        <f ca="1">SUMIFS(bddres_c_qte,bddres_c_prod_type_aff,'SUIVI STOCKS PAR PAYSAN'!I83,'BDD RESERVATIONS'!$B:$B,"&gt;"&amp;date_inventaire)</f>
        <v>0</v>
      </c>
      <c r="AX83" s="342">
        <f ca="1">SUMIFS(bddres_pieces,es_prod_type_affinage,'SUIVI STOCKS PAR PAYSAN'!$I83,es_date_entree,"&gt;"&amp;date_inventaire,es_taille,'SUIVI STOCKS PAR PAYSAN'!$AX$7)-SUMIFS(v_Pièces,v_Taille,'SUIVI STOCKS PAR PAYSAN'!$AX$7,v_conc_prod_tye_affinage,'SUIVI STOCKS PAR PAYSAN'!$I83,v_Date_commande,"&gt;"&amp;date_inventaire)</f>
        <v>0</v>
      </c>
      <c r="AY83" s="342">
        <f ca="1">SUMIFS(bddres_pieces,'BDD RESERVATIONS'!$G:$G,'SUIVI STOCKS PAR PAYSAN'!$AX$7,bddres_c_prod_type_aff,'SUIVI STOCKS PAR PAYSAN'!$I83,'BDD RESERVATIONS'!$B:$B,"&gt;"&amp;date_inventaire)</f>
        <v>0</v>
      </c>
      <c r="AZ83" s="343">
        <f ca="1">SUMIFS(es_pieces,es_prod_type_affinage,'SUIVI STOCKS PAR PAYSAN'!$I83,es_date_entree,"&gt;"&amp;date_inventaire,es_taille,'SUIVI STOCKS PAR PAYSAN'!$AZ$7)-SUMIFS(v_Pièces,v_Taille,'SUIVI STOCKS PAR PAYSAN'!$AZ$7,v_conc_prod_tye_affinage,'SUIVI STOCKS PAR PAYSAN'!$I83,v_Date_commande,"&gt;"&amp;date_inventaire)</f>
        <v>0</v>
      </c>
      <c r="BA83" s="353">
        <f ca="1">SUMIFS(bddres_pieces,'BDD RESERVATIONS'!$G:$G,'SUIVI STOCKS PAR PAYSAN'!$AZ$7,bddres_c_prod_type_aff,'SUIVI STOCKS PAR PAYSAN'!$I83,'BDD RESERVATIONS'!$B:$B,"&gt;"&amp;date_inventaire)</f>
        <v>0</v>
      </c>
      <c r="BB83" s="313">
        <f ca="1">SUMIFS(es_poids,es_prod_type_affinage,'SUIVI STOCKS PAR PAYSAN'!$J83,es_date_entree,"&gt;"&amp;date_inventaire)-SUMIFS(v_Poids,v_conc_prod_tye_affinage,'SUIVI STOCKS PAR PAYSAN'!$J83,v_Date_commande,"&gt;"&amp;date_inventaire)</f>
        <v>0</v>
      </c>
      <c r="BC83" s="313">
        <f ca="1">SUMIFS(bddres_c_qte,bddres_c_prod_type_aff,'SUIVI STOCKS PAR PAYSAN'!J83,'BDD RESERVATIONS'!$B:$B,"&gt;"&amp;date_inventaire)</f>
        <v>0</v>
      </c>
      <c r="BD83" s="342">
        <f ca="1">SUMIFS(bddres_pieces,es_prod_type_affinage,'SUIVI STOCKS PAR PAYSAN'!$J83,es_date_entree,"&gt;"&amp;date_inventaire,es_taille,'SUIVI STOCKS PAR PAYSAN'!$BD$7)-SUMIFS(v_Pièces,v_Taille,'SUIVI STOCKS PAR PAYSAN'!$BD$7,v_conc_prod_tye_affinage,'SUIVI STOCKS PAR PAYSAN'!$J83,v_Date_commande,"&gt;"&amp;date_inventaire)</f>
        <v>0</v>
      </c>
      <c r="BE83" s="326">
        <f ca="1">SUMIFS(bddres_pieces,'BDD RESERVATIONS'!$G:$G,'SUIVI STOCKS PAR PAYSAN'!BD78,bddres_c_prod_type_aff,'SUIVI STOCKS PAR PAYSAN'!J83,'BDD RESERVATIONS'!$B:$B,"&gt;"&amp;date_inventaire)</f>
        <v>0</v>
      </c>
      <c r="BF83" s="343">
        <f ca="1">SUMIFS(es_pieces,es_prod_type_affinage,'SUIVI STOCKS PAR PAYSAN'!J83,es_date_entree,"&gt;"&amp;date_inventaire,es_taille,'SUIVI STOCKS PAR PAYSAN'!$BF$7)-SUMIFS(v_Pièces,v_Taille,'SUIVI STOCKS PAR PAYSAN'!$BF$7,v_conc_prod_tye_affinage,'SUIVI STOCKS PAR PAYSAN'!J83,v_Date_commande,"&gt;"&amp;date_inventaire)</f>
        <v>0</v>
      </c>
      <c r="BG83" s="353">
        <f ca="1">SUMIFS(bddres_pieces,'BDD RESERVATIONS'!$G:$G,'SUIVI STOCKS PAR PAYSAN'!$BF$7,bddres_c_prod_type_aff,'SUIVI STOCKS PAR PAYSAN'!J83,'BDD RESERVATIONS'!$B:$B,"&gt;"&amp;date_inventaire)</f>
        <v>0</v>
      </c>
    </row>
    <row r="84" spans="1:59" ht="18.75" customHeight="1" x14ac:dyDescent="0.25">
      <c r="A84" s="331">
        <f ca="1">OFFSET('BDD PAYSANS'!$B$1,B84,0,1,1)</f>
        <v>0</v>
      </c>
      <c r="B84" s="325">
        <v>73</v>
      </c>
      <c r="C84" s="325" t="str">
        <f t="shared" ca="1" si="3"/>
        <v>0FERMIER&lt;3 mois</v>
      </c>
      <c r="D84" s="325" t="str">
        <f t="shared" ca="1" si="3"/>
        <v>0FERMIER3-6 mois</v>
      </c>
      <c r="E84" s="325" t="str">
        <f t="shared" ca="1" si="3"/>
        <v>0FERMIER6-9 mois</v>
      </c>
      <c r="F84" s="325" t="str">
        <f t="shared" ca="1" si="3"/>
        <v>0FERMIER&gt;9 mois</v>
      </c>
      <c r="G84" s="325" t="str">
        <f t="shared" ca="1" si="3"/>
        <v>0ESTIVE&lt;3 mois</v>
      </c>
      <c r="H84" s="325" t="str">
        <f t="shared" ca="1" si="3"/>
        <v>0ESTIVE3-6 mois</v>
      </c>
      <c r="I84" s="325" t="str">
        <f t="shared" ca="1" si="3"/>
        <v>0ESTIVE6-9 mois</v>
      </c>
      <c r="J84" s="325" t="str">
        <f t="shared" ca="1" si="3"/>
        <v>0ESTIVE&gt;9 mois</v>
      </c>
      <c r="K84" s="325"/>
      <c r="L84" s="352">
        <f ca="1">SUMIFS(es_poids,es_prod_type_affinage,'SUIVI STOCKS PAR PAYSAN'!$C84,es_date_entree,"&gt;"&amp;date_inventaire)-SUMIFS(v_Poids,v_conc_prod_tye_affinage,'SUIVI STOCKS PAR PAYSAN'!$C84,v_Date_commande,"&gt;"&amp;date_inventaire)</f>
        <v>0</v>
      </c>
      <c r="M84" s="341">
        <f ca="1">SUMIFS(bddres_c_qte,bddres_c_prod_type_aff,'SUIVI STOCKS PAR PAYSAN'!C84,'BDD RESERVATIONS'!$B:$B,"&gt;"&amp;date_inventaire)</f>
        <v>0</v>
      </c>
      <c r="N84" s="342">
        <f ca="1">SUMIFS(bddres_pieces,es_prod_type_affinage,'SUIVI STOCKS PAR PAYSAN'!$C84,es_date_entree,"&gt;"&amp;date_inventaire,es_taille,'SUIVI STOCKS PAR PAYSAN'!$N$7)-SUMIFS(v_Pièces,v_Taille,'SUIVI STOCKS PAR PAYSAN'!$N$7,v_conc_prod_tye_affinage,'SUIVI STOCKS PAR PAYSAN'!$C84,v_Date_commande,"&gt;"&amp;date_inventaire)</f>
        <v>0</v>
      </c>
      <c r="O84" s="342">
        <f ca="1">SUMIFS(bddres_pieces,'BDD RESERVATIONS'!$G:$G,'SUIVI STOCKS PAR PAYSAN'!$N$7,bddres_c_prod_type_aff,'SUIVI STOCKS PAR PAYSAN'!$C84,'BDD RESERVATIONS'!$B:$B,"&gt;"&amp;date_inventaire)</f>
        <v>0</v>
      </c>
      <c r="P84" s="343">
        <f ca="1">SUMIFS(es_pieces,es_prod_type_affinage,'SUIVI STOCKS PAR PAYSAN'!$C84,es_date_entree,"&gt;"&amp;date_inventaire,es_taille,'SUIVI STOCKS PAR PAYSAN'!$P$7)-SUMIFS(v_Pièces,v_Taille,'SUIVI STOCKS PAR PAYSAN'!$P$7,v_conc_prod_tye_affinage,'SUIVI STOCKS PAR PAYSAN'!$C84,v_Date_commande,"&gt;"&amp;date_inventaire)</f>
        <v>0</v>
      </c>
      <c r="Q84" s="353">
        <f ca="1">SUMIFS(bddres_pieces,'BDD RESERVATIONS'!$G:$G,'SUIVI STOCKS PAR PAYSAN'!$P$7,bddres_c_prod_type_aff,'SUIVI STOCKS PAR PAYSAN'!$C84,'BDD RESERVATIONS'!$B:$B,"&gt;"&amp;date_inventaire)</f>
        <v>0</v>
      </c>
      <c r="R84" s="340">
        <f ca="1">SUMIFS(es_poids,es_prod_type_affinage,'SUIVI STOCKS PAR PAYSAN'!$D84,es_date_entree,"&gt;"&amp;date_inventaire)-SUMIFS(v_Poids,v_conc_prod_tye_affinage,'SUIVI STOCKS PAR PAYSAN'!$D84,v_Date_commande,"&gt;"&amp;date_inventaire)</f>
        <v>0</v>
      </c>
      <c r="S84" s="341">
        <f ca="1">SUMIFS(bddres_c_qte,bddres_c_prod_type_aff,'SUIVI STOCKS PAR PAYSAN'!D84,'BDD RESERVATIONS'!$B:$B,"&gt;"&amp;date_inventaire)</f>
        <v>0</v>
      </c>
      <c r="T84" s="342">
        <f ca="1">SUMIFS(bddres_pieces,es_prod_type_affinage,'SUIVI STOCKS PAR PAYSAN'!$D84,es_date_entree,"&gt;"&amp;date_inventaire,es_taille,'SUIVI STOCKS PAR PAYSAN'!$T$7)-SUMIFS(v_Pièces,v_Taille,'SUIVI STOCKS PAR PAYSAN'!$T$7,v_conc_prod_tye_affinage,'SUIVI STOCKS PAR PAYSAN'!$D84,v_Date_commande,"&gt;"&amp;date_inventaire)</f>
        <v>0</v>
      </c>
      <c r="U84" s="342">
        <f ca="1">SUMIFS(bddres_pieces,'BDD RESERVATIONS'!$G:$G,'SUIVI STOCKS PAR PAYSAN'!$T$7,bddres_c_prod_type_aff,'SUIVI STOCKS PAR PAYSAN'!$D84,'BDD RESERVATIONS'!$B:$B,"&gt;"&amp;date_inventaire)</f>
        <v>0</v>
      </c>
      <c r="V84" s="343">
        <f ca="1">SUMIFS(es_pieces,es_prod_type_affinage,'SUIVI STOCKS PAR PAYSAN'!$D84,es_date_entree,"&gt;"&amp;date_inventaire,es_taille,'SUIVI STOCKS PAR PAYSAN'!$V$7)-SUMIFS(v_Pièces,v_Taille,'SUIVI STOCKS PAR PAYSAN'!$V$7,v_conc_prod_tye_affinage,'SUIVI STOCKS PAR PAYSAN'!$D84,v_Date_commande,"&gt;"&amp;date_inventaire)</f>
        <v>0</v>
      </c>
      <c r="W84" s="353">
        <f ca="1">SUMIFS(bddres_pieces,'BDD RESERVATIONS'!$G:$G,'SUIVI STOCKS PAR PAYSAN'!$V$7,bddres_c_prod_type_aff,'SUIVI STOCKS PAR PAYSAN'!$D84,'BDD RESERVATIONS'!$B:$B,"&gt;"&amp;date_inventaire)</f>
        <v>0</v>
      </c>
      <c r="X84" s="313">
        <f ca="1">SUMIFS(es_poids,es_prod_type_affinage,'SUIVI STOCKS PAR PAYSAN'!$E84,es_date_entree,"&gt;"&amp;date_inventaire)-SUMIFS(v_Poids,v_conc_prod_tye_affinage,'SUIVI STOCKS PAR PAYSAN'!$E84,v_Date_commande,"&gt;"&amp;date_inventaire)</f>
        <v>0</v>
      </c>
      <c r="Y84" s="341">
        <f ca="1">SUMIFS(bddres_c_qte,bddres_c_prod_type_aff,'SUIVI STOCKS PAR PAYSAN'!E84,'BDD RESERVATIONS'!$B:$B,"&gt;"&amp;date_inventaire)</f>
        <v>0</v>
      </c>
      <c r="Z84" s="342">
        <f ca="1">SUMIFS(bddres_pieces,es_prod_type_affinage,'SUIVI STOCKS PAR PAYSAN'!$E84,es_date_entree,"&gt;"&amp;date_inventaire,es_taille,'SUIVI STOCKS PAR PAYSAN'!$Z$7)-SUMIFS(v_Pièces,v_Taille,'SUIVI STOCKS PAR PAYSAN'!$Z$7,v_conc_prod_tye_affinage,'SUIVI STOCKS PAR PAYSAN'!$E84,v_Date_commande,"&gt;"&amp;date_inventaire)</f>
        <v>0</v>
      </c>
      <c r="AA84" s="342">
        <f ca="1">SUMIFS(bddres_pieces,'BDD RESERVATIONS'!$G:$G,'SUIVI STOCKS PAR PAYSAN'!$Z$7,bddres_c_prod_type_aff,'SUIVI STOCKS PAR PAYSAN'!$E84,'BDD RESERVATIONS'!$B:$B,"&gt;"&amp;date_inventaire)</f>
        <v>0</v>
      </c>
      <c r="AB84" s="343">
        <f ca="1">SUMIFS(es_pieces,es_prod_type_affinage,'SUIVI STOCKS PAR PAYSAN'!$E84,es_date_entree,"&gt;"&amp;date_inventaire,es_taille,'SUIVI STOCKS PAR PAYSAN'!$AB$7)-SUMIFS(v_Pièces,v_Taille,'SUIVI STOCKS PAR PAYSAN'!$AB$7,v_conc_prod_tye_affinage,'SUIVI STOCKS PAR PAYSAN'!$E84,v_Date_commande,"&gt;"&amp;date_inventaire)</f>
        <v>0</v>
      </c>
      <c r="AC84" s="353">
        <f ca="1">SUMIFS(bddres_pieces,'BDD RESERVATIONS'!$G:$G,'SUIVI STOCKS PAR PAYSAN'!$AB$7,bddres_c_prod_type_aff,'SUIVI STOCKS PAR PAYSAN'!$E84,'BDD RESERVATIONS'!$B:$B,"&gt;"&amp;date_inventaire)</f>
        <v>0</v>
      </c>
      <c r="AD84" s="313">
        <f ca="1">SUMIFS(es_poids,es_prod_type_affinage,'SUIVI STOCKS PAR PAYSAN'!$F84,es_date_entree,"&gt;"&amp;date_inventaire)-SUMIFS(v_Poids,v_conc_prod_tye_affinage,'SUIVI STOCKS PAR PAYSAN'!$F84,v_Date_commande,"&gt;"&amp;date_inventaire)</f>
        <v>0</v>
      </c>
      <c r="AE84" s="341">
        <f ca="1">SUMIFS(bddres_c_qte,bddres_c_prod_type_aff,'SUIVI STOCKS PAR PAYSAN'!F84,'BDD RESERVATIONS'!$B:$B,"&gt;"&amp;date_inventaire)</f>
        <v>0</v>
      </c>
      <c r="AF84" s="342">
        <f ca="1">SUMIFS(bddres_pieces,es_prod_type_affinage,'SUIVI STOCKS PAR PAYSAN'!$F84,es_date_entree,"&gt;"&amp;date_inventaire,es_taille,'SUIVI STOCKS PAR PAYSAN'!$Z$7)-SUMIFS(v_Pièces,v_Taille,'SUIVI STOCKS PAR PAYSAN'!$Z$7,v_conc_prod_tye_affinage,'SUIVI STOCKS PAR PAYSAN'!$F84,v_Date_commande,"&gt;"&amp;date_inventaire)</f>
        <v>0</v>
      </c>
      <c r="AG84" s="342">
        <f ca="1">SUMIFS(bddres_pieces,'BDD RESERVATIONS'!$G:$G,'SUIVI STOCKS PAR PAYSAN'!$Z$7,bddres_c_prod_type_aff,'SUIVI STOCKS PAR PAYSAN'!$F84,'BDD RESERVATIONS'!$B:$B,"&gt;"&amp;date_inventaire)</f>
        <v>0</v>
      </c>
      <c r="AH84" s="343">
        <f ca="1">SUMIFS(es_pieces,es_prod_type_affinage,'SUIVI STOCKS PAR PAYSAN'!$F84,es_date_entree,"&gt;"&amp;date_inventaire,es_taille,'SUIVI STOCKS PAR PAYSAN'!$AH$7)-SUMIFS(v_Pièces,v_Taille,'SUIVI STOCKS PAR PAYSAN'!$AH$7,v_conc_prod_tye_affinage,'SUIVI STOCKS PAR PAYSAN'!$F84,v_Date_commande,"&gt;"&amp;date_inventaire)</f>
        <v>0</v>
      </c>
      <c r="AI84" s="353">
        <f ca="1">SUMIFS(bddres_pieces,'BDD RESERVATIONS'!$G:$G,'SUIVI STOCKS PAR PAYSAN'!$AB$7,bddres_c_prod_type_aff,'SUIVI STOCKS PAR PAYSAN'!$F84,'BDD RESERVATIONS'!$B:$B,"&gt;"&amp;date_inventaire)</f>
        <v>0</v>
      </c>
      <c r="AJ84" s="352">
        <f ca="1">SUMIFS(es_poids,es_prod_type_affinage,'SUIVI STOCKS PAR PAYSAN'!$G84,es_date_entree,"&gt;"&amp;date_inventaire)-SUMIFS(v_Poids,v_conc_prod_tye_affinage,'SUIVI STOCKS PAR PAYSAN'!$G84,v_Date_commande,"&gt;"&amp;date_inventaire)</f>
        <v>0</v>
      </c>
      <c r="AK84" s="341">
        <f ca="1">SUMIFS(bddres_c_qte,bddres_c_prod_type_aff,'SUIVI STOCKS PAR PAYSAN'!G84,'BDD RESERVATIONS'!$B:$B,"&gt;"&amp;date_inventaire)</f>
        <v>0</v>
      </c>
      <c r="AL84" s="342">
        <f ca="1">SUMIFS(bddres_pieces,es_prod_type_affinage,'SUIVI STOCKS PAR PAYSAN'!$G84,es_date_entree,"&gt;"&amp;date_inventaire,es_taille,'SUIVI STOCKS PAR PAYSAN'!$AL$7)-SUMIFS(v_Pièces,v_Taille,'SUIVI STOCKS PAR PAYSAN'!$AL$7,v_conc_prod_tye_affinage,'SUIVI STOCKS PAR PAYSAN'!$G84,v_Date_commande,"&gt;"&amp;date_inventaire)</f>
        <v>0</v>
      </c>
      <c r="AM84" s="342">
        <f ca="1">SUMIFS(bddres_pieces,'BDD RESERVATIONS'!$G:$G,'SUIVI STOCKS PAR PAYSAN'!$AL$7,bddres_c_prod_type_aff,'SUIVI STOCKS PAR PAYSAN'!$G84,'BDD RESERVATIONS'!$B:$B,"&gt;"&amp;date_inventaire)</f>
        <v>0</v>
      </c>
      <c r="AN84" s="343">
        <f ca="1">SUMIFS(es_pieces,es_prod_type_affinage,'SUIVI STOCKS PAR PAYSAN'!$G84,es_date_entree,"&gt;"&amp;date_inventaire,es_taille,'SUIVI STOCKS PAR PAYSAN'!$AN$7)-SUMIFS(v_Pièces,v_Taille,'SUIVI STOCKS PAR PAYSAN'!$AN$7,v_conc_prod_tye_affinage,'SUIVI STOCKS PAR PAYSAN'!$G84,v_Date_commande,"&gt;"&amp;date_inventaire)</f>
        <v>0</v>
      </c>
      <c r="AO84" s="353">
        <f ca="1">SUMIFS(bddres_pieces,'BDD RESERVATIONS'!$G:$G,'SUIVI STOCKS PAR PAYSAN'!$AN$7,bddres_c_prod_type_aff,'SUIVI STOCKS PAR PAYSAN'!$G84,'BDD RESERVATIONS'!$B:$B,"&gt;"&amp;date_inventaire)</f>
        <v>0</v>
      </c>
      <c r="AP84" s="313">
        <f ca="1">SUMIFS(es_poids,es_prod_type_affinage,'SUIVI STOCKS PAR PAYSAN'!$H84,es_date_entree,"&gt;"&amp;date_inventaire)-SUMIFS(v_Poids,v_conc_prod_tye_affinage,'SUIVI STOCKS PAR PAYSAN'!$H84,v_Date_commande,"&gt;"&amp;date_inventaire)</f>
        <v>0</v>
      </c>
      <c r="AQ84" s="341">
        <f ca="1">SUMIFS(bddres_c_qte,bddres_c_prod_type_aff,'SUIVI STOCKS PAR PAYSAN'!H84,'BDD RESERVATIONS'!$B:$B,"&gt;"&amp;date_inventaire)</f>
        <v>0</v>
      </c>
      <c r="AR84" s="342">
        <f ca="1">SUMIFS(bddres_pieces,es_prod_type_affinage,'SUIVI STOCKS PAR PAYSAN'!$H84,es_date_entree,"&gt;"&amp;date_inventaire,es_taille,'SUIVI STOCKS PAR PAYSAN'!$AR$7)-SUMIFS(v_Pièces,v_Taille,'SUIVI STOCKS PAR PAYSAN'!$AR$7,v_conc_prod_tye_affinage,'SUIVI STOCKS PAR PAYSAN'!$H84,v_Date_commande,"&gt;"&amp;date_inventaire)</f>
        <v>0</v>
      </c>
      <c r="AS84" s="326">
        <f ca="1">SUMIFS(bddres_pieces,'BDD RESERVATIONS'!$G:$G,'SUIVI STOCKS PAR PAYSAN'!AR79,bddres_c_prod_type_aff,'SUIVI STOCKS PAR PAYSAN'!$H84,'BDD RESERVATIONS'!$B:$B,"&gt;"&amp;date_inventaire)</f>
        <v>0</v>
      </c>
      <c r="AT84" s="343">
        <f ca="1">SUMIFS(es_pieces,es_prod_type_affinage,'SUIVI STOCKS PAR PAYSAN'!$H84,es_date_entree,"&gt;"&amp;date_inventaire,es_taille,'SUIVI STOCKS PAR PAYSAN'!$AT$7)-SUMIFS(v_Pièces,v_Taille,'SUIVI STOCKS PAR PAYSAN'!$AT$7,v_conc_prod_tye_affinage,'SUIVI STOCKS PAR PAYSAN'!$H84,v_Date_commande,"&gt;"&amp;date_inventaire)</f>
        <v>0</v>
      </c>
      <c r="AU84" s="353">
        <f ca="1">SUMIFS(bddres_pieces,'BDD RESERVATIONS'!$G:$G,'SUIVI STOCKS PAR PAYSAN'!$AT$7,bddres_c_prod_type_aff,'SUIVI STOCKS PAR PAYSAN'!$H84,'BDD RESERVATIONS'!$B:$B,"&gt;"&amp;date_inventaire)</f>
        <v>0</v>
      </c>
      <c r="AV84" s="313">
        <f ca="1">SUMIFS(es_poids,es_prod_type_affinage,'SUIVI STOCKS PAR PAYSAN'!$I84,es_date_entree,"&gt;"&amp;date_inventaire)-SUMIFS(v_Poids,v_conc_prod_tye_affinage,'SUIVI STOCKS PAR PAYSAN'!$E84,v_Date_commande,"&gt;"&amp;date_inventaire)</f>
        <v>0</v>
      </c>
      <c r="AW84" s="313">
        <f ca="1">SUMIFS(bddres_c_qte,bddres_c_prod_type_aff,'SUIVI STOCKS PAR PAYSAN'!I84,'BDD RESERVATIONS'!$B:$B,"&gt;"&amp;date_inventaire)</f>
        <v>0</v>
      </c>
      <c r="AX84" s="342">
        <f ca="1">SUMIFS(bddres_pieces,es_prod_type_affinage,'SUIVI STOCKS PAR PAYSAN'!$I84,es_date_entree,"&gt;"&amp;date_inventaire,es_taille,'SUIVI STOCKS PAR PAYSAN'!$AX$7)-SUMIFS(v_Pièces,v_Taille,'SUIVI STOCKS PAR PAYSAN'!$AX$7,v_conc_prod_tye_affinage,'SUIVI STOCKS PAR PAYSAN'!$I84,v_Date_commande,"&gt;"&amp;date_inventaire)</f>
        <v>0</v>
      </c>
      <c r="AY84" s="342">
        <f ca="1">SUMIFS(bddres_pieces,'BDD RESERVATIONS'!$G:$G,'SUIVI STOCKS PAR PAYSAN'!$AX$7,bddres_c_prod_type_aff,'SUIVI STOCKS PAR PAYSAN'!$I84,'BDD RESERVATIONS'!$B:$B,"&gt;"&amp;date_inventaire)</f>
        <v>0</v>
      </c>
      <c r="AZ84" s="343">
        <f ca="1">SUMIFS(es_pieces,es_prod_type_affinage,'SUIVI STOCKS PAR PAYSAN'!$I84,es_date_entree,"&gt;"&amp;date_inventaire,es_taille,'SUIVI STOCKS PAR PAYSAN'!$AZ$7)-SUMIFS(v_Pièces,v_Taille,'SUIVI STOCKS PAR PAYSAN'!$AZ$7,v_conc_prod_tye_affinage,'SUIVI STOCKS PAR PAYSAN'!$I84,v_Date_commande,"&gt;"&amp;date_inventaire)</f>
        <v>0</v>
      </c>
      <c r="BA84" s="353">
        <f ca="1">SUMIFS(bddres_pieces,'BDD RESERVATIONS'!$G:$G,'SUIVI STOCKS PAR PAYSAN'!$AZ$7,bddres_c_prod_type_aff,'SUIVI STOCKS PAR PAYSAN'!$I84,'BDD RESERVATIONS'!$B:$B,"&gt;"&amp;date_inventaire)</f>
        <v>0</v>
      </c>
      <c r="BB84" s="313">
        <f ca="1">SUMIFS(es_poids,es_prod_type_affinage,'SUIVI STOCKS PAR PAYSAN'!$J84,es_date_entree,"&gt;"&amp;date_inventaire)-SUMIFS(v_Poids,v_conc_prod_tye_affinage,'SUIVI STOCKS PAR PAYSAN'!$J84,v_Date_commande,"&gt;"&amp;date_inventaire)</f>
        <v>0</v>
      </c>
      <c r="BC84" s="313">
        <f ca="1">SUMIFS(bddres_c_qte,bddres_c_prod_type_aff,'SUIVI STOCKS PAR PAYSAN'!J84,'BDD RESERVATIONS'!$B:$B,"&gt;"&amp;date_inventaire)</f>
        <v>0</v>
      </c>
      <c r="BD84" s="342">
        <f ca="1">SUMIFS(bddres_pieces,es_prod_type_affinage,'SUIVI STOCKS PAR PAYSAN'!$J84,es_date_entree,"&gt;"&amp;date_inventaire,es_taille,'SUIVI STOCKS PAR PAYSAN'!$BD$7)-SUMIFS(v_Pièces,v_Taille,'SUIVI STOCKS PAR PAYSAN'!$BD$7,v_conc_prod_tye_affinage,'SUIVI STOCKS PAR PAYSAN'!$J84,v_Date_commande,"&gt;"&amp;date_inventaire)</f>
        <v>0</v>
      </c>
      <c r="BE84" s="326">
        <f ca="1">SUMIFS(bddres_pieces,'BDD RESERVATIONS'!$G:$G,'SUIVI STOCKS PAR PAYSAN'!BD79,bddres_c_prod_type_aff,'SUIVI STOCKS PAR PAYSAN'!J84,'BDD RESERVATIONS'!$B:$B,"&gt;"&amp;date_inventaire)</f>
        <v>0</v>
      </c>
      <c r="BF84" s="343">
        <f ca="1">SUMIFS(es_pieces,es_prod_type_affinage,'SUIVI STOCKS PAR PAYSAN'!J84,es_date_entree,"&gt;"&amp;date_inventaire,es_taille,'SUIVI STOCKS PAR PAYSAN'!$BF$7)-SUMIFS(v_Pièces,v_Taille,'SUIVI STOCKS PAR PAYSAN'!$BF$7,v_conc_prod_tye_affinage,'SUIVI STOCKS PAR PAYSAN'!J84,v_Date_commande,"&gt;"&amp;date_inventaire)</f>
        <v>0</v>
      </c>
      <c r="BG84" s="353">
        <f ca="1">SUMIFS(bddres_pieces,'BDD RESERVATIONS'!$G:$G,'SUIVI STOCKS PAR PAYSAN'!$BF$7,bddres_c_prod_type_aff,'SUIVI STOCKS PAR PAYSAN'!J84,'BDD RESERVATIONS'!$B:$B,"&gt;"&amp;date_inventaire)</f>
        <v>0</v>
      </c>
    </row>
    <row r="85" spans="1:59" ht="18.75" customHeight="1" x14ac:dyDescent="0.25">
      <c r="A85" s="331">
        <f ca="1">OFFSET('BDD PAYSANS'!$B$1,B85,0,1,1)</f>
        <v>0</v>
      </c>
      <c r="B85" s="325">
        <v>74</v>
      </c>
      <c r="C85" s="325" t="str">
        <f t="shared" ca="1" si="3"/>
        <v>0FERMIER&lt;3 mois</v>
      </c>
      <c r="D85" s="325" t="str">
        <f t="shared" ca="1" si="3"/>
        <v>0FERMIER3-6 mois</v>
      </c>
      <c r="E85" s="325" t="str">
        <f t="shared" ca="1" si="3"/>
        <v>0FERMIER6-9 mois</v>
      </c>
      <c r="F85" s="325" t="str">
        <f t="shared" ca="1" si="3"/>
        <v>0FERMIER&gt;9 mois</v>
      </c>
      <c r="G85" s="325" t="str">
        <f t="shared" ca="1" si="3"/>
        <v>0ESTIVE&lt;3 mois</v>
      </c>
      <c r="H85" s="325" t="str">
        <f t="shared" ca="1" si="3"/>
        <v>0ESTIVE3-6 mois</v>
      </c>
      <c r="I85" s="325" t="str">
        <f t="shared" ca="1" si="3"/>
        <v>0ESTIVE6-9 mois</v>
      </c>
      <c r="J85" s="325" t="str">
        <f t="shared" ca="1" si="3"/>
        <v>0ESTIVE&gt;9 mois</v>
      </c>
      <c r="K85" s="325"/>
      <c r="L85" s="352">
        <f ca="1">SUMIFS(es_poids,es_prod_type_affinage,'SUIVI STOCKS PAR PAYSAN'!$C85,es_date_entree,"&gt;"&amp;date_inventaire)-SUMIFS(v_Poids,v_conc_prod_tye_affinage,'SUIVI STOCKS PAR PAYSAN'!$C85,v_Date_commande,"&gt;"&amp;date_inventaire)</f>
        <v>0</v>
      </c>
      <c r="M85" s="341">
        <f ca="1">SUMIFS(bddres_c_qte,bddres_c_prod_type_aff,'SUIVI STOCKS PAR PAYSAN'!C85,'BDD RESERVATIONS'!$B:$B,"&gt;"&amp;date_inventaire)</f>
        <v>0</v>
      </c>
      <c r="N85" s="342">
        <f ca="1">SUMIFS(bddres_pieces,es_prod_type_affinage,'SUIVI STOCKS PAR PAYSAN'!$C85,es_date_entree,"&gt;"&amp;date_inventaire,es_taille,'SUIVI STOCKS PAR PAYSAN'!$N$7)-SUMIFS(v_Pièces,v_Taille,'SUIVI STOCKS PAR PAYSAN'!$N$7,v_conc_prod_tye_affinage,'SUIVI STOCKS PAR PAYSAN'!$C85,v_Date_commande,"&gt;"&amp;date_inventaire)</f>
        <v>0</v>
      </c>
      <c r="O85" s="342">
        <f ca="1">SUMIFS(bddres_pieces,'BDD RESERVATIONS'!$G:$G,'SUIVI STOCKS PAR PAYSAN'!$N$7,bddres_c_prod_type_aff,'SUIVI STOCKS PAR PAYSAN'!$C85,'BDD RESERVATIONS'!$B:$B,"&gt;"&amp;date_inventaire)</f>
        <v>0</v>
      </c>
      <c r="P85" s="343">
        <f ca="1">SUMIFS(es_pieces,es_prod_type_affinage,'SUIVI STOCKS PAR PAYSAN'!$C85,es_date_entree,"&gt;"&amp;date_inventaire,es_taille,'SUIVI STOCKS PAR PAYSAN'!$P$7)-SUMIFS(v_Pièces,v_Taille,'SUIVI STOCKS PAR PAYSAN'!$P$7,v_conc_prod_tye_affinage,'SUIVI STOCKS PAR PAYSAN'!$C85,v_Date_commande,"&gt;"&amp;date_inventaire)</f>
        <v>0</v>
      </c>
      <c r="Q85" s="353">
        <f ca="1">SUMIFS(bddres_pieces,'BDD RESERVATIONS'!$G:$G,'SUIVI STOCKS PAR PAYSAN'!$P$7,bddres_c_prod_type_aff,'SUIVI STOCKS PAR PAYSAN'!$C85,'BDD RESERVATIONS'!$B:$B,"&gt;"&amp;date_inventaire)</f>
        <v>0</v>
      </c>
      <c r="R85" s="340">
        <f ca="1">SUMIFS(es_poids,es_prod_type_affinage,'SUIVI STOCKS PAR PAYSAN'!$D85,es_date_entree,"&gt;"&amp;date_inventaire)-SUMIFS(v_Poids,v_conc_prod_tye_affinage,'SUIVI STOCKS PAR PAYSAN'!$D85,v_Date_commande,"&gt;"&amp;date_inventaire)</f>
        <v>0</v>
      </c>
      <c r="S85" s="341">
        <f ca="1">SUMIFS(bddres_c_qte,bddres_c_prod_type_aff,'SUIVI STOCKS PAR PAYSAN'!D85,'BDD RESERVATIONS'!$B:$B,"&gt;"&amp;date_inventaire)</f>
        <v>0</v>
      </c>
      <c r="T85" s="342">
        <f ca="1">SUMIFS(bddres_pieces,es_prod_type_affinage,'SUIVI STOCKS PAR PAYSAN'!$D85,es_date_entree,"&gt;"&amp;date_inventaire,es_taille,'SUIVI STOCKS PAR PAYSAN'!$T$7)-SUMIFS(v_Pièces,v_Taille,'SUIVI STOCKS PAR PAYSAN'!$T$7,v_conc_prod_tye_affinage,'SUIVI STOCKS PAR PAYSAN'!$D85,v_Date_commande,"&gt;"&amp;date_inventaire)</f>
        <v>0</v>
      </c>
      <c r="U85" s="342">
        <f ca="1">SUMIFS(bddres_pieces,'BDD RESERVATIONS'!$G:$G,'SUIVI STOCKS PAR PAYSAN'!$T$7,bddres_c_prod_type_aff,'SUIVI STOCKS PAR PAYSAN'!$D85,'BDD RESERVATIONS'!$B:$B,"&gt;"&amp;date_inventaire)</f>
        <v>0</v>
      </c>
      <c r="V85" s="343">
        <f ca="1">SUMIFS(es_pieces,es_prod_type_affinage,'SUIVI STOCKS PAR PAYSAN'!$D85,es_date_entree,"&gt;"&amp;date_inventaire,es_taille,'SUIVI STOCKS PAR PAYSAN'!$V$7)-SUMIFS(v_Pièces,v_Taille,'SUIVI STOCKS PAR PAYSAN'!$V$7,v_conc_prod_tye_affinage,'SUIVI STOCKS PAR PAYSAN'!$D85,v_Date_commande,"&gt;"&amp;date_inventaire)</f>
        <v>0</v>
      </c>
      <c r="W85" s="353">
        <f ca="1">SUMIFS(bddres_pieces,'BDD RESERVATIONS'!$G:$G,'SUIVI STOCKS PAR PAYSAN'!$V$7,bddres_c_prod_type_aff,'SUIVI STOCKS PAR PAYSAN'!$D85,'BDD RESERVATIONS'!$B:$B,"&gt;"&amp;date_inventaire)</f>
        <v>0</v>
      </c>
      <c r="X85" s="313">
        <f ca="1">SUMIFS(es_poids,es_prod_type_affinage,'SUIVI STOCKS PAR PAYSAN'!$E85,es_date_entree,"&gt;"&amp;date_inventaire)-SUMIFS(v_Poids,v_conc_prod_tye_affinage,'SUIVI STOCKS PAR PAYSAN'!$E85,v_Date_commande,"&gt;"&amp;date_inventaire)</f>
        <v>0</v>
      </c>
      <c r="Y85" s="341">
        <f ca="1">SUMIFS(bddres_c_qte,bddres_c_prod_type_aff,'SUIVI STOCKS PAR PAYSAN'!E85,'BDD RESERVATIONS'!$B:$B,"&gt;"&amp;date_inventaire)</f>
        <v>0</v>
      </c>
      <c r="Z85" s="342">
        <f ca="1">SUMIFS(bddres_pieces,es_prod_type_affinage,'SUIVI STOCKS PAR PAYSAN'!$E85,es_date_entree,"&gt;"&amp;date_inventaire,es_taille,'SUIVI STOCKS PAR PAYSAN'!$Z$7)-SUMIFS(v_Pièces,v_Taille,'SUIVI STOCKS PAR PAYSAN'!$Z$7,v_conc_prod_tye_affinage,'SUIVI STOCKS PAR PAYSAN'!$E85,v_Date_commande,"&gt;"&amp;date_inventaire)</f>
        <v>0</v>
      </c>
      <c r="AA85" s="342">
        <f ca="1">SUMIFS(bddres_pieces,'BDD RESERVATIONS'!$G:$G,'SUIVI STOCKS PAR PAYSAN'!$Z$7,bddres_c_prod_type_aff,'SUIVI STOCKS PAR PAYSAN'!$E85,'BDD RESERVATIONS'!$B:$B,"&gt;"&amp;date_inventaire)</f>
        <v>0</v>
      </c>
      <c r="AB85" s="343">
        <f ca="1">SUMIFS(es_pieces,es_prod_type_affinage,'SUIVI STOCKS PAR PAYSAN'!$E85,es_date_entree,"&gt;"&amp;date_inventaire,es_taille,'SUIVI STOCKS PAR PAYSAN'!$AB$7)-SUMIFS(v_Pièces,v_Taille,'SUIVI STOCKS PAR PAYSAN'!$AB$7,v_conc_prod_tye_affinage,'SUIVI STOCKS PAR PAYSAN'!$E85,v_Date_commande,"&gt;"&amp;date_inventaire)</f>
        <v>0</v>
      </c>
      <c r="AC85" s="353">
        <f ca="1">SUMIFS(bddres_pieces,'BDD RESERVATIONS'!$G:$G,'SUIVI STOCKS PAR PAYSAN'!$AB$7,bddres_c_prod_type_aff,'SUIVI STOCKS PAR PAYSAN'!$E85,'BDD RESERVATIONS'!$B:$B,"&gt;"&amp;date_inventaire)</f>
        <v>0</v>
      </c>
      <c r="AD85" s="313">
        <f ca="1">SUMIFS(es_poids,es_prod_type_affinage,'SUIVI STOCKS PAR PAYSAN'!$F85,es_date_entree,"&gt;"&amp;date_inventaire)-SUMIFS(v_Poids,v_conc_prod_tye_affinage,'SUIVI STOCKS PAR PAYSAN'!$F85,v_Date_commande,"&gt;"&amp;date_inventaire)</f>
        <v>0</v>
      </c>
      <c r="AE85" s="341">
        <f ca="1">SUMIFS(bddres_c_qte,bddres_c_prod_type_aff,'SUIVI STOCKS PAR PAYSAN'!F85,'BDD RESERVATIONS'!$B:$B,"&gt;"&amp;date_inventaire)</f>
        <v>0</v>
      </c>
      <c r="AF85" s="342">
        <f ca="1">SUMIFS(bddres_pieces,es_prod_type_affinage,'SUIVI STOCKS PAR PAYSAN'!$F85,es_date_entree,"&gt;"&amp;date_inventaire,es_taille,'SUIVI STOCKS PAR PAYSAN'!$Z$7)-SUMIFS(v_Pièces,v_Taille,'SUIVI STOCKS PAR PAYSAN'!$Z$7,v_conc_prod_tye_affinage,'SUIVI STOCKS PAR PAYSAN'!$F85,v_Date_commande,"&gt;"&amp;date_inventaire)</f>
        <v>0</v>
      </c>
      <c r="AG85" s="342">
        <f ca="1">SUMIFS(bddres_pieces,'BDD RESERVATIONS'!$G:$G,'SUIVI STOCKS PAR PAYSAN'!$Z$7,bddres_c_prod_type_aff,'SUIVI STOCKS PAR PAYSAN'!$F85,'BDD RESERVATIONS'!$B:$B,"&gt;"&amp;date_inventaire)</f>
        <v>0</v>
      </c>
      <c r="AH85" s="343">
        <f ca="1">SUMIFS(es_pieces,es_prod_type_affinage,'SUIVI STOCKS PAR PAYSAN'!$F85,es_date_entree,"&gt;"&amp;date_inventaire,es_taille,'SUIVI STOCKS PAR PAYSAN'!$AH$7)-SUMIFS(v_Pièces,v_Taille,'SUIVI STOCKS PAR PAYSAN'!$AH$7,v_conc_prod_tye_affinage,'SUIVI STOCKS PAR PAYSAN'!$F85,v_Date_commande,"&gt;"&amp;date_inventaire)</f>
        <v>0</v>
      </c>
      <c r="AI85" s="353">
        <f ca="1">SUMIFS(bddres_pieces,'BDD RESERVATIONS'!$G:$G,'SUIVI STOCKS PAR PAYSAN'!$AB$7,bddres_c_prod_type_aff,'SUIVI STOCKS PAR PAYSAN'!$F85,'BDD RESERVATIONS'!$B:$B,"&gt;"&amp;date_inventaire)</f>
        <v>0</v>
      </c>
      <c r="AJ85" s="352">
        <f ca="1">SUMIFS(es_poids,es_prod_type_affinage,'SUIVI STOCKS PAR PAYSAN'!$G85,es_date_entree,"&gt;"&amp;date_inventaire)-SUMIFS(v_Poids,v_conc_prod_tye_affinage,'SUIVI STOCKS PAR PAYSAN'!$G85,v_Date_commande,"&gt;"&amp;date_inventaire)</f>
        <v>0</v>
      </c>
      <c r="AK85" s="341">
        <f ca="1">SUMIFS(bddres_c_qte,bddres_c_prod_type_aff,'SUIVI STOCKS PAR PAYSAN'!G85,'BDD RESERVATIONS'!$B:$B,"&gt;"&amp;date_inventaire)</f>
        <v>0</v>
      </c>
      <c r="AL85" s="342">
        <f ca="1">SUMIFS(bddres_pieces,es_prod_type_affinage,'SUIVI STOCKS PAR PAYSAN'!$G85,es_date_entree,"&gt;"&amp;date_inventaire,es_taille,'SUIVI STOCKS PAR PAYSAN'!$AL$7)-SUMIFS(v_Pièces,v_Taille,'SUIVI STOCKS PAR PAYSAN'!$AL$7,v_conc_prod_tye_affinage,'SUIVI STOCKS PAR PAYSAN'!$G85,v_Date_commande,"&gt;"&amp;date_inventaire)</f>
        <v>0</v>
      </c>
      <c r="AM85" s="342">
        <f ca="1">SUMIFS(bddres_pieces,'BDD RESERVATIONS'!$G:$G,'SUIVI STOCKS PAR PAYSAN'!$AL$7,bddres_c_prod_type_aff,'SUIVI STOCKS PAR PAYSAN'!$G85,'BDD RESERVATIONS'!$B:$B,"&gt;"&amp;date_inventaire)</f>
        <v>0</v>
      </c>
      <c r="AN85" s="343">
        <f ca="1">SUMIFS(es_pieces,es_prod_type_affinage,'SUIVI STOCKS PAR PAYSAN'!$G85,es_date_entree,"&gt;"&amp;date_inventaire,es_taille,'SUIVI STOCKS PAR PAYSAN'!$AN$7)-SUMIFS(v_Pièces,v_Taille,'SUIVI STOCKS PAR PAYSAN'!$AN$7,v_conc_prod_tye_affinage,'SUIVI STOCKS PAR PAYSAN'!$G85,v_Date_commande,"&gt;"&amp;date_inventaire)</f>
        <v>0</v>
      </c>
      <c r="AO85" s="353">
        <f ca="1">SUMIFS(bddres_pieces,'BDD RESERVATIONS'!$G:$G,'SUIVI STOCKS PAR PAYSAN'!$AN$7,bddres_c_prod_type_aff,'SUIVI STOCKS PAR PAYSAN'!$G85,'BDD RESERVATIONS'!$B:$B,"&gt;"&amp;date_inventaire)</f>
        <v>0</v>
      </c>
      <c r="AP85" s="313">
        <f ca="1">SUMIFS(es_poids,es_prod_type_affinage,'SUIVI STOCKS PAR PAYSAN'!$H85,es_date_entree,"&gt;"&amp;date_inventaire)-SUMIFS(v_Poids,v_conc_prod_tye_affinage,'SUIVI STOCKS PAR PAYSAN'!$H85,v_Date_commande,"&gt;"&amp;date_inventaire)</f>
        <v>0</v>
      </c>
      <c r="AQ85" s="341">
        <f ca="1">SUMIFS(bddres_c_qte,bddres_c_prod_type_aff,'SUIVI STOCKS PAR PAYSAN'!H85,'BDD RESERVATIONS'!$B:$B,"&gt;"&amp;date_inventaire)</f>
        <v>0</v>
      </c>
      <c r="AR85" s="342">
        <f ca="1">SUMIFS(bddres_pieces,es_prod_type_affinage,'SUIVI STOCKS PAR PAYSAN'!$H85,es_date_entree,"&gt;"&amp;date_inventaire,es_taille,'SUIVI STOCKS PAR PAYSAN'!$AR$7)-SUMIFS(v_Pièces,v_Taille,'SUIVI STOCKS PAR PAYSAN'!$AR$7,v_conc_prod_tye_affinage,'SUIVI STOCKS PAR PAYSAN'!$H85,v_Date_commande,"&gt;"&amp;date_inventaire)</f>
        <v>0</v>
      </c>
      <c r="AS85" s="326">
        <f ca="1">SUMIFS(bddres_pieces,'BDD RESERVATIONS'!$G:$G,'SUIVI STOCKS PAR PAYSAN'!AR80,bddres_c_prod_type_aff,'SUIVI STOCKS PAR PAYSAN'!$H85,'BDD RESERVATIONS'!$B:$B,"&gt;"&amp;date_inventaire)</f>
        <v>0</v>
      </c>
      <c r="AT85" s="343">
        <f ca="1">SUMIFS(es_pieces,es_prod_type_affinage,'SUIVI STOCKS PAR PAYSAN'!$H85,es_date_entree,"&gt;"&amp;date_inventaire,es_taille,'SUIVI STOCKS PAR PAYSAN'!$AT$7)-SUMIFS(v_Pièces,v_Taille,'SUIVI STOCKS PAR PAYSAN'!$AT$7,v_conc_prod_tye_affinage,'SUIVI STOCKS PAR PAYSAN'!$H85,v_Date_commande,"&gt;"&amp;date_inventaire)</f>
        <v>0</v>
      </c>
      <c r="AU85" s="353">
        <f ca="1">SUMIFS(bddres_pieces,'BDD RESERVATIONS'!$G:$G,'SUIVI STOCKS PAR PAYSAN'!$AT$7,bddres_c_prod_type_aff,'SUIVI STOCKS PAR PAYSAN'!$H85,'BDD RESERVATIONS'!$B:$B,"&gt;"&amp;date_inventaire)</f>
        <v>0</v>
      </c>
      <c r="AV85" s="313">
        <f ca="1">SUMIFS(es_poids,es_prod_type_affinage,'SUIVI STOCKS PAR PAYSAN'!$I85,es_date_entree,"&gt;"&amp;date_inventaire)-SUMIFS(v_Poids,v_conc_prod_tye_affinage,'SUIVI STOCKS PAR PAYSAN'!$E85,v_Date_commande,"&gt;"&amp;date_inventaire)</f>
        <v>0</v>
      </c>
      <c r="AW85" s="313">
        <f ca="1">SUMIFS(bddres_c_qte,bddres_c_prod_type_aff,'SUIVI STOCKS PAR PAYSAN'!I85,'BDD RESERVATIONS'!$B:$B,"&gt;"&amp;date_inventaire)</f>
        <v>0</v>
      </c>
      <c r="AX85" s="342">
        <f ca="1">SUMIFS(bddres_pieces,es_prod_type_affinage,'SUIVI STOCKS PAR PAYSAN'!$I85,es_date_entree,"&gt;"&amp;date_inventaire,es_taille,'SUIVI STOCKS PAR PAYSAN'!$AX$7)-SUMIFS(v_Pièces,v_Taille,'SUIVI STOCKS PAR PAYSAN'!$AX$7,v_conc_prod_tye_affinage,'SUIVI STOCKS PAR PAYSAN'!$I85,v_Date_commande,"&gt;"&amp;date_inventaire)</f>
        <v>0</v>
      </c>
      <c r="AY85" s="342">
        <f ca="1">SUMIFS(bddres_pieces,'BDD RESERVATIONS'!$G:$G,'SUIVI STOCKS PAR PAYSAN'!$AX$7,bddres_c_prod_type_aff,'SUIVI STOCKS PAR PAYSAN'!$I85,'BDD RESERVATIONS'!$B:$B,"&gt;"&amp;date_inventaire)</f>
        <v>0</v>
      </c>
      <c r="AZ85" s="343">
        <f ca="1">SUMIFS(es_pieces,es_prod_type_affinage,'SUIVI STOCKS PAR PAYSAN'!$I85,es_date_entree,"&gt;"&amp;date_inventaire,es_taille,'SUIVI STOCKS PAR PAYSAN'!$AZ$7)-SUMIFS(v_Pièces,v_Taille,'SUIVI STOCKS PAR PAYSAN'!$AZ$7,v_conc_prod_tye_affinage,'SUIVI STOCKS PAR PAYSAN'!$I85,v_Date_commande,"&gt;"&amp;date_inventaire)</f>
        <v>0</v>
      </c>
      <c r="BA85" s="353">
        <f ca="1">SUMIFS(bddres_pieces,'BDD RESERVATIONS'!$G:$G,'SUIVI STOCKS PAR PAYSAN'!$AZ$7,bddres_c_prod_type_aff,'SUIVI STOCKS PAR PAYSAN'!$I85,'BDD RESERVATIONS'!$B:$B,"&gt;"&amp;date_inventaire)</f>
        <v>0</v>
      </c>
      <c r="BB85" s="313">
        <f ca="1">SUMIFS(es_poids,es_prod_type_affinage,'SUIVI STOCKS PAR PAYSAN'!$J85,es_date_entree,"&gt;"&amp;date_inventaire)-SUMIFS(v_Poids,v_conc_prod_tye_affinage,'SUIVI STOCKS PAR PAYSAN'!$J85,v_Date_commande,"&gt;"&amp;date_inventaire)</f>
        <v>0</v>
      </c>
      <c r="BC85" s="313">
        <f ca="1">SUMIFS(bddres_c_qte,bddres_c_prod_type_aff,'SUIVI STOCKS PAR PAYSAN'!J85,'BDD RESERVATIONS'!$B:$B,"&gt;"&amp;date_inventaire)</f>
        <v>0</v>
      </c>
      <c r="BD85" s="342">
        <f ca="1">SUMIFS(bddres_pieces,es_prod_type_affinage,'SUIVI STOCKS PAR PAYSAN'!$J85,es_date_entree,"&gt;"&amp;date_inventaire,es_taille,'SUIVI STOCKS PAR PAYSAN'!$BD$7)-SUMIFS(v_Pièces,v_Taille,'SUIVI STOCKS PAR PAYSAN'!$BD$7,v_conc_prod_tye_affinage,'SUIVI STOCKS PAR PAYSAN'!$J85,v_Date_commande,"&gt;"&amp;date_inventaire)</f>
        <v>0</v>
      </c>
      <c r="BE85" s="326">
        <f ca="1">SUMIFS(bddres_pieces,'BDD RESERVATIONS'!$G:$G,'SUIVI STOCKS PAR PAYSAN'!BD80,bddres_c_prod_type_aff,'SUIVI STOCKS PAR PAYSAN'!J85,'BDD RESERVATIONS'!$B:$B,"&gt;"&amp;date_inventaire)</f>
        <v>0</v>
      </c>
      <c r="BF85" s="343">
        <f ca="1">SUMIFS(es_pieces,es_prod_type_affinage,'SUIVI STOCKS PAR PAYSAN'!J85,es_date_entree,"&gt;"&amp;date_inventaire,es_taille,'SUIVI STOCKS PAR PAYSAN'!$BF$7)-SUMIFS(v_Pièces,v_Taille,'SUIVI STOCKS PAR PAYSAN'!$BF$7,v_conc_prod_tye_affinage,'SUIVI STOCKS PAR PAYSAN'!J85,v_Date_commande,"&gt;"&amp;date_inventaire)</f>
        <v>0</v>
      </c>
      <c r="BG85" s="353">
        <f ca="1">SUMIFS(bddres_pieces,'BDD RESERVATIONS'!$G:$G,'SUIVI STOCKS PAR PAYSAN'!$BF$7,bddres_c_prod_type_aff,'SUIVI STOCKS PAR PAYSAN'!J85,'BDD RESERVATIONS'!$B:$B,"&gt;"&amp;date_inventaire)</f>
        <v>0</v>
      </c>
    </row>
    <row r="86" spans="1:59" ht="18.75" customHeight="1" x14ac:dyDescent="0.25">
      <c r="A86" s="331">
        <f ca="1">OFFSET('BDD PAYSANS'!$B$1,B86,0,1,1)</f>
        <v>0</v>
      </c>
      <c r="B86" s="325">
        <v>75</v>
      </c>
      <c r="C86" s="325" t="str">
        <f t="shared" ca="1" si="3"/>
        <v>0FERMIER&lt;3 mois</v>
      </c>
      <c r="D86" s="325" t="str">
        <f t="shared" ca="1" si="3"/>
        <v>0FERMIER3-6 mois</v>
      </c>
      <c r="E86" s="325" t="str">
        <f t="shared" ca="1" si="3"/>
        <v>0FERMIER6-9 mois</v>
      </c>
      <c r="F86" s="325" t="str">
        <f t="shared" ca="1" si="3"/>
        <v>0FERMIER&gt;9 mois</v>
      </c>
      <c r="G86" s="325" t="str">
        <f t="shared" ca="1" si="3"/>
        <v>0ESTIVE&lt;3 mois</v>
      </c>
      <c r="H86" s="325" t="str">
        <f t="shared" ca="1" si="3"/>
        <v>0ESTIVE3-6 mois</v>
      </c>
      <c r="I86" s="325" t="str">
        <f t="shared" ca="1" si="3"/>
        <v>0ESTIVE6-9 mois</v>
      </c>
      <c r="J86" s="325" t="str">
        <f t="shared" ca="1" si="3"/>
        <v>0ESTIVE&gt;9 mois</v>
      </c>
      <c r="K86" s="325"/>
      <c r="L86" s="352">
        <f ca="1">SUMIFS(es_poids,es_prod_type_affinage,'SUIVI STOCKS PAR PAYSAN'!$C86,es_date_entree,"&gt;"&amp;date_inventaire)-SUMIFS(v_Poids,v_conc_prod_tye_affinage,'SUIVI STOCKS PAR PAYSAN'!$C86,v_Date_commande,"&gt;"&amp;date_inventaire)</f>
        <v>0</v>
      </c>
      <c r="M86" s="341">
        <f ca="1">SUMIFS(bddres_c_qte,bddres_c_prod_type_aff,'SUIVI STOCKS PAR PAYSAN'!C86,'BDD RESERVATIONS'!$B:$B,"&gt;"&amp;date_inventaire)</f>
        <v>0</v>
      </c>
      <c r="N86" s="342">
        <f ca="1">SUMIFS(bddres_pieces,es_prod_type_affinage,'SUIVI STOCKS PAR PAYSAN'!$C86,es_date_entree,"&gt;"&amp;date_inventaire,es_taille,'SUIVI STOCKS PAR PAYSAN'!$N$7)-SUMIFS(v_Pièces,v_Taille,'SUIVI STOCKS PAR PAYSAN'!$N$7,v_conc_prod_tye_affinage,'SUIVI STOCKS PAR PAYSAN'!$C86,v_Date_commande,"&gt;"&amp;date_inventaire)</f>
        <v>0</v>
      </c>
      <c r="O86" s="342">
        <f ca="1">SUMIFS(bddres_pieces,'BDD RESERVATIONS'!$G:$G,'SUIVI STOCKS PAR PAYSAN'!$N$7,bddres_c_prod_type_aff,'SUIVI STOCKS PAR PAYSAN'!$C86,'BDD RESERVATIONS'!$B:$B,"&gt;"&amp;date_inventaire)</f>
        <v>0</v>
      </c>
      <c r="P86" s="343">
        <f ca="1">SUMIFS(es_pieces,es_prod_type_affinage,'SUIVI STOCKS PAR PAYSAN'!$C86,es_date_entree,"&gt;"&amp;date_inventaire,es_taille,'SUIVI STOCKS PAR PAYSAN'!$P$7)-SUMIFS(v_Pièces,v_Taille,'SUIVI STOCKS PAR PAYSAN'!$P$7,v_conc_prod_tye_affinage,'SUIVI STOCKS PAR PAYSAN'!$C86,v_Date_commande,"&gt;"&amp;date_inventaire)</f>
        <v>0</v>
      </c>
      <c r="Q86" s="353">
        <f ca="1">SUMIFS(bddres_pieces,'BDD RESERVATIONS'!$G:$G,'SUIVI STOCKS PAR PAYSAN'!$P$7,bddres_c_prod_type_aff,'SUIVI STOCKS PAR PAYSAN'!$C86,'BDD RESERVATIONS'!$B:$B,"&gt;"&amp;date_inventaire)</f>
        <v>0</v>
      </c>
      <c r="R86" s="340">
        <f ca="1">SUMIFS(es_poids,es_prod_type_affinage,'SUIVI STOCKS PAR PAYSAN'!$D86,es_date_entree,"&gt;"&amp;date_inventaire)-SUMIFS(v_Poids,v_conc_prod_tye_affinage,'SUIVI STOCKS PAR PAYSAN'!$D86,v_Date_commande,"&gt;"&amp;date_inventaire)</f>
        <v>0</v>
      </c>
      <c r="S86" s="341">
        <f ca="1">SUMIFS(bddres_c_qte,bddres_c_prod_type_aff,'SUIVI STOCKS PAR PAYSAN'!D86,'BDD RESERVATIONS'!$B:$B,"&gt;"&amp;date_inventaire)</f>
        <v>0</v>
      </c>
      <c r="T86" s="342">
        <f ca="1">SUMIFS(bddres_pieces,es_prod_type_affinage,'SUIVI STOCKS PAR PAYSAN'!$D86,es_date_entree,"&gt;"&amp;date_inventaire,es_taille,'SUIVI STOCKS PAR PAYSAN'!$T$7)-SUMIFS(v_Pièces,v_Taille,'SUIVI STOCKS PAR PAYSAN'!$T$7,v_conc_prod_tye_affinage,'SUIVI STOCKS PAR PAYSAN'!$D86,v_Date_commande,"&gt;"&amp;date_inventaire)</f>
        <v>0</v>
      </c>
      <c r="U86" s="342">
        <f ca="1">SUMIFS(bddres_pieces,'BDD RESERVATIONS'!$G:$G,'SUIVI STOCKS PAR PAYSAN'!$T$7,bddres_c_prod_type_aff,'SUIVI STOCKS PAR PAYSAN'!$D86,'BDD RESERVATIONS'!$B:$B,"&gt;"&amp;date_inventaire)</f>
        <v>0</v>
      </c>
      <c r="V86" s="343">
        <f ca="1">SUMIFS(es_pieces,es_prod_type_affinage,'SUIVI STOCKS PAR PAYSAN'!$D86,es_date_entree,"&gt;"&amp;date_inventaire,es_taille,'SUIVI STOCKS PAR PAYSAN'!$V$7)-SUMIFS(v_Pièces,v_Taille,'SUIVI STOCKS PAR PAYSAN'!$V$7,v_conc_prod_tye_affinage,'SUIVI STOCKS PAR PAYSAN'!$D86,v_Date_commande,"&gt;"&amp;date_inventaire)</f>
        <v>0</v>
      </c>
      <c r="W86" s="353">
        <f ca="1">SUMIFS(bddres_pieces,'BDD RESERVATIONS'!$G:$G,'SUIVI STOCKS PAR PAYSAN'!$V$7,bddres_c_prod_type_aff,'SUIVI STOCKS PAR PAYSAN'!$D86,'BDD RESERVATIONS'!$B:$B,"&gt;"&amp;date_inventaire)</f>
        <v>0</v>
      </c>
      <c r="X86" s="313">
        <f ca="1">SUMIFS(es_poids,es_prod_type_affinage,'SUIVI STOCKS PAR PAYSAN'!$E86,es_date_entree,"&gt;"&amp;date_inventaire)-SUMIFS(v_Poids,v_conc_prod_tye_affinage,'SUIVI STOCKS PAR PAYSAN'!$E86,v_Date_commande,"&gt;"&amp;date_inventaire)</f>
        <v>0</v>
      </c>
      <c r="Y86" s="341">
        <f ca="1">SUMIFS(bddres_c_qte,bddres_c_prod_type_aff,'SUIVI STOCKS PAR PAYSAN'!E86,'BDD RESERVATIONS'!$B:$B,"&gt;"&amp;date_inventaire)</f>
        <v>0</v>
      </c>
      <c r="Z86" s="342">
        <f ca="1">SUMIFS(bddres_pieces,es_prod_type_affinage,'SUIVI STOCKS PAR PAYSAN'!$E86,es_date_entree,"&gt;"&amp;date_inventaire,es_taille,'SUIVI STOCKS PAR PAYSAN'!$Z$7)-SUMIFS(v_Pièces,v_Taille,'SUIVI STOCKS PAR PAYSAN'!$Z$7,v_conc_prod_tye_affinage,'SUIVI STOCKS PAR PAYSAN'!$E86,v_Date_commande,"&gt;"&amp;date_inventaire)</f>
        <v>0</v>
      </c>
      <c r="AA86" s="342">
        <f ca="1">SUMIFS(bddres_pieces,'BDD RESERVATIONS'!$G:$G,'SUIVI STOCKS PAR PAYSAN'!$Z$7,bddres_c_prod_type_aff,'SUIVI STOCKS PAR PAYSAN'!$E86,'BDD RESERVATIONS'!$B:$B,"&gt;"&amp;date_inventaire)</f>
        <v>0</v>
      </c>
      <c r="AB86" s="343">
        <f ca="1">SUMIFS(es_pieces,es_prod_type_affinage,'SUIVI STOCKS PAR PAYSAN'!$E86,es_date_entree,"&gt;"&amp;date_inventaire,es_taille,'SUIVI STOCKS PAR PAYSAN'!$AB$7)-SUMIFS(v_Pièces,v_Taille,'SUIVI STOCKS PAR PAYSAN'!$AB$7,v_conc_prod_tye_affinage,'SUIVI STOCKS PAR PAYSAN'!$E86,v_Date_commande,"&gt;"&amp;date_inventaire)</f>
        <v>0</v>
      </c>
      <c r="AC86" s="353">
        <f ca="1">SUMIFS(bddres_pieces,'BDD RESERVATIONS'!$G:$G,'SUIVI STOCKS PAR PAYSAN'!$AB$7,bddres_c_prod_type_aff,'SUIVI STOCKS PAR PAYSAN'!$E86,'BDD RESERVATIONS'!$B:$B,"&gt;"&amp;date_inventaire)</f>
        <v>0</v>
      </c>
      <c r="AD86" s="313">
        <f ca="1">SUMIFS(es_poids,es_prod_type_affinage,'SUIVI STOCKS PAR PAYSAN'!$F86,es_date_entree,"&gt;"&amp;date_inventaire)-SUMIFS(v_Poids,v_conc_prod_tye_affinage,'SUIVI STOCKS PAR PAYSAN'!$F86,v_Date_commande,"&gt;"&amp;date_inventaire)</f>
        <v>0</v>
      </c>
      <c r="AE86" s="341">
        <f ca="1">SUMIFS(bddres_c_qte,bddres_c_prod_type_aff,'SUIVI STOCKS PAR PAYSAN'!F86,'BDD RESERVATIONS'!$B:$B,"&gt;"&amp;date_inventaire)</f>
        <v>0</v>
      </c>
      <c r="AF86" s="342">
        <f ca="1">SUMIFS(bddres_pieces,es_prod_type_affinage,'SUIVI STOCKS PAR PAYSAN'!$F86,es_date_entree,"&gt;"&amp;date_inventaire,es_taille,'SUIVI STOCKS PAR PAYSAN'!$Z$7)-SUMIFS(v_Pièces,v_Taille,'SUIVI STOCKS PAR PAYSAN'!$Z$7,v_conc_prod_tye_affinage,'SUIVI STOCKS PAR PAYSAN'!$F86,v_Date_commande,"&gt;"&amp;date_inventaire)</f>
        <v>0</v>
      </c>
      <c r="AG86" s="342">
        <f ca="1">SUMIFS(bddres_pieces,'BDD RESERVATIONS'!$G:$G,'SUIVI STOCKS PAR PAYSAN'!$Z$7,bddres_c_prod_type_aff,'SUIVI STOCKS PAR PAYSAN'!$F86,'BDD RESERVATIONS'!$B:$B,"&gt;"&amp;date_inventaire)</f>
        <v>0</v>
      </c>
      <c r="AH86" s="343">
        <f ca="1">SUMIFS(es_pieces,es_prod_type_affinage,'SUIVI STOCKS PAR PAYSAN'!$F86,es_date_entree,"&gt;"&amp;date_inventaire,es_taille,'SUIVI STOCKS PAR PAYSAN'!$AH$7)-SUMIFS(v_Pièces,v_Taille,'SUIVI STOCKS PAR PAYSAN'!$AH$7,v_conc_prod_tye_affinage,'SUIVI STOCKS PAR PAYSAN'!$F86,v_Date_commande,"&gt;"&amp;date_inventaire)</f>
        <v>0</v>
      </c>
      <c r="AI86" s="353">
        <f ca="1">SUMIFS(bddres_pieces,'BDD RESERVATIONS'!$G:$G,'SUIVI STOCKS PAR PAYSAN'!$AB$7,bddres_c_prod_type_aff,'SUIVI STOCKS PAR PAYSAN'!$F86,'BDD RESERVATIONS'!$B:$B,"&gt;"&amp;date_inventaire)</f>
        <v>0</v>
      </c>
      <c r="AJ86" s="352">
        <f ca="1">SUMIFS(es_poids,es_prod_type_affinage,'SUIVI STOCKS PAR PAYSAN'!$G86,es_date_entree,"&gt;"&amp;date_inventaire)-SUMIFS(v_Poids,v_conc_prod_tye_affinage,'SUIVI STOCKS PAR PAYSAN'!$G86,v_Date_commande,"&gt;"&amp;date_inventaire)</f>
        <v>0</v>
      </c>
      <c r="AK86" s="341">
        <f ca="1">SUMIFS(bddres_c_qte,bddres_c_prod_type_aff,'SUIVI STOCKS PAR PAYSAN'!G86,'BDD RESERVATIONS'!$B:$B,"&gt;"&amp;date_inventaire)</f>
        <v>0</v>
      </c>
      <c r="AL86" s="342">
        <f ca="1">SUMIFS(bddres_pieces,es_prod_type_affinage,'SUIVI STOCKS PAR PAYSAN'!$G86,es_date_entree,"&gt;"&amp;date_inventaire,es_taille,'SUIVI STOCKS PAR PAYSAN'!$AL$7)-SUMIFS(v_Pièces,v_Taille,'SUIVI STOCKS PAR PAYSAN'!$AL$7,v_conc_prod_tye_affinage,'SUIVI STOCKS PAR PAYSAN'!$G86,v_Date_commande,"&gt;"&amp;date_inventaire)</f>
        <v>0</v>
      </c>
      <c r="AM86" s="342">
        <f ca="1">SUMIFS(bddres_pieces,'BDD RESERVATIONS'!$G:$G,'SUIVI STOCKS PAR PAYSAN'!$AL$7,bddres_c_prod_type_aff,'SUIVI STOCKS PAR PAYSAN'!$G86,'BDD RESERVATIONS'!$B:$B,"&gt;"&amp;date_inventaire)</f>
        <v>0</v>
      </c>
      <c r="AN86" s="343">
        <f ca="1">SUMIFS(es_pieces,es_prod_type_affinage,'SUIVI STOCKS PAR PAYSAN'!$G86,es_date_entree,"&gt;"&amp;date_inventaire,es_taille,'SUIVI STOCKS PAR PAYSAN'!$AN$7)-SUMIFS(v_Pièces,v_Taille,'SUIVI STOCKS PAR PAYSAN'!$AN$7,v_conc_prod_tye_affinage,'SUIVI STOCKS PAR PAYSAN'!$G86,v_Date_commande,"&gt;"&amp;date_inventaire)</f>
        <v>0</v>
      </c>
      <c r="AO86" s="353">
        <f ca="1">SUMIFS(bddres_pieces,'BDD RESERVATIONS'!$G:$G,'SUIVI STOCKS PAR PAYSAN'!$AN$7,bddres_c_prod_type_aff,'SUIVI STOCKS PAR PAYSAN'!$G86,'BDD RESERVATIONS'!$B:$B,"&gt;"&amp;date_inventaire)</f>
        <v>0</v>
      </c>
      <c r="AP86" s="313">
        <f ca="1">SUMIFS(es_poids,es_prod_type_affinage,'SUIVI STOCKS PAR PAYSAN'!$H86,es_date_entree,"&gt;"&amp;date_inventaire)-SUMIFS(v_Poids,v_conc_prod_tye_affinage,'SUIVI STOCKS PAR PAYSAN'!$H86,v_Date_commande,"&gt;"&amp;date_inventaire)</f>
        <v>0</v>
      </c>
      <c r="AQ86" s="341">
        <f ca="1">SUMIFS(bddres_c_qte,bddres_c_prod_type_aff,'SUIVI STOCKS PAR PAYSAN'!H86,'BDD RESERVATIONS'!$B:$B,"&gt;"&amp;date_inventaire)</f>
        <v>0</v>
      </c>
      <c r="AR86" s="342">
        <f ca="1">SUMIFS(bddres_pieces,es_prod_type_affinage,'SUIVI STOCKS PAR PAYSAN'!$H86,es_date_entree,"&gt;"&amp;date_inventaire,es_taille,'SUIVI STOCKS PAR PAYSAN'!$AR$7)-SUMIFS(v_Pièces,v_Taille,'SUIVI STOCKS PAR PAYSAN'!$AR$7,v_conc_prod_tye_affinage,'SUIVI STOCKS PAR PAYSAN'!$H86,v_Date_commande,"&gt;"&amp;date_inventaire)</f>
        <v>0</v>
      </c>
      <c r="AS86" s="326">
        <f ca="1">SUMIFS(bddres_pieces,'BDD RESERVATIONS'!$G:$G,'SUIVI STOCKS PAR PAYSAN'!AR81,bddres_c_prod_type_aff,'SUIVI STOCKS PAR PAYSAN'!$H86,'BDD RESERVATIONS'!$B:$B,"&gt;"&amp;date_inventaire)</f>
        <v>0</v>
      </c>
      <c r="AT86" s="343">
        <f ca="1">SUMIFS(es_pieces,es_prod_type_affinage,'SUIVI STOCKS PAR PAYSAN'!$H86,es_date_entree,"&gt;"&amp;date_inventaire,es_taille,'SUIVI STOCKS PAR PAYSAN'!$AT$7)-SUMIFS(v_Pièces,v_Taille,'SUIVI STOCKS PAR PAYSAN'!$AT$7,v_conc_prod_tye_affinage,'SUIVI STOCKS PAR PAYSAN'!$H86,v_Date_commande,"&gt;"&amp;date_inventaire)</f>
        <v>0</v>
      </c>
      <c r="AU86" s="353">
        <f ca="1">SUMIFS(bddres_pieces,'BDD RESERVATIONS'!$G:$G,'SUIVI STOCKS PAR PAYSAN'!$AT$7,bddres_c_prod_type_aff,'SUIVI STOCKS PAR PAYSAN'!$H86,'BDD RESERVATIONS'!$B:$B,"&gt;"&amp;date_inventaire)</f>
        <v>0</v>
      </c>
      <c r="AV86" s="313">
        <f ca="1">SUMIFS(es_poids,es_prod_type_affinage,'SUIVI STOCKS PAR PAYSAN'!$I86,es_date_entree,"&gt;"&amp;date_inventaire)-SUMIFS(v_Poids,v_conc_prod_tye_affinage,'SUIVI STOCKS PAR PAYSAN'!$E86,v_Date_commande,"&gt;"&amp;date_inventaire)</f>
        <v>0</v>
      </c>
      <c r="AW86" s="313">
        <f ca="1">SUMIFS(bddres_c_qte,bddres_c_prod_type_aff,'SUIVI STOCKS PAR PAYSAN'!I86,'BDD RESERVATIONS'!$B:$B,"&gt;"&amp;date_inventaire)</f>
        <v>0</v>
      </c>
      <c r="AX86" s="342">
        <f ca="1">SUMIFS(bddres_pieces,es_prod_type_affinage,'SUIVI STOCKS PAR PAYSAN'!$I86,es_date_entree,"&gt;"&amp;date_inventaire,es_taille,'SUIVI STOCKS PAR PAYSAN'!$AX$7)-SUMIFS(v_Pièces,v_Taille,'SUIVI STOCKS PAR PAYSAN'!$AX$7,v_conc_prod_tye_affinage,'SUIVI STOCKS PAR PAYSAN'!$I86,v_Date_commande,"&gt;"&amp;date_inventaire)</f>
        <v>0</v>
      </c>
      <c r="AY86" s="342">
        <f ca="1">SUMIFS(bddres_pieces,'BDD RESERVATIONS'!$G:$G,'SUIVI STOCKS PAR PAYSAN'!$AX$7,bddres_c_prod_type_aff,'SUIVI STOCKS PAR PAYSAN'!$I86,'BDD RESERVATIONS'!$B:$B,"&gt;"&amp;date_inventaire)</f>
        <v>0</v>
      </c>
      <c r="AZ86" s="343">
        <f ca="1">SUMIFS(es_pieces,es_prod_type_affinage,'SUIVI STOCKS PAR PAYSAN'!$I86,es_date_entree,"&gt;"&amp;date_inventaire,es_taille,'SUIVI STOCKS PAR PAYSAN'!$AZ$7)-SUMIFS(v_Pièces,v_Taille,'SUIVI STOCKS PAR PAYSAN'!$AZ$7,v_conc_prod_tye_affinage,'SUIVI STOCKS PAR PAYSAN'!$I86,v_Date_commande,"&gt;"&amp;date_inventaire)</f>
        <v>0</v>
      </c>
      <c r="BA86" s="353">
        <f ca="1">SUMIFS(bddres_pieces,'BDD RESERVATIONS'!$G:$G,'SUIVI STOCKS PAR PAYSAN'!$AZ$7,bddres_c_prod_type_aff,'SUIVI STOCKS PAR PAYSAN'!$I86,'BDD RESERVATIONS'!$B:$B,"&gt;"&amp;date_inventaire)</f>
        <v>0</v>
      </c>
      <c r="BB86" s="313">
        <f ca="1">SUMIFS(es_poids,es_prod_type_affinage,'SUIVI STOCKS PAR PAYSAN'!$J86,es_date_entree,"&gt;"&amp;date_inventaire)-SUMIFS(v_Poids,v_conc_prod_tye_affinage,'SUIVI STOCKS PAR PAYSAN'!$J86,v_Date_commande,"&gt;"&amp;date_inventaire)</f>
        <v>0</v>
      </c>
      <c r="BC86" s="313">
        <f ca="1">SUMIFS(bddres_c_qte,bddres_c_prod_type_aff,'SUIVI STOCKS PAR PAYSAN'!J86,'BDD RESERVATIONS'!$B:$B,"&gt;"&amp;date_inventaire)</f>
        <v>0</v>
      </c>
      <c r="BD86" s="342">
        <f ca="1">SUMIFS(bddres_pieces,es_prod_type_affinage,'SUIVI STOCKS PAR PAYSAN'!$J86,es_date_entree,"&gt;"&amp;date_inventaire,es_taille,'SUIVI STOCKS PAR PAYSAN'!$BD$7)-SUMIFS(v_Pièces,v_Taille,'SUIVI STOCKS PAR PAYSAN'!$BD$7,v_conc_prod_tye_affinage,'SUIVI STOCKS PAR PAYSAN'!$J86,v_Date_commande,"&gt;"&amp;date_inventaire)</f>
        <v>0</v>
      </c>
      <c r="BE86" s="326">
        <f ca="1">SUMIFS(bddres_pieces,'BDD RESERVATIONS'!$G:$G,'SUIVI STOCKS PAR PAYSAN'!BD81,bddres_c_prod_type_aff,'SUIVI STOCKS PAR PAYSAN'!J86,'BDD RESERVATIONS'!$B:$B,"&gt;"&amp;date_inventaire)</f>
        <v>0</v>
      </c>
      <c r="BF86" s="343">
        <f ca="1">SUMIFS(es_pieces,es_prod_type_affinage,'SUIVI STOCKS PAR PAYSAN'!J86,es_date_entree,"&gt;"&amp;date_inventaire,es_taille,'SUIVI STOCKS PAR PAYSAN'!$BF$7)-SUMIFS(v_Pièces,v_Taille,'SUIVI STOCKS PAR PAYSAN'!$BF$7,v_conc_prod_tye_affinage,'SUIVI STOCKS PAR PAYSAN'!J86,v_Date_commande,"&gt;"&amp;date_inventaire)</f>
        <v>0</v>
      </c>
      <c r="BG86" s="353">
        <f ca="1">SUMIFS(bddres_pieces,'BDD RESERVATIONS'!$G:$G,'SUIVI STOCKS PAR PAYSAN'!$BF$7,bddres_c_prod_type_aff,'SUIVI STOCKS PAR PAYSAN'!J86,'BDD RESERVATIONS'!$B:$B,"&gt;"&amp;date_inventaire)</f>
        <v>0</v>
      </c>
    </row>
    <row r="87" spans="1:59" ht="18.75" customHeight="1" x14ac:dyDescent="0.25">
      <c r="A87" s="331">
        <f ca="1">OFFSET('BDD PAYSANS'!$B$1,B87,0,1,1)</f>
        <v>0</v>
      </c>
      <c r="B87" s="325">
        <v>76</v>
      </c>
      <c r="C87" s="325" t="str">
        <f t="shared" ca="1" si="3"/>
        <v>0FERMIER&lt;3 mois</v>
      </c>
      <c r="D87" s="325" t="str">
        <f t="shared" ca="1" si="3"/>
        <v>0FERMIER3-6 mois</v>
      </c>
      <c r="E87" s="325" t="str">
        <f t="shared" ca="1" si="3"/>
        <v>0FERMIER6-9 mois</v>
      </c>
      <c r="F87" s="325" t="str">
        <f t="shared" ca="1" si="3"/>
        <v>0FERMIER&gt;9 mois</v>
      </c>
      <c r="G87" s="325" t="str">
        <f t="shared" ca="1" si="3"/>
        <v>0ESTIVE&lt;3 mois</v>
      </c>
      <c r="H87" s="325" t="str">
        <f t="shared" ca="1" si="3"/>
        <v>0ESTIVE3-6 mois</v>
      </c>
      <c r="I87" s="325" t="str">
        <f t="shared" ca="1" si="3"/>
        <v>0ESTIVE6-9 mois</v>
      </c>
      <c r="J87" s="325" t="str">
        <f t="shared" ca="1" si="3"/>
        <v>0ESTIVE&gt;9 mois</v>
      </c>
      <c r="K87" s="325"/>
      <c r="L87" s="352">
        <f ca="1">SUMIFS(es_poids,es_prod_type_affinage,'SUIVI STOCKS PAR PAYSAN'!$C87,es_date_entree,"&gt;"&amp;date_inventaire)-SUMIFS(v_Poids,v_conc_prod_tye_affinage,'SUIVI STOCKS PAR PAYSAN'!$C87,v_Date_commande,"&gt;"&amp;date_inventaire)</f>
        <v>0</v>
      </c>
      <c r="M87" s="341">
        <f ca="1">SUMIFS(bddres_c_qte,bddres_c_prod_type_aff,'SUIVI STOCKS PAR PAYSAN'!C87,'BDD RESERVATIONS'!$B:$B,"&gt;"&amp;date_inventaire)</f>
        <v>0</v>
      </c>
      <c r="N87" s="342">
        <f ca="1">SUMIFS(bddres_pieces,es_prod_type_affinage,'SUIVI STOCKS PAR PAYSAN'!$C87,es_date_entree,"&gt;"&amp;date_inventaire,es_taille,'SUIVI STOCKS PAR PAYSAN'!$N$7)-SUMIFS(v_Pièces,v_Taille,'SUIVI STOCKS PAR PAYSAN'!$N$7,v_conc_prod_tye_affinage,'SUIVI STOCKS PAR PAYSAN'!$C87,v_Date_commande,"&gt;"&amp;date_inventaire)</f>
        <v>0</v>
      </c>
      <c r="O87" s="342">
        <f ca="1">SUMIFS(bddres_pieces,'BDD RESERVATIONS'!$G:$G,'SUIVI STOCKS PAR PAYSAN'!$N$7,bddres_c_prod_type_aff,'SUIVI STOCKS PAR PAYSAN'!$C87,'BDD RESERVATIONS'!$B:$B,"&gt;"&amp;date_inventaire)</f>
        <v>0</v>
      </c>
      <c r="P87" s="343">
        <f ca="1">SUMIFS(es_pieces,es_prod_type_affinage,'SUIVI STOCKS PAR PAYSAN'!$C87,es_date_entree,"&gt;"&amp;date_inventaire,es_taille,'SUIVI STOCKS PAR PAYSAN'!$P$7)-SUMIFS(v_Pièces,v_Taille,'SUIVI STOCKS PAR PAYSAN'!$P$7,v_conc_prod_tye_affinage,'SUIVI STOCKS PAR PAYSAN'!$C87,v_Date_commande,"&gt;"&amp;date_inventaire)</f>
        <v>0</v>
      </c>
      <c r="Q87" s="353">
        <f ca="1">SUMIFS(bddres_pieces,'BDD RESERVATIONS'!$G:$G,'SUIVI STOCKS PAR PAYSAN'!$P$7,bddres_c_prod_type_aff,'SUIVI STOCKS PAR PAYSAN'!$C87,'BDD RESERVATIONS'!$B:$B,"&gt;"&amp;date_inventaire)</f>
        <v>0</v>
      </c>
      <c r="R87" s="340">
        <f ca="1">SUMIFS(es_poids,es_prod_type_affinage,'SUIVI STOCKS PAR PAYSAN'!$D87,es_date_entree,"&gt;"&amp;date_inventaire)-SUMIFS(v_Poids,v_conc_prod_tye_affinage,'SUIVI STOCKS PAR PAYSAN'!$D87,v_Date_commande,"&gt;"&amp;date_inventaire)</f>
        <v>0</v>
      </c>
      <c r="S87" s="341">
        <f ca="1">SUMIFS(bddres_c_qte,bddres_c_prod_type_aff,'SUIVI STOCKS PAR PAYSAN'!D87,'BDD RESERVATIONS'!$B:$B,"&gt;"&amp;date_inventaire)</f>
        <v>0</v>
      </c>
      <c r="T87" s="342">
        <f ca="1">SUMIFS(bddres_pieces,es_prod_type_affinage,'SUIVI STOCKS PAR PAYSAN'!$D87,es_date_entree,"&gt;"&amp;date_inventaire,es_taille,'SUIVI STOCKS PAR PAYSAN'!$T$7)-SUMIFS(v_Pièces,v_Taille,'SUIVI STOCKS PAR PAYSAN'!$T$7,v_conc_prod_tye_affinage,'SUIVI STOCKS PAR PAYSAN'!$D87,v_Date_commande,"&gt;"&amp;date_inventaire)</f>
        <v>0</v>
      </c>
      <c r="U87" s="342">
        <f ca="1">SUMIFS(bddres_pieces,'BDD RESERVATIONS'!$G:$G,'SUIVI STOCKS PAR PAYSAN'!$T$7,bddres_c_prod_type_aff,'SUIVI STOCKS PAR PAYSAN'!$D87,'BDD RESERVATIONS'!$B:$B,"&gt;"&amp;date_inventaire)</f>
        <v>0</v>
      </c>
      <c r="V87" s="343">
        <f ca="1">SUMIFS(es_pieces,es_prod_type_affinage,'SUIVI STOCKS PAR PAYSAN'!$D87,es_date_entree,"&gt;"&amp;date_inventaire,es_taille,'SUIVI STOCKS PAR PAYSAN'!$V$7)-SUMIFS(v_Pièces,v_Taille,'SUIVI STOCKS PAR PAYSAN'!$V$7,v_conc_prod_tye_affinage,'SUIVI STOCKS PAR PAYSAN'!$D87,v_Date_commande,"&gt;"&amp;date_inventaire)</f>
        <v>0</v>
      </c>
      <c r="W87" s="353">
        <f ca="1">SUMIFS(bddres_pieces,'BDD RESERVATIONS'!$G:$G,'SUIVI STOCKS PAR PAYSAN'!$V$7,bddres_c_prod_type_aff,'SUIVI STOCKS PAR PAYSAN'!$D87,'BDD RESERVATIONS'!$B:$B,"&gt;"&amp;date_inventaire)</f>
        <v>0</v>
      </c>
      <c r="X87" s="313">
        <f ca="1">SUMIFS(es_poids,es_prod_type_affinage,'SUIVI STOCKS PAR PAYSAN'!$E87,es_date_entree,"&gt;"&amp;date_inventaire)-SUMIFS(v_Poids,v_conc_prod_tye_affinage,'SUIVI STOCKS PAR PAYSAN'!$E87,v_Date_commande,"&gt;"&amp;date_inventaire)</f>
        <v>0</v>
      </c>
      <c r="Y87" s="341">
        <f ca="1">SUMIFS(bddres_c_qte,bddres_c_prod_type_aff,'SUIVI STOCKS PAR PAYSAN'!E87,'BDD RESERVATIONS'!$B:$B,"&gt;"&amp;date_inventaire)</f>
        <v>0</v>
      </c>
      <c r="Z87" s="342">
        <f ca="1">SUMIFS(bddres_pieces,es_prod_type_affinage,'SUIVI STOCKS PAR PAYSAN'!$E87,es_date_entree,"&gt;"&amp;date_inventaire,es_taille,'SUIVI STOCKS PAR PAYSAN'!$Z$7)-SUMIFS(v_Pièces,v_Taille,'SUIVI STOCKS PAR PAYSAN'!$Z$7,v_conc_prod_tye_affinage,'SUIVI STOCKS PAR PAYSAN'!$E87,v_Date_commande,"&gt;"&amp;date_inventaire)</f>
        <v>0</v>
      </c>
      <c r="AA87" s="342">
        <f ca="1">SUMIFS(bddres_pieces,'BDD RESERVATIONS'!$G:$G,'SUIVI STOCKS PAR PAYSAN'!$Z$7,bddres_c_prod_type_aff,'SUIVI STOCKS PAR PAYSAN'!$E87,'BDD RESERVATIONS'!$B:$B,"&gt;"&amp;date_inventaire)</f>
        <v>0</v>
      </c>
      <c r="AB87" s="343">
        <f ca="1">SUMIFS(es_pieces,es_prod_type_affinage,'SUIVI STOCKS PAR PAYSAN'!$E87,es_date_entree,"&gt;"&amp;date_inventaire,es_taille,'SUIVI STOCKS PAR PAYSAN'!$AB$7)-SUMIFS(v_Pièces,v_Taille,'SUIVI STOCKS PAR PAYSAN'!$AB$7,v_conc_prod_tye_affinage,'SUIVI STOCKS PAR PAYSAN'!$E87,v_Date_commande,"&gt;"&amp;date_inventaire)</f>
        <v>0</v>
      </c>
      <c r="AC87" s="353">
        <f ca="1">SUMIFS(bddres_pieces,'BDD RESERVATIONS'!$G:$G,'SUIVI STOCKS PAR PAYSAN'!$AB$7,bddres_c_prod_type_aff,'SUIVI STOCKS PAR PAYSAN'!$E87,'BDD RESERVATIONS'!$B:$B,"&gt;"&amp;date_inventaire)</f>
        <v>0</v>
      </c>
      <c r="AD87" s="313">
        <f ca="1">SUMIFS(es_poids,es_prod_type_affinage,'SUIVI STOCKS PAR PAYSAN'!$F87,es_date_entree,"&gt;"&amp;date_inventaire)-SUMIFS(v_Poids,v_conc_prod_tye_affinage,'SUIVI STOCKS PAR PAYSAN'!$F87,v_Date_commande,"&gt;"&amp;date_inventaire)</f>
        <v>0</v>
      </c>
      <c r="AE87" s="341">
        <f ca="1">SUMIFS(bddres_c_qte,bddres_c_prod_type_aff,'SUIVI STOCKS PAR PAYSAN'!F87,'BDD RESERVATIONS'!$B:$B,"&gt;"&amp;date_inventaire)</f>
        <v>0</v>
      </c>
      <c r="AF87" s="342">
        <f ca="1">SUMIFS(bddres_pieces,es_prod_type_affinage,'SUIVI STOCKS PAR PAYSAN'!$F87,es_date_entree,"&gt;"&amp;date_inventaire,es_taille,'SUIVI STOCKS PAR PAYSAN'!$Z$7)-SUMIFS(v_Pièces,v_Taille,'SUIVI STOCKS PAR PAYSAN'!$Z$7,v_conc_prod_tye_affinage,'SUIVI STOCKS PAR PAYSAN'!$F87,v_Date_commande,"&gt;"&amp;date_inventaire)</f>
        <v>0</v>
      </c>
      <c r="AG87" s="342">
        <f ca="1">SUMIFS(bddres_pieces,'BDD RESERVATIONS'!$G:$G,'SUIVI STOCKS PAR PAYSAN'!$Z$7,bddres_c_prod_type_aff,'SUIVI STOCKS PAR PAYSAN'!$F87,'BDD RESERVATIONS'!$B:$B,"&gt;"&amp;date_inventaire)</f>
        <v>0</v>
      </c>
      <c r="AH87" s="343">
        <f ca="1">SUMIFS(es_pieces,es_prod_type_affinage,'SUIVI STOCKS PAR PAYSAN'!$F87,es_date_entree,"&gt;"&amp;date_inventaire,es_taille,'SUIVI STOCKS PAR PAYSAN'!$AH$7)-SUMIFS(v_Pièces,v_Taille,'SUIVI STOCKS PAR PAYSAN'!$AH$7,v_conc_prod_tye_affinage,'SUIVI STOCKS PAR PAYSAN'!$F87,v_Date_commande,"&gt;"&amp;date_inventaire)</f>
        <v>0</v>
      </c>
      <c r="AI87" s="353">
        <f ca="1">SUMIFS(bddres_pieces,'BDD RESERVATIONS'!$G:$G,'SUIVI STOCKS PAR PAYSAN'!$AB$7,bddres_c_prod_type_aff,'SUIVI STOCKS PAR PAYSAN'!$F87,'BDD RESERVATIONS'!$B:$B,"&gt;"&amp;date_inventaire)</f>
        <v>0</v>
      </c>
      <c r="AJ87" s="352">
        <f ca="1">SUMIFS(es_poids,es_prod_type_affinage,'SUIVI STOCKS PAR PAYSAN'!$G87,es_date_entree,"&gt;"&amp;date_inventaire)-SUMIFS(v_Poids,v_conc_prod_tye_affinage,'SUIVI STOCKS PAR PAYSAN'!$G87,v_Date_commande,"&gt;"&amp;date_inventaire)</f>
        <v>0</v>
      </c>
      <c r="AK87" s="341">
        <f ca="1">SUMIFS(bddres_c_qte,bddres_c_prod_type_aff,'SUIVI STOCKS PAR PAYSAN'!G87,'BDD RESERVATIONS'!$B:$B,"&gt;"&amp;date_inventaire)</f>
        <v>0</v>
      </c>
      <c r="AL87" s="342">
        <f ca="1">SUMIFS(bddres_pieces,es_prod_type_affinage,'SUIVI STOCKS PAR PAYSAN'!$G87,es_date_entree,"&gt;"&amp;date_inventaire,es_taille,'SUIVI STOCKS PAR PAYSAN'!$AL$7)-SUMIFS(v_Pièces,v_Taille,'SUIVI STOCKS PAR PAYSAN'!$AL$7,v_conc_prod_tye_affinage,'SUIVI STOCKS PAR PAYSAN'!$G87,v_Date_commande,"&gt;"&amp;date_inventaire)</f>
        <v>0</v>
      </c>
      <c r="AM87" s="342">
        <f ca="1">SUMIFS(bddres_pieces,'BDD RESERVATIONS'!$G:$G,'SUIVI STOCKS PAR PAYSAN'!$AL$7,bddres_c_prod_type_aff,'SUIVI STOCKS PAR PAYSAN'!$G87,'BDD RESERVATIONS'!$B:$B,"&gt;"&amp;date_inventaire)</f>
        <v>0</v>
      </c>
      <c r="AN87" s="343">
        <f ca="1">SUMIFS(es_pieces,es_prod_type_affinage,'SUIVI STOCKS PAR PAYSAN'!$G87,es_date_entree,"&gt;"&amp;date_inventaire,es_taille,'SUIVI STOCKS PAR PAYSAN'!$AN$7)-SUMIFS(v_Pièces,v_Taille,'SUIVI STOCKS PAR PAYSAN'!$AN$7,v_conc_prod_tye_affinage,'SUIVI STOCKS PAR PAYSAN'!$G87,v_Date_commande,"&gt;"&amp;date_inventaire)</f>
        <v>0</v>
      </c>
      <c r="AO87" s="353">
        <f ca="1">SUMIFS(bddres_pieces,'BDD RESERVATIONS'!$G:$G,'SUIVI STOCKS PAR PAYSAN'!$AN$7,bddres_c_prod_type_aff,'SUIVI STOCKS PAR PAYSAN'!$G87,'BDD RESERVATIONS'!$B:$B,"&gt;"&amp;date_inventaire)</f>
        <v>0</v>
      </c>
      <c r="AP87" s="313">
        <f ca="1">SUMIFS(es_poids,es_prod_type_affinage,'SUIVI STOCKS PAR PAYSAN'!$H87,es_date_entree,"&gt;"&amp;date_inventaire)-SUMIFS(v_Poids,v_conc_prod_tye_affinage,'SUIVI STOCKS PAR PAYSAN'!$H87,v_Date_commande,"&gt;"&amp;date_inventaire)</f>
        <v>0</v>
      </c>
      <c r="AQ87" s="341">
        <f ca="1">SUMIFS(bddres_c_qte,bddres_c_prod_type_aff,'SUIVI STOCKS PAR PAYSAN'!H87,'BDD RESERVATIONS'!$B:$B,"&gt;"&amp;date_inventaire)</f>
        <v>0</v>
      </c>
      <c r="AR87" s="342">
        <f ca="1">SUMIFS(bddres_pieces,es_prod_type_affinage,'SUIVI STOCKS PAR PAYSAN'!$H87,es_date_entree,"&gt;"&amp;date_inventaire,es_taille,'SUIVI STOCKS PAR PAYSAN'!$AR$7)-SUMIFS(v_Pièces,v_Taille,'SUIVI STOCKS PAR PAYSAN'!$AR$7,v_conc_prod_tye_affinage,'SUIVI STOCKS PAR PAYSAN'!$H87,v_Date_commande,"&gt;"&amp;date_inventaire)</f>
        <v>0</v>
      </c>
      <c r="AS87" s="326">
        <f ca="1">SUMIFS(bddres_pieces,'BDD RESERVATIONS'!$G:$G,'SUIVI STOCKS PAR PAYSAN'!AR82,bddres_c_prod_type_aff,'SUIVI STOCKS PAR PAYSAN'!$H87,'BDD RESERVATIONS'!$B:$B,"&gt;"&amp;date_inventaire)</f>
        <v>0</v>
      </c>
      <c r="AT87" s="343">
        <f ca="1">SUMIFS(es_pieces,es_prod_type_affinage,'SUIVI STOCKS PAR PAYSAN'!$H87,es_date_entree,"&gt;"&amp;date_inventaire,es_taille,'SUIVI STOCKS PAR PAYSAN'!$AT$7)-SUMIFS(v_Pièces,v_Taille,'SUIVI STOCKS PAR PAYSAN'!$AT$7,v_conc_prod_tye_affinage,'SUIVI STOCKS PAR PAYSAN'!$H87,v_Date_commande,"&gt;"&amp;date_inventaire)</f>
        <v>0</v>
      </c>
      <c r="AU87" s="353">
        <f ca="1">SUMIFS(bddres_pieces,'BDD RESERVATIONS'!$G:$G,'SUIVI STOCKS PAR PAYSAN'!$AT$7,bddres_c_prod_type_aff,'SUIVI STOCKS PAR PAYSAN'!$H87,'BDD RESERVATIONS'!$B:$B,"&gt;"&amp;date_inventaire)</f>
        <v>0</v>
      </c>
      <c r="AV87" s="313">
        <f ca="1">SUMIFS(es_poids,es_prod_type_affinage,'SUIVI STOCKS PAR PAYSAN'!$I87,es_date_entree,"&gt;"&amp;date_inventaire)-SUMIFS(v_Poids,v_conc_prod_tye_affinage,'SUIVI STOCKS PAR PAYSAN'!$E87,v_Date_commande,"&gt;"&amp;date_inventaire)</f>
        <v>0</v>
      </c>
      <c r="AW87" s="313">
        <f ca="1">SUMIFS(bddres_c_qte,bddres_c_prod_type_aff,'SUIVI STOCKS PAR PAYSAN'!I87,'BDD RESERVATIONS'!$B:$B,"&gt;"&amp;date_inventaire)</f>
        <v>0</v>
      </c>
      <c r="AX87" s="342">
        <f ca="1">SUMIFS(bddres_pieces,es_prod_type_affinage,'SUIVI STOCKS PAR PAYSAN'!$I87,es_date_entree,"&gt;"&amp;date_inventaire,es_taille,'SUIVI STOCKS PAR PAYSAN'!$AX$7)-SUMIFS(v_Pièces,v_Taille,'SUIVI STOCKS PAR PAYSAN'!$AX$7,v_conc_prod_tye_affinage,'SUIVI STOCKS PAR PAYSAN'!$I87,v_Date_commande,"&gt;"&amp;date_inventaire)</f>
        <v>0</v>
      </c>
      <c r="AY87" s="342">
        <f ca="1">SUMIFS(bddres_pieces,'BDD RESERVATIONS'!$G:$G,'SUIVI STOCKS PAR PAYSAN'!$AX$7,bddres_c_prod_type_aff,'SUIVI STOCKS PAR PAYSAN'!$I87,'BDD RESERVATIONS'!$B:$B,"&gt;"&amp;date_inventaire)</f>
        <v>0</v>
      </c>
      <c r="AZ87" s="343">
        <f ca="1">SUMIFS(es_pieces,es_prod_type_affinage,'SUIVI STOCKS PAR PAYSAN'!$I87,es_date_entree,"&gt;"&amp;date_inventaire,es_taille,'SUIVI STOCKS PAR PAYSAN'!$AZ$7)-SUMIFS(v_Pièces,v_Taille,'SUIVI STOCKS PAR PAYSAN'!$AZ$7,v_conc_prod_tye_affinage,'SUIVI STOCKS PAR PAYSAN'!$I87,v_Date_commande,"&gt;"&amp;date_inventaire)</f>
        <v>0</v>
      </c>
      <c r="BA87" s="353">
        <f ca="1">SUMIFS(bddres_pieces,'BDD RESERVATIONS'!$G:$G,'SUIVI STOCKS PAR PAYSAN'!$AZ$7,bddres_c_prod_type_aff,'SUIVI STOCKS PAR PAYSAN'!$I87,'BDD RESERVATIONS'!$B:$B,"&gt;"&amp;date_inventaire)</f>
        <v>0</v>
      </c>
      <c r="BB87" s="313">
        <f ca="1">SUMIFS(es_poids,es_prod_type_affinage,'SUIVI STOCKS PAR PAYSAN'!$J87,es_date_entree,"&gt;"&amp;date_inventaire)-SUMIFS(v_Poids,v_conc_prod_tye_affinage,'SUIVI STOCKS PAR PAYSAN'!$J87,v_Date_commande,"&gt;"&amp;date_inventaire)</f>
        <v>0</v>
      </c>
      <c r="BC87" s="313">
        <f ca="1">SUMIFS(bddres_c_qte,bddres_c_prod_type_aff,'SUIVI STOCKS PAR PAYSAN'!J87,'BDD RESERVATIONS'!$B:$B,"&gt;"&amp;date_inventaire)</f>
        <v>0</v>
      </c>
      <c r="BD87" s="342">
        <f ca="1">SUMIFS(bddres_pieces,es_prod_type_affinage,'SUIVI STOCKS PAR PAYSAN'!$J87,es_date_entree,"&gt;"&amp;date_inventaire,es_taille,'SUIVI STOCKS PAR PAYSAN'!$BD$7)-SUMIFS(v_Pièces,v_Taille,'SUIVI STOCKS PAR PAYSAN'!$BD$7,v_conc_prod_tye_affinage,'SUIVI STOCKS PAR PAYSAN'!$J87,v_Date_commande,"&gt;"&amp;date_inventaire)</f>
        <v>0</v>
      </c>
      <c r="BE87" s="326">
        <f ca="1">SUMIFS(bddres_pieces,'BDD RESERVATIONS'!$G:$G,'SUIVI STOCKS PAR PAYSAN'!BD82,bddres_c_prod_type_aff,'SUIVI STOCKS PAR PAYSAN'!J87,'BDD RESERVATIONS'!$B:$B,"&gt;"&amp;date_inventaire)</f>
        <v>0</v>
      </c>
      <c r="BF87" s="343">
        <f ca="1">SUMIFS(es_pieces,es_prod_type_affinage,'SUIVI STOCKS PAR PAYSAN'!J87,es_date_entree,"&gt;"&amp;date_inventaire,es_taille,'SUIVI STOCKS PAR PAYSAN'!$BF$7)-SUMIFS(v_Pièces,v_Taille,'SUIVI STOCKS PAR PAYSAN'!$BF$7,v_conc_prod_tye_affinage,'SUIVI STOCKS PAR PAYSAN'!J87,v_Date_commande,"&gt;"&amp;date_inventaire)</f>
        <v>0</v>
      </c>
      <c r="BG87" s="353">
        <f ca="1">SUMIFS(bddres_pieces,'BDD RESERVATIONS'!$G:$G,'SUIVI STOCKS PAR PAYSAN'!$BF$7,bddres_c_prod_type_aff,'SUIVI STOCKS PAR PAYSAN'!J87,'BDD RESERVATIONS'!$B:$B,"&gt;"&amp;date_inventaire)</f>
        <v>0</v>
      </c>
    </row>
    <row r="88" spans="1:59" ht="18.75" customHeight="1" x14ac:dyDescent="0.25">
      <c r="A88" s="331">
        <f ca="1">OFFSET('BDD PAYSANS'!$B$1,B88,0,1,1)</f>
        <v>0</v>
      </c>
      <c r="B88" s="325">
        <v>77</v>
      </c>
      <c r="C88" s="325" t="str">
        <f t="shared" ca="1" si="3"/>
        <v>0FERMIER&lt;3 mois</v>
      </c>
      <c r="D88" s="325" t="str">
        <f t="shared" ca="1" si="3"/>
        <v>0FERMIER3-6 mois</v>
      </c>
      <c r="E88" s="325" t="str">
        <f t="shared" ca="1" si="3"/>
        <v>0FERMIER6-9 mois</v>
      </c>
      <c r="F88" s="325" t="str">
        <f t="shared" ca="1" si="3"/>
        <v>0FERMIER&gt;9 mois</v>
      </c>
      <c r="G88" s="325" t="str">
        <f t="shared" ca="1" si="3"/>
        <v>0ESTIVE&lt;3 mois</v>
      </c>
      <c r="H88" s="325" t="str">
        <f t="shared" ca="1" si="3"/>
        <v>0ESTIVE3-6 mois</v>
      </c>
      <c r="I88" s="325" t="str">
        <f t="shared" ca="1" si="3"/>
        <v>0ESTIVE6-9 mois</v>
      </c>
      <c r="J88" s="325" t="str">
        <f t="shared" ca="1" si="3"/>
        <v>0ESTIVE&gt;9 mois</v>
      </c>
      <c r="K88" s="325"/>
      <c r="L88" s="352">
        <f ca="1">SUMIFS(es_poids,es_prod_type_affinage,'SUIVI STOCKS PAR PAYSAN'!$C88,es_date_entree,"&gt;"&amp;date_inventaire)-SUMIFS(v_Poids,v_conc_prod_tye_affinage,'SUIVI STOCKS PAR PAYSAN'!$C88,v_Date_commande,"&gt;"&amp;date_inventaire)</f>
        <v>0</v>
      </c>
      <c r="M88" s="341">
        <f ca="1">SUMIFS(bddres_c_qte,bddres_c_prod_type_aff,'SUIVI STOCKS PAR PAYSAN'!C88,'BDD RESERVATIONS'!$B:$B,"&gt;"&amp;date_inventaire)</f>
        <v>0</v>
      </c>
      <c r="N88" s="342">
        <f ca="1">SUMIFS(bddres_pieces,es_prod_type_affinage,'SUIVI STOCKS PAR PAYSAN'!$C88,es_date_entree,"&gt;"&amp;date_inventaire,es_taille,'SUIVI STOCKS PAR PAYSAN'!$N$7)-SUMIFS(v_Pièces,v_Taille,'SUIVI STOCKS PAR PAYSAN'!$N$7,v_conc_prod_tye_affinage,'SUIVI STOCKS PAR PAYSAN'!$C88,v_Date_commande,"&gt;"&amp;date_inventaire)</f>
        <v>0</v>
      </c>
      <c r="O88" s="342">
        <f ca="1">SUMIFS(bddres_pieces,'BDD RESERVATIONS'!$G:$G,'SUIVI STOCKS PAR PAYSAN'!$N$7,bddres_c_prod_type_aff,'SUIVI STOCKS PAR PAYSAN'!$C88,'BDD RESERVATIONS'!$B:$B,"&gt;"&amp;date_inventaire)</f>
        <v>0</v>
      </c>
      <c r="P88" s="343">
        <f ca="1">SUMIFS(es_pieces,es_prod_type_affinage,'SUIVI STOCKS PAR PAYSAN'!$C88,es_date_entree,"&gt;"&amp;date_inventaire,es_taille,'SUIVI STOCKS PAR PAYSAN'!$P$7)-SUMIFS(v_Pièces,v_Taille,'SUIVI STOCKS PAR PAYSAN'!$P$7,v_conc_prod_tye_affinage,'SUIVI STOCKS PAR PAYSAN'!$C88,v_Date_commande,"&gt;"&amp;date_inventaire)</f>
        <v>0</v>
      </c>
      <c r="Q88" s="353">
        <f ca="1">SUMIFS(bddres_pieces,'BDD RESERVATIONS'!$G:$G,'SUIVI STOCKS PAR PAYSAN'!$P$7,bddres_c_prod_type_aff,'SUIVI STOCKS PAR PAYSAN'!$C88,'BDD RESERVATIONS'!$B:$B,"&gt;"&amp;date_inventaire)</f>
        <v>0</v>
      </c>
      <c r="R88" s="340">
        <f ca="1">SUMIFS(es_poids,es_prod_type_affinage,'SUIVI STOCKS PAR PAYSAN'!$D88,es_date_entree,"&gt;"&amp;date_inventaire)-SUMIFS(v_Poids,v_conc_prod_tye_affinage,'SUIVI STOCKS PAR PAYSAN'!$D88,v_Date_commande,"&gt;"&amp;date_inventaire)</f>
        <v>0</v>
      </c>
      <c r="S88" s="341">
        <f ca="1">SUMIFS(bddres_c_qte,bddres_c_prod_type_aff,'SUIVI STOCKS PAR PAYSAN'!D88,'BDD RESERVATIONS'!$B:$B,"&gt;"&amp;date_inventaire)</f>
        <v>0</v>
      </c>
      <c r="T88" s="342">
        <f ca="1">SUMIFS(bddres_pieces,es_prod_type_affinage,'SUIVI STOCKS PAR PAYSAN'!$D88,es_date_entree,"&gt;"&amp;date_inventaire,es_taille,'SUIVI STOCKS PAR PAYSAN'!$T$7)-SUMIFS(v_Pièces,v_Taille,'SUIVI STOCKS PAR PAYSAN'!$T$7,v_conc_prod_tye_affinage,'SUIVI STOCKS PAR PAYSAN'!$D88,v_Date_commande,"&gt;"&amp;date_inventaire)</f>
        <v>0</v>
      </c>
      <c r="U88" s="342">
        <f ca="1">SUMIFS(bddres_pieces,'BDD RESERVATIONS'!$G:$G,'SUIVI STOCKS PAR PAYSAN'!$T$7,bddres_c_prod_type_aff,'SUIVI STOCKS PAR PAYSAN'!$D88,'BDD RESERVATIONS'!$B:$B,"&gt;"&amp;date_inventaire)</f>
        <v>0</v>
      </c>
      <c r="V88" s="343">
        <f ca="1">SUMIFS(es_pieces,es_prod_type_affinage,'SUIVI STOCKS PAR PAYSAN'!$D88,es_date_entree,"&gt;"&amp;date_inventaire,es_taille,'SUIVI STOCKS PAR PAYSAN'!$V$7)-SUMIFS(v_Pièces,v_Taille,'SUIVI STOCKS PAR PAYSAN'!$V$7,v_conc_prod_tye_affinage,'SUIVI STOCKS PAR PAYSAN'!$D88,v_Date_commande,"&gt;"&amp;date_inventaire)</f>
        <v>0</v>
      </c>
      <c r="W88" s="353">
        <f ca="1">SUMIFS(bddres_pieces,'BDD RESERVATIONS'!$G:$G,'SUIVI STOCKS PAR PAYSAN'!$V$7,bddres_c_prod_type_aff,'SUIVI STOCKS PAR PAYSAN'!$D88,'BDD RESERVATIONS'!$B:$B,"&gt;"&amp;date_inventaire)</f>
        <v>0</v>
      </c>
      <c r="X88" s="313">
        <f ca="1">SUMIFS(es_poids,es_prod_type_affinage,'SUIVI STOCKS PAR PAYSAN'!$E88,es_date_entree,"&gt;"&amp;date_inventaire)-SUMIFS(v_Poids,v_conc_prod_tye_affinage,'SUIVI STOCKS PAR PAYSAN'!$E88,v_Date_commande,"&gt;"&amp;date_inventaire)</f>
        <v>0</v>
      </c>
      <c r="Y88" s="341">
        <f ca="1">SUMIFS(bddres_c_qte,bddres_c_prod_type_aff,'SUIVI STOCKS PAR PAYSAN'!E88,'BDD RESERVATIONS'!$B:$B,"&gt;"&amp;date_inventaire)</f>
        <v>0</v>
      </c>
      <c r="Z88" s="342">
        <f ca="1">SUMIFS(bddres_pieces,es_prod_type_affinage,'SUIVI STOCKS PAR PAYSAN'!$E88,es_date_entree,"&gt;"&amp;date_inventaire,es_taille,'SUIVI STOCKS PAR PAYSAN'!$Z$7)-SUMIFS(v_Pièces,v_Taille,'SUIVI STOCKS PAR PAYSAN'!$Z$7,v_conc_prod_tye_affinage,'SUIVI STOCKS PAR PAYSAN'!$E88,v_Date_commande,"&gt;"&amp;date_inventaire)</f>
        <v>0</v>
      </c>
      <c r="AA88" s="342">
        <f ca="1">SUMIFS(bddres_pieces,'BDD RESERVATIONS'!$G:$G,'SUIVI STOCKS PAR PAYSAN'!$Z$7,bddres_c_prod_type_aff,'SUIVI STOCKS PAR PAYSAN'!$E88,'BDD RESERVATIONS'!$B:$B,"&gt;"&amp;date_inventaire)</f>
        <v>0</v>
      </c>
      <c r="AB88" s="343">
        <f ca="1">SUMIFS(es_pieces,es_prod_type_affinage,'SUIVI STOCKS PAR PAYSAN'!$E88,es_date_entree,"&gt;"&amp;date_inventaire,es_taille,'SUIVI STOCKS PAR PAYSAN'!$AB$7)-SUMIFS(v_Pièces,v_Taille,'SUIVI STOCKS PAR PAYSAN'!$AB$7,v_conc_prod_tye_affinage,'SUIVI STOCKS PAR PAYSAN'!$E88,v_Date_commande,"&gt;"&amp;date_inventaire)</f>
        <v>0</v>
      </c>
      <c r="AC88" s="353">
        <f ca="1">SUMIFS(bddres_pieces,'BDD RESERVATIONS'!$G:$G,'SUIVI STOCKS PAR PAYSAN'!$AB$7,bddres_c_prod_type_aff,'SUIVI STOCKS PAR PAYSAN'!$E88,'BDD RESERVATIONS'!$B:$B,"&gt;"&amp;date_inventaire)</f>
        <v>0</v>
      </c>
      <c r="AD88" s="313">
        <f ca="1">SUMIFS(es_poids,es_prod_type_affinage,'SUIVI STOCKS PAR PAYSAN'!$F88,es_date_entree,"&gt;"&amp;date_inventaire)-SUMIFS(v_Poids,v_conc_prod_tye_affinage,'SUIVI STOCKS PAR PAYSAN'!$F88,v_Date_commande,"&gt;"&amp;date_inventaire)</f>
        <v>0</v>
      </c>
      <c r="AE88" s="341">
        <f ca="1">SUMIFS(bddres_c_qte,bddres_c_prod_type_aff,'SUIVI STOCKS PAR PAYSAN'!F88,'BDD RESERVATIONS'!$B:$B,"&gt;"&amp;date_inventaire)</f>
        <v>0</v>
      </c>
      <c r="AF88" s="342">
        <f ca="1">SUMIFS(bddres_pieces,es_prod_type_affinage,'SUIVI STOCKS PAR PAYSAN'!$F88,es_date_entree,"&gt;"&amp;date_inventaire,es_taille,'SUIVI STOCKS PAR PAYSAN'!$Z$7)-SUMIFS(v_Pièces,v_Taille,'SUIVI STOCKS PAR PAYSAN'!$Z$7,v_conc_prod_tye_affinage,'SUIVI STOCKS PAR PAYSAN'!$F88,v_Date_commande,"&gt;"&amp;date_inventaire)</f>
        <v>0</v>
      </c>
      <c r="AG88" s="342">
        <f ca="1">SUMIFS(bddres_pieces,'BDD RESERVATIONS'!$G:$G,'SUIVI STOCKS PAR PAYSAN'!$Z$7,bddres_c_prod_type_aff,'SUIVI STOCKS PAR PAYSAN'!$F88,'BDD RESERVATIONS'!$B:$B,"&gt;"&amp;date_inventaire)</f>
        <v>0</v>
      </c>
      <c r="AH88" s="343">
        <f ca="1">SUMIFS(es_pieces,es_prod_type_affinage,'SUIVI STOCKS PAR PAYSAN'!$F88,es_date_entree,"&gt;"&amp;date_inventaire,es_taille,'SUIVI STOCKS PAR PAYSAN'!$AH$7)-SUMIFS(v_Pièces,v_Taille,'SUIVI STOCKS PAR PAYSAN'!$AH$7,v_conc_prod_tye_affinage,'SUIVI STOCKS PAR PAYSAN'!$F88,v_Date_commande,"&gt;"&amp;date_inventaire)</f>
        <v>0</v>
      </c>
      <c r="AI88" s="353">
        <f ca="1">SUMIFS(bddres_pieces,'BDD RESERVATIONS'!$G:$G,'SUIVI STOCKS PAR PAYSAN'!$AB$7,bddres_c_prod_type_aff,'SUIVI STOCKS PAR PAYSAN'!$F88,'BDD RESERVATIONS'!$B:$B,"&gt;"&amp;date_inventaire)</f>
        <v>0</v>
      </c>
      <c r="AJ88" s="352">
        <f ca="1">SUMIFS(es_poids,es_prod_type_affinage,'SUIVI STOCKS PAR PAYSAN'!$G88,es_date_entree,"&gt;"&amp;date_inventaire)-SUMIFS(v_Poids,v_conc_prod_tye_affinage,'SUIVI STOCKS PAR PAYSAN'!$G88,v_Date_commande,"&gt;"&amp;date_inventaire)</f>
        <v>0</v>
      </c>
      <c r="AK88" s="341">
        <f ca="1">SUMIFS(bddres_c_qte,bddres_c_prod_type_aff,'SUIVI STOCKS PAR PAYSAN'!G88,'BDD RESERVATIONS'!$B:$B,"&gt;"&amp;date_inventaire)</f>
        <v>0</v>
      </c>
      <c r="AL88" s="342">
        <f ca="1">SUMIFS(bddres_pieces,es_prod_type_affinage,'SUIVI STOCKS PAR PAYSAN'!$G88,es_date_entree,"&gt;"&amp;date_inventaire,es_taille,'SUIVI STOCKS PAR PAYSAN'!$AL$7)-SUMIFS(v_Pièces,v_Taille,'SUIVI STOCKS PAR PAYSAN'!$AL$7,v_conc_prod_tye_affinage,'SUIVI STOCKS PAR PAYSAN'!$G88,v_Date_commande,"&gt;"&amp;date_inventaire)</f>
        <v>0</v>
      </c>
      <c r="AM88" s="342">
        <f ca="1">SUMIFS(bddres_pieces,'BDD RESERVATIONS'!$G:$G,'SUIVI STOCKS PAR PAYSAN'!$AL$7,bddres_c_prod_type_aff,'SUIVI STOCKS PAR PAYSAN'!$G88,'BDD RESERVATIONS'!$B:$B,"&gt;"&amp;date_inventaire)</f>
        <v>0</v>
      </c>
      <c r="AN88" s="343">
        <f ca="1">SUMIFS(es_pieces,es_prod_type_affinage,'SUIVI STOCKS PAR PAYSAN'!$G88,es_date_entree,"&gt;"&amp;date_inventaire,es_taille,'SUIVI STOCKS PAR PAYSAN'!$AN$7)-SUMIFS(v_Pièces,v_Taille,'SUIVI STOCKS PAR PAYSAN'!$AN$7,v_conc_prod_tye_affinage,'SUIVI STOCKS PAR PAYSAN'!$G88,v_Date_commande,"&gt;"&amp;date_inventaire)</f>
        <v>0</v>
      </c>
      <c r="AO88" s="353">
        <f ca="1">SUMIFS(bddres_pieces,'BDD RESERVATIONS'!$G:$G,'SUIVI STOCKS PAR PAYSAN'!$AN$7,bddres_c_prod_type_aff,'SUIVI STOCKS PAR PAYSAN'!$G88,'BDD RESERVATIONS'!$B:$B,"&gt;"&amp;date_inventaire)</f>
        <v>0</v>
      </c>
      <c r="AP88" s="313">
        <f ca="1">SUMIFS(es_poids,es_prod_type_affinage,'SUIVI STOCKS PAR PAYSAN'!$H88,es_date_entree,"&gt;"&amp;date_inventaire)-SUMIFS(v_Poids,v_conc_prod_tye_affinage,'SUIVI STOCKS PAR PAYSAN'!$H88,v_Date_commande,"&gt;"&amp;date_inventaire)</f>
        <v>0</v>
      </c>
      <c r="AQ88" s="341">
        <f ca="1">SUMIFS(bddres_c_qte,bddres_c_prod_type_aff,'SUIVI STOCKS PAR PAYSAN'!H88,'BDD RESERVATIONS'!$B:$B,"&gt;"&amp;date_inventaire)</f>
        <v>0</v>
      </c>
      <c r="AR88" s="342">
        <f ca="1">SUMIFS(bddres_pieces,es_prod_type_affinage,'SUIVI STOCKS PAR PAYSAN'!$H88,es_date_entree,"&gt;"&amp;date_inventaire,es_taille,'SUIVI STOCKS PAR PAYSAN'!$AR$7)-SUMIFS(v_Pièces,v_Taille,'SUIVI STOCKS PAR PAYSAN'!$AR$7,v_conc_prod_tye_affinage,'SUIVI STOCKS PAR PAYSAN'!$H88,v_Date_commande,"&gt;"&amp;date_inventaire)</f>
        <v>0</v>
      </c>
      <c r="AS88" s="326">
        <f ca="1">SUMIFS(bddres_pieces,'BDD RESERVATIONS'!$G:$G,'SUIVI STOCKS PAR PAYSAN'!AR83,bddres_c_prod_type_aff,'SUIVI STOCKS PAR PAYSAN'!$H88,'BDD RESERVATIONS'!$B:$B,"&gt;"&amp;date_inventaire)</f>
        <v>0</v>
      </c>
      <c r="AT88" s="343">
        <f ca="1">SUMIFS(es_pieces,es_prod_type_affinage,'SUIVI STOCKS PAR PAYSAN'!$H88,es_date_entree,"&gt;"&amp;date_inventaire,es_taille,'SUIVI STOCKS PAR PAYSAN'!$AT$7)-SUMIFS(v_Pièces,v_Taille,'SUIVI STOCKS PAR PAYSAN'!$AT$7,v_conc_prod_tye_affinage,'SUIVI STOCKS PAR PAYSAN'!$H88,v_Date_commande,"&gt;"&amp;date_inventaire)</f>
        <v>0</v>
      </c>
      <c r="AU88" s="353">
        <f ca="1">SUMIFS(bddres_pieces,'BDD RESERVATIONS'!$G:$G,'SUIVI STOCKS PAR PAYSAN'!$AT$7,bddres_c_prod_type_aff,'SUIVI STOCKS PAR PAYSAN'!$H88,'BDD RESERVATIONS'!$B:$B,"&gt;"&amp;date_inventaire)</f>
        <v>0</v>
      </c>
      <c r="AV88" s="313">
        <f ca="1">SUMIFS(es_poids,es_prod_type_affinage,'SUIVI STOCKS PAR PAYSAN'!$I88,es_date_entree,"&gt;"&amp;date_inventaire)-SUMIFS(v_Poids,v_conc_prod_tye_affinage,'SUIVI STOCKS PAR PAYSAN'!$E88,v_Date_commande,"&gt;"&amp;date_inventaire)</f>
        <v>0</v>
      </c>
      <c r="AW88" s="313">
        <f ca="1">SUMIFS(bddres_c_qte,bddres_c_prod_type_aff,'SUIVI STOCKS PAR PAYSAN'!I88,'BDD RESERVATIONS'!$B:$B,"&gt;"&amp;date_inventaire)</f>
        <v>0</v>
      </c>
      <c r="AX88" s="342">
        <f ca="1">SUMIFS(bddres_pieces,es_prod_type_affinage,'SUIVI STOCKS PAR PAYSAN'!$I88,es_date_entree,"&gt;"&amp;date_inventaire,es_taille,'SUIVI STOCKS PAR PAYSAN'!$AX$7)-SUMIFS(v_Pièces,v_Taille,'SUIVI STOCKS PAR PAYSAN'!$AX$7,v_conc_prod_tye_affinage,'SUIVI STOCKS PAR PAYSAN'!$I88,v_Date_commande,"&gt;"&amp;date_inventaire)</f>
        <v>0</v>
      </c>
      <c r="AY88" s="342">
        <f ca="1">SUMIFS(bddres_pieces,'BDD RESERVATIONS'!$G:$G,'SUIVI STOCKS PAR PAYSAN'!$AX$7,bddres_c_prod_type_aff,'SUIVI STOCKS PAR PAYSAN'!$I88,'BDD RESERVATIONS'!$B:$B,"&gt;"&amp;date_inventaire)</f>
        <v>0</v>
      </c>
      <c r="AZ88" s="343">
        <f ca="1">SUMIFS(es_pieces,es_prod_type_affinage,'SUIVI STOCKS PAR PAYSAN'!$I88,es_date_entree,"&gt;"&amp;date_inventaire,es_taille,'SUIVI STOCKS PAR PAYSAN'!$AZ$7)-SUMIFS(v_Pièces,v_Taille,'SUIVI STOCKS PAR PAYSAN'!$AZ$7,v_conc_prod_tye_affinage,'SUIVI STOCKS PAR PAYSAN'!$I88,v_Date_commande,"&gt;"&amp;date_inventaire)</f>
        <v>0</v>
      </c>
      <c r="BA88" s="353">
        <f ca="1">SUMIFS(bddres_pieces,'BDD RESERVATIONS'!$G:$G,'SUIVI STOCKS PAR PAYSAN'!$AZ$7,bddres_c_prod_type_aff,'SUIVI STOCKS PAR PAYSAN'!$I88,'BDD RESERVATIONS'!$B:$B,"&gt;"&amp;date_inventaire)</f>
        <v>0</v>
      </c>
      <c r="BB88" s="313">
        <f ca="1">SUMIFS(es_poids,es_prod_type_affinage,'SUIVI STOCKS PAR PAYSAN'!$J88,es_date_entree,"&gt;"&amp;date_inventaire)-SUMIFS(v_Poids,v_conc_prod_tye_affinage,'SUIVI STOCKS PAR PAYSAN'!$J88,v_Date_commande,"&gt;"&amp;date_inventaire)</f>
        <v>0</v>
      </c>
      <c r="BC88" s="313">
        <f ca="1">SUMIFS(bddres_c_qte,bddres_c_prod_type_aff,'SUIVI STOCKS PAR PAYSAN'!J88,'BDD RESERVATIONS'!$B:$B,"&gt;"&amp;date_inventaire)</f>
        <v>0</v>
      </c>
      <c r="BD88" s="342">
        <f ca="1">SUMIFS(bddres_pieces,es_prod_type_affinage,'SUIVI STOCKS PAR PAYSAN'!$J88,es_date_entree,"&gt;"&amp;date_inventaire,es_taille,'SUIVI STOCKS PAR PAYSAN'!$BD$7)-SUMIFS(v_Pièces,v_Taille,'SUIVI STOCKS PAR PAYSAN'!$BD$7,v_conc_prod_tye_affinage,'SUIVI STOCKS PAR PAYSAN'!$J88,v_Date_commande,"&gt;"&amp;date_inventaire)</f>
        <v>0</v>
      </c>
      <c r="BE88" s="326">
        <f ca="1">SUMIFS(bddres_pieces,'BDD RESERVATIONS'!$G:$G,'SUIVI STOCKS PAR PAYSAN'!BD83,bddres_c_prod_type_aff,'SUIVI STOCKS PAR PAYSAN'!J88,'BDD RESERVATIONS'!$B:$B,"&gt;"&amp;date_inventaire)</f>
        <v>0</v>
      </c>
      <c r="BF88" s="343">
        <f ca="1">SUMIFS(es_pieces,es_prod_type_affinage,'SUIVI STOCKS PAR PAYSAN'!J88,es_date_entree,"&gt;"&amp;date_inventaire,es_taille,'SUIVI STOCKS PAR PAYSAN'!$BF$7)-SUMIFS(v_Pièces,v_Taille,'SUIVI STOCKS PAR PAYSAN'!$BF$7,v_conc_prod_tye_affinage,'SUIVI STOCKS PAR PAYSAN'!J88,v_Date_commande,"&gt;"&amp;date_inventaire)</f>
        <v>0</v>
      </c>
      <c r="BG88" s="353">
        <f ca="1">SUMIFS(bddres_pieces,'BDD RESERVATIONS'!$G:$G,'SUIVI STOCKS PAR PAYSAN'!$BF$7,bddres_c_prod_type_aff,'SUIVI STOCKS PAR PAYSAN'!J88,'BDD RESERVATIONS'!$B:$B,"&gt;"&amp;date_inventaire)</f>
        <v>0</v>
      </c>
    </row>
    <row r="89" spans="1:59" ht="18.75" customHeight="1" x14ac:dyDescent="0.25">
      <c r="A89" s="331">
        <f ca="1">OFFSET('BDD PAYSANS'!$B$1,B89,0,1,1)</f>
        <v>0</v>
      </c>
      <c r="B89" s="325">
        <v>78</v>
      </c>
      <c r="C89" s="325" t="str">
        <f t="shared" ca="1" si="3"/>
        <v>0FERMIER&lt;3 mois</v>
      </c>
      <c r="D89" s="325" t="str">
        <f t="shared" ca="1" si="3"/>
        <v>0FERMIER3-6 mois</v>
      </c>
      <c r="E89" s="325" t="str">
        <f t="shared" ca="1" si="3"/>
        <v>0FERMIER6-9 mois</v>
      </c>
      <c r="F89" s="325" t="str">
        <f t="shared" ca="1" si="3"/>
        <v>0FERMIER&gt;9 mois</v>
      </c>
      <c r="G89" s="325" t="str">
        <f t="shared" ca="1" si="3"/>
        <v>0ESTIVE&lt;3 mois</v>
      </c>
      <c r="H89" s="325" t="str">
        <f t="shared" ca="1" si="3"/>
        <v>0ESTIVE3-6 mois</v>
      </c>
      <c r="I89" s="325" t="str">
        <f t="shared" ca="1" si="3"/>
        <v>0ESTIVE6-9 mois</v>
      </c>
      <c r="J89" s="325" t="str">
        <f t="shared" ca="1" si="3"/>
        <v>0ESTIVE&gt;9 mois</v>
      </c>
      <c r="K89" s="325"/>
      <c r="L89" s="352">
        <f ca="1">SUMIFS(es_poids,es_prod_type_affinage,'SUIVI STOCKS PAR PAYSAN'!$C89,es_date_entree,"&gt;"&amp;date_inventaire)-SUMIFS(v_Poids,v_conc_prod_tye_affinage,'SUIVI STOCKS PAR PAYSAN'!$C89,v_Date_commande,"&gt;"&amp;date_inventaire)</f>
        <v>0</v>
      </c>
      <c r="M89" s="341">
        <f ca="1">SUMIFS(bddres_c_qte,bddres_c_prod_type_aff,'SUIVI STOCKS PAR PAYSAN'!C89,'BDD RESERVATIONS'!$B:$B,"&gt;"&amp;date_inventaire)</f>
        <v>0</v>
      </c>
      <c r="N89" s="342">
        <f ca="1">SUMIFS(bddres_pieces,es_prod_type_affinage,'SUIVI STOCKS PAR PAYSAN'!$C89,es_date_entree,"&gt;"&amp;date_inventaire,es_taille,'SUIVI STOCKS PAR PAYSAN'!$N$7)-SUMIFS(v_Pièces,v_Taille,'SUIVI STOCKS PAR PAYSAN'!$N$7,v_conc_prod_tye_affinage,'SUIVI STOCKS PAR PAYSAN'!$C89,v_Date_commande,"&gt;"&amp;date_inventaire)</f>
        <v>0</v>
      </c>
      <c r="O89" s="342">
        <f ca="1">SUMIFS(bddres_pieces,'BDD RESERVATIONS'!$G:$G,'SUIVI STOCKS PAR PAYSAN'!$N$7,bddres_c_prod_type_aff,'SUIVI STOCKS PAR PAYSAN'!$C89,'BDD RESERVATIONS'!$B:$B,"&gt;"&amp;date_inventaire)</f>
        <v>0</v>
      </c>
      <c r="P89" s="343">
        <f ca="1">SUMIFS(es_pieces,es_prod_type_affinage,'SUIVI STOCKS PAR PAYSAN'!$C89,es_date_entree,"&gt;"&amp;date_inventaire,es_taille,'SUIVI STOCKS PAR PAYSAN'!$P$7)-SUMIFS(v_Pièces,v_Taille,'SUIVI STOCKS PAR PAYSAN'!$P$7,v_conc_prod_tye_affinage,'SUIVI STOCKS PAR PAYSAN'!$C89,v_Date_commande,"&gt;"&amp;date_inventaire)</f>
        <v>0</v>
      </c>
      <c r="Q89" s="353">
        <f ca="1">SUMIFS(bddres_pieces,'BDD RESERVATIONS'!$G:$G,'SUIVI STOCKS PAR PAYSAN'!$P$7,bddres_c_prod_type_aff,'SUIVI STOCKS PAR PAYSAN'!$C89,'BDD RESERVATIONS'!$B:$B,"&gt;"&amp;date_inventaire)</f>
        <v>0</v>
      </c>
      <c r="R89" s="340">
        <f ca="1">SUMIFS(es_poids,es_prod_type_affinage,'SUIVI STOCKS PAR PAYSAN'!$D89,es_date_entree,"&gt;"&amp;date_inventaire)-SUMIFS(v_Poids,v_conc_prod_tye_affinage,'SUIVI STOCKS PAR PAYSAN'!$D89,v_Date_commande,"&gt;"&amp;date_inventaire)</f>
        <v>0</v>
      </c>
      <c r="S89" s="341">
        <f ca="1">SUMIFS(bddres_c_qte,bddres_c_prod_type_aff,'SUIVI STOCKS PAR PAYSAN'!D89,'BDD RESERVATIONS'!$B:$B,"&gt;"&amp;date_inventaire)</f>
        <v>0</v>
      </c>
      <c r="T89" s="342">
        <f ca="1">SUMIFS(bddres_pieces,es_prod_type_affinage,'SUIVI STOCKS PAR PAYSAN'!$D89,es_date_entree,"&gt;"&amp;date_inventaire,es_taille,'SUIVI STOCKS PAR PAYSAN'!$T$7)-SUMIFS(v_Pièces,v_Taille,'SUIVI STOCKS PAR PAYSAN'!$T$7,v_conc_prod_tye_affinage,'SUIVI STOCKS PAR PAYSAN'!$D89,v_Date_commande,"&gt;"&amp;date_inventaire)</f>
        <v>0</v>
      </c>
      <c r="U89" s="342">
        <f ca="1">SUMIFS(bddres_pieces,'BDD RESERVATIONS'!$G:$G,'SUIVI STOCKS PAR PAYSAN'!$T$7,bddres_c_prod_type_aff,'SUIVI STOCKS PAR PAYSAN'!$D89,'BDD RESERVATIONS'!$B:$B,"&gt;"&amp;date_inventaire)</f>
        <v>0</v>
      </c>
      <c r="V89" s="343">
        <f ca="1">SUMIFS(es_pieces,es_prod_type_affinage,'SUIVI STOCKS PAR PAYSAN'!$D89,es_date_entree,"&gt;"&amp;date_inventaire,es_taille,'SUIVI STOCKS PAR PAYSAN'!$V$7)-SUMIFS(v_Pièces,v_Taille,'SUIVI STOCKS PAR PAYSAN'!$V$7,v_conc_prod_tye_affinage,'SUIVI STOCKS PAR PAYSAN'!$D89,v_Date_commande,"&gt;"&amp;date_inventaire)</f>
        <v>0</v>
      </c>
      <c r="W89" s="353">
        <f ca="1">SUMIFS(bddres_pieces,'BDD RESERVATIONS'!$G:$G,'SUIVI STOCKS PAR PAYSAN'!$V$7,bddres_c_prod_type_aff,'SUIVI STOCKS PAR PAYSAN'!$D89,'BDD RESERVATIONS'!$B:$B,"&gt;"&amp;date_inventaire)</f>
        <v>0</v>
      </c>
      <c r="X89" s="313">
        <f ca="1">SUMIFS(es_poids,es_prod_type_affinage,'SUIVI STOCKS PAR PAYSAN'!$E89,es_date_entree,"&gt;"&amp;date_inventaire)-SUMIFS(v_Poids,v_conc_prod_tye_affinage,'SUIVI STOCKS PAR PAYSAN'!$E89,v_Date_commande,"&gt;"&amp;date_inventaire)</f>
        <v>0</v>
      </c>
      <c r="Y89" s="341">
        <f ca="1">SUMIFS(bddres_c_qte,bddres_c_prod_type_aff,'SUIVI STOCKS PAR PAYSAN'!E89,'BDD RESERVATIONS'!$B:$B,"&gt;"&amp;date_inventaire)</f>
        <v>0</v>
      </c>
      <c r="Z89" s="342">
        <f ca="1">SUMIFS(bddres_pieces,es_prod_type_affinage,'SUIVI STOCKS PAR PAYSAN'!$E89,es_date_entree,"&gt;"&amp;date_inventaire,es_taille,'SUIVI STOCKS PAR PAYSAN'!$Z$7)-SUMIFS(v_Pièces,v_Taille,'SUIVI STOCKS PAR PAYSAN'!$Z$7,v_conc_prod_tye_affinage,'SUIVI STOCKS PAR PAYSAN'!$E89,v_Date_commande,"&gt;"&amp;date_inventaire)</f>
        <v>0</v>
      </c>
      <c r="AA89" s="342">
        <f ca="1">SUMIFS(bddres_pieces,'BDD RESERVATIONS'!$G:$G,'SUIVI STOCKS PAR PAYSAN'!$Z$7,bddres_c_prod_type_aff,'SUIVI STOCKS PAR PAYSAN'!$E89,'BDD RESERVATIONS'!$B:$B,"&gt;"&amp;date_inventaire)</f>
        <v>0</v>
      </c>
      <c r="AB89" s="343">
        <f ca="1">SUMIFS(es_pieces,es_prod_type_affinage,'SUIVI STOCKS PAR PAYSAN'!$E89,es_date_entree,"&gt;"&amp;date_inventaire,es_taille,'SUIVI STOCKS PAR PAYSAN'!$AB$7)-SUMIFS(v_Pièces,v_Taille,'SUIVI STOCKS PAR PAYSAN'!$AB$7,v_conc_prod_tye_affinage,'SUIVI STOCKS PAR PAYSAN'!$E89,v_Date_commande,"&gt;"&amp;date_inventaire)</f>
        <v>0</v>
      </c>
      <c r="AC89" s="353">
        <f ca="1">SUMIFS(bddres_pieces,'BDD RESERVATIONS'!$G:$G,'SUIVI STOCKS PAR PAYSAN'!$AB$7,bddres_c_prod_type_aff,'SUIVI STOCKS PAR PAYSAN'!$E89,'BDD RESERVATIONS'!$B:$B,"&gt;"&amp;date_inventaire)</f>
        <v>0</v>
      </c>
      <c r="AD89" s="313">
        <f ca="1">SUMIFS(es_poids,es_prod_type_affinage,'SUIVI STOCKS PAR PAYSAN'!$F89,es_date_entree,"&gt;"&amp;date_inventaire)-SUMIFS(v_Poids,v_conc_prod_tye_affinage,'SUIVI STOCKS PAR PAYSAN'!$F89,v_Date_commande,"&gt;"&amp;date_inventaire)</f>
        <v>0</v>
      </c>
      <c r="AE89" s="341">
        <f ca="1">SUMIFS(bddres_c_qte,bddres_c_prod_type_aff,'SUIVI STOCKS PAR PAYSAN'!F89,'BDD RESERVATIONS'!$B:$B,"&gt;"&amp;date_inventaire)</f>
        <v>0</v>
      </c>
      <c r="AF89" s="342">
        <f ca="1">SUMIFS(bddres_pieces,es_prod_type_affinage,'SUIVI STOCKS PAR PAYSAN'!$F89,es_date_entree,"&gt;"&amp;date_inventaire,es_taille,'SUIVI STOCKS PAR PAYSAN'!$Z$7)-SUMIFS(v_Pièces,v_Taille,'SUIVI STOCKS PAR PAYSAN'!$Z$7,v_conc_prod_tye_affinage,'SUIVI STOCKS PAR PAYSAN'!$F89,v_Date_commande,"&gt;"&amp;date_inventaire)</f>
        <v>0</v>
      </c>
      <c r="AG89" s="342">
        <f ca="1">SUMIFS(bddres_pieces,'BDD RESERVATIONS'!$G:$G,'SUIVI STOCKS PAR PAYSAN'!$Z$7,bddres_c_prod_type_aff,'SUIVI STOCKS PAR PAYSAN'!$F89,'BDD RESERVATIONS'!$B:$B,"&gt;"&amp;date_inventaire)</f>
        <v>0</v>
      </c>
      <c r="AH89" s="343">
        <f ca="1">SUMIFS(es_pieces,es_prod_type_affinage,'SUIVI STOCKS PAR PAYSAN'!$F89,es_date_entree,"&gt;"&amp;date_inventaire,es_taille,'SUIVI STOCKS PAR PAYSAN'!$AH$7)-SUMIFS(v_Pièces,v_Taille,'SUIVI STOCKS PAR PAYSAN'!$AH$7,v_conc_prod_tye_affinage,'SUIVI STOCKS PAR PAYSAN'!$F89,v_Date_commande,"&gt;"&amp;date_inventaire)</f>
        <v>0</v>
      </c>
      <c r="AI89" s="353">
        <f ca="1">SUMIFS(bddres_pieces,'BDD RESERVATIONS'!$G:$G,'SUIVI STOCKS PAR PAYSAN'!$AB$7,bddres_c_prod_type_aff,'SUIVI STOCKS PAR PAYSAN'!$F89,'BDD RESERVATIONS'!$B:$B,"&gt;"&amp;date_inventaire)</f>
        <v>0</v>
      </c>
      <c r="AJ89" s="352">
        <f ca="1">SUMIFS(es_poids,es_prod_type_affinage,'SUIVI STOCKS PAR PAYSAN'!$G89,es_date_entree,"&gt;"&amp;date_inventaire)-SUMIFS(v_Poids,v_conc_prod_tye_affinage,'SUIVI STOCKS PAR PAYSAN'!$G89,v_Date_commande,"&gt;"&amp;date_inventaire)</f>
        <v>0</v>
      </c>
      <c r="AK89" s="341">
        <f ca="1">SUMIFS(bddres_c_qte,bddres_c_prod_type_aff,'SUIVI STOCKS PAR PAYSAN'!G89,'BDD RESERVATIONS'!$B:$B,"&gt;"&amp;date_inventaire)</f>
        <v>0</v>
      </c>
      <c r="AL89" s="342">
        <f ca="1">SUMIFS(bddres_pieces,es_prod_type_affinage,'SUIVI STOCKS PAR PAYSAN'!$G89,es_date_entree,"&gt;"&amp;date_inventaire,es_taille,'SUIVI STOCKS PAR PAYSAN'!$AL$7)-SUMIFS(v_Pièces,v_Taille,'SUIVI STOCKS PAR PAYSAN'!$AL$7,v_conc_prod_tye_affinage,'SUIVI STOCKS PAR PAYSAN'!$G89,v_Date_commande,"&gt;"&amp;date_inventaire)</f>
        <v>0</v>
      </c>
      <c r="AM89" s="342">
        <f ca="1">SUMIFS(bddres_pieces,'BDD RESERVATIONS'!$G:$G,'SUIVI STOCKS PAR PAYSAN'!$AL$7,bddres_c_prod_type_aff,'SUIVI STOCKS PAR PAYSAN'!$G89,'BDD RESERVATIONS'!$B:$B,"&gt;"&amp;date_inventaire)</f>
        <v>0</v>
      </c>
      <c r="AN89" s="343">
        <f ca="1">SUMIFS(es_pieces,es_prod_type_affinage,'SUIVI STOCKS PAR PAYSAN'!$G89,es_date_entree,"&gt;"&amp;date_inventaire,es_taille,'SUIVI STOCKS PAR PAYSAN'!$AN$7)-SUMIFS(v_Pièces,v_Taille,'SUIVI STOCKS PAR PAYSAN'!$AN$7,v_conc_prod_tye_affinage,'SUIVI STOCKS PAR PAYSAN'!$G89,v_Date_commande,"&gt;"&amp;date_inventaire)</f>
        <v>0</v>
      </c>
      <c r="AO89" s="353">
        <f ca="1">SUMIFS(bddres_pieces,'BDD RESERVATIONS'!$G:$G,'SUIVI STOCKS PAR PAYSAN'!$AN$7,bddres_c_prod_type_aff,'SUIVI STOCKS PAR PAYSAN'!$G89,'BDD RESERVATIONS'!$B:$B,"&gt;"&amp;date_inventaire)</f>
        <v>0</v>
      </c>
      <c r="AP89" s="313">
        <f ca="1">SUMIFS(es_poids,es_prod_type_affinage,'SUIVI STOCKS PAR PAYSAN'!$H89,es_date_entree,"&gt;"&amp;date_inventaire)-SUMIFS(v_Poids,v_conc_prod_tye_affinage,'SUIVI STOCKS PAR PAYSAN'!$H89,v_Date_commande,"&gt;"&amp;date_inventaire)</f>
        <v>0</v>
      </c>
      <c r="AQ89" s="341">
        <f ca="1">SUMIFS(bddres_c_qte,bddres_c_prod_type_aff,'SUIVI STOCKS PAR PAYSAN'!H89,'BDD RESERVATIONS'!$B:$B,"&gt;"&amp;date_inventaire)</f>
        <v>0</v>
      </c>
      <c r="AR89" s="342">
        <f ca="1">SUMIFS(bddres_pieces,es_prod_type_affinage,'SUIVI STOCKS PAR PAYSAN'!$H89,es_date_entree,"&gt;"&amp;date_inventaire,es_taille,'SUIVI STOCKS PAR PAYSAN'!$AR$7)-SUMIFS(v_Pièces,v_Taille,'SUIVI STOCKS PAR PAYSAN'!$AR$7,v_conc_prod_tye_affinage,'SUIVI STOCKS PAR PAYSAN'!$H89,v_Date_commande,"&gt;"&amp;date_inventaire)</f>
        <v>0</v>
      </c>
      <c r="AS89" s="326">
        <f ca="1">SUMIFS(bddres_pieces,'BDD RESERVATIONS'!$G:$G,'SUIVI STOCKS PAR PAYSAN'!AR84,bddres_c_prod_type_aff,'SUIVI STOCKS PAR PAYSAN'!$H89,'BDD RESERVATIONS'!$B:$B,"&gt;"&amp;date_inventaire)</f>
        <v>0</v>
      </c>
      <c r="AT89" s="343">
        <f ca="1">SUMIFS(es_pieces,es_prod_type_affinage,'SUIVI STOCKS PAR PAYSAN'!$H89,es_date_entree,"&gt;"&amp;date_inventaire,es_taille,'SUIVI STOCKS PAR PAYSAN'!$AT$7)-SUMIFS(v_Pièces,v_Taille,'SUIVI STOCKS PAR PAYSAN'!$AT$7,v_conc_prod_tye_affinage,'SUIVI STOCKS PAR PAYSAN'!$H89,v_Date_commande,"&gt;"&amp;date_inventaire)</f>
        <v>0</v>
      </c>
      <c r="AU89" s="353">
        <f ca="1">SUMIFS(bddres_pieces,'BDD RESERVATIONS'!$G:$G,'SUIVI STOCKS PAR PAYSAN'!$AT$7,bddres_c_prod_type_aff,'SUIVI STOCKS PAR PAYSAN'!$H89,'BDD RESERVATIONS'!$B:$B,"&gt;"&amp;date_inventaire)</f>
        <v>0</v>
      </c>
      <c r="AV89" s="313">
        <f ca="1">SUMIFS(es_poids,es_prod_type_affinage,'SUIVI STOCKS PAR PAYSAN'!$I89,es_date_entree,"&gt;"&amp;date_inventaire)-SUMIFS(v_Poids,v_conc_prod_tye_affinage,'SUIVI STOCKS PAR PAYSAN'!$E89,v_Date_commande,"&gt;"&amp;date_inventaire)</f>
        <v>0</v>
      </c>
      <c r="AW89" s="313">
        <f ca="1">SUMIFS(bddres_c_qte,bddres_c_prod_type_aff,'SUIVI STOCKS PAR PAYSAN'!I89,'BDD RESERVATIONS'!$B:$B,"&gt;"&amp;date_inventaire)</f>
        <v>0</v>
      </c>
      <c r="AX89" s="342">
        <f ca="1">SUMIFS(bddres_pieces,es_prod_type_affinage,'SUIVI STOCKS PAR PAYSAN'!$I89,es_date_entree,"&gt;"&amp;date_inventaire,es_taille,'SUIVI STOCKS PAR PAYSAN'!$AX$7)-SUMIFS(v_Pièces,v_Taille,'SUIVI STOCKS PAR PAYSAN'!$AX$7,v_conc_prod_tye_affinage,'SUIVI STOCKS PAR PAYSAN'!$I89,v_Date_commande,"&gt;"&amp;date_inventaire)</f>
        <v>0</v>
      </c>
      <c r="AY89" s="342">
        <f ca="1">SUMIFS(bddres_pieces,'BDD RESERVATIONS'!$G:$G,'SUIVI STOCKS PAR PAYSAN'!$AX$7,bddres_c_prod_type_aff,'SUIVI STOCKS PAR PAYSAN'!$I89,'BDD RESERVATIONS'!$B:$B,"&gt;"&amp;date_inventaire)</f>
        <v>0</v>
      </c>
      <c r="AZ89" s="343">
        <f ca="1">SUMIFS(es_pieces,es_prod_type_affinage,'SUIVI STOCKS PAR PAYSAN'!$I89,es_date_entree,"&gt;"&amp;date_inventaire,es_taille,'SUIVI STOCKS PAR PAYSAN'!$AZ$7)-SUMIFS(v_Pièces,v_Taille,'SUIVI STOCKS PAR PAYSAN'!$AZ$7,v_conc_prod_tye_affinage,'SUIVI STOCKS PAR PAYSAN'!$I89,v_Date_commande,"&gt;"&amp;date_inventaire)</f>
        <v>0</v>
      </c>
      <c r="BA89" s="353">
        <f ca="1">SUMIFS(bddres_pieces,'BDD RESERVATIONS'!$G:$G,'SUIVI STOCKS PAR PAYSAN'!$AZ$7,bddres_c_prod_type_aff,'SUIVI STOCKS PAR PAYSAN'!$I89,'BDD RESERVATIONS'!$B:$B,"&gt;"&amp;date_inventaire)</f>
        <v>0</v>
      </c>
      <c r="BB89" s="313">
        <f ca="1">SUMIFS(es_poids,es_prod_type_affinage,'SUIVI STOCKS PAR PAYSAN'!$J89,es_date_entree,"&gt;"&amp;date_inventaire)-SUMIFS(v_Poids,v_conc_prod_tye_affinage,'SUIVI STOCKS PAR PAYSAN'!$J89,v_Date_commande,"&gt;"&amp;date_inventaire)</f>
        <v>0</v>
      </c>
      <c r="BC89" s="313">
        <f ca="1">SUMIFS(bddres_c_qte,bddres_c_prod_type_aff,'SUIVI STOCKS PAR PAYSAN'!J89,'BDD RESERVATIONS'!$B:$B,"&gt;"&amp;date_inventaire)</f>
        <v>0</v>
      </c>
      <c r="BD89" s="342">
        <f ca="1">SUMIFS(bddres_pieces,es_prod_type_affinage,'SUIVI STOCKS PAR PAYSAN'!$J89,es_date_entree,"&gt;"&amp;date_inventaire,es_taille,'SUIVI STOCKS PAR PAYSAN'!$BD$7)-SUMIFS(v_Pièces,v_Taille,'SUIVI STOCKS PAR PAYSAN'!$BD$7,v_conc_prod_tye_affinage,'SUIVI STOCKS PAR PAYSAN'!$J89,v_Date_commande,"&gt;"&amp;date_inventaire)</f>
        <v>0</v>
      </c>
      <c r="BE89" s="326">
        <f ca="1">SUMIFS(bddres_pieces,'BDD RESERVATIONS'!$G:$G,'SUIVI STOCKS PAR PAYSAN'!BD84,bddres_c_prod_type_aff,'SUIVI STOCKS PAR PAYSAN'!J89,'BDD RESERVATIONS'!$B:$B,"&gt;"&amp;date_inventaire)</f>
        <v>0</v>
      </c>
      <c r="BF89" s="343">
        <f ca="1">SUMIFS(es_pieces,es_prod_type_affinage,'SUIVI STOCKS PAR PAYSAN'!J89,es_date_entree,"&gt;"&amp;date_inventaire,es_taille,'SUIVI STOCKS PAR PAYSAN'!$BF$7)-SUMIFS(v_Pièces,v_Taille,'SUIVI STOCKS PAR PAYSAN'!$BF$7,v_conc_prod_tye_affinage,'SUIVI STOCKS PAR PAYSAN'!J89,v_Date_commande,"&gt;"&amp;date_inventaire)</f>
        <v>0</v>
      </c>
      <c r="BG89" s="353">
        <f ca="1">SUMIFS(bddres_pieces,'BDD RESERVATIONS'!$G:$G,'SUIVI STOCKS PAR PAYSAN'!$BF$7,bddres_c_prod_type_aff,'SUIVI STOCKS PAR PAYSAN'!J89,'BDD RESERVATIONS'!$B:$B,"&gt;"&amp;date_inventaire)</f>
        <v>0</v>
      </c>
    </row>
    <row r="90" spans="1:59" ht="18.75" customHeight="1" x14ac:dyDescent="0.25">
      <c r="A90" s="331">
        <f ca="1">OFFSET('BDD PAYSANS'!$B$1,B90,0,1,1)</f>
        <v>0</v>
      </c>
      <c r="B90" s="325">
        <v>79</v>
      </c>
      <c r="C90" s="325" t="str">
        <f t="shared" ca="1" si="3"/>
        <v>0FERMIER&lt;3 mois</v>
      </c>
      <c r="D90" s="325" t="str">
        <f t="shared" ca="1" si="3"/>
        <v>0FERMIER3-6 mois</v>
      </c>
      <c r="E90" s="325" t="str">
        <f t="shared" ca="1" si="3"/>
        <v>0FERMIER6-9 mois</v>
      </c>
      <c r="F90" s="325" t="str">
        <f t="shared" ca="1" si="3"/>
        <v>0FERMIER&gt;9 mois</v>
      </c>
      <c r="G90" s="325" t="str">
        <f t="shared" ca="1" si="3"/>
        <v>0ESTIVE&lt;3 mois</v>
      </c>
      <c r="H90" s="325" t="str">
        <f t="shared" ca="1" si="3"/>
        <v>0ESTIVE3-6 mois</v>
      </c>
      <c r="I90" s="325" t="str">
        <f t="shared" ca="1" si="3"/>
        <v>0ESTIVE6-9 mois</v>
      </c>
      <c r="J90" s="325" t="str">
        <f t="shared" ca="1" si="3"/>
        <v>0ESTIVE&gt;9 mois</v>
      </c>
      <c r="K90" s="325"/>
      <c r="L90" s="352">
        <f ca="1">SUMIFS(es_poids,es_prod_type_affinage,'SUIVI STOCKS PAR PAYSAN'!$C90,es_date_entree,"&gt;"&amp;date_inventaire)-SUMIFS(v_Poids,v_conc_prod_tye_affinage,'SUIVI STOCKS PAR PAYSAN'!$C90,v_Date_commande,"&gt;"&amp;date_inventaire)</f>
        <v>0</v>
      </c>
      <c r="M90" s="341">
        <f ca="1">SUMIFS(bddres_c_qte,bddres_c_prod_type_aff,'SUIVI STOCKS PAR PAYSAN'!C90,'BDD RESERVATIONS'!$B:$B,"&gt;"&amp;date_inventaire)</f>
        <v>0</v>
      </c>
      <c r="N90" s="342">
        <f ca="1">SUMIFS(bddres_pieces,es_prod_type_affinage,'SUIVI STOCKS PAR PAYSAN'!$C90,es_date_entree,"&gt;"&amp;date_inventaire,es_taille,'SUIVI STOCKS PAR PAYSAN'!$N$7)-SUMIFS(v_Pièces,v_Taille,'SUIVI STOCKS PAR PAYSAN'!$N$7,v_conc_prod_tye_affinage,'SUIVI STOCKS PAR PAYSAN'!$C90,v_Date_commande,"&gt;"&amp;date_inventaire)</f>
        <v>0</v>
      </c>
      <c r="O90" s="342">
        <f ca="1">SUMIFS(bddres_pieces,'BDD RESERVATIONS'!$G:$G,'SUIVI STOCKS PAR PAYSAN'!$N$7,bddres_c_prod_type_aff,'SUIVI STOCKS PAR PAYSAN'!$C90,'BDD RESERVATIONS'!$B:$B,"&gt;"&amp;date_inventaire)</f>
        <v>0</v>
      </c>
      <c r="P90" s="343">
        <f ca="1">SUMIFS(es_pieces,es_prod_type_affinage,'SUIVI STOCKS PAR PAYSAN'!$C90,es_date_entree,"&gt;"&amp;date_inventaire,es_taille,'SUIVI STOCKS PAR PAYSAN'!$P$7)-SUMIFS(v_Pièces,v_Taille,'SUIVI STOCKS PAR PAYSAN'!$P$7,v_conc_prod_tye_affinage,'SUIVI STOCKS PAR PAYSAN'!$C90,v_Date_commande,"&gt;"&amp;date_inventaire)</f>
        <v>0</v>
      </c>
      <c r="Q90" s="353">
        <f ca="1">SUMIFS(bddres_pieces,'BDD RESERVATIONS'!$G:$G,'SUIVI STOCKS PAR PAYSAN'!$P$7,bddres_c_prod_type_aff,'SUIVI STOCKS PAR PAYSAN'!$C90,'BDD RESERVATIONS'!$B:$B,"&gt;"&amp;date_inventaire)</f>
        <v>0</v>
      </c>
      <c r="R90" s="340">
        <f ca="1">SUMIFS(es_poids,es_prod_type_affinage,'SUIVI STOCKS PAR PAYSAN'!$D90,es_date_entree,"&gt;"&amp;date_inventaire)-SUMIFS(v_Poids,v_conc_prod_tye_affinage,'SUIVI STOCKS PAR PAYSAN'!$D90,v_Date_commande,"&gt;"&amp;date_inventaire)</f>
        <v>0</v>
      </c>
      <c r="S90" s="341">
        <f ca="1">SUMIFS(bddres_c_qte,bddres_c_prod_type_aff,'SUIVI STOCKS PAR PAYSAN'!D90,'BDD RESERVATIONS'!$B:$B,"&gt;"&amp;date_inventaire)</f>
        <v>0</v>
      </c>
      <c r="T90" s="342">
        <f ca="1">SUMIFS(bddres_pieces,es_prod_type_affinage,'SUIVI STOCKS PAR PAYSAN'!$D90,es_date_entree,"&gt;"&amp;date_inventaire,es_taille,'SUIVI STOCKS PAR PAYSAN'!$T$7)-SUMIFS(v_Pièces,v_Taille,'SUIVI STOCKS PAR PAYSAN'!$T$7,v_conc_prod_tye_affinage,'SUIVI STOCKS PAR PAYSAN'!$D90,v_Date_commande,"&gt;"&amp;date_inventaire)</f>
        <v>0</v>
      </c>
      <c r="U90" s="342">
        <f ca="1">SUMIFS(bddres_pieces,'BDD RESERVATIONS'!$G:$G,'SUIVI STOCKS PAR PAYSAN'!$T$7,bddres_c_prod_type_aff,'SUIVI STOCKS PAR PAYSAN'!$D90,'BDD RESERVATIONS'!$B:$B,"&gt;"&amp;date_inventaire)</f>
        <v>0</v>
      </c>
      <c r="V90" s="343">
        <f ca="1">SUMIFS(es_pieces,es_prod_type_affinage,'SUIVI STOCKS PAR PAYSAN'!$D90,es_date_entree,"&gt;"&amp;date_inventaire,es_taille,'SUIVI STOCKS PAR PAYSAN'!$V$7)-SUMIFS(v_Pièces,v_Taille,'SUIVI STOCKS PAR PAYSAN'!$V$7,v_conc_prod_tye_affinage,'SUIVI STOCKS PAR PAYSAN'!$D90,v_Date_commande,"&gt;"&amp;date_inventaire)</f>
        <v>0</v>
      </c>
      <c r="W90" s="353">
        <f ca="1">SUMIFS(bddres_pieces,'BDD RESERVATIONS'!$G:$G,'SUIVI STOCKS PAR PAYSAN'!$V$7,bddres_c_prod_type_aff,'SUIVI STOCKS PAR PAYSAN'!$D90,'BDD RESERVATIONS'!$B:$B,"&gt;"&amp;date_inventaire)</f>
        <v>0</v>
      </c>
      <c r="X90" s="313">
        <f ca="1">SUMIFS(es_poids,es_prod_type_affinage,'SUIVI STOCKS PAR PAYSAN'!$E90,es_date_entree,"&gt;"&amp;date_inventaire)-SUMIFS(v_Poids,v_conc_prod_tye_affinage,'SUIVI STOCKS PAR PAYSAN'!$E90,v_Date_commande,"&gt;"&amp;date_inventaire)</f>
        <v>0</v>
      </c>
      <c r="Y90" s="341">
        <f ca="1">SUMIFS(bddres_c_qte,bddres_c_prod_type_aff,'SUIVI STOCKS PAR PAYSAN'!E90,'BDD RESERVATIONS'!$B:$B,"&gt;"&amp;date_inventaire)</f>
        <v>0</v>
      </c>
      <c r="Z90" s="342">
        <f ca="1">SUMIFS(bddres_pieces,es_prod_type_affinage,'SUIVI STOCKS PAR PAYSAN'!$E90,es_date_entree,"&gt;"&amp;date_inventaire,es_taille,'SUIVI STOCKS PAR PAYSAN'!$Z$7)-SUMIFS(v_Pièces,v_Taille,'SUIVI STOCKS PAR PAYSAN'!$Z$7,v_conc_prod_tye_affinage,'SUIVI STOCKS PAR PAYSAN'!$E90,v_Date_commande,"&gt;"&amp;date_inventaire)</f>
        <v>0</v>
      </c>
      <c r="AA90" s="342">
        <f ca="1">SUMIFS(bddres_pieces,'BDD RESERVATIONS'!$G:$G,'SUIVI STOCKS PAR PAYSAN'!$Z$7,bddres_c_prod_type_aff,'SUIVI STOCKS PAR PAYSAN'!$E90,'BDD RESERVATIONS'!$B:$B,"&gt;"&amp;date_inventaire)</f>
        <v>0</v>
      </c>
      <c r="AB90" s="343">
        <f ca="1">SUMIFS(es_pieces,es_prod_type_affinage,'SUIVI STOCKS PAR PAYSAN'!$E90,es_date_entree,"&gt;"&amp;date_inventaire,es_taille,'SUIVI STOCKS PAR PAYSAN'!$AB$7)-SUMIFS(v_Pièces,v_Taille,'SUIVI STOCKS PAR PAYSAN'!$AB$7,v_conc_prod_tye_affinage,'SUIVI STOCKS PAR PAYSAN'!$E90,v_Date_commande,"&gt;"&amp;date_inventaire)</f>
        <v>0</v>
      </c>
      <c r="AC90" s="353">
        <f ca="1">SUMIFS(bddres_pieces,'BDD RESERVATIONS'!$G:$G,'SUIVI STOCKS PAR PAYSAN'!$AB$7,bddres_c_prod_type_aff,'SUIVI STOCKS PAR PAYSAN'!$E90,'BDD RESERVATIONS'!$B:$B,"&gt;"&amp;date_inventaire)</f>
        <v>0</v>
      </c>
      <c r="AD90" s="313">
        <f ca="1">SUMIFS(es_poids,es_prod_type_affinage,'SUIVI STOCKS PAR PAYSAN'!$F90,es_date_entree,"&gt;"&amp;date_inventaire)-SUMIFS(v_Poids,v_conc_prod_tye_affinage,'SUIVI STOCKS PAR PAYSAN'!$F90,v_Date_commande,"&gt;"&amp;date_inventaire)</f>
        <v>0</v>
      </c>
      <c r="AE90" s="341">
        <f ca="1">SUMIFS(bddres_c_qte,bddres_c_prod_type_aff,'SUIVI STOCKS PAR PAYSAN'!F90,'BDD RESERVATIONS'!$B:$B,"&gt;"&amp;date_inventaire)</f>
        <v>0</v>
      </c>
      <c r="AF90" s="342">
        <f ca="1">SUMIFS(bddres_pieces,es_prod_type_affinage,'SUIVI STOCKS PAR PAYSAN'!$F90,es_date_entree,"&gt;"&amp;date_inventaire,es_taille,'SUIVI STOCKS PAR PAYSAN'!$Z$7)-SUMIFS(v_Pièces,v_Taille,'SUIVI STOCKS PAR PAYSAN'!$Z$7,v_conc_prod_tye_affinage,'SUIVI STOCKS PAR PAYSAN'!$F90,v_Date_commande,"&gt;"&amp;date_inventaire)</f>
        <v>0</v>
      </c>
      <c r="AG90" s="342">
        <f ca="1">SUMIFS(bddres_pieces,'BDD RESERVATIONS'!$G:$G,'SUIVI STOCKS PAR PAYSAN'!$Z$7,bddres_c_prod_type_aff,'SUIVI STOCKS PAR PAYSAN'!$F90,'BDD RESERVATIONS'!$B:$B,"&gt;"&amp;date_inventaire)</f>
        <v>0</v>
      </c>
      <c r="AH90" s="343">
        <f ca="1">SUMIFS(es_pieces,es_prod_type_affinage,'SUIVI STOCKS PAR PAYSAN'!$F90,es_date_entree,"&gt;"&amp;date_inventaire,es_taille,'SUIVI STOCKS PAR PAYSAN'!$AH$7)-SUMIFS(v_Pièces,v_Taille,'SUIVI STOCKS PAR PAYSAN'!$AH$7,v_conc_prod_tye_affinage,'SUIVI STOCKS PAR PAYSAN'!$F90,v_Date_commande,"&gt;"&amp;date_inventaire)</f>
        <v>0</v>
      </c>
      <c r="AI90" s="353">
        <f ca="1">SUMIFS(bddres_pieces,'BDD RESERVATIONS'!$G:$G,'SUIVI STOCKS PAR PAYSAN'!$AB$7,bddres_c_prod_type_aff,'SUIVI STOCKS PAR PAYSAN'!$F90,'BDD RESERVATIONS'!$B:$B,"&gt;"&amp;date_inventaire)</f>
        <v>0</v>
      </c>
      <c r="AJ90" s="352">
        <f ca="1">SUMIFS(es_poids,es_prod_type_affinage,'SUIVI STOCKS PAR PAYSAN'!$G90,es_date_entree,"&gt;"&amp;date_inventaire)-SUMIFS(v_Poids,v_conc_prod_tye_affinage,'SUIVI STOCKS PAR PAYSAN'!$G90,v_Date_commande,"&gt;"&amp;date_inventaire)</f>
        <v>0</v>
      </c>
      <c r="AK90" s="341">
        <f ca="1">SUMIFS(bddres_c_qte,bddres_c_prod_type_aff,'SUIVI STOCKS PAR PAYSAN'!G90,'BDD RESERVATIONS'!$B:$B,"&gt;"&amp;date_inventaire)</f>
        <v>0</v>
      </c>
      <c r="AL90" s="342">
        <f ca="1">SUMIFS(bddres_pieces,es_prod_type_affinage,'SUIVI STOCKS PAR PAYSAN'!$G90,es_date_entree,"&gt;"&amp;date_inventaire,es_taille,'SUIVI STOCKS PAR PAYSAN'!$AL$7)-SUMIFS(v_Pièces,v_Taille,'SUIVI STOCKS PAR PAYSAN'!$AL$7,v_conc_prod_tye_affinage,'SUIVI STOCKS PAR PAYSAN'!$G90,v_Date_commande,"&gt;"&amp;date_inventaire)</f>
        <v>0</v>
      </c>
      <c r="AM90" s="342">
        <f ca="1">SUMIFS(bddres_pieces,'BDD RESERVATIONS'!$G:$G,'SUIVI STOCKS PAR PAYSAN'!$AL$7,bddres_c_prod_type_aff,'SUIVI STOCKS PAR PAYSAN'!$G90,'BDD RESERVATIONS'!$B:$B,"&gt;"&amp;date_inventaire)</f>
        <v>0</v>
      </c>
      <c r="AN90" s="343">
        <f ca="1">SUMIFS(es_pieces,es_prod_type_affinage,'SUIVI STOCKS PAR PAYSAN'!$G90,es_date_entree,"&gt;"&amp;date_inventaire,es_taille,'SUIVI STOCKS PAR PAYSAN'!$AN$7)-SUMIFS(v_Pièces,v_Taille,'SUIVI STOCKS PAR PAYSAN'!$AN$7,v_conc_prod_tye_affinage,'SUIVI STOCKS PAR PAYSAN'!$G90,v_Date_commande,"&gt;"&amp;date_inventaire)</f>
        <v>0</v>
      </c>
      <c r="AO90" s="353">
        <f ca="1">SUMIFS(bddres_pieces,'BDD RESERVATIONS'!$G:$G,'SUIVI STOCKS PAR PAYSAN'!$AN$7,bddres_c_prod_type_aff,'SUIVI STOCKS PAR PAYSAN'!$G90,'BDD RESERVATIONS'!$B:$B,"&gt;"&amp;date_inventaire)</f>
        <v>0</v>
      </c>
      <c r="AP90" s="313">
        <f ca="1">SUMIFS(es_poids,es_prod_type_affinage,'SUIVI STOCKS PAR PAYSAN'!$H90,es_date_entree,"&gt;"&amp;date_inventaire)-SUMIFS(v_Poids,v_conc_prod_tye_affinage,'SUIVI STOCKS PAR PAYSAN'!$H90,v_Date_commande,"&gt;"&amp;date_inventaire)</f>
        <v>0</v>
      </c>
      <c r="AQ90" s="341">
        <f ca="1">SUMIFS(bddres_c_qte,bddres_c_prod_type_aff,'SUIVI STOCKS PAR PAYSAN'!H90,'BDD RESERVATIONS'!$B:$B,"&gt;"&amp;date_inventaire)</f>
        <v>0</v>
      </c>
      <c r="AR90" s="342">
        <f ca="1">SUMIFS(bddres_pieces,es_prod_type_affinage,'SUIVI STOCKS PAR PAYSAN'!$H90,es_date_entree,"&gt;"&amp;date_inventaire,es_taille,'SUIVI STOCKS PAR PAYSAN'!$AR$7)-SUMIFS(v_Pièces,v_Taille,'SUIVI STOCKS PAR PAYSAN'!$AR$7,v_conc_prod_tye_affinage,'SUIVI STOCKS PAR PAYSAN'!$H90,v_Date_commande,"&gt;"&amp;date_inventaire)</f>
        <v>0</v>
      </c>
      <c r="AS90" s="326">
        <f ca="1">SUMIFS(bddres_pieces,'BDD RESERVATIONS'!$G:$G,'SUIVI STOCKS PAR PAYSAN'!AR85,bddres_c_prod_type_aff,'SUIVI STOCKS PAR PAYSAN'!$H90,'BDD RESERVATIONS'!$B:$B,"&gt;"&amp;date_inventaire)</f>
        <v>0</v>
      </c>
      <c r="AT90" s="343">
        <f ca="1">SUMIFS(es_pieces,es_prod_type_affinage,'SUIVI STOCKS PAR PAYSAN'!$H90,es_date_entree,"&gt;"&amp;date_inventaire,es_taille,'SUIVI STOCKS PAR PAYSAN'!$AT$7)-SUMIFS(v_Pièces,v_Taille,'SUIVI STOCKS PAR PAYSAN'!$AT$7,v_conc_prod_tye_affinage,'SUIVI STOCKS PAR PAYSAN'!$H90,v_Date_commande,"&gt;"&amp;date_inventaire)</f>
        <v>0</v>
      </c>
      <c r="AU90" s="353">
        <f ca="1">SUMIFS(bddres_pieces,'BDD RESERVATIONS'!$G:$G,'SUIVI STOCKS PAR PAYSAN'!$AT$7,bddres_c_prod_type_aff,'SUIVI STOCKS PAR PAYSAN'!$H90,'BDD RESERVATIONS'!$B:$B,"&gt;"&amp;date_inventaire)</f>
        <v>0</v>
      </c>
      <c r="AV90" s="313">
        <f ca="1">SUMIFS(es_poids,es_prod_type_affinage,'SUIVI STOCKS PAR PAYSAN'!$I90,es_date_entree,"&gt;"&amp;date_inventaire)-SUMIFS(v_Poids,v_conc_prod_tye_affinage,'SUIVI STOCKS PAR PAYSAN'!$E90,v_Date_commande,"&gt;"&amp;date_inventaire)</f>
        <v>0</v>
      </c>
      <c r="AW90" s="313">
        <f ca="1">SUMIFS(bddres_c_qte,bddres_c_prod_type_aff,'SUIVI STOCKS PAR PAYSAN'!I90,'BDD RESERVATIONS'!$B:$B,"&gt;"&amp;date_inventaire)</f>
        <v>0</v>
      </c>
      <c r="AX90" s="342">
        <f ca="1">SUMIFS(bddres_pieces,es_prod_type_affinage,'SUIVI STOCKS PAR PAYSAN'!$I90,es_date_entree,"&gt;"&amp;date_inventaire,es_taille,'SUIVI STOCKS PAR PAYSAN'!$AX$7)-SUMIFS(v_Pièces,v_Taille,'SUIVI STOCKS PAR PAYSAN'!$AX$7,v_conc_prod_tye_affinage,'SUIVI STOCKS PAR PAYSAN'!$I90,v_Date_commande,"&gt;"&amp;date_inventaire)</f>
        <v>0</v>
      </c>
      <c r="AY90" s="342">
        <f ca="1">SUMIFS(bddres_pieces,'BDD RESERVATIONS'!$G:$G,'SUIVI STOCKS PAR PAYSAN'!$AX$7,bddres_c_prod_type_aff,'SUIVI STOCKS PAR PAYSAN'!$I90,'BDD RESERVATIONS'!$B:$B,"&gt;"&amp;date_inventaire)</f>
        <v>0</v>
      </c>
      <c r="AZ90" s="343">
        <f ca="1">SUMIFS(es_pieces,es_prod_type_affinage,'SUIVI STOCKS PAR PAYSAN'!$I90,es_date_entree,"&gt;"&amp;date_inventaire,es_taille,'SUIVI STOCKS PAR PAYSAN'!$AZ$7)-SUMIFS(v_Pièces,v_Taille,'SUIVI STOCKS PAR PAYSAN'!$AZ$7,v_conc_prod_tye_affinage,'SUIVI STOCKS PAR PAYSAN'!$I90,v_Date_commande,"&gt;"&amp;date_inventaire)</f>
        <v>0</v>
      </c>
      <c r="BA90" s="353">
        <f ca="1">SUMIFS(bddres_pieces,'BDD RESERVATIONS'!$G:$G,'SUIVI STOCKS PAR PAYSAN'!$AZ$7,bddres_c_prod_type_aff,'SUIVI STOCKS PAR PAYSAN'!$I90,'BDD RESERVATIONS'!$B:$B,"&gt;"&amp;date_inventaire)</f>
        <v>0</v>
      </c>
      <c r="BB90" s="313">
        <f ca="1">SUMIFS(es_poids,es_prod_type_affinage,'SUIVI STOCKS PAR PAYSAN'!$J90,es_date_entree,"&gt;"&amp;date_inventaire)-SUMIFS(v_Poids,v_conc_prod_tye_affinage,'SUIVI STOCKS PAR PAYSAN'!$J90,v_Date_commande,"&gt;"&amp;date_inventaire)</f>
        <v>0</v>
      </c>
      <c r="BC90" s="313">
        <f ca="1">SUMIFS(bddres_c_qte,bddres_c_prod_type_aff,'SUIVI STOCKS PAR PAYSAN'!J90,'BDD RESERVATIONS'!$B:$B,"&gt;"&amp;date_inventaire)</f>
        <v>0</v>
      </c>
      <c r="BD90" s="342">
        <f ca="1">SUMIFS(bddres_pieces,es_prod_type_affinage,'SUIVI STOCKS PAR PAYSAN'!$J90,es_date_entree,"&gt;"&amp;date_inventaire,es_taille,'SUIVI STOCKS PAR PAYSAN'!$BD$7)-SUMIFS(v_Pièces,v_Taille,'SUIVI STOCKS PAR PAYSAN'!$BD$7,v_conc_prod_tye_affinage,'SUIVI STOCKS PAR PAYSAN'!$J90,v_Date_commande,"&gt;"&amp;date_inventaire)</f>
        <v>0</v>
      </c>
      <c r="BE90" s="326">
        <f ca="1">SUMIFS(bddres_pieces,'BDD RESERVATIONS'!$G:$G,'SUIVI STOCKS PAR PAYSAN'!BD85,bddres_c_prod_type_aff,'SUIVI STOCKS PAR PAYSAN'!J90,'BDD RESERVATIONS'!$B:$B,"&gt;"&amp;date_inventaire)</f>
        <v>0</v>
      </c>
      <c r="BF90" s="343">
        <f ca="1">SUMIFS(es_pieces,es_prod_type_affinage,'SUIVI STOCKS PAR PAYSAN'!J90,es_date_entree,"&gt;"&amp;date_inventaire,es_taille,'SUIVI STOCKS PAR PAYSAN'!$BF$7)-SUMIFS(v_Pièces,v_Taille,'SUIVI STOCKS PAR PAYSAN'!$BF$7,v_conc_prod_tye_affinage,'SUIVI STOCKS PAR PAYSAN'!J90,v_Date_commande,"&gt;"&amp;date_inventaire)</f>
        <v>0</v>
      </c>
      <c r="BG90" s="353">
        <f ca="1">SUMIFS(bddres_pieces,'BDD RESERVATIONS'!$G:$G,'SUIVI STOCKS PAR PAYSAN'!$BF$7,bddres_c_prod_type_aff,'SUIVI STOCKS PAR PAYSAN'!J90,'BDD RESERVATIONS'!$B:$B,"&gt;"&amp;date_inventaire)</f>
        <v>0</v>
      </c>
    </row>
    <row r="91" spans="1:59" ht="18.75" customHeight="1" x14ac:dyDescent="0.25">
      <c r="A91" s="331">
        <f ca="1">OFFSET('BDD PAYSANS'!$B$1,B91,0,1,1)</f>
        <v>0</v>
      </c>
      <c r="B91" s="325">
        <v>80</v>
      </c>
      <c r="C91" s="325" t="str">
        <f t="shared" ca="1" si="3"/>
        <v>0FERMIER&lt;3 mois</v>
      </c>
      <c r="D91" s="325" t="str">
        <f t="shared" ca="1" si="3"/>
        <v>0FERMIER3-6 mois</v>
      </c>
      <c r="E91" s="325" t="str">
        <f t="shared" ca="1" si="3"/>
        <v>0FERMIER6-9 mois</v>
      </c>
      <c r="F91" s="325" t="str">
        <f t="shared" ca="1" si="3"/>
        <v>0FERMIER&gt;9 mois</v>
      </c>
      <c r="G91" s="325" t="str">
        <f t="shared" ca="1" si="3"/>
        <v>0ESTIVE&lt;3 mois</v>
      </c>
      <c r="H91" s="325" t="str">
        <f t="shared" ca="1" si="3"/>
        <v>0ESTIVE3-6 mois</v>
      </c>
      <c r="I91" s="325" t="str">
        <f t="shared" ref="C91:J111" ca="1" si="4">CONCATENATE($A91,I$9,I$8)</f>
        <v>0ESTIVE6-9 mois</v>
      </c>
      <c r="J91" s="325" t="str">
        <f t="shared" ca="1" si="4"/>
        <v>0ESTIVE&gt;9 mois</v>
      </c>
      <c r="K91" s="325"/>
      <c r="L91" s="352">
        <f ca="1">SUMIFS(es_poids,es_prod_type_affinage,'SUIVI STOCKS PAR PAYSAN'!$C91,es_date_entree,"&gt;"&amp;date_inventaire)-SUMIFS(v_Poids,v_conc_prod_tye_affinage,'SUIVI STOCKS PAR PAYSAN'!$C91,v_Date_commande,"&gt;"&amp;date_inventaire)</f>
        <v>0</v>
      </c>
      <c r="M91" s="341">
        <f ca="1">SUMIFS(bddres_c_qte,bddres_c_prod_type_aff,'SUIVI STOCKS PAR PAYSAN'!C91,'BDD RESERVATIONS'!$B:$B,"&gt;"&amp;date_inventaire)</f>
        <v>0</v>
      </c>
      <c r="N91" s="342">
        <f ca="1">SUMIFS(bddres_pieces,es_prod_type_affinage,'SUIVI STOCKS PAR PAYSAN'!$C91,es_date_entree,"&gt;"&amp;date_inventaire,es_taille,'SUIVI STOCKS PAR PAYSAN'!$N$7)-SUMIFS(v_Pièces,v_Taille,'SUIVI STOCKS PAR PAYSAN'!$N$7,v_conc_prod_tye_affinage,'SUIVI STOCKS PAR PAYSAN'!$C91,v_Date_commande,"&gt;"&amp;date_inventaire)</f>
        <v>0</v>
      </c>
      <c r="O91" s="342">
        <f ca="1">SUMIFS(bddres_pieces,'BDD RESERVATIONS'!$G:$G,'SUIVI STOCKS PAR PAYSAN'!$N$7,bddres_c_prod_type_aff,'SUIVI STOCKS PAR PAYSAN'!$C91,'BDD RESERVATIONS'!$B:$B,"&gt;"&amp;date_inventaire)</f>
        <v>0</v>
      </c>
      <c r="P91" s="343">
        <f ca="1">SUMIFS(es_pieces,es_prod_type_affinage,'SUIVI STOCKS PAR PAYSAN'!$C91,es_date_entree,"&gt;"&amp;date_inventaire,es_taille,'SUIVI STOCKS PAR PAYSAN'!$P$7)-SUMIFS(v_Pièces,v_Taille,'SUIVI STOCKS PAR PAYSAN'!$P$7,v_conc_prod_tye_affinage,'SUIVI STOCKS PAR PAYSAN'!$C91,v_Date_commande,"&gt;"&amp;date_inventaire)</f>
        <v>0</v>
      </c>
      <c r="Q91" s="353">
        <f ca="1">SUMIFS(bddres_pieces,'BDD RESERVATIONS'!$G:$G,'SUIVI STOCKS PAR PAYSAN'!$P$7,bddres_c_prod_type_aff,'SUIVI STOCKS PAR PAYSAN'!$C91,'BDD RESERVATIONS'!$B:$B,"&gt;"&amp;date_inventaire)</f>
        <v>0</v>
      </c>
      <c r="R91" s="340">
        <f ca="1">SUMIFS(es_poids,es_prod_type_affinage,'SUIVI STOCKS PAR PAYSAN'!$D91,es_date_entree,"&gt;"&amp;date_inventaire)-SUMIFS(v_Poids,v_conc_prod_tye_affinage,'SUIVI STOCKS PAR PAYSAN'!$D91,v_Date_commande,"&gt;"&amp;date_inventaire)</f>
        <v>0</v>
      </c>
      <c r="S91" s="341">
        <f ca="1">SUMIFS(bddres_c_qte,bddres_c_prod_type_aff,'SUIVI STOCKS PAR PAYSAN'!D91,'BDD RESERVATIONS'!$B:$B,"&gt;"&amp;date_inventaire)</f>
        <v>0</v>
      </c>
      <c r="T91" s="342">
        <f ca="1">SUMIFS(bddres_pieces,es_prod_type_affinage,'SUIVI STOCKS PAR PAYSAN'!$D91,es_date_entree,"&gt;"&amp;date_inventaire,es_taille,'SUIVI STOCKS PAR PAYSAN'!$T$7)-SUMIFS(v_Pièces,v_Taille,'SUIVI STOCKS PAR PAYSAN'!$T$7,v_conc_prod_tye_affinage,'SUIVI STOCKS PAR PAYSAN'!$D91,v_Date_commande,"&gt;"&amp;date_inventaire)</f>
        <v>0</v>
      </c>
      <c r="U91" s="342">
        <f ca="1">SUMIFS(bddres_pieces,'BDD RESERVATIONS'!$G:$G,'SUIVI STOCKS PAR PAYSAN'!$T$7,bddres_c_prod_type_aff,'SUIVI STOCKS PAR PAYSAN'!$D91,'BDD RESERVATIONS'!$B:$B,"&gt;"&amp;date_inventaire)</f>
        <v>0</v>
      </c>
      <c r="V91" s="343">
        <f ca="1">SUMIFS(es_pieces,es_prod_type_affinage,'SUIVI STOCKS PAR PAYSAN'!$D91,es_date_entree,"&gt;"&amp;date_inventaire,es_taille,'SUIVI STOCKS PAR PAYSAN'!$V$7)-SUMIFS(v_Pièces,v_Taille,'SUIVI STOCKS PAR PAYSAN'!$V$7,v_conc_prod_tye_affinage,'SUIVI STOCKS PAR PAYSAN'!$D91,v_Date_commande,"&gt;"&amp;date_inventaire)</f>
        <v>0</v>
      </c>
      <c r="W91" s="353">
        <f ca="1">SUMIFS(bddres_pieces,'BDD RESERVATIONS'!$G:$G,'SUIVI STOCKS PAR PAYSAN'!$V$7,bddres_c_prod_type_aff,'SUIVI STOCKS PAR PAYSAN'!$D91,'BDD RESERVATIONS'!$B:$B,"&gt;"&amp;date_inventaire)</f>
        <v>0</v>
      </c>
      <c r="X91" s="313">
        <f ca="1">SUMIFS(es_poids,es_prod_type_affinage,'SUIVI STOCKS PAR PAYSAN'!$E91,es_date_entree,"&gt;"&amp;date_inventaire)-SUMIFS(v_Poids,v_conc_prod_tye_affinage,'SUIVI STOCKS PAR PAYSAN'!$E91,v_Date_commande,"&gt;"&amp;date_inventaire)</f>
        <v>0</v>
      </c>
      <c r="Y91" s="341">
        <f ca="1">SUMIFS(bddres_c_qte,bddres_c_prod_type_aff,'SUIVI STOCKS PAR PAYSAN'!E91,'BDD RESERVATIONS'!$B:$B,"&gt;"&amp;date_inventaire)</f>
        <v>0</v>
      </c>
      <c r="Z91" s="342">
        <f ca="1">SUMIFS(bddres_pieces,es_prod_type_affinage,'SUIVI STOCKS PAR PAYSAN'!$E91,es_date_entree,"&gt;"&amp;date_inventaire,es_taille,'SUIVI STOCKS PAR PAYSAN'!$Z$7)-SUMIFS(v_Pièces,v_Taille,'SUIVI STOCKS PAR PAYSAN'!$Z$7,v_conc_prod_tye_affinage,'SUIVI STOCKS PAR PAYSAN'!$E91,v_Date_commande,"&gt;"&amp;date_inventaire)</f>
        <v>0</v>
      </c>
      <c r="AA91" s="342">
        <f ca="1">SUMIFS(bddres_pieces,'BDD RESERVATIONS'!$G:$G,'SUIVI STOCKS PAR PAYSAN'!$Z$7,bddres_c_prod_type_aff,'SUIVI STOCKS PAR PAYSAN'!$E91,'BDD RESERVATIONS'!$B:$B,"&gt;"&amp;date_inventaire)</f>
        <v>0</v>
      </c>
      <c r="AB91" s="343">
        <f ca="1">SUMIFS(es_pieces,es_prod_type_affinage,'SUIVI STOCKS PAR PAYSAN'!$E91,es_date_entree,"&gt;"&amp;date_inventaire,es_taille,'SUIVI STOCKS PAR PAYSAN'!$AB$7)-SUMIFS(v_Pièces,v_Taille,'SUIVI STOCKS PAR PAYSAN'!$AB$7,v_conc_prod_tye_affinage,'SUIVI STOCKS PAR PAYSAN'!$E91,v_Date_commande,"&gt;"&amp;date_inventaire)</f>
        <v>0</v>
      </c>
      <c r="AC91" s="353">
        <f ca="1">SUMIFS(bddres_pieces,'BDD RESERVATIONS'!$G:$G,'SUIVI STOCKS PAR PAYSAN'!$AB$7,bddres_c_prod_type_aff,'SUIVI STOCKS PAR PAYSAN'!$E91,'BDD RESERVATIONS'!$B:$B,"&gt;"&amp;date_inventaire)</f>
        <v>0</v>
      </c>
      <c r="AD91" s="313">
        <f ca="1">SUMIFS(es_poids,es_prod_type_affinage,'SUIVI STOCKS PAR PAYSAN'!$F91,es_date_entree,"&gt;"&amp;date_inventaire)-SUMIFS(v_Poids,v_conc_prod_tye_affinage,'SUIVI STOCKS PAR PAYSAN'!$F91,v_Date_commande,"&gt;"&amp;date_inventaire)</f>
        <v>0</v>
      </c>
      <c r="AE91" s="341">
        <f ca="1">SUMIFS(bddres_c_qte,bddres_c_prod_type_aff,'SUIVI STOCKS PAR PAYSAN'!F91,'BDD RESERVATIONS'!$B:$B,"&gt;"&amp;date_inventaire)</f>
        <v>0</v>
      </c>
      <c r="AF91" s="342">
        <f ca="1">SUMIFS(bddres_pieces,es_prod_type_affinage,'SUIVI STOCKS PAR PAYSAN'!$F91,es_date_entree,"&gt;"&amp;date_inventaire,es_taille,'SUIVI STOCKS PAR PAYSAN'!$Z$7)-SUMIFS(v_Pièces,v_Taille,'SUIVI STOCKS PAR PAYSAN'!$Z$7,v_conc_prod_tye_affinage,'SUIVI STOCKS PAR PAYSAN'!$F91,v_Date_commande,"&gt;"&amp;date_inventaire)</f>
        <v>0</v>
      </c>
      <c r="AG91" s="342">
        <f ca="1">SUMIFS(bddres_pieces,'BDD RESERVATIONS'!$G:$G,'SUIVI STOCKS PAR PAYSAN'!$Z$7,bddres_c_prod_type_aff,'SUIVI STOCKS PAR PAYSAN'!$F91,'BDD RESERVATIONS'!$B:$B,"&gt;"&amp;date_inventaire)</f>
        <v>0</v>
      </c>
      <c r="AH91" s="343">
        <f ca="1">SUMIFS(es_pieces,es_prod_type_affinage,'SUIVI STOCKS PAR PAYSAN'!$F91,es_date_entree,"&gt;"&amp;date_inventaire,es_taille,'SUIVI STOCKS PAR PAYSAN'!$AH$7)-SUMIFS(v_Pièces,v_Taille,'SUIVI STOCKS PAR PAYSAN'!$AH$7,v_conc_prod_tye_affinage,'SUIVI STOCKS PAR PAYSAN'!$F91,v_Date_commande,"&gt;"&amp;date_inventaire)</f>
        <v>0</v>
      </c>
      <c r="AI91" s="353">
        <f ca="1">SUMIFS(bddres_pieces,'BDD RESERVATIONS'!$G:$G,'SUIVI STOCKS PAR PAYSAN'!$AB$7,bddres_c_prod_type_aff,'SUIVI STOCKS PAR PAYSAN'!$F91,'BDD RESERVATIONS'!$B:$B,"&gt;"&amp;date_inventaire)</f>
        <v>0</v>
      </c>
      <c r="AJ91" s="352">
        <f ca="1">SUMIFS(es_poids,es_prod_type_affinage,'SUIVI STOCKS PAR PAYSAN'!$G91,es_date_entree,"&gt;"&amp;date_inventaire)-SUMIFS(v_Poids,v_conc_prod_tye_affinage,'SUIVI STOCKS PAR PAYSAN'!$G91,v_Date_commande,"&gt;"&amp;date_inventaire)</f>
        <v>0</v>
      </c>
      <c r="AK91" s="341">
        <f ca="1">SUMIFS(bddres_c_qte,bddres_c_prod_type_aff,'SUIVI STOCKS PAR PAYSAN'!G91,'BDD RESERVATIONS'!$B:$B,"&gt;"&amp;date_inventaire)</f>
        <v>0</v>
      </c>
      <c r="AL91" s="342">
        <f ca="1">SUMIFS(bddres_pieces,es_prod_type_affinage,'SUIVI STOCKS PAR PAYSAN'!$G91,es_date_entree,"&gt;"&amp;date_inventaire,es_taille,'SUIVI STOCKS PAR PAYSAN'!$AL$7)-SUMIFS(v_Pièces,v_Taille,'SUIVI STOCKS PAR PAYSAN'!$AL$7,v_conc_prod_tye_affinage,'SUIVI STOCKS PAR PAYSAN'!$G91,v_Date_commande,"&gt;"&amp;date_inventaire)</f>
        <v>0</v>
      </c>
      <c r="AM91" s="342">
        <f ca="1">SUMIFS(bddres_pieces,'BDD RESERVATIONS'!$G:$G,'SUIVI STOCKS PAR PAYSAN'!$AL$7,bddres_c_prod_type_aff,'SUIVI STOCKS PAR PAYSAN'!$G91,'BDD RESERVATIONS'!$B:$B,"&gt;"&amp;date_inventaire)</f>
        <v>0</v>
      </c>
      <c r="AN91" s="343">
        <f ca="1">SUMIFS(es_pieces,es_prod_type_affinage,'SUIVI STOCKS PAR PAYSAN'!$G91,es_date_entree,"&gt;"&amp;date_inventaire,es_taille,'SUIVI STOCKS PAR PAYSAN'!$AN$7)-SUMIFS(v_Pièces,v_Taille,'SUIVI STOCKS PAR PAYSAN'!$AN$7,v_conc_prod_tye_affinage,'SUIVI STOCKS PAR PAYSAN'!$G91,v_Date_commande,"&gt;"&amp;date_inventaire)</f>
        <v>0</v>
      </c>
      <c r="AO91" s="353">
        <f ca="1">SUMIFS(bddres_pieces,'BDD RESERVATIONS'!$G:$G,'SUIVI STOCKS PAR PAYSAN'!$AN$7,bddres_c_prod_type_aff,'SUIVI STOCKS PAR PAYSAN'!$G91,'BDD RESERVATIONS'!$B:$B,"&gt;"&amp;date_inventaire)</f>
        <v>0</v>
      </c>
      <c r="AP91" s="313">
        <f ca="1">SUMIFS(es_poids,es_prod_type_affinage,'SUIVI STOCKS PAR PAYSAN'!$H91,es_date_entree,"&gt;"&amp;date_inventaire)-SUMIFS(v_Poids,v_conc_prod_tye_affinage,'SUIVI STOCKS PAR PAYSAN'!$H91,v_Date_commande,"&gt;"&amp;date_inventaire)</f>
        <v>0</v>
      </c>
      <c r="AQ91" s="341">
        <f ca="1">SUMIFS(bddres_c_qte,bddres_c_prod_type_aff,'SUIVI STOCKS PAR PAYSAN'!H91,'BDD RESERVATIONS'!$B:$B,"&gt;"&amp;date_inventaire)</f>
        <v>0</v>
      </c>
      <c r="AR91" s="342">
        <f ca="1">SUMIFS(bddres_pieces,es_prod_type_affinage,'SUIVI STOCKS PAR PAYSAN'!$H91,es_date_entree,"&gt;"&amp;date_inventaire,es_taille,'SUIVI STOCKS PAR PAYSAN'!$AR$7)-SUMIFS(v_Pièces,v_Taille,'SUIVI STOCKS PAR PAYSAN'!$AR$7,v_conc_prod_tye_affinage,'SUIVI STOCKS PAR PAYSAN'!$H91,v_Date_commande,"&gt;"&amp;date_inventaire)</f>
        <v>0</v>
      </c>
      <c r="AS91" s="326">
        <f ca="1">SUMIFS(bddres_pieces,'BDD RESERVATIONS'!$G:$G,'SUIVI STOCKS PAR PAYSAN'!AR86,bddres_c_prod_type_aff,'SUIVI STOCKS PAR PAYSAN'!$H91,'BDD RESERVATIONS'!$B:$B,"&gt;"&amp;date_inventaire)</f>
        <v>0</v>
      </c>
      <c r="AT91" s="343">
        <f ca="1">SUMIFS(es_pieces,es_prod_type_affinage,'SUIVI STOCKS PAR PAYSAN'!$H91,es_date_entree,"&gt;"&amp;date_inventaire,es_taille,'SUIVI STOCKS PAR PAYSAN'!$AT$7)-SUMIFS(v_Pièces,v_Taille,'SUIVI STOCKS PAR PAYSAN'!$AT$7,v_conc_prod_tye_affinage,'SUIVI STOCKS PAR PAYSAN'!$H91,v_Date_commande,"&gt;"&amp;date_inventaire)</f>
        <v>0</v>
      </c>
      <c r="AU91" s="353">
        <f ca="1">SUMIFS(bddres_pieces,'BDD RESERVATIONS'!$G:$G,'SUIVI STOCKS PAR PAYSAN'!$AT$7,bddres_c_prod_type_aff,'SUIVI STOCKS PAR PAYSAN'!$H91,'BDD RESERVATIONS'!$B:$B,"&gt;"&amp;date_inventaire)</f>
        <v>0</v>
      </c>
      <c r="AV91" s="313">
        <f ca="1">SUMIFS(es_poids,es_prod_type_affinage,'SUIVI STOCKS PAR PAYSAN'!$I91,es_date_entree,"&gt;"&amp;date_inventaire)-SUMIFS(v_Poids,v_conc_prod_tye_affinage,'SUIVI STOCKS PAR PAYSAN'!$E91,v_Date_commande,"&gt;"&amp;date_inventaire)</f>
        <v>0</v>
      </c>
      <c r="AW91" s="313">
        <f ca="1">SUMIFS(bddres_c_qte,bddres_c_prod_type_aff,'SUIVI STOCKS PAR PAYSAN'!I91,'BDD RESERVATIONS'!$B:$B,"&gt;"&amp;date_inventaire)</f>
        <v>0</v>
      </c>
      <c r="AX91" s="342">
        <f ca="1">SUMIFS(bddres_pieces,es_prod_type_affinage,'SUIVI STOCKS PAR PAYSAN'!$I91,es_date_entree,"&gt;"&amp;date_inventaire,es_taille,'SUIVI STOCKS PAR PAYSAN'!$AX$7)-SUMIFS(v_Pièces,v_Taille,'SUIVI STOCKS PAR PAYSAN'!$AX$7,v_conc_prod_tye_affinage,'SUIVI STOCKS PAR PAYSAN'!$I91,v_Date_commande,"&gt;"&amp;date_inventaire)</f>
        <v>0</v>
      </c>
      <c r="AY91" s="342">
        <f ca="1">SUMIFS(bddres_pieces,'BDD RESERVATIONS'!$G:$G,'SUIVI STOCKS PAR PAYSAN'!$AX$7,bddres_c_prod_type_aff,'SUIVI STOCKS PAR PAYSAN'!$I91,'BDD RESERVATIONS'!$B:$B,"&gt;"&amp;date_inventaire)</f>
        <v>0</v>
      </c>
      <c r="AZ91" s="343">
        <f ca="1">SUMIFS(es_pieces,es_prod_type_affinage,'SUIVI STOCKS PAR PAYSAN'!$I91,es_date_entree,"&gt;"&amp;date_inventaire,es_taille,'SUIVI STOCKS PAR PAYSAN'!$AZ$7)-SUMIFS(v_Pièces,v_Taille,'SUIVI STOCKS PAR PAYSAN'!$AZ$7,v_conc_prod_tye_affinage,'SUIVI STOCKS PAR PAYSAN'!$I91,v_Date_commande,"&gt;"&amp;date_inventaire)</f>
        <v>0</v>
      </c>
      <c r="BA91" s="353">
        <f ca="1">SUMIFS(bddres_pieces,'BDD RESERVATIONS'!$G:$G,'SUIVI STOCKS PAR PAYSAN'!$AZ$7,bddres_c_prod_type_aff,'SUIVI STOCKS PAR PAYSAN'!$I91,'BDD RESERVATIONS'!$B:$B,"&gt;"&amp;date_inventaire)</f>
        <v>0</v>
      </c>
      <c r="BB91" s="313">
        <f ca="1">SUMIFS(es_poids,es_prod_type_affinage,'SUIVI STOCKS PAR PAYSAN'!$J91,es_date_entree,"&gt;"&amp;date_inventaire)-SUMIFS(v_Poids,v_conc_prod_tye_affinage,'SUIVI STOCKS PAR PAYSAN'!$J91,v_Date_commande,"&gt;"&amp;date_inventaire)</f>
        <v>0</v>
      </c>
      <c r="BC91" s="313">
        <f ca="1">SUMIFS(bddres_c_qte,bddres_c_prod_type_aff,'SUIVI STOCKS PAR PAYSAN'!J91,'BDD RESERVATIONS'!$B:$B,"&gt;"&amp;date_inventaire)</f>
        <v>0</v>
      </c>
      <c r="BD91" s="342">
        <f ca="1">SUMIFS(bddres_pieces,es_prod_type_affinage,'SUIVI STOCKS PAR PAYSAN'!$J91,es_date_entree,"&gt;"&amp;date_inventaire,es_taille,'SUIVI STOCKS PAR PAYSAN'!$BD$7)-SUMIFS(v_Pièces,v_Taille,'SUIVI STOCKS PAR PAYSAN'!$BD$7,v_conc_prod_tye_affinage,'SUIVI STOCKS PAR PAYSAN'!$J91,v_Date_commande,"&gt;"&amp;date_inventaire)</f>
        <v>0</v>
      </c>
      <c r="BE91" s="326">
        <f ca="1">SUMIFS(bddres_pieces,'BDD RESERVATIONS'!$G:$G,'SUIVI STOCKS PAR PAYSAN'!BD86,bddres_c_prod_type_aff,'SUIVI STOCKS PAR PAYSAN'!J91,'BDD RESERVATIONS'!$B:$B,"&gt;"&amp;date_inventaire)</f>
        <v>0</v>
      </c>
      <c r="BF91" s="343">
        <f ca="1">SUMIFS(es_pieces,es_prod_type_affinage,'SUIVI STOCKS PAR PAYSAN'!J91,es_date_entree,"&gt;"&amp;date_inventaire,es_taille,'SUIVI STOCKS PAR PAYSAN'!$BF$7)-SUMIFS(v_Pièces,v_Taille,'SUIVI STOCKS PAR PAYSAN'!$BF$7,v_conc_prod_tye_affinage,'SUIVI STOCKS PAR PAYSAN'!J91,v_Date_commande,"&gt;"&amp;date_inventaire)</f>
        <v>0</v>
      </c>
      <c r="BG91" s="353">
        <f ca="1">SUMIFS(bddres_pieces,'BDD RESERVATIONS'!$G:$G,'SUIVI STOCKS PAR PAYSAN'!$BF$7,bddres_c_prod_type_aff,'SUIVI STOCKS PAR PAYSAN'!J91,'BDD RESERVATIONS'!$B:$B,"&gt;"&amp;date_inventaire)</f>
        <v>0</v>
      </c>
    </row>
    <row r="92" spans="1:59" ht="18.75" customHeight="1" x14ac:dyDescent="0.25">
      <c r="A92" s="331">
        <f ca="1">OFFSET('BDD PAYSANS'!$B$1,B92,0,1,1)</f>
        <v>0</v>
      </c>
      <c r="B92" s="325">
        <v>81</v>
      </c>
      <c r="C92" s="325" t="str">
        <f t="shared" ca="1" si="4"/>
        <v>0FERMIER&lt;3 mois</v>
      </c>
      <c r="D92" s="325" t="str">
        <f t="shared" ca="1" si="4"/>
        <v>0FERMIER3-6 mois</v>
      </c>
      <c r="E92" s="325" t="str">
        <f t="shared" ca="1" si="4"/>
        <v>0FERMIER6-9 mois</v>
      </c>
      <c r="F92" s="325" t="str">
        <f t="shared" ca="1" si="4"/>
        <v>0FERMIER&gt;9 mois</v>
      </c>
      <c r="G92" s="325" t="str">
        <f t="shared" ca="1" si="4"/>
        <v>0ESTIVE&lt;3 mois</v>
      </c>
      <c r="H92" s="325" t="str">
        <f t="shared" ca="1" si="4"/>
        <v>0ESTIVE3-6 mois</v>
      </c>
      <c r="I92" s="325" t="str">
        <f t="shared" ca="1" si="4"/>
        <v>0ESTIVE6-9 mois</v>
      </c>
      <c r="J92" s="325" t="str">
        <f t="shared" ca="1" si="4"/>
        <v>0ESTIVE&gt;9 mois</v>
      </c>
      <c r="K92" s="325"/>
      <c r="L92" s="352">
        <f ca="1">SUMIFS(es_poids,es_prod_type_affinage,'SUIVI STOCKS PAR PAYSAN'!$C92,es_date_entree,"&gt;"&amp;date_inventaire)-SUMIFS(v_Poids,v_conc_prod_tye_affinage,'SUIVI STOCKS PAR PAYSAN'!$C92,v_Date_commande,"&gt;"&amp;date_inventaire)</f>
        <v>0</v>
      </c>
      <c r="M92" s="341">
        <f ca="1">SUMIFS(bddres_c_qte,bddres_c_prod_type_aff,'SUIVI STOCKS PAR PAYSAN'!C92,'BDD RESERVATIONS'!$B:$B,"&gt;"&amp;date_inventaire)</f>
        <v>0</v>
      </c>
      <c r="N92" s="342">
        <f ca="1">SUMIFS(bddres_pieces,es_prod_type_affinage,'SUIVI STOCKS PAR PAYSAN'!$C92,es_date_entree,"&gt;"&amp;date_inventaire,es_taille,'SUIVI STOCKS PAR PAYSAN'!$N$7)-SUMIFS(v_Pièces,v_Taille,'SUIVI STOCKS PAR PAYSAN'!$N$7,v_conc_prod_tye_affinage,'SUIVI STOCKS PAR PAYSAN'!$C92,v_Date_commande,"&gt;"&amp;date_inventaire)</f>
        <v>0</v>
      </c>
      <c r="O92" s="342">
        <f ca="1">SUMIFS(bddres_pieces,'BDD RESERVATIONS'!$G:$G,'SUIVI STOCKS PAR PAYSAN'!$N$7,bddres_c_prod_type_aff,'SUIVI STOCKS PAR PAYSAN'!$C92,'BDD RESERVATIONS'!$B:$B,"&gt;"&amp;date_inventaire)</f>
        <v>0</v>
      </c>
      <c r="P92" s="343">
        <f ca="1">SUMIFS(es_pieces,es_prod_type_affinage,'SUIVI STOCKS PAR PAYSAN'!$C92,es_date_entree,"&gt;"&amp;date_inventaire,es_taille,'SUIVI STOCKS PAR PAYSAN'!$P$7)-SUMIFS(v_Pièces,v_Taille,'SUIVI STOCKS PAR PAYSAN'!$P$7,v_conc_prod_tye_affinage,'SUIVI STOCKS PAR PAYSAN'!$C92,v_Date_commande,"&gt;"&amp;date_inventaire)</f>
        <v>0</v>
      </c>
      <c r="Q92" s="353">
        <f ca="1">SUMIFS(bddres_pieces,'BDD RESERVATIONS'!$G:$G,'SUIVI STOCKS PAR PAYSAN'!$P$7,bddres_c_prod_type_aff,'SUIVI STOCKS PAR PAYSAN'!$C92,'BDD RESERVATIONS'!$B:$B,"&gt;"&amp;date_inventaire)</f>
        <v>0</v>
      </c>
      <c r="R92" s="340">
        <f ca="1">SUMIFS(es_poids,es_prod_type_affinage,'SUIVI STOCKS PAR PAYSAN'!$D92,es_date_entree,"&gt;"&amp;date_inventaire)-SUMIFS(v_Poids,v_conc_prod_tye_affinage,'SUIVI STOCKS PAR PAYSAN'!$D92,v_Date_commande,"&gt;"&amp;date_inventaire)</f>
        <v>0</v>
      </c>
      <c r="S92" s="341">
        <f ca="1">SUMIFS(bddres_c_qte,bddres_c_prod_type_aff,'SUIVI STOCKS PAR PAYSAN'!D92,'BDD RESERVATIONS'!$B:$B,"&gt;"&amp;date_inventaire)</f>
        <v>0</v>
      </c>
      <c r="T92" s="342">
        <f ca="1">SUMIFS(bddres_pieces,es_prod_type_affinage,'SUIVI STOCKS PAR PAYSAN'!$D92,es_date_entree,"&gt;"&amp;date_inventaire,es_taille,'SUIVI STOCKS PAR PAYSAN'!$T$7)-SUMIFS(v_Pièces,v_Taille,'SUIVI STOCKS PAR PAYSAN'!$T$7,v_conc_prod_tye_affinage,'SUIVI STOCKS PAR PAYSAN'!$D92,v_Date_commande,"&gt;"&amp;date_inventaire)</f>
        <v>0</v>
      </c>
      <c r="U92" s="342">
        <f ca="1">SUMIFS(bddres_pieces,'BDD RESERVATIONS'!$G:$G,'SUIVI STOCKS PAR PAYSAN'!$T$7,bddres_c_prod_type_aff,'SUIVI STOCKS PAR PAYSAN'!$D92,'BDD RESERVATIONS'!$B:$B,"&gt;"&amp;date_inventaire)</f>
        <v>0</v>
      </c>
      <c r="V92" s="343">
        <f ca="1">SUMIFS(es_pieces,es_prod_type_affinage,'SUIVI STOCKS PAR PAYSAN'!$D92,es_date_entree,"&gt;"&amp;date_inventaire,es_taille,'SUIVI STOCKS PAR PAYSAN'!$V$7)-SUMIFS(v_Pièces,v_Taille,'SUIVI STOCKS PAR PAYSAN'!$V$7,v_conc_prod_tye_affinage,'SUIVI STOCKS PAR PAYSAN'!$D92,v_Date_commande,"&gt;"&amp;date_inventaire)</f>
        <v>0</v>
      </c>
      <c r="W92" s="353">
        <f ca="1">SUMIFS(bddres_pieces,'BDD RESERVATIONS'!$G:$G,'SUIVI STOCKS PAR PAYSAN'!$V$7,bddres_c_prod_type_aff,'SUIVI STOCKS PAR PAYSAN'!$D92,'BDD RESERVATIONS'!$B:$B,"&gt;"&amp;date_inventaire)</f>
        <v>0</v>
      </c>
      <c r="X92" s="313">
        <f ca="1">SUMIFS(es_poids,es_prod_type_affinage,'SUIVI STOCKS PAR PAYSAN'!$E92,es_date_entree,"&gt;"&amp;date_inventaire)-SUMIFS(v_Poids,v_conc_prod_tye_affinage,'SUIVI STOCKS PAR PAYSAN'!$E92,v_Date_commande,"&gt;"&amp;date_inventaire)</f>
        <v>0</v>
      </c>
      <c r="Y92" s="341">
        <f ca="1">SUMIFS(bddres_c_qte,bddres_c_prod_type_aff,'SUIVI STOCKS PAR PAYSAN'!E92,'BDD RESERVATIONS'!$B:$B,"&gt;"&amp;date_inventaire)</f>
        <v>0</v>
      </c>
      <c r="Z92" s="342">
        <f ca="1">SUMIFS(bddres_pieces,es_prod_type_affinage,'SUIVI STOCKS PAR PAYSAN'!$E92,es_date_entree,"&gt;"&amp;date_inventaire,es_taille,'SUIVI STOCKS PAR PAYSAN'!$Z$7)-SUMIFS(v_Pièces,v_Taille,'SUIVI STOCKS PAR PAYSAN'!$Z$7,v_conc_prod_tye_affinage,'SUIVI STOCKS PAR PAYSAN'!$E92,v_Date_commande,"&gt;"&amp;date_inventaire)</f>
        <v>0</v>
      </c>
      <c r="AA92" s="342">
        <f ca="1">SUMIFS(bddres_pieces,'BDD RESERVATIONS'!$G:$G,'SUIVI STOCKS PAR PAYSAN'!$Z$7,bddres_c_prod_type_aff,'SUIVI STOCKS PAR PAYSAN'!$E92,'BDD RESERVATIONS'!$B:$B,"&gt;"&amp;date_inventaire)</f>
        <v>0</v>
      </c>
      <c r="AB92" s="343">
        <f ca="1">SUMIFS(es_pieces,es_prod_type_affinage,'SUIVI STOCKS PAR PAYSAN'!$E92,es_date_entree,"&gt;"&amp;date_inventaire,es_taille,'SUIVI STOCKS PAR PAYSAN'!$AB$7)-SUMIFS(v_Pièces,v_Taille,'SUIVI STOCKS PAR PAYSAN'!$AB$7,v_conc_prod_tye_affinage,'SUIVI STOCKS PAR PAYSAN'!$E92,v_Date_commande,"&gt;"&amp;date_inventaire)</f>
        <v>0</v>
      </c>
      <c r="AC92" s="353">
        <f ca="1">SUMIFS(bddres_pieces,'BDD RESERVATIONS'!$G:$G,'SUIVI STOCKS PAR PAYSAN'!$AB$7,bddres_c_prod_type_aff,'SUIVI STOCKS PAR PAYSAN'!$E92,'BDD RESERVATIONS'!$B:$B,"&gt;"&amp;date_inventaire)</f>
        <v>0</v>
      </c>
      <c r="AD92" s="313">
        <f ca="1">SUMIFS(es_poids,es_prod_type_affinage,'SUIVI STOCKS PAR PAYSAN'!$F92,es_date_entree,"&gt;"&amp;date_inventaire)-SUMIFS(v_Poids,v_conc_prod_tye_affinage,'SUIVI STOCKS PAR PAYSAN'!$F92,v_Date_commande,"&gt;"&amp;date_inventaire)</f>
        <v>0</v>
      </c>
      <c r="AE92" s="341">
        <f ca="1">SUMIFS(bddres_c_qte,bddres_c_prod_type_aff,'SUIVI STOCKS PAR PAYSAN'!F92,'BDD RESERVATIONS'!$B:$B,"&gt;"&amp;date_inventaire)</f>
        <v>0</v>
      </c>
      <c r="AF92" s="342">
        <f ca="1">SUMIFS(bddres_pieces,es_prod_type_affinage,'SUIVI STOCKS PAR PAYSAN'!$F92,es_date_entree,"&gt;"&amp;date_inventaire,es_taille,'SUIVI STOCKS PAR PAYSAN'!$Z$7)-SUMIFS(v_Pièces,v_Taille,'SUIVI STOCKS PAR PAYSAN'!$Z$7,v_conc_prod_tye_affinage,'SUIVI STOCKS PAR PAYSAN'!$F92,v_Date_commande,"&gt;"&amp;date_inventaire)</f>
        <v>0</v>
      </c>
      <c r="AG92" s="342">
        <f ca="1">SUMIFS(bddres_pieces,'BDD RESERVATIONS'!$G:$G,'SUIVI STOCKS PAR PAYSAN'!$Z$7,bddres_c_prod_type_aff,'SUIVI STOCKS PAR PAYSAN'!$F92,'BDD RESERVATIONS'!$B:$B,"&gt;"&amp;date_inventaire)</f>
        <v>0</v>
      </c>
      <c r="AH92" s="343">
        <f ca="1">SUMIFS(es_pieces,es_prod_type_affinage,'SUIVI STOCKS PAR PAYSAN'!$F92,es_date_entree,"&gt;"&amp;date_inventaire,es_taille,'SUIVI STOCKS PAR PAYSAN'!$AH$7)-SUMIFS(v_Pièces,v_Taille,'SUIVI STOCKS PAR PAYSAN'!$AH$7,v_conc_prod_tye_affinage,'SUIVI STOCKS PAR PAYSAN'!$F92,v_Date_commande,"&gt;"&amp;date_inventaire)</f>
        <v>0</v>
      </c>
      <c r="AI92" s="353">
        <f ca="1">SUMIFS(bddres_pieces,'BDD RESERVATIONS'!$G:$G,'SUIVI STOCKS PAR PAYSAN'!$AB$7,bddres_c_prod_type_aff,'SUIVI STOCKS PAR PAYSAN'!$F92,'BDD RESERVATIONS'!$B:$B,"&gt;"&amp;date_inventaire)</f>
        <v>0</v>
      </c>
      <c r="AJ92" s="352">
        <f ca="1">SUMIFS(es_poids,es_prod_type_affinage,'SUIVI STOCKS PAR PAYSAN'!$G92,es_date_entree,"&gt;"&amp;date_inventaire)-SUMIFS(v_Poids,v_conc_prod_tye_affinage,'SUIVI STOCKS PAR PAYSAN'!$G92,v_Date_commande,"&gt;"&amp;date_inventaire)</f>
        <v>0</v>
      </c>
      <c r="AK92" s="341">
        <f ca="1">SUMIFS(bddres_c_qte,bddres_c_prod_type_aff,'SUIVI STOCKS PAR PAYSAN'!G92,'BDD RESERVATIONS'!$B:$B,"&gt;"&amp;date_inventaire)</f>
        <v>0</v>
      </c>
      <c r="AL92" s="342">
        <f ca="1">SUMIFS(bddres_pieces,es_prod_type_affinage,'SUIVI STOCKS PAR PAYSAN'!$G92,es_date_entree,"&gt;"&amp;date_inventaire,es_taille,'SUIVI STOCKS PAR PAYSAN'!$AL$7)-SUMIFS(v_Pièces,v_Taille,'SUIVI STOCKS PAR PAYSAN'!$AL$7,v_conc_prod_tye_affinage,'SUIVI STOCKS PAR PAYSAN'!$G92,v_Date_commande,"&gt;"&amp;date_inventaire)</f>
        <v>0</v>
      </c>
      <c r="AM92" s="342">
        <f ca="1">SUMIFS(bddres_pieces,'BDD RESERVATIONS'!$G:$G,'SUIVI STOCKS PAR PAYSAN'!$AL$7,bddres_c_prod_type_aff,'SUIVI STOCKS PAR PAYSAN'!$G92,'BDD RESERVATIONS'!$B:$B,"&gt;"&amp;date_inventaire)</f>
        <v>0</v>
      </c>
      <c r="AN92" s="343">
        <f ca="1">SUMIFS(es_pieces,es_prod_type_affinage,'SUIVI STOCKS PAR PAYSAN'!$G92,es_date_entree,"&gt;"&amp;date_inventaire,es_taille,'SUIVI STOCKS PAR PAYSAN'!$AN$7)-SUMIFS(v_Pièces,v_Taille,'SUIVI STOCKS PAR PAYSAN'!$AN$7,v_conc_prod_tye_affinage,'SUIVI STOCKS PAR PAYSAN'!$G92,v_Date_commande,"&gt;"&amp;date_inventaire)</f>
        <v>0</v>
      </c>
      <c r="AO92" s="353">
        <f ca="1">SUMIFS(bddres_pieces,'BDD RESERVATIONS'!$G:$G,'SUIVI STOCKS PAR PAYSAN'!$AN$7,bddres_c_prod_type_aff,'SUIVI STOCKS PAR PAYSAN'!$G92,'BDD RESERVATIONS'!$B:$B,"&gt;"&amp;date_inventaire)</f>
        <v>0</v>
      </c>
      <c r="AP92" s="313">
        <f ca="1">SUMIFS(es_poids,es_prod_type_affinage,'SUIVI STOCKS PAR PAYSAN'!$H92,es_date_entree,"&gt;"&amp;date_inventaire)-SUMIFS(v_Poids,v_conc_prod_tye_affinage,'SUIVI STOCKS PAR PAYSAN'!$H92,v_Date_commande,"&gt;"&amp;date_inventaire)</f>
        <v>0</v>
      </c>
      <c r="AQ92" s="341">
        <f ca="1">SUMIFS(bddres_c_qte,bddres_c_prod_type_aff,'SUIVI STOCKS PAR PAYSAN'!H92,'BDD RESERVATIONS'!$B:$B,"&gt;"&amp;date_inventaire)</f>
        <v>0</v>
      </c>
      <c r="AR92" s="342">
        <f ca="1">SUMIFS(bddres_pieces,es_prod_type_affinage,'SUIVI STOCKS PAR PAYSAN'!$H92,es_date_entree,"&gt;"&amp;date_inventaire,es_taille,'SUIVI STOCKS PAR PAYSAN'!$AR$7)-SUMIFS(v_Pièces,v_Taille,'SUIVI STOCKS PAR PAYSAN'!$AR$7,v_conc_prod_tye_affinage,'SUIVI STOCKS PAR PAYSAN'!$H92,v_Date_commande,"&gt;"&amp;date_inventaire)</f>
        <v>0</v>
      </c>
      <c r="AS92" s="326">
        <f ca="1">SUMIFS(bddres_pieces,'BDD RESERVATIONS'!$G:$G,'SUIVI STOCKS PAR PAYSAN'!AR87,bddres_c_prod_type_aff,'SUIVI STOCKS PAR PAYSAN'!$H92,'BDD RESERVATIONS'!$B:$B,"&gt;"&amp;date_inventaire)</f>
        <v>0</v>
      </c>
      <c r="AT92" s="343">
        <f ca="1">SUMIFS(es_pieces,es_prod_type_affinage,'SUIVI STOCKS PAR PAYSAN'!$H92,es_date_entree,"&gt;"&amp;date_inventaire,es_taille,'SUIVI STOCKS PAR PAYSAN'!$AT$7)-SUMIFS(v_Pièces,v_Taille,'SUIVI STOCKS PAR PAYSAN'!$AT$7,v_conc_prod_tye_affinage,'SUIVI STOCKS PAR PAYSAN'!$H92,v_Date_commande,"&gt;"&amp;date_inventaire)</f>
        <v>0</v>
      </c>
      <c r="AU92" s="353">
        <f ca="1">SUMIFS(bddres_pieces,'BDD RESERVATIONS'!$G:$G,'SUIVI STOCKS PAR PAYSAN'!$AT$7,bddres_c_prod_type_aff,'SUIVI STOCKS PAR PAYSAN'!$H92,'BDD RESERVATIONS'!$B:$B,"&gt;"&amp;date_inventaire)</f>
        <v>0</v>
      </c>
      <c r="AV92" s="313">
        <f ca="1">SUMIFS(es_poids,es_prod_type_affinage,'SUIVI STOCKS PAR PAYSAN'!$I92,es_date_entree,"&gt;"&amp;date_inventaire)-SUMIFS(v_Poids,v_conc_prod_tye_affinage,'SUIVI STOCKS PAR PAYSAN'!$E92,v_Date_commande,"&gt;"&amp;date_inventaire)</f>
        <v>0</v>
      </c>
      <c r="AW92" s="313">
        <f ca="1">SUMIFS(bddres_c_qte,bddres_c_prod_type_aff,'SUIVI STOCKS PAR PAYSAN'!I92,'BDD RESERVATIONS'!$B:$B,"&gt;"&amp;date_inventaire)</f>
        <v>0</v>
      </c>
      <c r="AX92" s="342">
        <f ca="1">SUMIFS(bddres_pieces,es_prod_type_affinage,'SUIVI STOCKS PAR PAYSAN'!$I92,es_date_entree,"&gt;"&amp;date_inventaire,es_taille,'SUIVI STOCKS PAR PAYSAN'!$AX$7)-SUMIFS(v_Pièces,v_Taille,'SUIVI STOCKS PAR PAYSAN'!$AX$7,v_conc_prod_tye_affinage,'SUIVI STOCKS PAR PAYSAN'!$I92,v_Date_commande,"&gt;"&amp;date_inventaire)</f>
        <v>0</v>
      </c>
      <c r="AY92" s="342">
        <f ca="1">SUMIFS(bddres_pieces,'BDD RESERVATIONS'!$G:$G,'SUIVI STOCKS PAR PAYSAN'!$AX$7,bddres_c_prod_type_aff,'SUIVI STOCKS PAR PAYSAN'!$I92,'BDD RESERVATIONS'!$B:$B,"&gt;"&amp;date_inventaire)</f>
        <v>0</v>
      </c>
      <c r="AZ92" s="343">
        <f ca="1">SUMIFS(es_pieces,es_prod_type_affinage,'SUIVI STOCKS PAR PAYSAN'!$I92,es_date_entree,"&gt;"&amp;date_inventaire,es_taille,'SUIVI STOCKS PAR PAYSAN'!$AZ$7)-SUMIFS(v_Pièces,v_Taille,'SUIVI STOCKS PAR PAYSAN'!$AZ$7,v_conc_prod_tye_affinage,'SUIVI STOCKS PAR PAYSAN'!$I92,v_Date_commande,"&gt;"&amp;date_inventaire)</f>
        <v>0</v>
      </c>
      <c r="BA92" s="353">
        <f ca="1">SUMIFS(bddres_pieces,'BDD RESERVATIONS'!$G:$G,'SUIVI STOCKS PAR PAYSAN'!$AZ$7,bddres_c_prod_type_aff,'SUIVI STOCKS PAR PAYSAN'!$I92,'BDD RESERVATIONS'!$B:$B,"&gt;"&amp;date_inventaire)</f>
        <v>0</v>
      </c>
      <c r="BB92" s="313">
        <f ca="1">SUMIFS(es_poids,es_prod_type_affinage,'SUIVI STOCKS PAR PAYSAN'!$J92,es_date_entree,"&gt;"&amp;date_inventaire)-SUMIFS(v_Poids,v_conc_prod_tye_affinage,'SUIVI STOCKS PAR PAYSAN'!$J92,v_Date_commande,"&gt;"&amp;date_inventaire)</f>
        <v>0</v>
      </c>
      <c r="BC92" s="313">
        <f ca="1">SUMIFS(bddres_c_qte,bddres_c_prod_type_aff,'SUIVI STOCKS PAR PAYSAN'!J92,'BDD RESERVATIONS'!$B:$B,"&gt;"&amp;date_inventaire)</f>
        <v>0</v>
      </c>
      <c r="BD92" s="342">
        <f ca="1">SUMIFS(bddres_pieces,es_prod_type_affinage,'SUIVI STOCKS PAR PAYSAN'!$J92,es_date_entree,"&gt;"&amp;date_inventaire,es_taille,'SUIVI STOCKS PAR PAYSAN'!$BD$7)-SUMIFS(v_Pièces,v_Taille,'SUIVI STOCKS PAR PAYSAN'!$BD$7,v_conc_prod_tye_affinage,'SUIVI STOCKS PAR PAYSAN'!$J92,v_Date_commande,"&gt;"&amp;date_inventaire)</f>
        <v>0</v>
      </c>
      <c r="BE92" s="326">
        <f ca="1">SUMIFS(bddres_pieces,'BDD RESERVATIONS'!$G:$G,'SUIVI STOCKS PAR PAYSAN'!BD87,bddres_c_prod_type_aff,'SUIVI STOCKS PAR PAYSAN'!J92,'BDD RESERVATIONS'!$B:$B,"&gt;"&amp;date_inventaire)</f>
        <v>0</v>
      </c>
      <c r="BF92" s="343">
        <f ca="1">SUMIFS(es_pieces,es_prod_type_affinage,'SUIVI STOCKS PAR PAYSAN'!J92,es_date_entree,"&gt;"&amp;date_inventaire,es_taille,'SUIVI STOCKS PAR PAYSAN'!$BF$7)-SUMIFS(v_Pièces,v_Taille,'SUIVI STOCKS PAR PAYSAN'!$BF$7,v_conc_prod_tye_affinage,'SUIVI STOCKS PAR PAYSAN'!J92,v_Date_commande,"&gt;"&amp;date_inventaire)</f>
        <v>0</v>
      </c>
      <c r="BG92" s="353">
        <f ca="1">SUMIFS(bddres_pieces,'BDD RESERVATIONS'!$G:$G,'SUIVI STOCKS PAR PAYSAN'!$BF$7,bddres_c_prod_type_aff,'SUIVI STOCKS PAR PAYSAN'!J92,'BDD RESERVATIONS'!$B:$B,"&gt;"&amp;date_inventaire)</f>
        <v>0</v>
      </c>
    </row>
    <row r="93" spans="1:59" ht="18.75" customHeight="1" x14ac:dyDescent="0.25">
      <c r="A93" s="331">
        <f ca="1">OFFSET('BDD PAYSANS'!$B$1,B93,0,1,1)</f>
        <v>0</v>
      </c>
      <c r="B93" s="325">
        <v>82</v>
      </c>
      <c r="C93" s="325" t="str">
        <f t="shared" ca="1" si="4"/>
        <v>0FERMIER&lt;3 mois</v>
      </c>
      <c r="D93" s="325" t="str">
        <f t="shared" ca="1" si="4"/>
        <v>0FERMIER3-6 mois</v>
      </c>
      <c r="E93" s="325" t="str">
        <f t="shared" ca="1" si="4"/>
        <v>0FERMIER6-9 mois</v>
      </c>
      <c r="F93" s="325" t="str">
        <f t="shared" ca="1" si="4"/>
        <v>0FERMIER&gt;9 mois</v>
      </c>
      <c r="G93" s="325" t="str">
        <f t="shared" ca="1" si="4"/>
        <v>0ESTIVE&lt;3 mois</v>
      </c>
      <c r="H93" s="325" t="str">
        <f t="shared" ca="1" si="4"/>
        <v>0ESTIVE3-6 mois</v>
      </c>
      <c r="I93" s="325" t="str">
        <f t="shared" ca="1" si="4"/>
        <v>0ESTIVE6-9 mois</v>
      </c>
      <c r="J93" s="325" t="str">
        <f t="shared" ca="1" si="4"/>
        <v>0ESTIVE&gt;9 mois</v>
      </c>
      <c r="K93" s="325"/>
      <c r="L93" s="352">
        <f ca="1">SUMIFS(es_poids,es_prod_type_affinage,'SUIVI STOCKS PAR PAYSAN'!$C93,es_date_entree,"&gt;"&amp;date_inventaire)-SUMIFS(v_Poids,v_conc_prod_tye_affinage,'SUIVI STOCKS PAR PAYSAN'!$C93,v_Date_commande,"&gt;"&amp;date_inventaire)</f>
        <v>0</v>
      </c>
      <c r="M93" s="341">
        <f ca="1">SUMIFS(bddres_c_qte,bddres_c_prod_type_aff,'SUIVI STOCKS PAR PAYSAN'!C93,'BDD RESERVATIONS'!$B:$B,"&gt;"&amp;date_inventaire)</f>
        <v>0</v>
      </c>
      <c r="N93" s="342">
        <f ca="1">SUMIFS(bddres_pieces,es_prod_type_affinage,'SUIVI STOCKS PAR PAYSAN'!$C93,es_date_entree,"&gt;"&amp;date_inventaire,es_taille,'SUIVI STOCKS PAR PAYSAN'!$N$7)-SUMIFS(v_Pièces,v_Taille,'SUIVI STOCKS PAR PAYSAN'!$N$7,v_conc_prod_tye_affinage,'SUIVI STOCKS PAR PAYSAN'!$C93,v_Date_commande,"&gt;"&amp;date_inventaire)</f>
        <v>0</v>
      </c>
      <c r="O93" s="342">
        <f ca="1">SUMIFS(bddres_pieces,'BDD RESERVATIONS'!$G:$G,'SUIVI STOCKS PAR PAYSAN'!$N$7,bddres_c_prod_type_aff,'SUIVI STOCKS PAR PAYSAN'!$C93,'BDD RESERVATIONS'!$B:$B,"&gt;"&amp;date_inventaire)</f>
        <v>0</v>
      </c>
      <c r="P93" s="343">
        <f ca="1">SUMIFS(es_pieces,es_prod_type_affinage,'SUIVI STOCKS PAR PAYSAN'!$C93,es_date_entree,"&gt;"&amp;date_inventaire,es_taille,'SUIVI STOCKS PAR PAYSAN'!$P$7)-SUMIFS(v_Pièces,v_Taille,'SUIVI STOCKS PAR PAYSAN'!$P$7,v_conc_prod_tye_affinage,'SUIVI STOCKS PAR PAYSAN'!$C93,v_Date_commande,"&gt;"&amp;date_inventaire)</f>
        <v>0</v>
      </c>
      <c r="Q93" s="353">
        <f ca="1">SUMIFS(bddres_pieces,'BDD RESERVATIONS'!$G:$G,'SUIVI STOCKS PAR PAYSAN'!$P$7,bddres_c_prod_type_aff,'SUIVI STOCKS PAR PAYSAN'!$C93,'BDD RESERVATIONS'!$B:$B,"&gt;"&amp;date_inventaire)</f>
        <v>0</v>
      </c>
      <c r="R93" s="340">
        <f ca="1">SUMIFS(es_poids,es_prod_type_affinage,'SUIVI STOCKS PAR PAYSAN'!$D93,es_date_entree,"&gt;"&amp;date_inventaire)-SUMIFS(v_Poids,v_conc_prod_tye_affinage,'SUIVI STOCKS PAR PAYSAN'!$D93,v_Date_commande,"&gt;"&amp;date_inventaire)</f>
        <v>0</v>
      </c>
      <c r="S93" s="341">
        <f ca="1">SUMIFS(bddres_c_qte,bddres_c_prod_type_aff,'SUIVI STOCKS PAR PAYSAN'!D93,'BDD RESERVATIONS'!$B:$B,"&gt;"&amp;date_inventaire)</f>
        <v>0</v>
      </c>
      <c r="T93" s="342">
        <f ca="1">SUMIFS(bddres_pieces,es_prod_type_affinage,'SUIVI STOCKS PAR PAYSAN'!$D93,es_date_entree,"&gt;"&amp;date_inventaire,es_taille,'SUIVI STOCKS PAR PAYSAN'!$T$7)-SUMIFS(v_Pièces,v_Taille,'SUIVI STOCKS PAR PAYSAN'!$T$7,v_conc_prod_tye_affinage,'SUIVI STOCKS PAR PAYSAN'!$D93,v_Date_commande,"&gt;"&amp;date_inventaire)</f>
        <v>0</v>
      </c>
      <c r="U93" s="342">
        <f ca="1">SUMIFS(bddres_pieces,'BDD RESERVATIONS'!$G:$G,'SUIVI STOCKS PAR PAYSAN'!$T$7,bddres_c_prod_type_aff,'SUIVI STOCKS PAR PAYSAN'!$D93,'BDD RESERVATIONS'!$B:$B,"&gt;"&amp;date_inventaire)</f>
        <v>0</v>
      </c>
      <c r="V93" s="343">
        <f ca="1">SUMIFS(es_pieces,es_prod_type_affinage,'SUIVI STOCKS PAR PAYSAN'!$D93,es_date_entree,"&gt;"&amp;date_inventaire,es_taille,'SUIVI STOCKS PAR PAYSAN'!$V$7)-SUMIFS(v_Pièces,v_Taille,'SUIVI STOCKS PAR PAYSAN'!$V$7,v_conc_prod_tye_affinage,'SUIVI STOCKS PAR PAYSAN'!$D93,v_Date_commande,"&gt;"&amp;date_inventaire)</f>
        <v>0</v>
      </c>
      <c r="W93" s="353">
        <f ca="1">SUMIFS(bddres_pieces,'BDD RESERVATIONS'!$G:$G,'SUIVI STOCKS PAR PAYSAN'!$V$7,bddres_c_prod_type_aff,'SUIVI STOCKS PAR PAYSAN'!$D93,'BDD RESERVATIONS'!$B:$B,"&gt;"&amp;date_inventaire)</f>
        <v>0</v>
      </c>
      <c r="X93" s="313">
        <f ca="1">SUMIFS(es_poids,es_prod_type_affinage,'SUIVI STOCKS PAR PAYSAN'!$E93,es_date_entree,"&gt;"&amp;date_inventaire)-SUMIFS(v_Poids,v_conc_prod_tye_affinage,'SUIVI STOCKS PAR PAYSAN'!$E93,v_Date_commande,"&gt;"&amp;date_inventaire)</f>
        <v>0</v>
      </c>
      <c r="Y93" s="341">
        <f ca="1">SUMIFS(bddres_c_qte,bddres_c_prod_type_aff,'SUIVI STOCKS PAR PAYSAN'!E93,'BDD RESERVATIONS'!$B:$B,"&gt;"&amp;date_inventaire)</f>
        <v>0</v>
      </c>
      <c r="Z93" s="342">
        <f ca="1">SUMIFS(bddres_pieces,es_prod_type_affinage,'SUIVI STOCKS PAR PAYSAN'!$E93,es_date_entree,"&gt;"&amp;date_inventaire,es_taille,'SUIVI STOCKS PAR PAYSAN'!$Z$7)-SUMIFS(v_Pièces,v_Taille,'SUIVI STOCKS PAR PAYSAN'!$Z$7,v_conc_prod_tye_affinage,'SUIVI STOCKS PAR PAYSAN'!$E93,v_Date_commande,"&gt;"&amp;date_inventaire)</f>
        <v>0</v>
      </c>
      <c r="AA93" s="342">
        <f ca="1">SUMIFS(bddres_pieces,'BDD RESERVATIONS'!$G:$G,'SUIVI STOCKS PAR PAYSAN'!$Z$7,bddres_c_prod_type_aff,'SUIVI STOCKS PAR PAYSAN'!$E93,'BDD RESERVATIONS'!$B:$B,"&gt;"&amp;date_inventaire)</f>
        <v>0</v>
      </c>
      <c r="AB93" s="343">
        <f ca="1">SUMIFS(es_pieces,es_prod_type_affinage,'SUIVI STOCKS PAR PAYSAN'!$E93,es_date_entree,"&gt;"&amp;date_inventaire,es_taille,'SUIVI STOCKS PAR PAYSAN'!$AB$7)-SUMIFS(v_Pièces,v_Taille,'SUIVI STOCKS PAR PAYSAN'!$AB$7,v_conc_prod_tye_affinage,'SUIVI STOCKS PAR PAYSAN'!$E93,v_Date_commande,"&gt;"&amp;date_inventaire)</f>
        <v>0</v>
      </c>
      <c r="AC93" s="353">
        <f ca="1">SUMIFS(bddres_pieces,'BDD RESERVATIONS'!$G:$G,'SUIVI STOCKS PAR PAYSAN'!$AB$7,bddres_c_prod_type_aff,'SUIVI STOCKS PAR PAYSAN'!$E93,'BDD RESERVATIONS'!$B:$B,"&gt;"&amp;date_inventaire)</f>
        <v>0</v>
      </c>
      <c r="AD93" s="313">
        <f ca="1">SUMIFS(es_poids,es_prod_type_affinage,'SUIVI STOCKS PAR PAYSAN'!$F93,es_date_entree,"&gt;"&amp;date_inventaire)-SUMIFS(v_Poids,v_conc_prod_tye_affinage,'SUIVI STOCKS PAR PAYSAN'!$F93,v_Date_commande,"&gt;"&amp;date_inventaire)</f>
        <v>0</v>
      </c>
      <c r="AE93" s="341">
        <f ca="1">SUMIFS(bddres_c_qte,bddres_c_prod_type_aff,'SUIVI STOCKS PAR PAYSAN'!F93,'BDD RESERVATIONS'!$B:$B,"&gt;"&amp;date_inventaire)</f>
        <v>0</v>
      </c>
      <c r="AF93" s="342">
        <f ca="1">SUMIFS(bddres_pieces,es_prod_type_affinage,'SUIVI STOCKS PAR PAYSAN'!$F93,es_date_entree,"&gt;"&amp;date_inventaire,es_taille,'SUIVI STOCKS PAR PAYSAN'!$Z$7)-SUMIFS(v_Pièces,v_Taille,'SUIVI STOCKS PAR PAYSAN'!$Z$7,v_conc_prod_tye_affinage,'SUIVI STOCKS PAR PAYSAN'!$F93,v_Date_commande,"&gt;"&amp;date_inventaire)</f>
        <v>0</v>
      </c>
      <c r="AG93" s="342">
        <f ca="1">SUMIFS(bddres_pieces,'BDD RESERVATIONS'!$G:$G,'SUIVI STOCKS PAR PAYSAN'!$Z$7,bddres_c_prod_type_aff,'SUIVI STOCKS PAR PAYSAN'!$F93,'BDD RESERVATIONS'!$B:$B,"&gt;"&amp;date_inventaire)</f>
        <v>0</v>
      </c>
      <c r="AH93" s="343">
        <f ca="1">SUMIFS(es_pieces,es_prod_type_affinage,'SUIVI STOCKS PAR PAYSAN'!$F93,es_date_entree,"&gt;"&amp;date_inventaire,es_taille,'SUIVI STOCKS PAR PAYSAN'!$AH$7)-SUMIFS(v_Pièces,v_Taille,'SUIVI STOCKS PAR PAYSAN'!$AH$7,v_conc_prod_tye_affinage,'SUIVI STOCKS PAR PAYSAN'!$F93,v_Date_commande,"&gt;"&amp;date_inventaire)</f>
        <v>0</v>
      </c>
      <c r="AI93" s="353">
        <f ca="1">SUMIFS(bddres_pieces,'BDD RESERVATIONS'!$G:$G,'SUIVI STOCKS PAR PAYSAN'!$AB$7,bddres_c_prod_type_aff,'SUIVI STOCKS PAR PAYSAN'!$F93,'BDD RESERVATIONS'!$B:$B,"&gt;"&amp;date_inventaire)</f>
        <v>0</v>
      </c>
      <c r="AJ93" s="352">
        <f ca="1">SUMIFS(es_poids,es_prod_type_affinage,'SUIVI STOCKS PAR PAYSAN'!$G93,es_date_entree,"&gt;"&amp;date_inventaire)-SUMIFS(v_Poids,v_conc_prod_tye_affinage,'SUIVI STOCKS PAR PAYSAN'!$G93,v_Date_commande,"&gt;"&amp;date_inventaire)</f>
        <v>0</v>
      </c>
      <c r="AK93" s="341">
        <f ca="1">SUMIFS(bddres_c_qte,bddres_c_prod_type_aff,'SUIVI STOCKS PAR PAYSAN'!G93,'BDD RESERVATIONS'!$B:$B,"&gt;"&amp;date_inventaire)</f>
        <v>0</v>
      </c>
      <c r="AL93" s="342">
        <f ca="1">SUMIFS(bddres_pieces,es_prod_type_affinage,'SUIVI STOCKS PAR PAYSAN'!$G93,es_date_entree,"&gt;"&amp;date_inventaire,es_taille,'SUIVI STOCKS PAR PAYSAN'!$AL$7)-SUMIFS(v_Pièces,v_Taille,'SUIVI STOCKS PAR PAYSAN'!$AL$7,v_conc_prod_tye_affinage,'SUIVI STOCKS PAR PAYSAN'!$G93,v_Date_commande,"&gt;"&amp;date_inventaire)</f>
        <v>0</v>
      </c>
      <c r="AM93" s="342">
        <f ca="1">SUMIFS(bddres_pieces,'BDD RESERVATIONS'!$G:$G,'SUIVI STOCKS PAR PAYSAN'!$AL$7,bddres_c_prod_type_aff,'SUIVI STOCKS PAR PAYSAN'!$G93,'BDD RESERVATIONS'!$B:$B,"&gt;"&amp;date_inventaire)</f>
        <v>0</v>
      </c>
      <c r="AN93" s="343">
        <f ca="1">SUMIFS(es_pieces,es_prod_type_affinage,'SUIVI STOCKS PAR PAYSAN'!$G93,es_date_entree,"&gt;"&amp;date_inventaire,es_taille,'SUIVI STOCKS PAR PAYSAN'!$AN$7)-SUMIFS(v_Pièces,v_Taille,'SUIVI STOCKS PAR PAYSAN'!$AN$7,v_conc_prod_tye_affinage,'SUIVI STOCKS PAR PAYSAN'!$G93,v_Date_commande,"&gt;"&amp;date_inventaire)</f>
        <v>0</v>
      </c>
      <c r="AO93" s="353">
        <f ca="1">SUMIFS(bddres_pieces,'BDD RESERVATIONS'!$G:$G,'SUIVI STOCKS PAR PAYSAN'!$AN$7,bddres_c_prod_type_aff,'SUIVI STOCKS PAR PAYSAN'!$G93,'BDD RESERVATIONS'!$B:$B,"&gt;"&amp;date_inventaire)</f>
        <v>0</v>
      </c>
      <c r="AP93" s="313">
        <f ca="1">SUMIFS(es_poids,es_prod_type_affinage,'SUIVI STOCKS PAR PAYSAN'!$H93,es_date_entree,"&gt;"&amp;date_inventaire)-SUMIFS(v_Poids,v_conc_prod_tye_affinage,'SUIVI STOCKS PAR PAYSAN'!$H93,v_Date_commande,"&gt;"&amp;date_inventaire)</f>
        <v>0</v>
      </c>
      <c r="AQ93" s="341">
        <f ca="1">SUMIFS(bddres_c_qte,bddres_c_prod_type_aff,'SUIVI STOCKS PAR PAYSAN'!H93,'BDD RESERVATIONS'!$B:$B,"&gt;"&amp;date_inventaire)</f>
        <v>0</v>
      </c>
      <c r="AR93" s="342">
        <f ca="1">SUMIFS(bddres_pieces,es_prod_type_affinage,'SUIVI STOCKS PAR PAYSAN'!$H93,es_date_entree,"&gt;"&amp;date_inventaire,es_taille,'SUIVI STOCKS PAR PAYSAN'!$AR$7)-SUMIFS(v_Pièces,v_Taille,'SUIVI STOCKS PAR PAYSAN'!$AR$7,v_conc_prod_tye_affinage,'SUIVI STOCKS PAR PAYSAN'!$H93,v_Date_commande,"&gt;"&amp;date_inventaire)</f>
        <v>0</v>
      </c>
      <c r="AS93" s="326">
        <f ca="1">SUMIFS(bddres_pieces,'BDD RESERVATIONS'!$G:$G,'SUIVI STOCKS PAR PAYSAN'!AR88,bddres_c_prod_type_aff,'SUIVI STOCKS PAR PAYSAN'!$H93,'BDD RESERVATIONS'!$B:$B,"&gt;"&amp;date_inventaire)</f>
        <v>0</v>
      </c>
      <c r="AT93" s="343">
        <f ca="1">SUMIFS(es_pieces,es_prod_type_affinage,'SUIVI STOCKS PAR PAYSAN'!$H93,es_date_entree,"&gt;"&amp;date_inventaire,es_taille,'SUIVI STOCKS PAR PAYSAN'!$AT$7)-SUMIFS(v_Pièces,v_Taille,'SUIVI STOCKS PAR PAYSAN'!$AT$7,v_conc_prod_tye_affinage,'SUIVI STOCKS PAR PAYSAN'!$H93,v_Date_commande,"&gt;"&amp;date_inventaire)</f>
        <v>0</v>
      </c>
      <c r="AU93" s="353">
        <f ca="1">SUMIFS(bddres_pieces,'BDD RESERVATIONS'!$G:$G,'SUIVI STOCKS PAR PAYSAN'!$AT$7,bddres_c_prod_type_aff,'SUIVI STOCKS PAR PAYSAN'!$H93,'BDD RESERVATIONS'!$B:$B,"&gt;"&amp;date_inventaire)</f>
        <v>0</v>
      </c>
      <c r="AV93" s="313">
        <f ca="1">SUMIFS(es_poids,es_prod_type_affinage,'SUIVI STOCKS PAR PAYSAN'!$I93,es_date_entree,"&gt;"&amp;date_inventaire)-SUMIFS(v_Poids,v_conc_prod_tye_affinage,'SUIVI STOCKS PAR PAYSAN'!$E93,v_Date_commande,"&gt;"&amp;date_inventaire)</f>
        <v>0</v>
      </c>
      <c r="AW93" s="313">
        <f ca="1">SUMIFS(bddres_c_qte,bddres_c_prod_type_aff,'SUIVI STOCKS PAR PAYSAN'!I93,'BDD RESERVATIONS'!$B:$B,"&gt;"&amp;date_inventaire)</f>
        <v>0</v>
      </c>
      <c r="AX93" s="342">
        <f ca="1">SUMIFS(bddres_pieces,es_prod_type_affinage,'SUIVI STOCKS PAR PAYSAN'!$I93,es_date_entree,"&gt;"&amp;date_inventaire,es_taille,'SUIVI STOCKS PAR PAYSAN'!$AX$7)-SUMIFS(v_Pièces,v_Taille,'SUIVI STOCKS PAR PAYSAN'!$AX$7,v_conc_prod_tye_affinage,'SUIVI STOCKS PAR PAYSAN'!$I93,v_Date_commande,"&gt;"&amp;date_inventaire)</f>
        <v>0</v>
      </c>
      <c r="AY93" s="342">
        <f ca="1">SUMIFS(bddres_pieces,'BDD RESERVATIONS'!$G:$G,'SUIVI STOCKS PAR PAYSAN'!$AX$7,bddres_c_prod_type_aff,'SUIVI STOCKS PAR PAYSAN'!$I93,'BDD RESERVATIONS'!$B:$B,"&gt;"&amp;date_inventaire)</f>
        <v>0</v>
      </c>
      <c r="AZ93" s="343">
        <f ca="1">SUMIFS(es_pieces,es_prod_type_affinage,'SUIVI STOCKS PAR PAYSAN'!$I93,es_date_entree,"&gt;"&amp;date_inventaire,es_taille,'SUIVI STOCKS PAR PAYSAN'!$AZ$7)-SUMIFS(v_Pièces,v_Taille,'SUIVI STOCKS PAR PAYSAN'!$AZ$7,v_conc_prod_tye_affinage,'SUIVI STOCKS PAR PAYSAN'!$I93,v_Date_commande,"&gt;"&amp;date_inventaire)</f>
        <v>0</v>
      </c>
      <c r="BA93" s="353">
        <f ca="1">SUMIFS(bddres_pieces,'BDD RESERVATIONS'!$G:$G,'SUIVI STOCKS PAR PAYSAN'!$AZ$7,bddres_c_prod_type_aff,'SUIVI STOCKS PAR PAYSAN'!$I93,'BDD RESERVATIONS'!$B:$B,"&gt;"&amp;date_inventaire)</f>
        <v>0</v>
      </c>
      <c r="BB93" s="313">
        <f ca="1">SUMIFS(es_poids,es_prod_type_affinage,'SUIVI STOCKS PAR PAYSAN'!$J93,es_date_entree,"&gt;"&amp;date_inventaire)-SUMIFS(v_Poids,v_conc_prod_tye_affinage,'SUIVI STOCKS PAR PAYSAN'!$J93,v_Date_commande,"&gt;"&amp;date_inventaire)</f>
        <v>0</v>
      </c>
      <c r="BC93" s="313">
        <f ca="1">SUMIFS(bddres_c_qte,bddres_c_prod_type_aff,'SUIVI STOCKS PAR PAYSAN'!J93,'BDD RESERVATIONS'!$B:$B,"&gt;"&amp;date_inventaire)</f>
        <v>0</v>
      </c>
      <c r="BD93" s="342">
        <f ca="1">SUMIFS(bddres_pieces,es_prod_type_affinage,'SUIVI STOCKS PAR PAYSAN'!$J93,es_date_entree,"&gt;"&amp;date_inventaire,es_taille,'SUIVI STOCKS PAR PAYSAN'!$BD$7)-SUMIFS(v_Pièces,v_Taille,'SUIVI STOCKS PAR PAYSAN'!$BD$7,v_conc_prod_tye_affinage,'SUIVI STOCKS PAR PAYSAN'!$J93,v_Date_commande,"&gt;"&amp;date_inventaire)</f>
        <v>0</v>
      </c>
      <c r="BE93" s="326">
        <f ca="1">SUMIFS(bddres_pieces,'BDD RESERVATIONS'!$G:$G,'SUIVI STOCKS PAR PAYSAN'!BD88,bddres_c_prod_type_aff,'SUIVI STOCKS PAR PAYSAN'!J93,'BDD RESERVATIONS'!$B:$B,"&gt;"&amp;date_inventaire)</f>
        <v>0</v>
      </c>
      <c r="BF93" s="343">
        <f ca="1">SUMIFS(es_pieces,es_prod_type_affinage,'SUIVI STOCKS PAR PAYSAN'!J93,es_date_entree,"&gt;"&amp;date_inventaire,es_taille,'SUIVI STOCKS PAR PAYSAN'!$BF$7)-SUMIFS(v_Pièces,v_Taille,'SUIVI STOCKS PAR PAYSAN'!$BF$7,v_conc_prod_tye_affinage,'SUIVI STOCKS PAR PAYSAN'!J93,v_Date_commande,"&gt;"&amp;date_inventaire)</f>
        <v>0</v>
      </c>
      <c r="BG93" s="353">
        <f ca="1">SUMIFS(bddres_pieces,'BDD RESERVATIONS'!$G:$G,'SUIVI STOCKS PAR PAYSAN'!$BF$7,bddres_c_prod_type_aff,'SUIVI STOCKS PAR PAYSAN'!J93,'BDD RESERVATIONS'!$B:$B,"&gt;"&amp;date_inventaire)</f>
        <v>0</v>
      </c>
    </row>
    <row r="94" spans="1:59" ht="18.75" customHeight="1" x14ac:dyDescent="0.25">
      <c r="A94" s="331">
        <f ca="1">OFFSET('BDD PAYSANS'!$B$1,B94,0,1,1)</f>
        <v>0</v>
      </c>
      <c r="B94" s="325">
        <v>83</v>
      </c>
      <c r="C94" s="325" t="str">
        <f t="shared" ca="1" si="4"/>
        <v>0FERMIER&lt;3 mois</v>
      </c>
      <c r="D94" s="325" t="str">
        <f t="shared" ca="1" si="4"/>
        <v>0FERMIER3-6 mois</v>
      </c>
      <c r="E94" s="325" t="str">
        <f t="shared" ca="1" si="4"/>
        <v>0FERMIER6-9 mois</v>
      </c>
      <c r="F94" s="325" t="str">
        <f t="shared" ca="1" si="4"/>
        <v>0FERMIER&gt;9 mois</v>
      </c>
      <c r="G94" s="325" t="str">
        <f t="shared" ca="1" si="4"/>
        <v>0ESTIVE&lt;3 mois</v>
      </c>
      <c r="H94" s="325" t="str">
        <f t="shared" ca="1" si="4"/>
        <v>0ESTIVE3-6 mois</v>
      </c>
      <c r="I94" s="325" t="str">
        <f t="shared" ca="1" si="4"/>
        <v>0ESTIVE6-9 mois</v>
      </c>
      <c r="J94" s="325" t="str">
        <f t="shared" ca="1" si="4"/>
        <v>0ESTIVE&gt;9 mois</v>
      </c>
      <c r="K94" s="325"/>
      <c r="L94" s="352">
        <f ca="1">SUMIFS(es_poids,es_prod_type_affinage,'SUIVI STOCKS PAR PAYSAN'!$C94,es_date_entree,"&gt;"&amp;date_inventaire)-SUMIFS(v_Poids,v_conc_prod_tye_affinage,'SUIVI STOCKS PAR PAYSAN'!$C94,v_Date_commande,"&gt;"&amp;date_inventaire)</f>
        <v>0</v>
      </c>
      <c r="M94" s="341">
        <f ca="1">SUMIFS(bddres_c_qte,bddres_c_prod_type_aff,'SUIVI STOCKS PAR PAYSAN'!C94,'BDD RESERVATIONS'!$B:$B,"&gt;"&amp;date_inventaire)</f>
        <v>0</v>
      </c>
      <c r="N94" s="342">
        <f ca="1">SUMIFS(bddres_pieces,es_prod_type_affinage,'SUIVI STOCKS PAR PAYSAN'!$C94,es_date_entree,"&gt;"&amp;date_inventaire,es_taille,'SUIVI STOCKS PAR PAYSAN'!$N$7)-SUMIFS(v_Pièces,v_Taille,'SUIVI STOCKS PAR PAYSAN'!$N$7,v_conc_prod_tye_affinage,'SUIVI STOCKS PAR PAYSAN'!$C94,v_Date_commande,"&gt;"&amp;date_inventaire)</f>
        <v>0</v>
      </c>
      <c r="O94" s="342">
        <f ca="1">SUMIFS(bddres_pieces,'BDD RESERVATIONS'!$G:$G,'SUIVI STOCKS PAR PAYSAN'!$N$7,bddres_c_prod_type_aff,'SUIVI STOCKS PAR PAYSAN'!$C94,'BDD RESERVATIONS'!$B:$B,"&gt;"&amp;date_inventaire)</f>
        <v>0</v>
      </c>
      <c r="P94" s="343">
        <f ca="1">SUMIFS(es_pieces,es_prod_type_affinage,'SUIVI STOCKS PAR PAYSAN'!$C94,es_date_entree,"&gt;"&amp;date_inventaire,es_taille,'SUIVI STOCKS PAR PAYSAN'!$P$7)-SUMIFS(v_Pièces,v_Taille,'SUIVI STOCKS PAR PAYSAN'!$P$7,v_conc_prod_tye_affinage,'SUIVI STOCKS PAR PAYSAN'!$C94,v_Date_commande,"&gt;"&amp;date_inventaire)</f>
        <v>0</v>
      </c>
      <c r="Q94" s="353">
        <f ca="1">SUMIFS(bddres_pieces,'BDD RESERVATIONS'!$G:$G,'SUIVI STOCKS PAR PAYSAN'!$P$7,bddres_c_prod_type_aff,'SUIVI STOCKS PAR PAYSAN'!$C94,'BDD RESERVATIONS'!$B:$B,"&gt;"&amp;date_inventaire)</f>
        <v>0</v>
      </c>
      <c r="R94" s="340">
        <f ca="1">SUMIFS(es_poids,es_prod_type_affinage,'SUIVI STOCKS PAR PAYSAN'!$D94,es_date_entree,"&gt;"&amp;date_inventaire)-SUMIFS(v_Poids,v_conc_prod_tye_affinage,'SUIVI STOCKS PAR PAYSAN'!$D94,v_Date_commande,"&gt;"&amp;date_inventaire)</f>
        <v>0</v>
      </c>
      <c r="S94" s="341">
        <f ca="1">SUMIFS(bddres_c_qte,bddres_c_prod_type_aff,'SUIVI STOCKS PAR PAYSAN'!D94,'BDD RESERVATIONS'!$B:$B,"&gt;"&amp;date_inventaire)</f>
        <v>0</v>
      </c>
      <c r="T94" s="342">
        <f ca="1">SUMIFS(bddres_pieces,es_prod_type_affinage,'SUIVI STOCKS PAR PAYSAN'!$D94,es_date_entree,"&gt;"&amp;date_inventaire,es_taille,'SUIVI STOCKS PAR PAYSAN'!$T$7)-SUMIFS(v_Pièces,v_Taille,'SUIVI STOCKS PAR PAYSAN'!$T$7,v_conc_prod_tye_affinage,'SUIVI STOCKS PAR PAYSAN'!$D94,v_Date_commande,"&gt;"&amp;date_inventaire)</f>
        <v>0</v>
      </c>
      <c r="U94" s="342">
        <f ca="1">SUMIFS(bddres_pieces,'BDD RESERVATIONS'!$G:$G,'SUIVI STOCKS PAR PAYSAN'!$T$7,bddres_c_prod_type_aff,'SUIVI STOCKS PAR PAYSAN'!$D94,'BDD RESERVATIONS'!$B:$B,"&gt;"&amp;date_inventaire)</f>
        <v>0</v>
      </c>
      <c r="V94" s="343">
        <f ca="1">SUMIFS(es_pieces,es_prod_type_affinage,'SUIVI STOCKS PAR PAYSAN'!$D94,es_date_entree,"&gt;"&amp;date_inventaire,es_taille,'SUIVI STOCKS PAR PAYSAN'!$V$7)-SUMIFS(v_Pièces,v_Taille,'SUIVI STOCKS PAR PAYSAN'!$V$7,v_conc_prod_tye_affinage,'SUIVI STOCKS PAR PAYSAN'!$D94,v_Date_commande,"&gt;"&amp;date_inventaire)</f>
        <v>0</v>
      </c>
      <c r="W94" s="353">
        <f ca="1">SUMIFS(bddres_pieces,'BDD RESERVATIONS'!$G:$G,'SUIVI STOCKS PAR PAYSAN'!$V$7,bddres_c_prod_type_aff,'SUIVI STOCKS PAR PAYSAN'!$D94,'BDD RESERVATIONS'!$B:$B,"&gt;"&amp;date_inventaire)</f>
        <v>0</v>
      </c>
      <c r="X94" s="313">
        <f ca="1">SUMIFS(es_poids,es_prod_type_affinage,'SUIVI STOCKS PAR PAYSAN'!$E94,es_date_entree,"&gt;"&amp;date_inventaire)-SUMIFS(v_Poids,v_conc_prod_tye_affinage,'SUIVI STOCKS PAR PAYSAN'!$E94,v_Date_commande,"&gt;"&amp;date_inventaire)</f>
        <v>0</v>
      </c>
      <c r="Y94" s="341">
        <f ca="1">SUMIFS(bddres_c_qte,bddres_c_prod_type_aff,'SUIVI STOCKS PAR PAYSAN'!E94,'BDD RESERVATIONS'!$B:$B,"&gt;"&amp;date_inventaire)</f>
        <v>0</v>
      </c>
      <c r="Z94" s="342">
        <f ca="1">SUMIFS(bddres_pieces,es_prod_type_affinage,'SUIVI STOCKS PAR PAYSAN'!$E94,es_date_entree,"&gt;"&amp;date_inventaire,es_taille,'SUIVI STOCKS PAR PAYSAN'!$Z$7)-SUMIFS(v_Pièces,v_Taille,'SUIVI STOCKS PAR PAYSAN'!$Z$7,v_conc_prod_tye_affinage,'SUIVI STOCKS PAR PAYSAN'!$E94,v_Date_commande,"&gt;"&amp;date_inventaire)</f>
        <v>0</v>
      </c>
      <c r="AA94" s="342">
        <f ca="1">SUMIFS(bddres_pieces,'BDD RESERVATIONS'!$G:$G,'SUIVI STOCKS PAR PAYSAN'!$Z$7,bddres_c_prod_type_aff,'SUIVI STOCKS PAR PAYSAN'!$E94,'BDD RESERVATIONS'!$B:$B,"&gt;"&amp;date_inventaire)</f>
        <v>0</v>
      </c>
      <c r="AB94" s="343">
        <f ca="1">SUMIFS(es_pieces,es_prod_type_affinage,'SUIVI STOCKS PAR PAYSAN'!$E94,es_date_entree,"&gt;"&amp;date_inventaire,es_taille,'SUIVI STOCKS PAR PAYSAN'!$AB$7)-SUMIFS(v_Pièces,v_Taille,'SUIVI STOCKS PAR PAYSAN'!$AB$7,v_conc_prod_tye_affinage,'SUIVI STOCKS PAR PAYSAN'!$E94,v_Date_commande,"&gt;"&amp;date_inventaire)</f>
        <v>0</v>
      </c>
      <c r="AC94" s="353">
        <f ca="1">SUMIFS(bddres_pieces,'BDD RESERVATIONS'!$G:$G,'SUIVI STOCKS PAR PAYSAN'!$AB$7,bddres_c_prod_type_aff,'SUIVI STOCKS PAR PAYSAN'!$E94,'BDD RESERVATIONS'!$B:$B,"&gt;"&amp;date_inventaire)</f>
        <v>0</v>
      </c>
      <c r="AD94" s="313">
        <f ca="1">SUMIFS(es_poids,es_prod_type_affinage,'SUIVI STOCKS PAR PAYSAN'!$F94,es_date_entree,"&gt;"&amp;date_inventaire)-SUMIFS(v_Poids,v_conc_prod_tye_affinage,'SUIVI STOCKS PAR PAYSAN'!$F94,v_Date_commande,"&gt;"&amp;date_inventaire)</f>
        <v>0</v>
      </c>
      <c r="AE94" s="341">
        <f ca="1">SUMIFS(bddres_c_qte,bddres_c_prod_type_aff,'SUIVI STOCKS PAR PAYSAN'!F94,'BDD RESERVATIONS'!$B:$B,"&gt;"&amp;date_inventaire)</f>
        <v>0</v>
      </c>
      <c r="AF94" s="342">
        <f ca="1">SUMIFS(bddres_pieces,es_prod_type_affinage,'SUIVI STOCKS PAR PAYSAN'!$F94,es_date_entree,"&gt;"&amp;date_inventaire,es_taille,'SUIVI STOCKS PAR PAYSAN'!$Z$7)-SUMIFS(v_Pièces,v_Taille,'SUIVI STOCKS PAR PAYSAN'!$Z$7,v_conc_prod_tye_affinage,'SUIVI STOCKS PAR PAYSAN'!$F94,v_Date_commande,"&gt;"&amp;date_inventaire)</f>
        <v>0</v>
      </c>
      <c r="AG94" s="342">
        <f ca="1">SUMIFS(bddres_pieces,'BDD RESERVATIONS'!$G:$G,'SUIVI STOCKS PAR PAYSAN'!$Z$7,bddres_c_prod_type_aff,'SUIVI STOCKS PAR PAYSAN'!$F94,'BDD RESERVATIONS'!$B:$B,"&gt;"&amp;date_inventaire)</f>
        <v>0</v>
      </c>
      <c r="AH94" s="343">
        <f ca="1">SUMIFS(es_pieces,es_prod_type_affinage,'SUIVI STOCKS PAR PAYSAN'!$F94,es_date_entree,"&gt;"&amp;date_inventaire,es_taille,'SUIVI STOCKS PAR PAYSAN'!$AH$7)-SUMIFS(v_Pièces,v_Taille,'SUIVI STOCKS PAR PAYSAN'!$AH$7,v_conc_prod_tye_affinage,'SUIVI STOCKS PAR PAYSAN'!$F94,v_Date_commande,"&gt;"&amp;date_inventaire)</f>
        <v>0</v>
      </c>
      <c r="AI94" s="353">
        <f ca="1">SUMIFS(bddres_pieces,'BDD RESERVATIONS'!$G:$G,'SUIVI STOCKS PAR PAYSAN'!$AB$7,bddres_c_prod_type_aff,'SUIVI STOCKS PAR PAYSAN'!$F94,'BDD RESERVATIONS'!$B:$B,"&gt;"&amp;date_inventaire)</f>
        <v>0</v>
      </c>
      <c r="AJ94" s="352">
        <f ca="1">SUMIFS(es_poids,es_prod_type_affinage,'SUIVI STOCKS PAR PAYSAN'!$G94,es_date_entree,"&gt;"&amp;date_inventaire)-SUMIFS(v_Poids,v_conc_prod_tye_affinage,'SUIVI STOCKS PAR PAYSAN'!$G94,v_Date_commande,"&gt;"&amp;date_inventaire)</f>
        <v>0</v>
      </c>
      <c r="AK94" s="341">
        <f ca="1">SUMIFS(bddres_c_qte,bddres_c_prod_type_aff,'SUIVI STOCKS PAR PAYSAN'!G94,'BDD RESERVATIONS'!$B:$B,"&gt;"&amp;date_inventaire)</f>
        <v>0</v>
      </c>
      <c r="AL94" s="342">
        <f ca="1">SUMIFS(bddres_pieces,es_prod_type_affinage,'SUIVI STOCKS PAR PAYSAN'!$G94,es_date_entree,"&gt;"&amp;date_inventaire,es_taille,'SUIVI STOCKS PAR PAYSAN'!$AL$7)-SUMIFS(v_Pièces,v_Taille,'SUIVI STOCKS PAR PAYSAN'!$AL$7,v_conc_prod_tye_affinage,'SUIVI STOCKS PAR PAYSAN'!$G94,v_Date_commande,"&gt;"&amp;date_inventaire)</f>
        <v>0</v>
      </c>
      <c r="AM94" s="342">
        <f ca="1">SUMIFS(bddres_pieces,'BDD RESERVATIONS'!$G:$G,'SUIVI STOCKS PAR PAYSAN'!$AL$7,bddres_c_prod_type_aff,'SUIVI STOCKS PAR PAYSAN'!$G94,'BDD RESERVATIONS'!$B:$B,"&gt;"&amp;date_inventaire)</f>
        <v>0</v>
      </c>
      <c r="AN94" s="343">
        <f ca="1">SUMIFS(es_pieces,es_prod_type_affinage,'SUIVI STOCKS PAR PAYSAN'!$G94,es_date_entree,"&gt;"&amp;date_inventaire,es_taille,'SUIVI STOCKS PAR PAYSAN'!$AN$7)-SUMIFS(v_Pièces,v_Taille,'SUIVI STOCKS PAR PAYSAN'!$AN$7,v_conc_prod_tye_affinage,'SUIVI STOCKS PAR PAYSAN'!$G94,v_Date_commande,"&gt;"&amp;date_inventaire)</f>
        <v>0</v>
      </c>
      <c r="AO94" s="353">
        <f ca="1">SUMIFS(bddres_pieces,'BDD RESERVATIONS'!$G:$G,'SUIVI STOCKS PAR PAYSAN'!$AN$7,bddres_c_prod_type_aff,'SUIVI STOCKS PAR PAYSAN'!$G94,'BDD RESERVATIONS'!$B:$B,"&gt;"&amp;date_inventaire)</f>
        <v>0</v>
      </c>
      <c r="AP94" s="313">
        <f ca="1">SUMIFS(es_poids,es_prod_type_affinage,'SUIVI STOCKS PAR PAYSAN'!$H94,es_date_entree,"&gt;"&amp;date_inventaire)-SUMIFS(v_Poids,v_conc_prod_tye_affinage,'SUIVI STOCKS PAR PAYSAN'!$H94,v_Date_commande,"&gt;"&amp;date_inventaire)</f>
        <v>0</v>
      </c>
      <c r="AQ94" s="341">
        <f ca="1">SUMIFS(bddres_c_qte,bddres_c_prod_type_aff,'SUIVI STOCKS PAR PAYSAN'!H94,'BDD RESERVATIONS'!$B:$B,"&gt;"&amp;date_inventaire)</f>
        <v>0</v>
      </c>
      <c r="AR94" s="342">
        <f ca="1">SUMIFS(bddres_pieces,es_prod_type_affinage,'SUIVI STOCKS PAR PAYSAN'!$H94,es_date_entree,"&gt;"&amp;date_inventaire,es_taille,'SUIVI STOCKS PAR PAYSAN'!$AR$7)-SUMIFS(v_Pièces,v_Taille,'SUIVI STOCKS PAR PAYSAN'!$AR$7,v_conc_prod_tye_affinage,'SUIVI STOCKS PAR PAYSAN'!$H94,v_Date_commande,"&gt;"&amp;date_inventaire)</f>
        <v>0</v>
      </c>
      <c r="AS94" s="326">
        <f ca="1">SUMIFS(bddres_pieces,'BDD RESERVATIONS'!$G:$G,'SUIVI STOCKS PAR PAYSAN'!AR89,bddres_c_prod_type_aff,'SUIVI STOCKS PAR PAYSAN'!$H94,'BDD RESERVATIONS'!$B:$B,"&gt;"&amp;date_inventaire)</f>
        <v>0</v>
      </c>
      <c r="AT94" s="343">
        <f ca="1">SUMIFS(es_pieces,es_prod_type_affinage,'SUIVI STOCKS PAR PAYSAN'!$H94,es_date_entree,"&gt;"&amp;date_inventaire,es_taille,'SUIVI STOCKS PAR PAYSAN'!$AT$7)-SUMIFS(v_Pièces,v_Taille,'SUIVI STOCKS PAR PAYSAN'!$AT$7,v_conc_prod_tye_affinage,'SUIVI STOCKS PAR PAYSAN'!$H94,v_Date_commande,"&gt;"&amp;date_inventaire)</f>
        <v>0</v>
      </c>
      <c r="AU94" s="353">
        <f ca="1">SUMIFS(bddres_pieces,'BDD RESERVATIONS'!$G:$G,'SUIVI STOCKS PAR PAYSAN'!$AT$7,bddres_c_prod_type_aff,'SUIVI STOCKS PAR PAYSAN'!$H94,'BDD RESERVATIONS'!$B:$B,"&gt;"&amp;date_inventaire)</f>
        <v>0</v>
      </c>
      <c r="AV94" s="313">
        <f ca="1">SUMIFS(es_poids,es_prod_type_affinage,'SUIVI STOCKS PAR PAYSAN'!$I94,es_date_entree,"&gt;"&amp;date_inventaire)-SUMIFS(v_Poids,v_conc_prod_tye_affinage,'SUIVI STOCKS PAR PAYSAN'!$E94,v_Date_commande,"&gt;"&amp;date_inventaire)</f>
        <v>0</v>
      </c>
      <c r="AW94" s="313">
        <f ca="1">SUMIFS(bddres_c_qte,bddres_c_prod_type_aff,'SUIVI STOCKS PAR PAYSAN'!I94,'BDD RESERVATIONS'!$B:$B,"&gt;"&amp;date_inventaire)</f>
        <v>0</v>
      </c>
      <c r="AX94" s="342">
        <f ca="1">SUMIFS(bddres_pieces,es_prod_type_affinage,'SUIVI STOCKS PAR PAYSAN'!$I94,es_date_entree,"&gt;"&amp;date_inventaire,es_taille,'SUIVI STOCKS PAR PAYSAN'!$AX$7)-SUMIFS(v_Pièces,v_Taille,'SUIVI STOCKS PAR PAYSAN'!$AX$7,v_conc_prod_tye_affinage,'SUIVI STOCKS PAR PAYSAN'!$I94,v_Date_commande,"&gt;"&amp;date_inventaire)</f>
        <v>0</v>
      </c>
      <c r="AY94" s="342">
        <f ca="1">SUMIFS(bddres_pieces,'BDD RESERVATIONS'!$G:$G,'SUIVI STOCKS PAR PAYSAN'!$AX$7,bddres_c_prod_type_aff,'SUIVI STOCKS PAR PAYSAN'!$I94,'BDD RESERVATIONS'!$B:$B,"&gt;"&amp;date_inventaire)</f>
        <v>0</v>
      </c>
      <c r="AZ94" s="343">
        <f ca="1">SUMIFS(es_pieces,es_prod_type_affinage,'SUIVI STOCKS PAR PAYSAN'!$I94,es_date_entree,"&gt;"&amp;date_inventaire,es_taille,'SUIVI STOCKS PAR PAYSAN'!$AZ$7)-SUMIFS(v_Pièces,v_Taille,'SUIVI STOCKS PAR PAYSAN'!$AZ$7,v_conc_prod_tye_affinage,'SUIVI STOCKS PAR PAYSAN'!$I94,v_Date_commande,"&gt;"&amp;date_inventaire)</f>
        <v>0</v>
      </c>
      <c r="BA94" s="353">
        <f ca="1">SUMIFS(bddres_pieces,'BDD RESERVATIONS'!$G:$G,'SUIVI STOCKS PAR PAYSAN'!$AZ$7,bddres_c_prod_type_aff,'SUIVI STOCKS PAR PAYSAN'!$I94,'BDD RESERVATIONS'!$B:$B,"&gt;"&amp;date_inventaire)</f>
        <v>0</v>
      </c>
      <c r="BB94" s="313">
        <f ca="1">SUMIFS(es_poids,es_prod_type_affinage,'SUIVI STOCKS PAR PAYSAN'!$J94,es_date_entree,"&gt;"&amp;date_inventaire)-SUMIFS(v_Poids,v_conc_prod_tye_affinage,'SUIVI STOCKS PAR PAYSAN'!$J94,v_Date_commande,"&gt;"&amp;date_inventaire)</f>
        <v>0</v>
      </c>
      <c r="BC94" s="313">
        <f ca="1">SUMIFS(bddres_c_qte,bddres_c_prod_type_aff,'SUIVI STOCKS PAR PAYSAN'!J94,'BDD RESERVATIONS'!$B:$B,"&gt;"&amp;date_inventaire)</f>
        <v>0</v>
      </c>
      <c r="BD94" s="342">
        <f ca="1">SUMIFS(bddres_pieces,es_prod_type_affinage,'SUIVI STOCKS PAR PAYSAN'!$J94,es_date_entree,"&gt;"&amp;date_inventaire,es_taille,'SUIVI STOCKS PAR PAYSAN'!$BD$7)-SUMIFS(v_Pièces,v_Taille,'SUIVI STOCKS PAR PAYSAN'!$BD$7,v_conc_prod_tye_affinage,'SUIVI STOCKS PAR PAYSAN'!$J94,v_Date_commande,"&gt;"&amp;date_inventaire)</f>
        <v>0</v>
      </c>
      <c r="BE94" s="326">
        <f ca="1">SUMIFS(bddres_pieces,'BDD RESERVATIONS'!$G:$G,'SUIVI STOCKS PAR PAYSAN'!BD89,bddres_c_prod_type_aff,'SUIVI STOCKS PAR PAYSAN'!J94,'BDD RESERVATIONS'!$B:$B,"&gt;"&amp;date_inventaire)</f>
        <v>0</v>
      </c>
      <c r="BF94" s="343">
        <f ca="1">SUMIFS(es_pieces,es_prod_type_affinage,'SUIVI STOCKS PAR PAYSAN'!J94,es_date_entree,"&gt;"&amp;date_inventaire,es_taille,'SUIVI STOCKS PAR PAYSAN'!$BF$7)-SUMIFS(v_Pièces,v_Taille,'SUIVI STOCKS PAR PAYSAN'!$BF$7,v_conc_prod_tye_affinage,'SUIVI STOCKS PAR PAYSAN'!J94,v_Date_commande,"&gt;"&amp;date_inventaire)</f>
        <v>0</v>
      </c>
      <c r="BG94" s="353">
        <f ca="1">SUMIFS(bddres_pieces,'BDD RESERVATIONS'!$G:$G,'SUIVI STOCKS PAR PAYSAN'!$BF$7,bddres_c_prod_type_aff,'SUIVI STOCKS PAR PAYSAN'!J94,'BDD RESERVATIONS'!$B:$B,"&gt;"&amp;date_inventaire)</f>
        <v>0</v>
      </c>
    </row>
    <row r="95" spans="1:59" ht="18.75" customHeight="1" x14ac:dyDescent="0.25">
      <c r="A95" s="331">
        <f ca="1">OFFSET('BDD PAYSANS'!$B$1,B95,0,1,1)</f>
        <v>0</v>
      </c>
      <c r="B95" s="325">
        <v>84</v>
      </c>
      <c r="C95" s="325" t="str">
        <f t="shared" ca="1" si="4"/>
        <v>0FERMIER&lt;3 mois</v>
      </c>
      <c r="D95" s="325" t="str">
        <f t="shared" ca="1" si="4"/>
        <v>0FERMIER3-6 mois</v>
      </c>
      <c r="E95" s="325" t="str">
        <f t="shared" ca="1" si="4"/>
        <v>0FERMIER6-9 mois</v>
      </c>
      <c r="F95" s="325" t="str">
        <f t="shared" ca="1" si="4"/>
        <v>0FERMIER&gt;9 mois</v>
      </c>
      <c r="G95" s="325" t="str">
        <f t="shared" ca="1" si="4"/>
        <v>0ESTIVE&lt;3 mois</v>
      </c>
      <c r="H95" s="325" t="str">
        <f t="shared" ca="1" si="4"/>
        <v>0ESTIVE3-6 mois</v>
      </c>
      <c r="I95" s="325" t="str">
        <f t="shared" ca="1" si="4"/>
        <v>0ESTIVE6-9 mois</v>
      </c>
      <c r="J95" s="325" t="str">
        <f t="shared" ca="1" si="4"/>
        <v>0ESTIVE&gt;9 mois</v>
      </c>
      <c r="K95" s="325"/>
      <c r="L95" s="352">
        <f ca="1">SUMIFS(es_poids,es_prod_type_affinage,'SUIVI STOCKS PAR PAYSAN'!$C95,es_date_entree,"&gt;"&amp;date_inventaire)-SUMIFS(v_Poids,v_conc_prod_tye_affinage,'SUIVI STOCKS PAR PAYSAN'!$C95,v_Date_commande,"&gt;"&amp;date_inventaire)</f>
        <v>0</v>
      </c>
      <c r="M95" s="341">
        <f ca="1">SUMIFS(bddres_c_qte,bddres_c_prod_type_aff,'SUIVI STOCKS PAR PAYSAN'!C95,'BDD RESERVATIONS'!$B:$B,"&gt;"&amp;date_inventaire)</f>
        <v>0</v>
      </c>
      <c r="N95" s="342">
        <f ca="1">SUMIFS(bddres_pieces,es_prod_type_affinage,'SUIVI STOCKS PAR PAYSAN'!$C95,es_date_entree,"&gt;"&amp;date_inventaire,es_taille,'SUIVI STOCKS PAR PAYSAN'!$N$7)-SUMIFS(v_Pièces,v_Taille,'SUIVI STOCKS PAR PAYSAN'!$N$7,v_conc_prod_tye_affinage,'SUIVI STOCKS PAR PAYSAN'!$C95,v_Date_commande,"&gt;"&amp;date_inventaire)</f>
        <v>0</v>
      </c>
      <c r="O95" s="342">
        <f ca="1">SUMIFS(bddres_pieces,'BDD RESERVATIONS'!$G:$G,'SUIVI STOCKS PAR PAYSAN'!$N$7,bddres_c_prod_type_aff,'SUIVI STOCKS PAR PAYSAN'!$C95,'BDD RESERVATIONS'!$B:$B,"&gt;"&amp;date_inventaire)</f>
        <v>0</v>
      </c>
      <c r="P95" s="343">
        <f ca="1">SUMIFS(es_pieces,es_prod_type_affinage,'SUIVI STOCKS PAR PAYSAN'!$C95,es_date_entree,"&gt;"&amp;date_inventaire,es_taille,'SUIVI STOCKS PAR PAYSAN'!$P$7)-SUMIFS(v_Pièces,v_Taille,'SUIVI STOCKS PAR PAYSAN'!$P$7,v_conc_prod_tye_affinage,'SUIVI STOCKS PAR PAYSAN'!$C95,v_Date_commande,"&gt;"&amp;date_inventaire)</f>
        <v>0</v>
      </c>
      <c r="Q95" s="353">
        <f ca="1">SUMIFS(bddres_pieces,'BDD RESERVATIONS'!$G:$G,'SUIVI STOCKS PAR PAYSAN'!$P$7,bddres_c_prod_type_aff,'SUIVI STOCKS PAR PAYSAN'!$C95,'BDD RESERVATIONS'!$B:$B,"&gt;"&amp;date_inventaire)</f>
        <v>0</v>
      </c>
      <c r="R95" s="340">
        <f ca="1">SUMIFS(es_poids,es_prod_type_affinage,'SUIVI STOCKS PAR PAYSAN'!$D95,es_date_entree,"&gt;"&amp;date_inventaire)-SUMIFS(v_Poids,v_conc_prod_tye_affinage,'SUIVI STOCKS PAR PAYSAN'!$D95,v_Date_commande,"&gt;"&amp;date_inventaire)</f>
        <v>0</v>
      </c>
      <c r="S95" s="341">
        <f ca="1">SUMIFS(bddres_c_qte,bddres_c_prod_type_aff,'SUIVI STOCKS PAR PAYSAN'!D95,'BDD RESERVATIONS'!$B:$B,"&gt;"&amp;date_inventaire)</f>
        <v>0</v>
      </c>
      <c r="T95" s="342">
        <f ca="1">SUMIFS(bddres_pieces,es_prod_type_affinage,'SUIVI STOCKS PAR PAYSAN'!$D95,es_date_entree,"&gt;"&amp;date_inventaire,es_taille,'SUIVI STOCKS PAR PAYSAN'!$T$7)-SUMIFS(v_Pièces,v_Taille,'SUIVI STOCKS PAR PAYSAN'!$T$7,v_conc_prod_tye_affinage,'SUIVI STOCKS PAR PAYSAN'!$D95,v_Date_commande,"&gt;"&amp;date_inventaire)</f>
        <v>0</v>
      </c>
      <c r="U95" s="342">
        <f ca="1">SUMIFS(bddres_pieces,'BDD RESERVATIONS'!$G:$G,'SUIVI STOCKS PAR PAYSAN'!$T$7,bddres_c_prod_type_aff,'SUIVI STOCKS PAR PAYSAN'!$D95,'BDD RESERVATIONS'!$B:$B,"&gt;"&amp;date_inventaire)</f>
        <v>0</v>
      </c>
      <c r="V95" s="343">
        <f ca="1">SUMIFS(es_pieces,es_prod_type_affinage,'SUIVI STOCKS PAR PAYSAN'!$D95,es_date_entree,"&gt;"&amp;date_inventaire,es_taille,'SUIVI STOCKS PAR PAYSAN'!$V$7)-SUMIFS(v_Pièces,v_Taille,'SUIVI STOCKS PAR PAYSAN'!$V$7,v_conc_prod_tye_affinage,'SUIVI STOCKS PAR PAYSAN'!$D95,v_Date_commande,"&gt;"&amp;date_inventaire)</f>
        <v>0</v>
      </c>
      <c r="W95" s="353">
        <f ca="1">SUMIFS(bddres_pieces,'BDD RESERVATIONS'!$G:$G,'SUIVI STOCKS PAR PAYSAN'!$V$7,bddres_c_prod_type_aff,'SUIVI STOCKS PAR PAYSAN'!$D95,'BDD RESERVATIONS'!$B:$B,"&gt;"&amp;date_inventaire)</f>
        <v>0</v>
      </c>
      <c r="X95" s="313">
        <f ca="1">SUMIFS(es_poids,es_prod_type_affinage,'SUIVI STOCKS PAR PAYSAN'!$E95,es_date_entree,"&gt;"&amp;date_inventaire)-SUMIFS(v_Poids,v_conc_prod_tye_affinage,'SUIVI STOCKS PAR PAYSAN'!$E95,v_Date_commande,"&gt;"&amp;date_inventaire)</f>
        <v>0</v>
      </c>
      <c r="Y95" s="341">
        <f ca="1">SUMIFS(bddres_c_qte,bddres_c_prod_type_aff,'SUIVI STOCKS PAR PAYSAN'!E95,'BDD RESERVATIONS'!$B:$B,"&gt;"&amp;date_inventaire)</f>
        <v>0</v>
      </c>
      <c r="Z95" s="342">
        <f ca="1">SUMIFS(bddres_pieces,es_prod_type_affinage,'SUIVI STOCKS PAR PAYSAN'!$E95,es_date_entree,"&gt;"&amp;date_inventaire,es_taille,'SUIVI STOCKS PAR PAYSAN'!$Z$7)-SUMIFS(v_Pièces,v_Taille,'SUIVI STOCKS PAR PAYSAN'!$Z$7,v_conc_prod_tye_affinage,'SUIVI STOCKS PAR PAYSAN'!$E95,v_Date_commande,"&gt;"&amp;date_inventaire)</f>
        <v>0</v>
      </c>
      <c r="AA95" s="342">
        <f ca="1">SUMIFS(bddres_pieces,'BDD RESERVATIONS'!$G:$G,'SUIVI STOCKS PAR PAYSAN'!$Z$7,bddres_c_prod_type_aff,'SUIVI STOCKS PAR PAYSAN'!$E95,'BDD RESERVATIONS'!$B:$B,"&gt;"&amp;date_inventaire)</f>
        <v>0</v>
      </c>
      <c r="AB95" s="343">
        <f ca="1">SUMIFS(es_pieces,es_prod_type_affinage,'SUIVI STOCKS PAR PAYSAN'!$E95,es_date_entree,"&gt;"&amp;date_inventaire,es_taille,'SUIVI STOCKS PAR PAYSAN'!$AB$7)-SUMIFS(v_Pièces,v_Taille,'SUIVI STOCKS PAR PAYSAN'!$AB$7,v_conc_prod_tye_affinage,'SUIVI STOCKS PAR PAYSAN'!$E95,v_Date_commande,"&gt;"&amp;date_inventaire)</f>
        <v>0</v>
      </c>
      <c r="AC95" s="353">
        <f ca="1">SUMIFS(bddres_pieces,'BDD RESERVATIONS'!$G:$G,'SUIVI STOCKS PAR PAYSAN'!$AB$7,bddres_c_prod_type_aff,'SUIVI STOCKS PAR PAYSAN'!$E95,'BDD RESERVATIONS'!$B:$B,"&gt;"&amp;date_inventaire)</f>
        <v>0</v>
      </c>
      <c r="AD95" s="313">
        <f ca="1">SUMIFS(es_poids,es_prod_type_affinage,'SUIVI STOCKS PAR PAYSAN'!$F95,es_date_entree,"&gt;"&amp;date_inventaire)-SUMIFS(v_Poids,v_conc_prod_tye_affinage,'SUIVI STOCKS PAR PAYSAN'!$F95,v_Date_commande,"&gt;"&amp;date_inventaire)</f>
        <v>0</v>
      </c>
      <c r="AE95" s="341">
        <f ca="1">SUMIFS(bddres_c_qte,bddres_c_prod_type_aff,'SUIVI STOCKS PAR PAYSAN'!F95,'BDD RESERVATIONS'!$B:$B,"&gt;"&amp;date_inventaire)</f>
        <v>0</v>
      </c>
      <c r="AF95" s="342">
        <f ca="1">SUMIFS(bddres_pieces,es_prod_type_affinage,'SUIVI STOCKS PAR PAYSAN'!$F95,es_date_entree,"&gt;"&amp;date_inventaire,es_taille,'SUIVI STOCKS PAR PAYSAN'!$Z$7)-SUMIFS(v_Pièces,v_Taille,'SUIVI STOCKS PAR PAYSAN'!$Z$7,v_conc_prod_tye_affinage,'SUIVI STOCKS PAR PAYSAN'!$F95,v_Date_commande,"&gt;"&amp;date_inventaire)</f>
        <v>0</v>
      </c>
      <c r="AG95" s="342">
        <f ca="1">SUMIFS(bddres_pieces,'BDD RESERVATIONS'!$G:$G,'SUIVI STOCKS PAR PAYSAN'!$Z$7,bddres_c_prod_type_aff,'SUIVI STOCKS PAR PAYSAN'!$F95,'BDD RESERVATIONS'!$B:$B,"&gt;"&amp;date_inventaire)</f>
        <v>0</v>
      </c>
      <c r="AH95" s="343">
        <f ca="1">SUMIFS(es_pieces,es_prod_type_affinage,'SUIVI STOCKS PAR PAYSAN'!$F95,es_date_entree,"&gt;"&amp;date_inventaire,es_taille,'SUIVI STOCKS PAR PAYSAN'!$AH$7)-SUMIFS(v_Pièces,v_Taille,'SUIVI STOCKS PAR PAYSAN'!$AH$7,v_conc_prod_tye_affinage,'SUIVI STOCKS PAR PAYSAN'!$F95,v_Date_commande,"&gt;"&amp;date_inventaire)</f>
        <v>0</v>
      </c>
      <c r="AI95" s="353">
        <f ca="1">SUMIFS(bddres_pieces,'BDD RESERVATIONS'!$G:$G,'SUIVI STOCKS PAR PAYSAN'!$AB$7,bddres_c_prod_type_aff,'SUIVI STOCKS PAR PAYSAN'!$F95,'BDD RESERVATIONS'!$B:$B,"&gt;"&amp;date_inventaire)</f>
        <v>0</v>
      </c>
      <c r="AJ95" s="352">
        <f ca="1">SUMIFS(es_poids,es_prod_type_affinage,'SUIVI STOCKS PAR PAYSAN'!$G95,es_date_entree,"&gt;"&amp;date_inventaire)-SUMIFS(v_Poids,v_conc_prod_tye_affinage,'SUIVI STOCKS PAR PAYSAN'!$G95,v_Date_commande,"&gt;"&amp;date_inventaire)</f>
        <v>0</v>
      </c>
      <c r="AK95" s="341">
        <f ca="1">SUMIFS(bddres_c_qte,bddres_c_prod_type_aff,'SUIVI STOCKS PAR PAYSAN'!G95,'BDD RESERVATIONS'!$B:$B,"&gt;"&amp;date_inventaire)</f>
        <v>0</v>
      </c>
      <c r="AL95" s="342">
        <f ca="1">SUMIFS(bddres_pieces,es_prod_type_affinage,'SUIVI STOCKS PAR PAYSAN'!$G95,es_date_entree,"&gt;"&amp;date_inventaire,es_taille,'SUIVI STOCKS PAR PAYSAN'!$AL$7)-SUMIFS(v_Pièces,v_Taille,'SUIVI STOCKS PAR PAYSAN'!$AL$7,v_conc_prod_tye_affinage,'SUIVI STOCKS PAR PAYSAN'!$G95,v_Date_commande,"&gt;"&amp;date_inventaire)</f>
        <v>0</v>
      </c>
      <c r="AM95" s="342">
        <f ca="1">SUMIFS(bddres_pieces,'BDD RESERVATIONS'!$G:$G,'SUIVI STOCKS PAR PAYSAN'!$AL$7,bddres_c_prod_type_aff,'SUIVI STOCKS PAR PAYSAN'!$G95,'BDD RESERVATIONS'!$B:$B,"&gt;"&amp;date_inventaire)</f>
        <v>0</v>
      </c>
      <c r="AN95" s="343">
        <f ca="1">SUMIFS(es_pieces,es_prod_type_affinage,'SUIVI STOCKS PAR PAYSAN'!$G95,es_date_entree,"&gt;"&amp;date_inventaire,es_taille,'SUIVI STOCKS PAR PAYSAN'!$AN$7)-SUMIFS(v_Pièces,v_Taille,'SUIVI STOCKS PAR PAYSAN'!$AN$7,v_conc_prod_tye_affinage,'SUIVI STOCKS PAR PAYSAN'!$G95,v_Date_commande,"&gt;"&amp;date_inventaire)</f>
        <v>0</v>
      </c>
      <c r="AO95" s="353">
        <f ca="1">SUMIFS(bddres_pieces,'BDD RESERVATIONS'!$G:$G,'SUIVI STOCKS PAR PAYSAN'!$AN$7,bddres_c_prod_type_aff,'SUIVI STOCKS PAR PAYSAN'!$G95,'BDD RESERVATIONS'!$B:$B,"&gt;"&amp;date_inventaire)</f>
        <v>0</v>
      </c>
      <c r="AP95" s="313">
        <f ca="1">SUMIFS(es_poids,es_prod_type_affinage,'SUIVI STOCKS PAR PAYSAN'!$H95,es_date_entree,"&gt;"&amp;date_inventaire)-SUMIFS(v_Poids,v_conc_prod_tye_affinage,'SUIVI STOCKS PAR PAYSAN'!$H95,v_Date_commande,"&gt;"&amp;date_inventaire)</f>
        <v>0</v>
      </c>
      <c r="AQ95" s="341">
        <f ca="1">SUMIFS(bddres_c_qte,bddres_c_prod_type_aff,'SUIVI STOCKS PAR PAYSAN'!H95,'BDD RESERVATIONS'!$B:$B,"&gt;"&amp;date_inventaire)</f>
        <v>0</v>
      </c>
      <c r="AR95" s="342">
        <f ca="1">SUMIFS(bddres_pieces,es_prod_type_affinage,'SUIVI STOCKS PAR PAYSAN'!$H95,es_date_entree,"&gt;"&amp;date_inventaire,es_taille,'SUIVI STOCKS PAR PAYSAN'!$AR$7)-SUMIFS(v_Pièces,v_Taille,'SUIVI STOCKS PAR PAYSAN'!$AR$7,v_conc_prod_tye_affinage,'SUIVI STOCKS PAR PAYSAN'!$H95,v_Date_commande,"&gt;"&amp;date_inventaire)</f>
        <v>0</v>
      </c>
      <c r="AS95" s="326">
        <f ca="1">SUMIFS(bddres_pieces,'BDD RESERVATIONS'!$G:$G,'SUIVI STOCKS PAR PAYSAN'!AR90,bddres_c_prod_type_aff,'SUIVI STOCKS PAR PAYSAN'!$H95,'BDD RESERVATIONS'!$B:$B,"&gt;"&amp;date_inventaire)</f>
        <v>0</v>
      </c>
      <c r="AT95" s="343">
        <f ca="1">SUMIFS(es_pieces,es_prod_type_affinage,'SUIVI STOCKS PAR PAYSAN'!$H95,es_date_entree,"&gt;"&amp;date_inventaire,es_taille,'SUIVI STOCKS PAR PAYSAN'!$AT$7)-SUMIFS(v_Pièces,v_Taille,'SUIVI STOCKS PAR PAYSAN'!$AT$7,v_conc_prod_tye_affinage,'SUIVI STOCKS PAR PAYSAN'!$H95,v_Date_commande,"&gt;"&amp;date_inventaire)</f>
        <v>0</v>
      </c>
      <c r="AU95" s="353">
        <f ca="1">SUMIFS(bddres_pieces,'BDD RESERVATIONS'!$G:$G,'SUIVI STOCKS PAR PAYSAN'!$AT$7,bddres_c_prod_type_aff,'SUIVI STOCKS PAR PAYSAN'!$H95,'BDD RESERVATIONS'!$B:$B,"&gt;"&amp;date_inventaire)</f>
        <v>0</v>
      </c>
      <c r="AV95" s="313">
        <f ca="1">SUMIFS(es_poids,es_prod_type_affinage,'SUIVI STOCKS PAR PAYSAN'!$I95,es_date_entree,"&gt;"&amp;date_inventaire)-SUMIFS(v_Poids,v_conc_prod_tye_affinage,'SUIVI STOCKS PAR PAYSAN'!$E95,v_Date_commande,"&gt;"&amp;date_inventaire)</f>
        <v>0</v>
      </c>
      <c r="AW95" s="313">
        <f ca="1">SUMIFS(bddres_c_qte,bddres_c_prod_type_aff,'SUIVI STOCKS PAR PAYSAN'!I95,'BDD RESERVATIONS'!$B:$B,"&gt;"&amp;date_inventaire)</f>
        <v>0</v>
      </c>
      <c r="AX95" s="342">
        <f ca="1">SUMIFS(bddres_pieces,es_prod_type_affinage,'SUIVI STOCKS PAR PAYSAN'!$I95,es_date_entree,"&gt;"&amp;date_inventaire,es_taille,'SUIVI STOCKS PAR PAYSAN'!$AX$7)-SUMIFS(v_Pièces,v_Taille,'SUIVI STOCKS PAR PAYSAN'!$AX$7,v_conc_prod_tye_affinage,'SUIVI STOCKS PAR PAYSAN'!$I95,v_Date_commande,"&gt;"&amp;date_inventaire)</f>
        <v>0</v>
      </c>
      <c r="AY95" s="342">
        <f ca="1">SUMIFS(bddres_pieces,'BDD RESERVATIONS'!$G:$G,'SUIVI STOCKS PAR PAYSAN'!$AX$7,bddres_c_prod_type_aff,'SUIVI STOCKS PAR PAYSAN'!$I95,'BDD RESERVATIONS'!$B:$B,"&gt;"&amp;date_inventaire)</f>
        <v>0</v>
      </c>
      <c r="AZ95" s="343">
        <f ca="1">SUMIFS(es_pieces,es_prod_type_affinage,'SUIVI STOCKS PAR PAYSAN'!$I95,es_date_entree,"&gt;"&amp;date_inventaire,es_taille,'SUIVI STOCKS PAR PAYSAN'!$AZ$7)-SUMIFS(v_Pièces,v_Taille,'SUIVI STOCKS PAR PAYSAN'!$AZ$7,v_conc_prod_tye_affinage,'SUIVI STOCKS PAR PAYSAN'!$I95,v_Date_commande,"&gt;"&amp;date_inventaire)</f>
        <v>0</v>
      </c>
      <c r="BA95" s="353">
        <f ca="1">SUMIFS(bddres_pieces,'BDD RESERVATIONS'!$G:$G,'SUIVI STOCKS PAR PAYSAN'!$AZ$7,bddres_c_prod_type_aff,'SUIVI STOCKS PAR PAYSAN'!$I95,'BDD RESERVATIONS'!$B:$B,"&gt;"&amp;date_inventaire)</f>
        <v>0</v>
      </c>
      <c r="BB95" s="313">
        <f ca="1">SUMIFS(es_poids,es_prod_type_affinage,'SUIVI STOCKS PAR PAYSAN'!$J95,es_date_entree,"&gt;"&amp;date_inventaire)-SUMIFS(v_Poids,v_conc_prod_tye_affinage,'SUIVI STOCKS PAR PAYSAN'!$J95,v_Date_commande,"&gt;"&amp;date_inventaire)</f>
        <v>0</v>
      </c>
      <c r="BC95" s="313">
        <f ca="1">SUMIFS(bddres_c_qte,bddres_c_prod_type_aff,'SUIVI STOCKS PAR PAYSAN'!J95,'BDD RESERVATIONS'!$B:$B,"&gt;"&amp;date_inventaire)</f>
        <v>0</v>
      </c>
      <c r="BD95" s="342">
        <f ca="1">SUMIFS(bddres_pieces,es_prod_type_affinage,'SUIVI STOCKS PAR PAYSAN'!$J95,es_date_entree,"&gt;"&amp;date_inventaire,es_taille,'SUIVI STOCKS PAR PAYSAN'!$BD$7)-SUMIFS(v_Pièces,v_Taille,'SUIVI STOCKS PAR PAYSAN'!$BD$7,v_conc_prod_tye_affinage,'SUIVI STOCKS PAR PAYSAN'!$J95,v_Date_commande,"&gt;"&amp;date_inventaire)</f>
        <v>0</v>
      </c>
      <c r="BE95" s="326">
        <f ca="1">SUMIFS(bddres_pieces,'BDD RESERVATIONS'!$G:$G,'SUIVI STOCKS PAR PAYSAN'!BD90,bddres_c_prod_type_aff,'SUIVI STOCKS PAR PAYSAN'!J95,'BDD RESERVATIONS'!$B:$B,"&gt;"&amp;date_inventaire)</f>
        <v>0</v>
      </c>
      <c r="BF95" s="343">
        <f ca="1">SUMIFS(es_pieces,es_prod_type_affinage,'SUIVI STOCKS PAR PAYSAN'!J95,es_date_entree,"&gt;"&amp;date_inventaire,es_taille,'SUIVI STOCKS PAR PAYSAN'!$BF$7)-SUMIFS(v_Pièces,v_Taille,'SUIVI STOCKS PAR PAYSAN'!$BF$7,v_conc_prod_tye_affinage,'SUIVI STOCKS PAR PAYSAN'!J95,v_Date_commande,"&gt;"&amp;date_inventaire)</f>
        <v>0</v>
      </c>
      <c r="BG95" s="353">
        <f ca="1">SUMIFS(bddres_pieces,'BDD RESERVATIONS'!$G:$G,'SUIVI STOCKS PAR PAYSAN'!$BF$7,bddres_c_prod_type_aff,'SUIVI STOCKS PAR PAYSAN'!J95,'BDD RESERVATIONS'!$B:$B,"&gt;"&amp;date_inventaire)</f>
        <v>0</v>
      </c>
    </row>
    <row r="96" spans="1:59" ht="18.75" customHeight="1" x14ac:dyDescent="0.25">
      <c r="A96" s="331">
        <f ca="1">OFFSET('BDD PAYSANS'!$B$1,B96,0,1,1)</f>
        <v>0</v>
      </c>
      <c r="B96" s="325">
        <v>85</v>
      </c>
      <c r="C96" s="325" t="str">
        <f t="shared" ca="1" si="4"/>
        <v>0FERMIER&lt;3 mois</v>
      </c>
      <c r="D96" s="325" t="str">
        <f t="shared" ca="1" si="4"/>
        <v>0FERMIER3-6 mois</v>
      </c>
      <c r="E96" s="325" t="str">
        <f t="shared" ca="1" si="4"/>
        <v>0FERMIER6-9 mois</v>
      </c>
      <c r="F96" s="325" t="str">
        <f t="shared" ca="1" si="4"/>
        <v>0FERMIER&gt;9 mois</v>
      </c>
      <c r="G96" s="325" t="str">
        <f t="shared" ca="1" si="4"/>
        <v>0ESTIVE&lt;3 mois</v>
      </c>
      <c r="H96" s="325" t="str">
        <f t="shared" ca="1" si="4"/>
        <v>0ESTIVE3-6 mois</v>
      </c>
      <c r="I96" s="325" t="str">
        <f t="shared" ca="1" si="4"/>
        <v>0ESTIVE6-9 mois</v>
      </c>
      <c r="J96" s="325" t="str">
        <f t="shared" ca="1" si="4"/>
        <v>0ESTIVE&gt;9 mois</v>
      </c>
      <c r="K96" s="325"/>
      <c r="L96" s="352">
        <f ca="1">SUMIFS(es_poids,es_prod_type_affinage,'SUIVI STOCKS PAR PAYSAN'!$C96,es_date_entree,"&gt;"&amp;date_inventaire)-SUMIFS(v_Poids,v_conc_prod_tye_affinage,'SUIVI STOCKS PAR PAYSAN'!$C96,v_Date_commande,"&gt;"&amp;date_inventaire)</f>
        <v>0</v>
      </c>
      <c r="M96" s="341">
        <f ca="1">SUMIFS(bddres_c_qte,bddres_c_prod_type_aff,'SUIVI STOCKS PAR PAYSAN'!C96,'BDD RESERVATIONS'!$B:$B,"&gt;"&amp;date_inventaire)</f>
        <v>0</v>
      </c>
      <c r="N96" s="342">
        <f ca="1">SUMIFS(bddres_pieces,es_prod_type_affinage,'SUIVI STOCKS PAR PAYSAN'!$C96,es_date_entree,"&gt;"&amp;date_inventaire,es_taille,'SUIVI STOCKS PAR PAYSAN'!$N$7)-SUMIFS(v_Pièces,v_Taille,'SUIVI STOCKS PAR PAYSAN'!$N$7,v_conc_prod_tye_affinage,'SUIVI STOCKS PAR PAYSAN'!$C96,v_Date_commande,"&gt;"&amp;date_inventaire)</f>
        <v>0</v>
      </c>
      <c r="O96" s="342">
        <f ca="1">SUMIFS(bddres_pieces,'BDD RESERVATIONS'!$G:$G,'SUIVI STOCKS PAR PAYSAN'!$N$7,bddres_c_prod_type_aff,'SUIVI STOCKS PAR PAYSAN'!$C96,'BDD RESERVATIONS'!$B:$B,"&gt;"&amp;date_inventaire)</f>
        <v>0</v>
      </c>
      <c r="P96" s="343">
        <f ca="1">SUMIFS(es_pieces,es_prod_type_affinage,'SUIVI STOCKS PAR PAYSAN'!$C96,es_date_entree,"&gt;"&amp;date_inventaire,es_taille,'SUIVI STOCKS PAR PAYSAN'!$P$7)-SUMIFS(v_Pièces,v_Taille,'SUIVI STOCKS PAR PAYSAN'!$P$7,v_conc_prod_tye_affinage,'SUIVI STOCKS PAR PAYSAN'!$C96,v_Date_commande,"&gt;"&amp;date_inventaire)</f>
        <v>0</v>
      </c>
      <c r="Q96" s="353">
        <f ca="1">SUMIFS(bddres_pieces,'BDD RESERVATIONS'!$G:$G,'SUIVI STOCKS PAR PAYSAN'!$P$7,bddres_c_prod_type_aff,'SUIVI STOCKS PAR PAYSAN'!$C96,'BDD RESERVATIONS'!$B:$B,"&gt;"&amp;date_inventaire)</f>
        <v>0</v>
      </c>
      <c r="R96" s="340">
        <f ca="1">SUMIFS(es_poids,es_prod_type_affinage,'SUIVI STOCKS PAR PAYSAN'!$D96,es_date_entree,"&gt;"&amp;date_inventaire)-SUMIFS(v_Poids,v_conc_prod_tye_affinage,'SUIVI STOCKS PAR PAYSAN'!$D96,v_Date_commande,"&gt;"&amp;date_inventaire)</f>
        <v>0</v>
      </c>
      <c r="S96" s="341">
        <f ca="1">SUMIFS(bddres_c_qte,bddres_c_prod_type_aff,'SUIVI STOCKS PAR PAYSAN'!D96,'BDD RESERVATIONS'!$B:$B,"&gt;"&amp;date_inventaire)</f>
        <v>0</v>
      </c>
      <c r="T96" s="342">
        <f ca="1">SUMIFS(bddres_pieces,es_prod_type_affinage,'SUIVI STOCKS PAR PAYSAN'!$D96,es_date_entree,"&gt;"&amp;date_inventaire,es_taille,'SUIVI STOCKS PAR PAYSAN'!$T$7)-SUMIFS(v_Pièces,v_Taille,'SUIVI STOCKS PAR PAYSAN'!$T$7,v_conc_prod_tye_affinage,'SUIVI STOCKS PAR PAYSAN'!$D96,v_Date_commande,"&gt;"&amp;date_inventaire)</f>
        <v>0</v>
      </c>
      <c r="U96" s="342">
        <f ca="1">SUMIFS(bddres_pieces,'BDD RESERVATIONS'!$G:$G,'SUIVI STOCKS PAR PAYSAN'!$T$7,bddres_c_prod_type_aff,'SUIVI STOCKS PAR PAYSAN'!$D96,'BDD RESERVATIONS'!$B:$B,"&gt;"&amp;date_inventaire)</f>
        <v>0</v>
      </c>
      <c r="V96" s="343">
        <f ca="1">SUMIFS(es_pieces,es_prod_type_affinage,'SUIVI STOCKS PAR PAYSAN'!$D96,es_date_entree,"&gt;"&amp;date_inventaire,es_taille,'SUIVI STOCKS PAR PAYSAN'!$V$7)-SUMIFS(v_Pièces,v_Taille,'SUIVI STOCKS PAR PAYSAN'!$V$7,v_conc_prod_tye_affinage,'SUIVI STOCKS PAR PAYSAN'!$D96,v_Date_commande,"&gt;"&amp;date_inventaire)</f>
        <v>0</v>
      </c>
      <c r="W96" s="353">
        <f ca="1">SUMIFS(bddres_pieces,'BDD RESERVATIONS'!$G:$G,'SUIVI STOCKS PAR PAYSAN'!$V$7,bddres_c_prod_type_aff,'SUIVI STOCKS PAR PAYSAN'!$D96,'BDD RESERVATIONS'!$B:$B,"&gt;"&amp;date_inventaire)</f>
        <v>0</v>
      </c>
      <c r="X96" s="313">
        <f ca="1">SUMIFS(es_poids,es_prod_type_affinage,'SUIVI STOCKS PAR PAYSAN'!$E96,es_date_entree,"&gt;"&amp;date_inventaire)-SUMIFS(v_Poids,v_conc_prod_tye_affinage,'SUIVI STOCKS PAR PAYSAN'!$E96,v_Date_commande,"&gt;"&amp;date_inventaire)</f>
        <v>0</v>
      </c>
      <c r="Y96" s="341">
        <f ca="1">SUMIFS(bddres_c_qte,bddres_c_prod_type_aff,'SUIVI STOCKS PAR PAYSAN'!E96,'BDD RESERVATIONS'!$B:$B,"&gt;"&amp;date_inventaire)</f>
        <v>0</v>
      </c>
      <c r="Z96" s="342">
        <f ca="1">SUMIFS(bddres_pieces,es_prod_type_affinage,'SUIVI STOCKS PAR PAYSAN'!$E96,es_date_entree,"&gt;"&amp;date_inventaire,es_taille,'SUIVI STOCKS PAR PAYSAN'!$Z$7)-SUMIFS(v_Pièces,v_Taille,'SUIVI STOCKS PAR PAYSAN'!$Z$7,v_conc_prod_tye_affinage,'SUIVI STOCKS PAR PAYSAN'!$E96,v_Date_commande,"&gt;"&amp;date_inventaire)</f>
        <v>0</v>
      </c>
      <c r="AA96" s="342">
        <f ca="1">SUMIFS(bddres_pieces,'BDD RESERVATIONS'!$G:$G,'SUIVI STOCKS PAR PAYSAN'!$Z$7,bddres_c_prod_type_aff,'SUIVI STOCKS PAR PAYSAN'!$E96,'BDD RESERVATIONS'!$B:$B,"&gt;"&amp;date_inventaire)</f>
        <v>0</v>
      </c>
      <c r="AB96" s="343">
        <f ca="1">SUMIFS(es_pieces,es_prod_type_affinage,'SUIVI STOCKS PAR PAYSAN'!$E96,es_date_entree,"&gt;"&amp;date_inventaire,es_taille,'SUIVI STOCKS PAR PAYSAN'!$AB$7)-SUMIFS(v_Pièces,v_Taille,'SUIVI STOCKS PAR PAYSAN'!$AB$7,v_conc_prod_tye_affinage,'SUIVI STOCKS PAR PAYSAN'!$E96,v_Date_commande,"&gt;"&amp;date_inventaire)</f>
        <v>0</v>
      </c>
      <c r="AC96" s="353">
        <f ca="1">SUMIFS(bddres_pieces,'BDD RESERVATIONS'!$G:$G,'SUIVI STOCKS PAR PAYSAN'!$AB$7,bddres_c_prod_type_aff,'SUIVI STOCKS PAR PAYSAN'!$E96,'BDD RESERVATIONS'!$B:$B,"&gt;"&amp;date_inventaire)</f>
        <v>0</v>
      </c>
      <c r="AD96" s="313">
        <f ca="1">SUMIFS(es_poids,es_prod_type_affinage,'SUIVI STOCKS PAR PAYSAN'!$F96,es_date_entree,"&gt;"&amp;date_inventaire)-SUMIFS(v_Poids,v_conc_prod_tye_affinage,'SUIVI STOCKS PAR PAYSAN'!$F96,v_Date_commande,"&gt;"&amp;date_inventaire)</f>
        <v>0</v>
      </c>
      <c r="AE96" s="341">
        <f ca="1">SUMIFS(bddres_c_qte,bddres_c_prod_type_aff,'SUIVI STOCKS PAR PAYSAN'!F96,'BDD RESERVATIONS'!$B:$B,"&gt;"&amp;date_inventaire)</f>
        <v>0</v>
      </c>
      <c r="AF96" s="342">
        <f ca="1">SUMIFS(bddres_pieces,es_prod_type_affinage,'SUIVI STOCKS PAR PAYSAN'!$F96,es_date_entree,"&gt;"&amp;date_inventaire,es_taille,'SUIVI STOCKS PAR PAYSAN'!$Z$7)-SUMIFS(v_Pièces,v_Taille,'SUIVI STOCKS PAR PAYSAN'!$Z$7,v_conc_prod_tye_affinage,'SUIVI STOCKS PAR PAYSAN'!$F96,v_Date_commande,"&gt;"&amp;date_inventaire)</f>
        <v>0</v>
      </c>
      <c r="AG96" s="342">
        <f ca="1">SUMIFS(bddres_pieces,'BDD RESERVATIONS'!$G:$G,'SUIVI STOCKS PAR PAYSAN'!$Z$7,bddres_c_prod_type_aff,'SUIVI STOCKS PAR PAYSAN'!$F96,'BDD RESERVATIONS'!$B:$B,"&gt;"&amp;date_inventaire)</f>
        <v>0</v>
      </c>
      <c r="AH96" s="343">
        <f ca="1">SUMIFS(es_pieces,es_prod_type_affinage,'SUIVI STOCKS PAR PAYSAN'!$F96,es_date_entree,"&gt;"&amp;date_inventaire,es_taille,'SUIVI STOCKS PAR PAYSAN'!$AH$7)-SUMIFS(v_Pièces,v_Taille,'SUIVI STOCKS PAR PAYSAN'!$AH$7,v_conc_prod_tye_affinage,'SUIVI STOCKS PAR PAYSAN'!$F96,v_Date_commande,"&gt;"&amp;date_inventaire)</f>
        <v>0</v>
      </c>
      <c r="AI96" s="353">
        <f ca="1">SUMIFS(bddres_pieces,'BDD RESERVATIONS'!$G:$G,'SUIVI STOCKS PAR PAYSAN'!$AB$7,bddres_c_prod_type_aff,'SUIVI STOCKS PAR PAYSAN'!$F96,'BDD RESERVATIONS'!$B:$B,"&gt;"&amp;date_inventaire)</f>
        <v>0</v>
      </c>
      <c r="AJ96" s="352">
        <f ca="1">SUMIFS(es_poids,es_prod_type_affinage,'SUIVI STOCKS PAR PAYSAN'!$G96,es_date_entree,"&gt;"&amp;date_inventaire)-SUMIFS(v_Poids,v_conc_prod_tye_affinage,'SUIVI STOCKS PAR PAYSAN'!$G96,v_Date_commande,"&gt;"&amp;date_inventaire)</f>
        <v>0</v>
      </c>
      <c r="AK96" s="341">
        <f ca="1">SUMIFS(bddres_c_qte,bddres_c_prod_type_aff,'SUIVI STOCKS PAR PAYSAN'!G96,'BDD RESERVATIONS'!$B:$B,"&gt;"&amp;date_inventaire)</f>
        <v>0</v>
      </c>
      <c r="AL96" s="342">
        <f ca="1">SUMIFS(bddres_pieces,es_prod_type_affinage,'SUIVI STOCKS PAR PAYSAN'!$G96,es_date_entree,"&gt;"&amp;date_inventaire,es_taille,'SUIVI STOCKS PAR PAYSAN'!$AL$7)-SUMIFS(v_Pièces,v_Taille,'SUIVI STOCKS PAR PAYSAN'!$AL$7,v_conc_prod_tye_affinage,'SUIVI STOCKS PAR PAYSAN'!$G96,v_Date_commande,"&gt;"&amp;date_inventaire)</f>
        <v>0</v>
      </c>
      <c r="AM96" s="342">
        <f ca="1">SUMIFS(bddres_pieces,'BDD RESERVATIONS'!$G:$G,'SUIVI STOCKS PAR PAYSAN'!$AL$7,bddres_c_prod_type_aff,'SUIVI STOCKS PAR PAYSAN'!$G96,'BDD RESERVATIONS'!$B:$B,"&gt;"&amp;date_inventaire)</f>
        <v>0</v>
      </c>
      <c r="AN96" s="343">
        <f ca="1">SUMIFS(es_pieces,es_prod_type_affinage,'SUIVI STOCKS PAR PAYSAN'!$G96,es_date_entree,"&gt;"&amp;date_inventaire,es_taille,'SUIVI STOCKS PAR PAYSAN'!$AN$7)-SUMIFS(v_Pièces,v_Taille,'SUIVI STOCKS PAR PAYSAN'!$AN$7,v_conc_prod_tye_affinage,'SUIVI STOCKS PAR PAYSAN'!$G96,v_Date_commande,"&gt;"&amp;date_inventaire)</f>
        <v>0</v>
      </c>
      <c r="AO96" s="353">
        <f ca="1">SUMIFS(bddres_pieces,'BDD RESERVATIONS'!$G:$G,'SUIVI STOCKS PAR PAYSAN'!$AN$7,bddres_c_prod_type_aff,'SUIVI STOCKS PAR PAYSAN'!$G96,'BDD RESERVATIONS'!$B:$B,"&gt;"&amp;date_inventaire)</f>
        <v>0</v>
      </c>
      <c r="AP96" s="313">
        <f ca="1">SUMIFS(es_poids,es_prod_type_affinage,'SUIVI STOCKS PAR PAYSAN'!$H96,es_date_entree,"&gt;"&amp;date_inventaire)-SUMIFS(v_Poids,v_conc_prod_tye_affinage,'SUIVI STOCKS PAR PAYSAN'!$H96,v_Date_commande,"&gt;"&amp;date_inventaire)</f>
        <v>0</v>
      </c>
      <c r="AQ96" s="341">
        <f ca="1">SUMIFS(bddres_c_qte,bddres_c_prod_type_aff,'SUIVI STOCKS PAR PAYSAN'!H96,'BDD RESERVATIONS'!$B:$B,"&gt;"&amp;date_inventaire)</f>
        <v>0</v>
      </c>
      <c r="AR96" s="342">
        <f ca="1">SUMIFS(bddres_pieces,es_prod_type_affinage,'SUIVI STOCKS PAR PAYSAN'!$H96,es_date_entree,"&gt;"&amp;date_inventaire,es_taille,'SUIVI STOCKS PAR PAYSAN'!$AR$7)-SUMIFS(v_Pièces,v_Taille,'SUIVI STOCKS PAR PAYSAN'!$AR$7,v_conc_prod_tye_affinage,'SUIVI STOCKS PAR PAYSAN'!$H96,v_Date_commande,"&gt;"&amp;date_inventaire)</f>
        <v>0</v>
      </c>
      <c r="AS96" s="326">
        <f ca="1">SUMIFS(bddres_pieces,'BDD RESERVATIONS'!$G:$G,'SUIVI STOCKS PAR PAYSAN'!AR91,bddres_c_prod_type_aff,'SUIVI STOCKS PAR PAYSAN'!$H96,'BDD RESERVATIONS'!$B:$B,"&gt;"&amp;date_inventaire)</f>
        <v>0</v>
      </c>
      <c r="AT96" s="343">
        <f ca="1">SUMIFS(es_pieces,es_prod_type_affinage,'SUIVI STOCKS PAR PAYSAN'!$H96,es_date_entree,"&gt;"&amp;date_inventaire,es_taille,'SUIVI STOCKS PAR PAYSAN'!$AT$7)-SUMIFS(v_Pièces,v_Taille,'SUIVI STOCKS PAR PAYSAN'!$AT$7,v_conc_prod_tye_affinage,'SUIVI STOCKS PAR PAYSAN'!$H96,v_Date_commande,"&gt;"&amp;date_inventaire)</f>
        <v>0</v>
      </c>
      <c r="AU96" s="353">
        <f ca="1">SUMIFS(bddres_pieces,'BDD RESERVATIONS'!$G:$G,'SUIVI STOCKS PAR PAYSAN'!$AT$7,bddres_c_prod_type_aff,'SUIVI STOCKS PAR PAYSAN'!$H96,'BDD RESERVATIONS'!$B:$B,"&gt;"&amp;date_inventaire)</f>
        <v>0</v>
      </c>
      <c r="AV96" s="313">
        <f ca="1">SUMIFS(es_poids,es_prod_type_affinage,'SUIVI STOCKS PAR PAYSAN'!$I96,es_date_entree,"&gt;"&amp;date_inventaire)-SUMIFS(v_Poids,v_conc_prod_tye_affinage,'SUIVI STOCKS PAR PAYSAN'!$E96,v_Date_commande,"&gt;"&amp;date_inventaire)</f>
        <v>0</v>
      </c>
      <c r="AW96" s="313">
        <f ca="1">SUMIFS(bddres_c_qte,bddres_c_prod_type_aff,'SUIVI STOCKS PAR PAYSAN'!I96,'BDD RESERVATIONS'!$B:$B,"&gt;"&amp;date_inventaire)</f>
        <v>0</v>
      </c>
      <c r="AX96" s="342">
        <f ca="1">SUMIFS(bddres_pieces,es_prod_type_affinage,'SUIVI STOCKS PAR PAYSAN'!$I96,es_date_entree,"&gt;"&amp;date_inventaire,es_taille,'SUIVI STOCKS PAR PAYSAN'!$AX$7)-SUMIFS(v_Pièces,v_Taille,'SUIVI STOCKS PAR PAYSAN'!$AX$7,v_conc_prod_tye_affinage,'SUIVI STOCKS PAR PAYSAN'!$I96,v_Date_commande,"&gt;"&amp;date_inventaire)</f>
        <v>0</v>
      </c>
      <c r="AY96" s="342">
        <f ca="1">SUMIFS(bddres_pieces,'BDD RESERVATIONS'!$G:$G,'SUIVI STOCKS PAR PAYSAN'!$AX$7,bddres_c_prod_type_aff,'SUIVI STOCKS PAR PAYSAN'!$I96,'BDD RESERVATIONS'!$B:$B,"&gt;"&amp;date_inventaire)</f>
        <v>0</v>
      </c>
      <c r="AZ96" s="343">
        <f ca="1">SUMIFS(es_pieces,es_prod_type_affinage,'SUIVI STOCKS PAR PAYSAN'!$I96,es_date_entree,"&gt;"&amp;date_inventaire,es_taille,'SUIVI STOCKS PAR PAYSAN'!$AZ$7)-SUMIFS(v_Pièces,v_Taille,'SUIVI STOCKS PAR PAYSAN'!$AZ$7,v_conc_prod_tye_affinage,'SUIVI STOCKS PAR PAYSAN'!$I96,v_Date_commande,"&gt;"&amp;date_inventaire)</f>
        <v>0</v>
      </c>
      <c r="BA96" s="353">
        <f ca="1">SUMIFS(bddres_pieces,'BDD RESERVATIONS'!$G:$G,'SUIVI STOCKS PAR PAYSAN'!$AZ$7,bddres_c_prod_type_aff,'SUIVI STOCKS PAR PAYSAN'!$I96,'BDD RESERVATIONS'!$B:$B,"&gt;"&amp;date_inventaire)</f>
        <v>0</v>
      </c>
      <c r="BB96" s="313">
        <f ca="1">SUMIFS(es_poids,es_prod_type_affinage,'SUIVI STOCKS PAR PAYSAN'!$J96,es_date_entree,"&gt;"&amp;date_inventaire)-SUMIFS(v_Poids,v_conc_prod_tye_affinage,'SUIVI STOCKS PAR PAYSAN'!$J96,v_Date_commande,"&gt;"&amp;date_inventaire)</f>
        <v>0</v>
      </c>
      <c r="BC96" s="313">
        <f ca="1">SUMIFS(bddres_c_qte,bddres_c_prod_type_aff,'SUIVI STOCKS PAR PAYSAN'!J96,'BDD RESERVATIONS'!$B:$B,"&gt;"&amp;date_inventaire)</f>
        <v>0</v>
      </c>
      <c r="BD96" s="342">
        <f ca="1">SUMIFS(bddres_pieces,es_prod_type_affinage,'SUIVI STOCKS PAR PAYSAN'!$J96,es_date_entree,"&gt;"&amp;date_inventaire,es_taille,'SUIVI STOCKS PAR PAYSAN'!$BD$7)-SUMIFS(v_Pièces,v_Taille,'SUIVI STOCKS PAR PAYSAN'!$BD$7,v_conc_prod_tye_affinage,'SUIVI STOCKS PAR PAYSAN'!$J96,v_Date_commande,"&gt;"&amp;date_inventaire)</f>
        <v>0</v>
      </c>
      <c r="BE96" s="326">
        <f ca="1">SUMIFS(bddres_pieces,'BDD RESERVATIONS'!$G:$G,'SUIVI STOCKS PAR PAYSAN'!BD91,bddres_c_prod_type_aff,'SUIVI STOCKS PAR PAYSAN'!J96,'BDD RESERVATIONS'!$B:$B,"&gt;"&amp;date_inventaire)</f>
        <v>0</v>
      </c>
      <c r="BF96" s="343">
        <f ca="1">SUMIFS(es_pieces,es_prod_type_affinage,'SUIVI STOCKS PAR PAYSAN'!J96,es_date_entree,"&gt;"&amp;date_inventaire,es_taille,'SUIVI STOCKS PAR PAYSAN'!$BF$7)-SUMIFS(v_Pièces,v_Taille,'SUIVI STOCKS PAR PAYSAN'!$BF$7,v_conc_prod_tye_affinage,'SUIVI STOCKS PAR PAYSAN'!J96,v_Date_commande,"&gt;"&amp;date_inventaire)</f>
        <v>0</v>
      </c>
      <c r="BG96" s="353">
        <f ca="1">SUMIFS(bddres_pieces,'BDD RESERVATIONS'!$G:$G,'SUIVI STOCKS PAR PAYSAN'!$BF$7,bddres_c_prod_type_aff,'SUIVI STOCKS PAR PAYSAN'!J96,'BDD RESERVATIONS'!$B:$B,"&gt;"&amp;date_inventaire)</f>
        <v>0</v>
      </c>
    </row>
    <row r="97" spans="1:59" ht="18.75" customHeight="1" x14ac:dyDescent="0.25">
      <c r="A97" s="331">
        <f ca="1">OFFSET('BDD PAYSANS'!$B$1,B97,0,1,1)</f>
        <v>0</v>
      </c>
      <c r="B97" s="325">
        <v>86</v>
      </c>
      <c r="C97" s="325" t="str">
        <f t="shared" ca="1" si="4"/>
        <v>0FERMIER&lt;3 mois</v>
      </c>
      <c r="D97" s="325" t="str">
        <f t="shared" ca="1" si="4"/>
        <v>0FERMIER3-6 mois</v>
      </c>
      <c r="E97" s="325" t="str">
        <f t="shared" ca="1" si="4"/>
        <v>0FERMIER6-9 mois</v>
      </c>
      <c r="F97" s="325" t="str">
        <f t="shared" ca="1" si="4"/>
        <v>0FERMIER&gt;9 mois</v>
      </c>
      <c r="G97" s="325" t="str">
        <f t="shared" ca="1" si="4"/>
        <v>0ESTIVE&lt;3 mois</v>
      </c>
      <c r="H97" s="325" t="str">
        <f t="shared" ca="1" si="4"/>
        <v>0ESTIVE3-6 mois</v>
      </c>
      <c r="I97" s="325" t="str">
        <f t="shared" ca="1" si="4"/>
        <v>0ESTIVE6-9 mois</v>
      </c>
      <c r="J97" s="325" t="str">
        <f t="shared" ca="1" si="4"/>
        <v>0ESTIVE&gt;9 mois</v>
      </c>
      <c r="K97" s="325"/>
      <c r="L97" s="352">
        <f ca="1">SUMIFS(es_poids,es_prod_type_affinage,'SUIVI STOCKS PAR PAYSAN'!$C97,es_date_entree,"&gt;"&amp;date_inventaire)-SUMIFS(v_Poids,v_conc_prod_tye_affinage,'SUIVI STOCKS PAR PAYSAN'!$C97,v_Date_commande,"&gt;"&amp;date_inventaire)</f>
        <v>0</v>
      </c>
      <c r="M97" s="341">
        <f ca="1">SUMIFS(bddres_c_qte,bddres_c_prod_type_aff,'SUIVI STOCKS PAR PAYSAN'!C97,'BDD RESERVATIONS'!$B:$B,"&gt;"&amp;date_inventaire)</f>
        <v>0</v>
      </c>
      <c r="N97" s="342">
        <f ca="1">SUMIFS(bddres_pieces,es_prod_type_affinage,'SUIVI STOCKS PAR PAYSAN'!$C97,es_date_entree,"&gt;"&amp;date_inventaire,es_taille,'SUIVI STOCKS PAR PAYSAN'!$N$7)-SUMIFS(v_Pièces,v_Taille,'SUIVI STOCKS PAR PAYSAN'!$N$7,v_conc_prod_tye_affinage,'SUIVI STOCKS PAR PAYSAN'!$C97,v_Date_commande,"&gt;"&amp;date_inventaire)</f>
        <v>0</v>
      </c>
      <c r="O97" s="342">
        <f ca="1">SUMIFS(bddres_pieces,'BDD RESERVATIONS'!$G:$G,'SUIVI STOCKS PAR PAYSAN'!$N$7,bddres_c_prod_type_aff,'SUIVI STOCKS PAR PAYSAN'!$C97,'BDD RESERVATIONS'!$B:$B,"&gt;"&amp;date_inventaire)</f>
        <v>0</v>
      </c>
      <c r="P97" s="343">
        <f ca="1">SUMIFS(es_pieces,es_prod_type_affinage,'SUIVI STOCKS PAR PAYSAN'!$C97,es_date_entree,"&gt;"&amp;date_inventaire,es_taille,'SUIVI STOCKS PAR PAYSAN'!$P$7)-SUMIFS(v_Pièces,v_Taille,'SUIVI STOCKS PAR PAYSAN'!$P$7,v_conc_prod_tye_affinage,'SUIVI STOCKS PAR PAYSAN'!$C97,v_Date_commande,"&gt;"&amp;date_inventaire)</f>
        <v>0</v>
      </c>
      <c r="Q97" s="353">
        <f ca="1">SUMIFS(bddres_pieces,'BDD RESERVATIONS'!$G:$G,'SUIVI STOCKS PAR PAYSAN'!$P$7,bddres_c_prod_type_aff,'SUIVI STOCKS PAR PAYSAN'!$C97,'BDD RESERVATIONS'!$B:$B,"&gt;"&amp;date_inventaire)</f>
        <v>0</v>
      </c>
      <c r="R97" s="340">
        <f ca="1">SUMIFS(es_poids,es_prod_type_affinage,'SUIVI STOCKS PAR PAYSAN'!$D97,es_date_entree,"&gt;"&amp;date_inventaire)-SUMIFS(v_Poids,v_conc_prod_tye_affinage,'SUIVI STOCKS PAR PAYSAN'!$D97,v_Date_commande,"&gt;"&amp;date_inventaire)</f>
        <v>0</v>
      </c>
      <c r="S97" s="341">
        <f ca="1">SUMIFS(bddres_c_qte,bddres_c_prod_type_aff,'SUIVI STOCKS PAR PAYSAN'!D97,'BDD RESERVATIONS'!$B:$B,"&gt;"&amp;date_inventaire)</f>
        <v>0</v>
      </c>
      <c r="T97" s="342">
        <f ca="1">SUMIFS(bddres_pieces,es_prod_type_affinage,'SUIVI STOCKS PAR PAYSAN'!$D97,es_date_entree,"&gt;"&amp;date_inventaire,es_taille,'SUIVI STOCKS PAR PAYSAN'!$T$7)-SUMIFS(v_Pièces,v_Taille,'SUIVI STOCKS PAR PAYSAN'!$T$7,v_conc_prod_tye_affinage,'SUIVI STOCKS PAR PAYSAN'!$D97,v_Date_commande,"&gt;"&amp;date_inventaire)</f>
        <v>0</v>
      </c>
      <c r="U97" s="342">
        <f ca="1">SUMIFS(bddres_pieces,'BDD RESERVATIONS'!$G:$G,'SUIVI STOCKS PAR PAYSAN'!$T$7,bddres_c_prod_type_aff,'SUIVI STOCKS PAR PAYSAN'!$D97,'BDD RESERVATIONS'!$B:$B,"&gt;"&amp;date_inventaire)</f>
        <v>0</v>
      </c>
      <c r="V97" s="343">
        <f ca="1">SUMIFS(es_pieces,es_prod_type_affinage,'SUIVI STOCKS PAR PAYSAN'!$D97,es_date_entree,"&gt;"&amp;date_inventaire,es_taille,'SUIVI STOCKS PAR PAYSAN'!$V$7)-SUMIFS(v_Pièces,v_Taille,'SUIVI STOCKS PAR PAYSAN'!$V$7,v_conc_prod_tye_affinage,'SUIVI STOCKS PAR PAYSAN'!$D97,v_Date_commande,"&gt;"&amp;date_inventaire)</f>
        <v>0</v>
      </c>
      <c r="W97" s="353">
        <f ca="1">SUMIFS(bddres_pieces,'BDD RESERVATIONS'!$G:$G,'SUIVI STOCKS PAR PAYSAN'!$V$7,bddres_c_prod_type_aff,'SUIVI STOCKS PAR PAYSAN'!$D97,'BDD RESERVATIONS'!$B:$B,"&gt;"&amp;date_inventaire)</f>
        <v>0</v>
      </c>
      <c r="X97" s="313">
        <f ca="1">SUMIFS(es_poids,es_prod_type_affinage,'SUIVI STOCKS PAR PAYSAN'!$E97,es_date_entree,"&gt;"&amp;date_inventaire)-SUMIFS(v_Poids,v_conc_prod_tye_affinage,'SUIVI STOCKS PAR PAYSAN'!$E97,v_Date_commande,"&gt;"&amp;date_inventaire)</f>
        <v>0</v>
      </c>
      <c r="Y97" s="341">
        <f ca="1">SUMIFS(bddres_c_qte,bddres_c_prod_type_aff,'SUIVI STOCKS PAR PAYSAN'!E97,'BDD RESERVATIONS'!$B:$B,"&gt;"&amp;date_inventaire)</f>
        <v>0</v>
      </c>
      <c r="Z97" s="342">
        <f ca="1">SUMIFS(bddres_pieces,es_prod_type_affinage,'SUIVI STOCKS PAR PAYSAN'!$E97,es_date_entree,"&gt;"&amp;date_inventaire,es_taille,'SUIVI STOCKS PAR PAYSAN'!$Z$7)-SUMIFS(v_Pièces,v_Taille,'SUIVI STOCKS PAR PAYSAN'!$Z$7,v_conc_prod_tye_affinage,'SUIVI STOCKS PAR PAYSAN'!$E97,v_Date_commande,"&gt;"&amp;date_inventaire)</f>
        <v>0</v>
      </c>
      <c r="AA97" s="342">
        <f ca="1">SUMIFS(bddres_pieces,'BDD RESERVATIONS'!$G:$G,'SUIVI STOCKS PAR PAYSAN'!$Z$7,bddres_c_prod_type_aff,'SUIVI STOCKS PAR PAYSAN'!$E97,'BDD RESERVATIONS'!$B:$B,"&gt;"&amp;date_inventaire)</f>
        <v>0</v>
      </c>
      <c r="AB97" s="343">
        <f ca="1">SUMIFS(es_pieces,es_prod_type_affinage,'SUIVI STOCKS PAR PAYSAN'!$E97,es_date_entree,"&gt;"&amp;date_inventaire,es_taille,'SUIVI STOCKS PAR PAYSAN'!$AB$7)-SUMIFS(v_Pièces,v_Taille,'SUIVI STOCKS PAR PAYSAN'!$AB$7,v_conc_prod_tye_affinage,'SUIVI STOCKS PAR PAYSAN'!$E97,v_Date_commande,"&gt;"&amp;date_inventaire)</f>
        <v>0</v>
      </c>
      <c r="AC97" s="353">
        <f ca="1">SUMIFS(bddres_pieces,'BDD RESERVATIONS'!$G:$G,'SUIVI STOCKS PAR PAYSAN'!$AB$7,bddres_c_prod_type_aff,'SUIVI STOCKS PAR PAYSAN'!$E97,'BDD RESERVATIONS'!$B:$B,"&gt;"&amp;date_inventaire)</f>
        <v>0</v>
      </c>
      <c r="AD97" s="313">
        <f ca="1">SUMIFS(es_poids,es_prod_type_affinage,'SUIVI STOCKS PAR PAYSAN'!$F97,es_date_entree,"&gt;"&amp;date_inventaire)-SUMIFS(v_Poids,v_conc_prod_tye_affinage,'SUIVI STOCKS PAR PAYSAN'!$F97,v_Date_commande,"&gt;"&amp;date_inventaire)</f>
        <v>0</v>
      </c>
      <c r="AE97" s="341">
        <f ca="1">SUMIFS(bddres_c_qte,bddres_c_prod_type_aff,'SUIVI STOCKS PAR PAYSAN'!F97,'BDD RESERVATIONS'!$B:$B,"&gt;"&amp;date_inventaire)</f>
        <v>0</v>
      </c>
      <c r="AF97" s="342">
        <f ca="1">SUMIFS(bddres_pieces,es_prod_type_affinage,'SUIVI STOCKS PAR PAYSAN'!$F97,es_date_entree,"&gt;"&amp;date_inventaire,es_taille,'SUIVI STOCKS PAR PAYSAN'!$Z$7)-SUMIFS(v_Pièces,v_Taille,'SUIVI STOCKS PAR PAYSAN'!$Z$7,v_conc_prod_tye_affinage,'SUIVI STOCKS PAR PAYSAN'!$F97,v_Date_commande,"&gt;"&amp;date_inventaire)</f>
        <v>0</v>
      </c>
      <c r="AG97" s="342">
        <f ca="1">SUMIFS(bddres_pieces,'BDD RESERVATIONS'!$G:$G,'SUIVI STOCKS PAR PAYSAN'!$Z$7,bddres_c_prod_type_aff,'SUIVI STOCKS PAR PAYSAN'!$F97,'BDD RESERVATIONS'!$B:$B,"&gt;"&amp;date_inventaire)</f>
        <v>0</v>
      </c>
      <c r="AH97" s="343">
        <f ca="1">SUMIFS(es_pieces,es_prod_type_affinage,'SUIVI STOCKS PAR PAYSAN'!$F97,es_date_entree,"&gt;"&amp;date_inventaire,es_taille,'SUIVI STOCKS PAR PAYSAN'!$AH$7)-SUMIFS(v_Pièces,v_Taille,'SUIVI STOCKS PAR PAYSAN'!$AH$7,v_conc_prod_tye_affinage,'SUIVI STOCKS PAR PAYSAN'!$F97,v_Date_commande,"&gt;"&amp;date_inventaire)</f>
        <v>0</v>
      </c>
      <c r="AI97" s="353">
        <f ca="1">SUMIFS(bddres_pieces,'BDD RESERVATIONS'!$G:$G,'SUIVI STOCKS PAR PAYSAN'!$AB$7,bddres_c_prod_type_aff,'SUIVI STOCKS PAR PAYSAN'!$F97,'BDD RESERVATIONS'!$B:$B,"&gt;"&amp;date_inventaire)</f>
        <v>0</v>
      </c>
      <c r="AJ97" s="352">
        <f ca="1">SUMIFS(es_poids,es_prod_type_affinage,'SUIVI STOCKS PAR PAYSAN'!$G97,es_date_entree,"&gt;"&amp;date_inventaire)-SUMIFS(v_Poids,v_conc_prod_tye_affinage,'SUIVI STOCKS PAR PAYSAN'!$G97,v_Date_commande,"&gt;"&amp;date_inventaire)</f>
        <v>0</v>
      </c>
      <c r="AK97" s="341">
        <f ca="1">SUMIFS(bddres_c_qte,bddres_c_prod_type_aff,'SUIVI STOCKS PAR PAYSAN'!G97,'BDD RESERVATIONS'!$B:$B,"&gt;"&amp;date_inventaire)</f>
        <v>0</v>
      </c>
      <c r="AL97" s="342">
        <f ca="1">SUMIFS(bddres_pieces,es_prod_type_affinage,'SUIVI STOCKS PAR PAYSAN'!$G97,es_date_entree,"&gt;"&amp;date_inventaire,es_taille,'SUIVI STOCKS PAR PAYSAN'!$AL$7)-SUMIFS(v_Pièces,v_Taille,'SUIVI STOCKS PAR PAYSAN'!$AL$7,v_conc_prod_tye_affinage,'SUIVI STOCKS PAR PAYSAN'!$G97,v_Date_commande,"&gt;"&amp;date_inventaire)</f>
        <v>0</v>
      </c>
      <c r="AM97" s="342">
        <f ca="1">SUMIFS(bddres_pieces,'BDD RESERVATIONS'!$G:$G,'SUIVI STOCKS PAR PAYSAN'!$AL$7,bddres_c_prod_type_aff,'SUIVI STOCKS PAR PAYSAN'!$G97,'BDD RESERVATIONS'!$B:$B,"&gt;"&amp;date_inventaire)</f>
        <v>0</v>
      </c>
      <c r="AN97" s="343">
        <f ca="1">SUMIFS(es_pieces,es_prod_type_affinage,'SUIVI STOCKS PAR PAYSAN'!$G97,es_date_entree,"&gt;"&amp;date_inventaire,es_taille,'SUIVI STOCKS PAR PAYSAN'!$AN$7)-SUMIFS(v_Pièces,v_Taille,'SUIVI STOCKS PAR PAYSAN'!$AN$7,v_conc_prod_tye_affinage,'SUIVI STOCKS PAR PAYSAN'!$G97,v_Date_commande,"&gt;"&amp;date_inventaire)</f>
        <v>0</v>
      </c>
      <c r="AO97" s="353">
        <f ca="1">SUMIFS(bddres_pieces,'BDD RESERVATIONS'!$G:$G,'SUIVI STOCKS PAR PAYSAN'!$AN$7,bddres_c_prod_type_aff,'SUIVI STOCKS PAR PAYSAN'!$G97,'BDD RESERVATIONS'!$B:$B,"&gt;"&amp;date_inventaire)</f>
        <v>0</v>
      </c>
      <c r="AP97" s="313">
        <f ca="1">SUMIFS(es_poids,es_prod_type_affinage,'SUIVI STOCKS PAR PAYSAN'!$H97,es_date_entree,"&gt;"&amp;date_inventaire)-SUMIFS(v_Poids,v_conc_prod_tye_affinage,'SUIVI STOCKS PAR PAYSAN'!$H97,v_Date_commande,"&gt;"&amp;date_inventaire)</f>
        <v>0</v>
      </c>
      <c r="AQ97" s="341">
        <f ca="1">SUMIFS(bddres_c_qte,bddres_c_prod_type_aff,'SUIVI STOCKS PAR PAYSAN'!H97,'BDD RESERVATIONS'!$B:$B,"&gt;"&amp;date_inventaire)</f>
        <v>0</v>
      </c>
      <c r="AR97" s="342">
        <f ca="1">SUMIFS(bddres_pieces,es_prod_type_affinage,'SUIVI STOCKS PAR PAYSAN'!$H97,es_date_entree,"&gt;"&amp;date_inventaire,es_taille,'SUIVI STOCKS PAR PAYSAN'!$AR$7)-SUMIFS(v_Pièces,v_Taille,'SUIVI STOCKS PAR PAYSAN'!$AR$7,v_conc_prod_tye_affinage,'SUIVI STOCKS PAR PAYSAN'!$H97,v_Date_commande,"&gt;"&amp;date_inventaire)</f>
        <v>0</v>
      </c>
      <c r="AS97" s="326">
        <f ca="1">SUMIFS(bddres_pieces,'BDD RESERVATIONS'!$G:$G,'SUIVI STOCKS PAR PAYSAN'!AR92,bddres_c_prod_type_aff,'SUIVI STOCKS PAR PAYSAN'!$H97,'BDD RESERVATIONS'!$B:$B,"&gt;"&amp;date_inventaire)</f>
        <v>0</v>
      </c>
      <c r="AT97" s="343">
        <f ca="1">SUMIFS(es_pieces,es_prod_type_affinage,'SUIVI STOCKS PAR PAYSAN'!$H97,es_date_entree,"&gt;"&amp;date_inventaire,es_taille,'SUIVI STOCKS PAR PAYSAN'!$AT$7)-SUMIFS(v_Pièces,v_Taille,'SUIVI STOCKS PAR PAYSAN'!$AT$7,v_conc_prod_tye_affinage,'SUIVI STOCKS PAR PAYSAN'!$H97,v_Date_commande,"&gt;"&amp;date_inventaire)</f>
        <v>0</v>
      </c>
      <c r="AU97" s="353">
        <f ca="1">SUMIFS(bddres_pieces,'BDD RESERVATIONS'!$G:$G,'SUIVI STOCKS PAR PAYSAN'!$AT$7,bddres_c_prod_type_aff,'SUIVI STOCKS PAR PAYSAN'!$H97,'BDD RESERVATIONS'!$B:$B,"&gt;"&amp;date_inventaire)</f>
        <v>0</v>
      </c>
      <c r="AV97" s="313">
        <f ca="1">SUMIFS(es_poids,es_prod_type_affinage,'SUIVI STOCKS PAR PAYSAN'!$I97,es_date_entree,"&gt;"&amp;date_inventaire)-SUMIFS(v_Poids,v_conc_prod_tye_affinage,'SUIVI STOCKS PAR PAYSAN'!$E97,v_Date_commande,"&gt;"&amp;date_inventaire)</f>
        <v>0</v>
      </c>
      <c r="AW97" s="313">
        <f ca="1">SUMIFS(bddres_c_qte,bddres_c_prod_type_aff,'SUIVI STOCKS PAR PAYSAN'!I97,'BDD RESERVATIONS'!$B:$B,"&gt;"&amp;date_inventaire)</f>
        <v>0</v>
      </c>
      <c r="AX97" s="342">
        <f ca="1">SUMIFS(bddres_pieces,es_prod_type_affinage,'SUIVI STOCKS PAR PAYSAN'!$I97,es_date_entree,"&gt;"&amp;date_inventaire,es_taille,'SUIVI STOCKS PAR PAYSAN'!$AX$7)-SUMIFS(v_Pièces,v_Taille,'SUIVI STOCKS PAR PAYSAN'!$AX$7,v_conc_prod_tye_affinage,'SUIVI STOCKS PAR PAYSAN'!$I97,v_Date_commande,"&gt;"&amp;date_inventaire)</f>
        <v>0</v>
      </c>
      <c r="AY97" s="342">
        <f ca="1">SUMIFS(bddres_pieces,'BDD RESERVATIONS'!$G:$G,'SUIVI STOCKS PAR PAYSAN'!$AX$7,bddres_c_prod_type_aff,'SUIVI STOCKS PAR PAYSAN'!$I97,'BDD RESERVATIONS'!$B:$B,"&gt;"&amp;date_inventaire)</f>
        <v>0</v>
      </c>
      <c r="AZ97" s="343">
        <f ca="1">SUMIFS(es_pieces,es_prod_type_affinage,'SUIVI STOCKS PAR PAYSAN'!$I97,es_date_entree,"&gt;"&amp;date_inventaire,es_taille,'SUIVI STOCKS PAR PAYSAN'!$AZ$7)-SUMIFS(v_Pièces,v_Taille,'SUIVI STOCKS PAR PAYSAN'!$AZ$7,v_conc_prod_tye_affinage,'SUIVI STOCKS PAR PAYSAN'!$I97,v_Date_commande,"&gt;"&amp;date_inventaire)</f>
        <v>0</v>
      </c>
      <c r="BA97" s="353">
        <f ca="1">SUMIFS(bddres_pieces,'BDD RESERVATIONS'!$G:$G,'SUIVI STOCKS PAR PAYSAN'!$AZ$7,bddres_c_prod_type_aff,'SUIVI STOCKS PAR PAYSAN'!$I97,'BDD RESERVATIONS'!$B:$B,"&gt;"&amp;date_inventaire)</f>
        <v>0</v>
      </c>
      <c r="BB97" s="313">
        <f ca="1">SUMIFS(es_poids,es_prod_type_affinage,'SUIVI STOCKS PAR PAYSAN'!$J97,es_date_entree,"&gt;"&amp;date_inventaire)-SUMIFS(v_Poids,v_conc_prod_tye_affinage,'SUIVI STOCKS PAR PAYSAN'!$J97,v_Date_commande,"&gt;"&amp;date_inventaire)</f>
        <v>0</v>
      </c>
      <c r="BC97" s="313">
        <f ca="1">SUMIFS(bddres_c_qte,bddres_c_prod_type_aff,'SUIVI STOCKS PAR PAYSAN'!J97,'BDD RESERVATIONS'!$B:$B,"&gt;"&amp;date_inventaire)</f>
        <v>0</v>
      </c>
      <c r="BD97" s="342">
        <f ca="1">SUMIFS(bddres_pieces,es_prod_type_affinage,'SUIVI STOCKS PAR PAYSAN'!$J97,es_date_entree,"&gt;"&amp;date_inventaire,es_taille,'SUIVI STOCKS PAR PAYSAN'!$BD$7)-SUMIFS(v_Pièces,v_Taille,'SUIVI STOCKS PAR PAYSAN'!$BD$7,v_conc_prod_tye_affinage,'SUIVI STOCKS PAR PAYSAN'!$J97,v_Date_commande,"&gt;"&amp;date_inventaire)</f>
        <v>0</v>
      </c>
      <c r="BE97" s="326">
        <f ca="1">SUMIFS(bddres_pieces,'BDD RESERVATIONS'!$G:$G,'SUIVI STOCKS PAR PAYSAN'!BD92,bddres_c_prod_type_aff,'SUIVI STOCKS PAR PAYSAN'!J97,'BDD RESERVATIONS'!$B:$B,"&gt;"&amp;date_inventaire)</f>
        <v>0</v>
      </c>
      <c r="BF97" s="343">
        <f ca="1">SUMIFS(es_pieces,es_prod_type_affinage,'SUIVI STOCKS PAR PAYSAN'!J97,es_date_entree,"&gt;"&amp;date_inventaire,es_taille,'SUIVI STOCKS PAR PAYSAN'!$BF$7)-SUMIFS(v_Pièces,v_Taille,'SUIVI STOCKS PAR PAYSAN'!$BF$7,v_conc_prod_tye_affinage,'SUIVI STOCKS PAR PAYSAN'!J97,v_Date_commande,"&gt;"&amp;date_inventaire)</f>
        <v>0</v>
      </c>
      <c r="BG97" s="353">
        <f ca="1">SUMIFS(bddres_pieces,'BDD RESERVATIONS'!$G:$G,'SUIVI STOCKS PAR PAYSAN'!$BF$7,bddres_c_prod_type_aff,'SUIVI STOCKS PAR PAYSAN'!J97,'BDD RESERVATIONS'!$B:$B,"&gt;"&amp;date_inventaire)</f>
        <v>0</v>
      </c>
    </row>
    <row r="98" spans="1:59" ht="18.75" customHeight="1" x14ac:dyDescent="0.25">
      <c r="A98" s="331">
        <f ca="1">OFFSET('BDD PAYSANS'!$B$1,B98,0,1,1)</f>
        <v>0</v>
      </c>
      <c r="B98" s="325">
        <v>87</v>
      </c>
      <c r="C98" s="325" t="str">
        <f t="shared" ca="1" si="4"/>
        <v>0FERMIER&lt;3 mois</v>
      </c>
      <c r="D98" s="325" t="str">
        <f t="shared" ca="1" si="4"/>
        <v>0FERMIER3-6 mois</v>
      </c>
      <c r="E98" s="325" t="str">
        <f t="shared" ca="1" si="4"/>
        <v>0FERMIER6-9 mois</v>
      </c>
      <c r="F98" s="325" t="str">
        <f t="shared" ca="1" si="4"/>
        <v>0FERMIER&gt;9 mois</v>
      </c>
      <c r="G98" s="325" t="str">
        <f t="shared" ca="1" si="4"/>
        <v>0ESTIVE&lt;3 mois</v>
      </c>
      <c r="H98" s="325" t="str">
        <f t="shared" ca="1" si="4"/>
        <v>0ESTIVE3-6 mois</v>
      </c>
      <c r="I98" s="325" t="str">
        <f t="shared" ca="1" si="4"/>
        <v>0ESTIVE6-9 mois</v>
      </c>
      <c r="J98" s="325" t="str">
        <f t="shared" ca="1" si="4"/>
        <v>0ESTIVE&gt;9 mois</v>
      </c>
      <c r="K98" s="325"/>
      <c r="L98" s="352">
        <f ca="1">SUMIFS(es_poids,es_prod_type_affinage,'SUIVI STOCKS PAR PAYSAN'!$C98,es_date_entree,"&gt;"&amp;date_inventaire)-SUMIFS(v_Poids,v_conc_prod_tye_affinage,'SUIVI STOCKS PAR PAYSAN'!$C98,v_Date_commande,"&gt;"&amp;date_inventaire)</f>
        <v>0</v>
      </c>
      <c r="M98" s="341">
        <f ca="1">SUMIFS(bddres_c_qte,bddres_c_prod_type_aff,'SUIVI STOCKS PAR PAYSAN'!C98,'BDD RESERVATIONS'!$B:$B,"&gt;"&amp;date_inventaire)</f>
        <v>0</v>
      </c>
      <c r="N98" s="342">
        <f ca="1">SUMIFS(bddres_pieces,es_prod_type_affinage,'SUIVI STOCKS PAR PAYSAN'!$C98,es_date_entree,"&gt;"&amp;date_inventaire,es_taille,'SUIVI STOCKS PAR PAYSAN'!$N$7)-SUMIFS(v_Pièces,v_Taille,'SUIVI STOCKS PAR PAYSAN'!$N$7,v_conc_prod_tye_affinage,'SUIVI STOCKS PAR PAYSAN'!$C98,v_Date_commande,"&gt;"&amp;date_inventaire)</f>
        <v>0</v>
      </c>
      <c r="O98" s="342">
        <f ca="1">SUMIFS(bddres_pieces,'BDD RESERVATIONS'!$G:$G,'SUIVI STOCKS PAR PAYSAN'!$N$7,bddres_c_prod_type_aff,'SUIVI STOCKS PAR PAYSAN'!$C98,'BDD RESERVATIONS'!$B:$B,"&gt;"&amp;date_inventaire)</f>
        <v>0</v>
      </c>
      <c r="P98" s="343">
        <f ca="1">SUMIFS(es_pieces,es_prod_type_affinage,'SUIVI STOCKS PAR PAYSAN'!$C98,es_date_entree,"&gt;"&amp;date_inventaire,es_taille,'SUIVI STOCKS PAR PAYSAN'!$P$7)-SUMIFS(v_Pièces,v_Taille,'SUIVI STOCKS PAR PAYSAN'!$P$7,v_conc_prod_tye_affinage,'SUIVI STOCKS PAR PAYSAN'!$C98,v_Date_commande,"&gt;"&amp;date_inventaire)</f>
        <v>0</v>
      </c>
      <c r="Q98" s="353">
        <f ca="1">SUMIFS(bddres_pieces,'BDD RESERVATIONS'!$G:$G,'SUIVI STOCKS PAR PAYSAN'!$P$7,bddres_c_prod_type_aff,'SUIVI STOCKS PAR PAYSAN'!$C98,'BDD RESERVATIONS'!$B:$B,"&gt;"&amp;date_inventaire)</f>
        <v>0</v>
      </c>
      <c r="R98" s="340">
        <f ca="1">SUMIFS(es_poids,es_prod_type_affinage,'SUIVI STOCKS PAR PAYSAN'!$D98,es_date_entree,"&gt;"&amp;date_inventaire)-SUMIFS(v_Poids,v_conc_prod_tye_affinage,'SUIVI STOCKS PAR PAYSAN'!$D98,v_Date_commande,"&gt;"&amp;date_inventaire)</f>
        <v>0</v>
      </c>
      <c r="S98" s="341">
        <f ca="1">SUMIFS(bddres_c_qte,bddres_c_prod_type_aff,'SUIVI STOCKS PAR PAYSAN'!D98,'BDD RESERVATIONS'!$B:$B,"&gt;"&amp;date_inventaire)</f>
        <v>0</v>
      </c>
      <c r="T98" s="342">
        <f ca="1">SUMIFS(bddres_pieces,es_prod_type_affinage,'SUIVI STOCKS PAR PAYSAN'!$D98,es_date_entree,"&gt;"&amp;date_inventaire,es_taille,'SUIVI STOCKS PAR PAYSAN'!$T$7)-SUMIFS(v_Pièces,v_Taille,'SUIVI STOCKS PAR PAYSAN'!$T$7,v_conc_prod_tye_affinage,'SUIVI STOCKS PAR PAYSAN'!$D98,v_Date_commande,"&gt;"&amp;date_inventaire)</f>
        <v>0</v>
      </c>
      <c r="U98" s="342">
        <f ca="1">SUMIFS(bddres_pieces,'BDD RESERVATIONS'!$G:$G,'SUIVI STOCKS PAR PAYSAN'!$T$7,bddres_c_prod_type_aff,'SUIVI STOCKS PAR PAYSAN'!$D98,'BDD RESERVATIONS'!$B:$B,"&gt;"&amp;date_inventaire)</f>
        <v>0</v>
      </c>
      <c r="V98" s="343">
        <f ca="1">SUMIFS(es_pieces,es_prod_type_affinage,'SUIVI STOCKS PAR PAYSAN'!$D98,es_date_entree,"&gt;"&amp;date_inventaire,es_taille,'SUIVI STOCKS PAR PAYSAN'!$V$7)-SUMIFS(v_Pièces,v_Taille,'SUIVI STOCKS PAR PAYSAN'!$V$7,v_conc_prod_tye_affinage,'SUIVI STOCKS PAR PAYSAN'!$D98,v_Date_commande,"&gt;"&amp;date_inventaire)</f>
        <v>0</v>
      </c>
      <c r="W98" s="353">
        <f ca="1">SUMIFS(bddres_pieces,'BDD RESERVATIONS'!$G:$G,'SUIVI STOCKS PAR PAYSAN'!$V$7,bddres_c_prod_type_aff,'SUIVI STOCKS PAR PAYSAN'!$D98,'BDD RESERVATIONS'!$B:$B,"&gt;"&amp;date_inventaire)</f>
        <v>0</v>
      </c>
      <c r="X98" s="313">
        <f ca="1">SUMIFS(es_poids,es_prod_type_affinage,'SUIVI STOCKS PAR PAYSAN'!$E98,es_date_entree,"&gt;"&amp;date_inventaire)-SUMIFS(v_Poids,v_conc_prod_tye_affinage,'SUIVI STOCKS PAR PAYSAN'!$E98,v_Date_commande,"&gt;"&amp;date_inventaire)</f>
        <v>0</v>
      </c>
      <c r="Y98" s="341">
        <f ca="1">SUMIFS(bddres_c_qte,bddres_c_prod_type_aff,'SUIVI STOCKS PAR PAYSAN'!E98,'BDD RESERVATIONS'!$B:$B,"&gt;"&amp;date_inventaire)</f>
        <v>0</v>
      </c>
      <c r="Z98" s="342">
        <f ca="1">SUMIFS(bddres_pieces,es_prod_type_affinage,'SUIVI STOCKS PAR PAYSAN'!$E98,es_date_entree,"&gt;"&amp;date_inventaire,es_taille,'SUIVI STOCKS PAR PAYSAN'!$Z$7)-SUMIFS(v_Pièces,v_Taille,'SUIVI STOCKS PAR PAYSAN'!$Z$7,v_conc_prod_tye_affinage,'SUIVI STOCKS PAR PAYSAN'!$E98,v_Date_commande,"&gt;"&amp;date_inventaire)</f>
        <v>0</v>
      </c>
      <c r="AA98" s="342">
        <f ca="1">SUMIFS(bddres_pieces,'BDD RESERVATIONS'!$G:$G,'SUIVI STOCKS PAR PAYSAN'!$Z$7,bddres_c_prod_type_aff,'SUIVI STOCKS PAR PAYSAN'!$E98,'BDD RESERVATIONS'!$B:$B,"&gt;"&amp;date_inventaire)</f>
        <v>0</v>
      </c>
      <c r="AB98" s="343">
        <f ca="1">SUMIFS(es_pieces,es_prod_type_affinage,'SUIVI STOCKS PAR PAYSAN'!$E98,es_date_entree,"&gt;"&amp;date_inventaire,es_taille,'SUIVI STOCKS PAR PAYSAN'!$AB$7)-SUMIFS(v_Pièces,v_Taille,'SUIVI STOCKS PAR PAYSAN'!$AB$7,v_conc_prod_tye_affinage,'SUIVI STOCKS PAR PAYSAN'!$E98,v_Date_commande,"&gt;"&amp;date_inventaire)</f>
        <v>0</v>
      </c>
      <c r="AC98" s="353">
        <f ca="1">SUMIFS(bddres_pieces,'BDD RESERVATIONS'!$G:$G,'SUIVI STOCKS PAR PAYSAN'!$AB$7,bddres_c_prod_type_aff,'SUIVI STOCKS PAR PAYSAN'!$E98,'BDD RESERVATIONS'!$B:$B,"&gt;"&amp;date_inventaire)</f>
        <v>0</v>
      </c>
      <c r="AD98" s="313">
        <f ca="1">SUMIFS(es_poids,es_prod_type_affinage,'SUIVI STOCKS PAR PAYSAN'!$F98,es_date_entree,"&gt;"&amp;date_inventaire)-SUMIFS(v_Poids,v_conc_prod_tye_affinage,'SUIVI STOCKS PAR PAYSAN'!$F98,v_Date_commande,"&gt;"&amp;date_inventaire)</f>
        <v>0</v>
      </c>
      <c r="AE98" s="341">
        <f ca="1">SUMIFS(bddres_c_qte,bddres_c_prod_type_aff,'SUIVI STOCKS PAR PAYSAN'!F98,'BDD RESERVATIONS'!$B:$B,"&gt;"&amp;date_inventaire)</f>
        <v>0</v>
      </c>
      <c r="AF98" s="342">
        <f ca="1">SUMIFS(bddres_pieces,es_prod_type_affinage,'SUIVI STOCKS PAR PAYSAN'!$F98,es_date_entree,"&gt;"&amp;date_inventaire,es_taille,'SUIVI STOCKS PAR PAYSAN'!$Z$7)-SUMIFS(v_Pièces,v_Taille,'SUIVI STOCKS PAR PAYSAN'!$Z$7,v_conc_prod_tye_affinage,'SUIVI STOCKS PAR PAYSAN'!$F98,v_Date_commande,"&gt;"&amp;date_inventaire)</f>
        <v>0</v>
      </c>
      <c r="AG98" s="342">
        <f ca="1">SUMIFS(bddres_pieces,'BDD RESERVATIONS'!$G:$G,'SUIVI STOCKS PAR PAYSAN'!$Z$7,bddres_c_prod_type_aff,'SUIVI STOCKS PAR PAYSAN'!$F98,'BDD RESERVATIONS'!$B:$B,"&gt;"&amp;date_inventaire)</f>
        <v>0</v>
      </c>
      <c r="AH98" s="343">
        <f ca="1">SUMIFS(es_pieces,es_prod_type_affinage,'SUIVI STOCKS PAR PAYSAN'!$F98,es_date_entree,"&gt;"&amp;date_inventaire,es_taille,'SUIVI STOCKS PAR PAYSAN'!$AH$7)-SUMIFS(v_Pièces,v_Taille,'SUIVI STOCKS PAR PAYSAN'!$AH$7,v_conc_prod_tye_affinage,'SUIVI STOCKS PAR PAYSAN'!$F98,v_Date_commande,"&gt;"&amp;date_inventaire)</f>
        <v>0</v>
      </c>
      <c r="AI98" s="353">
        <f ca="1">SUMIFS(bddres_pieces,'BDD RESERVATIONS'!$G:$G,'SUIVI STOCKS PAR PAYSAN'!$AB$7,bddres_c_prod_type_aff,'SUIVI STOCKS PAR PAYSAN'!$F98,'BDD RESERVATIONS'!$B:$B,"&gt;"&amp;date_inventaire)</f>
        <v>0</v>
      </c>
      <c r="AJ98" s="352">
        <f ca="1">SUMIFS(es_poids,es_prod_type_affinage,'SUIVI STOCKS PAR PAYSAN'!$G98,es_date_entree,"&gt;"&amp;date_inventaire)-SUMIFS(v_Poids,v_conc_prod_tye_affinage,'SUIVI STOCKS PAR PAYSAN'!$G98,v_Date_commande,"&gt;"&amp;date_inventaire)</f>
        <v>0</v>
      </c>
      <c r="AK98" s="341">
        <f ca="1">SUMIFS(bddres_c_qte,bddres_c_prod_type_aff,'SUIVI STOCKS PAR PAYSAN'!G98,'BDD RESERVATIONS'!$B:$B,"&gt;"&amp;date_inventaire)</f>
        <v>0</v>
      </c>
      <c r="AL98" s="342">
        <f ca="1">SUMIFS(bddres_pieces,es_prod_type_affinage,'SUIVI STOCKS PAR PAYSAN'!$G98,es_date_entree,"&gt;"&amp;date_inventaire,es_taille,'SUIVI STOCKS PAR PAYSAN'!$AL$7)-SUMIFS(v_Pièces,v_Taille,'SUIVI STOCKS PAR PAYSAN'!$AL$7,v_conc_prod_tye_affinage,'SUIVI STOCKS PAR PAYSAN'!$G98,v_Date_commande,"&gt;"&amp;date_inventaire)</f>
        <v>0</v>
      </c>
      <c r="AM98" s="342">
        <f ca="1">SUMIFS(bddres_pieces,'BDD RESERVATIONS'!$G:$G,'SUIVI STOCKS PAR PAYSAN'!$AL$7,bddres_c_prod_type_aff,'SUIVI STOCKS PAR PAYSAN'!$G98,'BDD RESERVATIONS'!$B:$B,"&gt;"&amp;date_inventaire)</f>
        <v>0</v>
      </c>
      <c r="AN98" s="343">
        <f ca="1">SUMIFS(es_pieces,es_prod_type_affinage,'SUIVI STOCKS PAR PAYSAN'!$G98,es_date_entree,"&gt;"&amp;date_inventaire,es_taille,'SUIVI STOCKS PAR PAYSAN'!$AN$7)-SUMIFS(v_Pièces,v_Taille,'SUIVI STOCKS PAR PAYSAN'!$AN$7,v_conc_prod_tye_affinage,'SUIVI STOCKS PAR PAYSAN'!$G98,v_Date_commande,"&gt;"&amp;date_inventaire)</f>
        <v>0</v>
      </c>
      <c r="AO98" s="353">
        <f ca="1">SUMIFS(bddres_pieces,'BDD RESERVATIONS'!$G:$G,'SUIVI STOCKS PAR PAYSAN'!$AN$7,bddres_c_prod_type_aff,'SUIVI STOCKS PAR PAYSAN'!$G98,'BDD RESERVATIONS'!$B:$B,"&gt;"&amp;date_inventaire)</f>
        <v>0</v>
      </c>
      <c r="AP98" s="313">
        <f ca="1">SUMIFS(es_poids,es_prod_type_affinage,'SUIVI STOCKS PAR PAYSAN'!$H98,es_date_entree,"&gt;"&amp;date_inventaire)-SUMIFS(v_Poids,v_conc_prod_tye_affinage,'SUIVI STOCKS PAR PAYSAN'!$H98,v_Date_commande,"&gt;"&amp;date_inventaire)</f>
        <v>0</v>
      </c>
      <c r="AQ98" s="341">
        <f ca="1">SUMIFS(bddres_c_qte,bddres_c_prod_type_aff,'SUIVI STOCKS PAR PAYSAN'!H98,'BDD RESERVATIONS'!$B:$B,"&gt;"&amp;date_inventaire)</f>
        <v>0</v>
      </c>
      <c r="AR98" s="342">
        <f ca="1">SUMIFS(bddres_pieces,es_prod_type_affinage,'SUIVI STOCKS PAR PAYSAN'!$H98,es_date_entree,"&gt;"&amp;date_inventaire,es_taille,'SUIVI STOCKS PAR PAYSAN'!$AR$7)-SUMIFS(v_Pièces,v_Taille,'SUIVI STOCKS PAR PAYSAN'!$AR$7,v_conc_prod_tye_affinage,'SUIVI STOCKS PAR PAYSAN'!$H98,v_Date_commande,"&gt;"&amp;date_inventaire)</f>
        <v>0</v>
      </c>
      <c r="AS98" s="326">
        <f ca="1">SUMIFS(bddres_pieces,'BDD RESERVATIONS'!$G:$G,'SUIVI STOCKS PAR PAYSAN'!AR93,bddres_c_prod_type_aff,'SUIVI STOCKS PAR PAYSAN'!$H98,'BDD RESERVATIONS'!$B:$B,"&gt;"&amp;date_inventaire)</f>
        <v>0</v>
      </c>
      <c r="AT98" s="343">
        <f ca="1">SUMIFS(es_pieces,es_prod_type_affinage,'SUIVI STOCKS PAR PAYSAN'!$H98,es_date_entree,"&gt;"&amp;date_inventaire,es_taille,'SUIVI STOCKS PAR PAYSAN'!$AT$7)-SUMIFS(v_Pièces,v_Taille,'SUIVI STOCKS PAR PAYSAN'!$AT$7,v_conc_prod_tye_affinage,'SUIVI STOCKS PAR PAYSAN'!$H98,v_Date_commande,"&gt;"&amp;date_inventaire)</f>
        <v>0</v>
      </c>
      <c r="AU98" s="353">
        <f ca="1">SUMIFS(bddres_pieces,'BDD RESERVATIONS'!$G:$G,'SUIVI STOCKS PAR PAYSAN'!$AT$7,bddres_c_prod_type_aff,'SUIVI STOCKS PAR PAYSAN'!$H98,'BDD RESERVATIONS'!$B:$B,"&gt;"&amp;date_inventaire)</f>
        <v>0</v>
      </c>
      <c r="AV98" s="313">
        <f ca="1">SUMIFS(es_poids,es_prod_type_affinage,'SUIVI STOCKS PAR PAYSAN'!$I98,es_date_entree,"&gt;"&amp;date_inventaire)-SUMIFS(v_Poids,v_conc_prod_tye_affinage,'SUIVI STOCKS PAR PAYSAN'!$E98,v_Date_commande,"&gt;"&amp;date_inventaire)</f>
        <v>0</v>
      </c>
      <c r="AW98" s="313">
        <f ca="1">SUMIFS(bddres_c_qte,bddres_c_prod_type_aff,'SUIVI STOCKS PAR PAYSAN'!I98,'BDD RESERVATIONS'!$B:$B,"&gt;"&amp;date_inventaire)</f>
        <v>0</v>
      </c>
      <c r="AX98" s="342">
        <f ca="1">SUMIFS(bddres_pieces,es_prod_type_affinage,'SUIVI STOCKS PAR PAYSAN'!$I98,es_date_entree,"&gt;"&amp;date_inventaire,es_taille,'SUIVI STOCKS PAR PAYSAN'!$AX$7)-SUMIFS(v_Pièces,v_Taille,'SUIVI STOCKS PAR PAYSAN'!$AX$7,v_conc_prod_tye_affinage,'SUIVI STOCKS PAR PAYSAN'!$I98,v_Date_commande,"&gt;"&amp;date_inventaire)</f>
        <v>0</v>
      </c>
      <c r="AY98" s="342">
        <f ca="1">SUMIFS(bddres_pieces,'BDD RESERVATIONS'!$G:$G,'SUIVI STOCKS PAR PAYSAN'!$AX$7,bddres_c_prod_type_aff,'SUIVI STOCKS PAR PAYSAN'!$I98,'BDD RESERVATIONS'!$B:$B,"&gt;"&amp;date_inventaire)</f>
        <v>0</v>
      </c>
      <c r="AZ98" s="343">
        <f ca="1">SUMIFS(es_pieces,es_prod_type_affinage,'SUIVI STOCKS PAR PAYSAN'!$I98,es_date_entree,"&gt;"&amp;date_inventaire,es_taille,'SUIVI STOCKS PAR PAYSAN'!$AZ$7)-SUMIFS(v_Pièces,v_Taille,'SUIVI STOCKS PAR PAYSAN'!$AZ$7,v_conc_prod_tye_affinage,'SUIVI STOCKS PAR PAYSAN'!$I98,v_Date_commande,"&gt;"&amp;date_inventaire)</f>
        <v>0</v>
      </c>
      <c r="BA98" s="353">
        <f ca="1">SUMIFS(bddres_pieces,'BDD RESERVATIONS'!$G:$G,'SUIVI STOCKS PAR PAYSAN'!$AZ$7,bddres_c_prod_type_aff,'SUIVI STOCKS PAR PAYSAN'!$I98,'BDD RESERVATIONS'!$B:$B,"&gt;"&amp;date_inventaire)</f>
        <v>0</v>
      </c>
      <c r="BB98" s="313">
        <f ca="1">SUMIFS(es_poids,es_prod_type_affinage,'SUIVI STOCKS PAR PAYSAN'!$J98,es_date_entree,"&gt;"&amp;date_inventaire)-SUMIFS(v_Poids,v_conc_prod_tye_affinage,'SUIVI STOCKS PAR PAYSAN'!$J98,v_Date_commande,"&gt;"&amp;date_inventaire)</f>
        <v>0</v>
      </c>
      <c r="BC98" s="313">
        <f ca="1">SUMIFS(bddres_c_qte,bddres_c_prod_type_aff,'SUIVI STOCKS PAR PAYSAN'!J98,'BDD RESERVATIONS'!$B:$B,"&gt;"&amp;date_inventaire)</f>
        <v>0</v>
      </c>
      <c r="BD98" s="342">
        <f ca="1">SUMIFS(bddres_pieces,es_prod_type_affinage,'SUIVI STOCKS PAR PAYSAN'!$J98,es_date_entree,"&gt;"&amp;date_inventaire,es_taille,'SUIVI STOCKS PAR PAYSAN'!$BD$7)-SUMIFS(v_Pièces,v_Taille,'SUIVI STOCKS PAR PAYSAN'!$BD$7,v_conc_prod_tye_affinage,'SUIVI STOCKS PAR PAYSAN'!$J98,v_Date_commande,"&gt;"&amp;date_inventaire)</f>
        <v>0</v>
      </c>
      <c r="BE98" s="326">
        <f ca="1">SUMIFS(bddres_pieces,'BDD RESERVATIONS'!$G:$G,'SUIVI STOCKS PAR PAYSAN'!BD93,bddres_c_prod_type_aff,'SUIVI STOCKS PAR PAYSAN'!J98,'BDD RESERVATIONS'!$B:$B,"&gt;"&amp;date_inventaire)</f>
        <v>0</v>
      </c>
      <c r="BF98" s="343">
        <f ca="1">SUMIFS(es_pieces,es_prod_type_affinage,'SUIVI STOCKS PAR PAYSAN'!J98,es_date_entree,"&gt;"&amp;date_inventaire,es_taille,'SUIVI STOCKS PAR PAYSAN'!$BF$7)-SUMIFS(v_Pièces,v_Taille,'SUIVI STOCKS PAR PAYSAN'!$BF$7,v_conc_prod_tye_affinage,'SUIVI STOCKS PAR PAYSAN'!J98,v_Date_commande,"&gt;"&amp;date_inventaire)</f>
        <v>0</v>
      </c>
      <c r="BG98" s="353">
        <f ca="1">SUMIFS(bddres_pieces,'BDD RESERVATIONS'!$G:$G,'SUIVI STOCKS PAR PAYSAN'!$BF$7,bddres_c_prod_type_aff,'SUIVI STOCKS PAR PAYSAN'!J98,'BDD RESERVATIONS'!$B:$B,"&gt;"&amp;date_inventaire)</f>
        <v>0</v>
      </c>
    </row>
    <row r="99" spans="1:59" ht="18.75" customHeight="1" x14ac:dyDescent="0.25">
      <c r="A99" s="331">
        <f ca="1">OFFSET('BDD PAYSANS'!$B$1,B99,0,1,1)</f>
        <v>0</v>
      </c>
      <c r="B99" s="325">
        <v>88</v>
      </c>
      <c r="C99" s="325" t="str">
        <f t="shared" ca="1" si="4"/>
        <v>0FERMIER&lt;3 mois</v>
      </c>
      <c r="D99" s="325" t="str">
        <f t="shared" ca="1" si="4"/>
        <v>0FERMIER3-6 mois</v>
      </c>
      <c r="E99" s="325" t="str">
        <f t="shared" ca="1" si="4"/>
        <v>0FERMIER6-9 mois</v>
      </c>
      <c r="F99" s="325" t="str">
        <f t="shared" ca="1" si="4"/>
        <v>0FERMIER&gt;9 mois</v>
      </c>
      <c r="G99" s="325" t="str">
        <f t="shared" ca="1" si="4"/>
        <v>0ESTIVE&lt;3 mois</v>
      </c>
      <c r="H99" s="325" t="str">
        <f t="shared" ca="1" si="4"/>
        <v>0ESTIVE3-6 mois</v>
      </c>
      <c r="I99" s="325" t="str">
        <f t="shared" ca="1" si="4"/>
        <v>0ESTIVE6-9 mois</v>
      </c>
      <c r="J99" s="325" t="str">
        <f t="shared" ca="1" si="4"/>
        <v>0ESTIVE&gt;9 mois</v>
      </c>
      <c r="K99" s="325"/>
      <c r="L99" s="352">
        <f ca="1">SUMIFS(es_poids,es_prod_type_affinage,'SUIVI STOCKS PAR PAYSAN'!$C99,es_date_entree,"&gt;"&amp;date_inventaire)-SUMIFS(v_Poids,v_conc_prod_tye_affinage,'SUIVI STOCKS PAR PAYSAN'!$C99,v_Date_commande,"&gt;"&amp;date_inventaire)</f>
        <v>0</v>
      </c>
      <c r="M99" s="341">
        <f ca="1">SUMIFS(bddres_c_qte,bddres_c_prod_type_aff,'SUIVI STOCKS PAR PAYSAN'!C99,'BDD RESERVATIONS'!$B:$B,"&gt;"&amp;date_inventaire)</f>
        <v>0</v>
      </c>
      <c r="N99" s="342">
        <f ca="1">SUMIFS(bddres_pieces,es_prod_type_affinage,'SUIVI STOCKS PAR PAYSAN'!$C99,es_date_entree,"&gt;"&amp;date_inventaire,es_taille,'SUIVI STOCKS PAR PAYSAN'!$N$7)-SUMIFS(v_Pièces,v_Taille,'SUIVI STOCKS PAR PAYSAN'!$N$7,v_conc_prod_tye_affinage,'SUIVI STOCKS PAR PAYSAN'!$C99,v_Date_commande,"&gt;"&amp;date_inventaire)</f>
        <v>0</v>
      </c>
      <c r="O99" s="342">
        <f ca="1">SUMIFS(bddres_pieces,'BDD RESERVATIONS'!$G:$G,'SUIVI STOCKS PAR PAYSAN'!$N$7,bddres_c_prod_type_aff,'SUIVI STOCKS PAR PAYSAN'!$C99,'BDD RESERVATIONS'!$B:$B,"&gt;"&amp;date_inventaire)</f>
        <v>0</v>
      </c>
      <c r="P99" s="343">
        <f ca="1">SUMIFS(es_pieces,es_prod_type_affinage,'SUIVI STOCKS PAR PAYSAN'!$C99,es_date_entree,"&gt;"&amp;date_inventaire,es_taille,'SUIVI STOCKS PAR PAYSAN'!$P$7)-SUMIFS(v_Pièces,v_Taille,'SUIVI STOCKS PAR PAYSAN'!$P$7,v_conc_prod_tye_affinage,'SUIVI STOCKS PAR PAYSAN'!$C99,v_Date_commande,"&gt;"&amp;date_inventaire)</f>
        <v>0</v>
      </c>
      <c r="Q99" s="353">
        <f ca="1">SUMIFS(bddres_pieces,'BDD RESERVATIONS'!$G:$G,'SUIVI STOCKS PAR PAYSAN'!$P$7,bddres_c_prod_type_aff,'SUIVI STOCKS PAR PAYSAN'!$C99,'BDD RESERVATIONS'!$B:$B,"&gt;"&amp;date_inventaire)</f>
        <v>0</v>
      </c>
      <c r="R99" s="340">
        <f ca="1">SUMIFS(es_poids,es_prod_type_affinage,'SUIVI STOCKS PAR PAYSAN'!$D99,es_date_entree,"&gt;"&amp;date_inventaire)-SUMIFS(v_Poids,v_conc_prod_tye_affinage,'SUIVI STOCKS PAR PAYSAN'!$D99,v_Date_commande,"&gt;"&amp;date_inventaire)</f>
        <v>0</v>
      </c>
      <c r="S99" s="341">
        <f ca="1">SUMIFS(bddres_c_qte,bddres_c_prod_type_aff,'SUIVI STOCKS PAR PAYSAN'!D99,'BDD RESERVATIONS'!$B:$B,"&gt;"&amp;date_inventaire)</f>
        <v>0</v>
      </c>
      <c r="T99" s="342">
        <f ca="1">SUMIFS(bddres_pieces,es_prod_type_affinage,'SUIVI STOCKS PAR PAYSAN'!$D99,es_date_entree,"&gt;"&amp;date_inventaire,es_taille,'SUIVI STOCKS PAR PAYSAN'!$T$7)-SUMIFS(v_Pièces,v_Taille,'SUIVI STOCKS PAR PAYSAN'!$T$7,v_conc_prod_tye_affinage,'SUIVI STOCKS PAR PAYSAN'!$D99,v_Date_commande,"&gt;"&amp;date_inventaire)</f>
        <v>0</v>
      </c>
      <c r="U99" s="342">
        <f ca="1">SUMIFS(bddres_pieces,'BDD RESERVATIONS'!$G:$G,'SUIVI STOCKS PAR PAYSAN'!$T$7,bddres_c_prod_type_aff,'SUIVI STOCKS PAR PAYSAN'!$D99,'BDD RESERVATIONS'!$B:$B,"&gt;"&amp;date_inventaire)</f>
        <v>0</v>
      </c>
      <c r="V99" s="343">
        <f ca="1">SUMIFS(es_pieces,es_prod_type_affinage,'SUIVI STOCKS PAR PAYSAN'!$D99,es_date_entree,"&gt;"&amp;date_inventaire,es_taille,'SUIVI STOCKS PAR PAYSAN'!$V$7)-SUMIFS(v_Pièces,v_Taille,'SUIVI STOCKS PAR PAYSAN'!$V$7,v_conc_prod_tye_affinage,'SUIVI STOCKS PAR PAYSAN'!$D99,v_Date_commande,"&gt;"&amp;date_inventaire)</f>
        <v>0</v>
      </c>
      <c r="W99" s="353">
        <f ca="1">SUMIFS(bddres_pieces,'BDD RESERVATIONS'!$G:$G,'SUIVI STOCKS PAR PAYSAN'!$V$7,bddres_c_prod_type_aff,'SUIVI STOCKS PAR PAYSAN'!$D99,'BDD RESERVATIONS'!$B:$B,"&gt;"&amp;date_inventaire)</f>
        <v>0</v>
      </c>
      <c r="X99" s="313">
        <f ca="1">SUMIFS(es_poids,es_prod_type_affinage,'SUIVI STOCKS PAR PAYSAN'!$E99,es_date_entree,"&gt;"&amp;date_inventaire)-SUMIFS(v_Poids,v_conc_prod_tye_affinage,'SUIVI STOCKS PAR PAYSAN'!$E99,v_Date_commande,"&gt;"&amp;date_inventaire)</f>
        <v>0</v>
      </c>
      <c r="Y99" s="341">
        <f ca="1">SUMIFS(bddres_c_qte,bddres_c_prod_type_aff,'SUIVI STOCKS PAR PAYSAN'!E99,'BDD RESERVATIONS'!$B:$B,"&gt;"&amp;date_inventaire)</f>
        <v>0</v>
      </c>
      <c r="Z99" s="342">
        <f ca="1">SUMIFS(bddres_pieces,es_prod_type_affinage,'SUIVI STOCKS PAR PAYSAN'!$E99,es_date_entree,"&gt;"&amp;date_inventaire,es_taille,'SUIVI STOCKS PAR PAYSAN'!$Z$7)-SUMIFS(v_Pièces,v_Taille,'SUIVI STOCKS PAR PAYSAN'!$Z$7,v_conc_prod_tye_affinage,'SUIVI STOCKS PAR PAYSAN'!$E99,v_Date_commande,"&gt;"&amp;date_inventaire)</f>
        <v>0</v>
      </c>
      <c r="AA99" s="342">
        <f ca="1">SUMIFS(bddres_pieces,'BDD RESERVATIONS'!$G:$G,'SUIVI STOCKS PAR PAYSAN'!$Z$7,bddres_c_prod_type_aff,'SUIVI STOCKS PAR PAYSAN'!$E99,'BDD RESERVATIONS'!$B:$B,"&gt;"&amp;date_inventaire)</f>
        <v>0</v>
      </c>
      <c r="AB99" s="343">
        <f ca="1">SUMIFS(es_pieces,es_prod_type_affinage,'SUIVI STOCKS PAR PAYSAN'!$E99,es_date_entree,"&gt;"&amp;date_inventaire,es_taille,'SUIVI STOCKS PAR PAYSAN'!$AB$7)-SUMIFS(v_Pièces,v_Taille,'SUIVI STOCKS PAR PAYSAN'!$AB$7,v_conc_prod_tye_affinage,'SUIVI STOCKS PAR PAYSAN'!$E99,v_Date_commande,"&gt;"&amp;date_inventaire)</f>
        <v>0</v>
      </c>
      <c r="AC99" s="353">
        <f ca="1">SUMIFS(bddres_pieces,'BDD RESERVATIONS'!$G:$G,'SUIVI STOCKS PAR PAYSAN'!$AB$7,bddres_c_prod_type_aff,'SUIVI STOCKS PAR PAYSAN'!$E99,'BDD RESERVATIONS'!$B:$B,"&gt;"&amp;date_inventaire)</f>
        <v>0</v>
      </c>
      <c r="AD99" s="313">
        <f ca="1">SUMIFS(es_poids,es_prod_type_affinage,'SUIVI STOCKS PAR PAYSAN'!$F99,es_date_entree,"&gt;"&amp;date_inventaire)-SUMIFS(v_Poids,v_conc_prod_tye_affinage,'SUIVI STOCKS PAR PAYSAN'!$F99,v_Date_commande,"&gt;"&amp;date_inventaire)</f>
        <v>0</v>
      </c>
      <c r="AE99" s="341">
        <f ca="1">SUMIFS(bddres_c_qte,bddres_c_prod_type_aff,'SUIVI STOCKS PAR PAYSAN'!F99,'BDD RESERVATIONS'!$B:$B,"&gt;"&amp;date_inventaire)</f>
        <v>0</v>
      </c>
      <c r="AF99" s="342">
        <f ca="1">SUMIFS(bddres_pieces,es_prod_type_affinage,'SUIVI STOCKS PAR PAYSAN'!$F99,es_date_entree,"&gt;"&amp;date_inventaire,es_taille,'SUIVI STOCKS PAR PAYSAN'!$Z$7)-SUMIFS(v_Pièces,v_Taille,'SUIVI STOCKS PAR PAYSAN'!$Z$7,v_conc_prod_tye_affinage,'SUIVI STOCKS PAR PAYSAN'!$F99,v_Date_commande,"&gt;"&amp;date_inventaire)</f>
        <v>0</v>
      </c>
      <c r="AG99" s="342">
        <f ca="1">SUMIFS(bddres_pieces,'BDD RESERVATIONS'!$G:$G,'SUIVI STOCKS PAR PAYSAN'!$Z$7,bddres_c_prod_type_aff,'SUIVI STOCKS PAR PAYSAN'!$F99,'BDD RESERVATIONS'!$B:$B,"&gt;"&amp;date_inventaire)</f>
        <v>0</v>
      </c>
      <c r="AH99" s="343">
        <f ca="1">SUMIFS(es_pieces,es_prod_type_affinage,'SUIVI STOCKS PAR PAYSAN'!$F99,es_date_entree,"&gt;"&amp;date_inventaire,es_taille,'SUIVI STOCKS PAR PAYSAN'!$AH$7)-SUMIFS(v_Pièces,v_Taille,'SUIVI STOCKS PAR PAYSAN'!$AH$7,v_conc_prod_tye_affinage,'SUIVI STOCKS PAR PAYSAN'!$F99,v_Date_commande,"&gt;"&amp;date_inventaire)</f>
        <v>0</v>
      </c>
      <c r="AI99" s="353">
        <f ca="1">SUMIFS(bddres_pieces,'BDD RESERVATIONS'!$G:$G,'SUIVI STOCKS PAR PAYSAN'!$AB$7,bddres_c_prod_type_aff,'SUIVI STOCKS PAR PAYSAN'!$F99,'BDD RESERVATIONS'!$B:$B,"&gt;"&amp;date_inventaire)</f>
        <v>0</v>
      </c>
      <c r="AJ99" s="352">
        <f ca="1">SUMIFS(es_poids,es_prod_type_affinage,'SUIVI STOCKS PAR PAYSAN'!$G99,es_date_entree,"&gt;"&amp;date_inventaire)-SUMIFS(v_Poids,v_conc_prod_tye_affinage,'SUIVI STOCKS PAR PAYSAN'!$G99,v_Date_commande,"&gt;"&amp;date_inventaire)</f>
        <v>0</v>
      </c>
      <c r="AK99" s="341">
        <f ca="1">SUMIFS(bddres_c_qte,bddres_c_prod_type_aff,'SUIVI STOCKS PAR PAYSAN'!G99,'BDD RESERVATIONS'!$B:$B,"&gt;"&amp;date_inventaire)</f>
        <v>0</v>
      </c>
      <c r="AL99" s="342">
        <f ca="1">SUMIFS(bddres_pieces,es_prod_type_affinage,'SUIVI STOCKS PAR PAYSAN'!$G99,es_date_entree,"&gt;"&amp;date_inventaire,es_taille,'SUIVI STOCKS PAR PAYSAN'!$AL$7)-SUMIFS(v_Pièces,v_Taille,'SUIVI STOCKS PAR PAYSAN'!$AL$7,v_conc_prod_tye_affinage,'SUIVI STOCKS PAR PAYSAN'!$G99,v_Date_commande,"&gt;"&amp;date_inventaire)</f>
        <v>0</v>
      </c>
      <c r="AM99" s="342">
        <f ca="1">SUMIFS(bddres_pieces,'BDD RESERVATIONS'!$G:$G,'SUIVI STOCKS PAR PAYSAN'!$AL$7,bddres_c_prod_type_aff,'SUIVI STOCKS PAR PAYSAN'!$G99,'BDD RESERVATIONS'!$B:$B,"&gt;"&amp;date_inventaire)</f>
        <v>0</v>
      </c>
      <c r="AN99" s="343">
        <f ca="1">SUMIFS(es_pieces,es_prod_type_affinage,'SUIVI STOCKS PAR PAYSAN'!$G99,es_date_entree,"&gt;"&amp;date_inventaire,es_taille,'SUIVI STOCKS PAR PAYSAN'!$AN$7)-SUMIFS(v_Pièces,v_Taille,'SUIVI STOCKS PAR PAYSAN'!$AN$7,v_conc_prod_tye_affinage,'SUIVI STOCKS PAR PAYSAN'!$G99,v_Date_commande,"&gt;"&amp;date_inventaire)</f>
        <v>0</v>
      </c>
      <c r="AO99" s="353">
        <f ca="1">SUMIFS(bddres_pieces,'BDD RESERVATIONS'!$G:$G,'SUIVI STOCKS PAR PAYSAN'!$AN$7,bddres_c_prod_type_aff,'SUIVI STOCKS PAR PAYSAN'!$G99,'BDD RESERVATIONS'!$B:$B,"&gt;"&amp;date_inventaire)</f>
        <v>0</v>
      </c>
      <c r="AP99" s="313">
        <f ca="1">SUMIFS(es_poids,es_prod_type_affinage,'SUIVI STOCKS PAR PAYSAN'!$H99,es_date_entree,"&gt;"&amp;date_inventaire)-SUMIFS(v_Poids,v_conc_prod_tye_affinage,'SUIVI STOCKS PAR PAYSAN'!$H99,v_Date_commande,"&gt;"&amp;date_inventaire)</f>
        <v>0</v>
      </c>
      <c r="AQ99" s="341">
        <f ca="1">SUMIFS(bddres_c_qte,bddres_c_prod_type_aff,'SUIVI STOCKS PAR PAYSAN'!H99,'BDD RESERVATIONS'!$B:$B,"&gt;"&amp;date_inventaire)</f>
        <v>0</v>
      </c>
      <c r="AR99" s="342">
        <f ca="1">SUMIFS(bddres_pieces,es_prod_type_affinage,'SUIVI STOCKS PAR PAYSAN'!$H99,es_date_entree,"&gt;"&amp;date_inventaire,es_taille,'SUIVI STOCKS PAR PAYSAN'!$AR$7)-SUMIFS(v_Pièces,v_Taille,'SUIVI STOCKS PAR PAYSAN'!$AR$7,v_conc_prod_tye_affinage,'SUIVI STOCKS PAR PAYSAN'!$H99,v_Date_commande,"&gt;"&amp;date_inventaire)</f>
        <v>0</v>
      </c>
      <c r="AS99" s="326">
        <f ca="1">SUMIFS(bddres_pieces,'BDD RESERVATIONS'!$G:$G,'SUIVI STOCKS PAR PAYSAN'!AR94,bddres_c_prod_type_aff,'SUIVI STOCKS PAR PAYSAN'!$H99,'BDD RESERVATIONS'!$B:$B,"&gt;"&amp;date_inventaire)</f>
        <v>0</v>
      </c>
      <c r="AT99" s="343">
        <f ca="1">SUMIFS(es_pieces,es_prod_type_affinage,'SUIVI STOCKS PAR PAYSAN'!$H99,es_date_entree,"&gt;"&amp;date_inventaire,es_taille,'SUIVI STOCKS PAR PAYSAN'!$AT$7)-SUMIFS(v_Pièces,v_Taille,'SUIVI STOCKS PAR PAYSAN'!$AT$7,v_conc_prod_tye_affinage,'SUIVI STOCKS PAR PAYSAN'!$H99,v_Date_commande,"&gt;"&amp;date_inventaire)</f>
        <v>0</v>
      </c>
      <c r="AU99" s="353">
        <f ca="1">SUMIFS(bddres_pieces,'BDD RESERVATIONS'!$G:$G,'SUIVI STOCKS PAR PAYSAN'!$AT$7,bddres_c_prod_type_aff,'SUIVI STOCKS PAR PAYSAN'!$H99,'BDD RESERVATIONS'!$B:$B,"&gt;"&amp;date_inventaire)</f>
        <v>0</v>
      </c>
      <c r="AV99" s="313">
        <f ca="1">SUMIFS(es_poids,es_prod_type_affinage,'SUIVI STOCKS PAR PAYSAN'!$I99,es_date_entree,"&gt;"&amp;date_inventaire)-SUMIFS(v_Poids,v_conc_prod_tye_affinage,'SUIVI STOCKS PAR PAYSAN'!$E99,v_Date_commande,"&gt;"&amp;date_inventaire)</f>
        <v>0</v>
      </c>
      <c r="AW99" s="313">
        <f ca="1">SUMIFS(bddres_c_qte,bddres_c_prod_type_aff,'SUIVI STOCKS PAR PAYSAN'!I99,'BDD RESERVATIONS'!$B:$B,"&gt;"&amp;date_inventaire)</f>
        <v>0</v>
      </c>
      <c r="AX99" s="342">
        <f ca="1">SUMIFS(bddres_pieces,es_prod_type_affinage,'SUIVI STOCKS PAR PAYSAN'!$I99,es_date_entree,"&gt;"&amp;date_inventaire,es_taille,'SUIVI STOCKS PAR PAYSAN'!$AX$7)-SUMIFS(v_Pièces,v_Taille,'SUIVI STOCKS PAR PAYSAN'!$AX$7,v_conc_prod_tye_affinage,'SUIVI STOCKS PAR PAYSAN'!$I99,v_Date_commande,"&gt;"&amp;date_inventaire)</f>
        <v>0</v>
      </c>
      <c r="AY99" s="342">
        <f ca="1">SUMIFS(bddres_pieces,'BDD RESERVATIONS'!$G:$G,'SUIVI STOCKS PAR PAYSAN'!$AX$7,bddres_c_prod_type_aff,'SUIVI STOCKS PAR PAYSAN'!$I99,'BDD RESERVATIONS'!$B:$B,"&gt;"&amp;date_inventaire)</f>
        <v>0</v>
      </c>
      <c r="AZ99" s="343">
        <f ca="1">SUMIFS(es_pieces,es_prod_type_affinage,'SUIVI STOCKS PAR PAYSAN'!$I99,es_date_entree,"&gt;"&amp;date_inventaire,es_taille,'SUIVI STOCKS PAR PAYSAN'!$AZ$7)-SUMIFS(v_Pièces,v_Taille,'SUIVI STOCKS PAR PAYSAN'!$AZ$7,v_conc_prod_tye_affinage,'SUIVI STOCKS PAR PAYSAN'!$I99,v_Date_commande,"&gt;"&amp;date_inventaire)</f>
        <v>0</v>
      </c>
      <c r="BA99" s="353">
        <f ca="1">SUMIFS(bddres_pieces,'BDD RESERVATIONS'!$G:$G,'SUIVI STOCKS PAR PAYSAN'!$AZ$7,bddres_c_prod_type_aff,'SUIVI STOCKS PAR PAYSAN'!$I99,'BDD RESERVATIONS'!$B:$B,"&gt;"&amp;date_inventaire)</f>
        <v>0</v>
      </c>
      <c r="BB99" s="313">
        <f ca="1">SUMIFS(es_poids,es_prod_type_affinage,'SUIVI STOCKS PAR PAYSAN'!$J99,es_date_entree,"&gt;"&amp;date_inventaire)-SUMIFS(v_Poids,v_conc_prod_tye_affinage,'SUIVI STOCKS PAR PAYSAN'!$J99,v_Date_commande,"&gt;"&amp;date_inventaire)</f>
        <v>0</v>
      </c>
      <c r="BC99" s="313">
        <f ca="1">SUMIFS(bddres_c_qte,bddres_c_prod_type_aff,'SUIVI STOCKS PAR PAYSAN'!J99,'BDD RESERVATIONS'!$B:$B,"&gt;"&amp;date_inventaire)</f>
        <v>0</v>
      </c>
      <c r="BD99" s="342">
        <f ca="1">SUMIFS(bddres_pieces,es_prod_type_affinage,'SUIVI STOCKS PAR PAYSAN'!$J99,es_date_entree,"&gt;"&amp;date_inventaire,es_taille,'SUIVI STOCKS PAR PAYSAN'!$BD$7)-SUMIFS(v_Pièces,v_Taille,'SUIVI STOCKS PAR PAYSAN'!$BD$7,v_conc_prod_tye_affinage,'SUIVI STOCKS PAR PAYSAN'!$J99,v_Date_commande,"&gt;"&amp;date_inventaire)</f>
        <v>0</v>
      </c>
      <c r="BE99" s="326">
        <f ca="1">SUMIFS(bddres_pieces,'BDD RESERVATIONS'!$G:$G,'SUIVI STOCKS PAR PAYSAN'!BD94,bddres_c_prod_type_aff,'SUIVI STOCKS PAR PAYSAN'!J99,'BDD RESERVATIONS'!$B:$B,"&gt;"&amp;date_inventaire)</f>
        <v>0</v>
      </c>
      <c r="BF99" s="343">
        <f ca="1">SUMIFS(es_pieces,es_prod_type_affinage,'SUIVI STOCKS PAR PAYSAN'!J99,es_date_entree,"&gt;"&amp;date_inventaire,es_taille,'SUIVI STOCKS PAR PAYSAN'!$BF$7)-SUMIFS(v_Pièces,v_Taille,'SUIVI STOCKS PAR PAYSAN'!$BF$7,v_conc_prod_tye_affinage,'SUIVI STOCKS PAR PAYSAN'!J99,v_Date_commande,"&gt;"&amp;date_inventaire)</f>
        <v>0</v>
      </c>
      <c r="BG99" s="353">
        <f ca="1">SUMIFS(bddres_pieces,'BDD RESERVATIONS'!$G:$G,'SUIVI STOCKS PAR PAYSAN'!$BF$7,bddres_c_prod_type_aff,'SUIVI STOCKS PAR PAYSAN'!J99,'BDD RESERVATIONS'!$B:$B,"&gt;"&amp;date_inventaire)</f>
        <v>0</v>
      </c>
    </row>
    <row r="100" spans="1:59" ht="18.75" customHeight="1" x14ac:dyDescent="0.25">
      <c r="A100" s="331">
        <f ca="1">OFFSET('BDD PAYSANS'!$B$1,B100,0,1,1)</f>
        <v>0</v>
      </c>
      <c r="B100" s="325">
        <v>89</v>
      </c>
      <c r="C100" s="325" t="str">
        <f t="shared" ca="1" si="4"/>
        <v>0FERMIER&lt;3 mois</v>
      </c>
      <c r="D100" s="325" t="str">
        <f t="shared" ca="1" si="4"/>
        <v>0FERMIER3-6 mois</v>
      </c>
      <c r="E100" s="325" t="str">
        <f t="shared" ca="1" si="4"/>
        <v>0FERMIER6-9 mois</v>
      </c>
      <c r="F100" s="325" t="str">
        <f t="shared" ca="1" si="4"/>
        <v>0FERMIER&gt;9 mois</v>
      </c>
      <c r="G100" s="325" t="str">
        <f t="shared" ca="1" si="4"/>
        <v>0ESTIVE&lt;3 mois</v>
      </c>
      <c r="H100" s="325" t="str">
        <f t="shared" ca="1" si="4"/>
        <v>0ESTIVE3-6 mois</v>
      </c>
      <c r="I100" s="325" t="str">
        <f t="shared" ca="1" si="4"/>
        <v>0ESTIVE6-9 mois</v>
      </c>
      <c r="J100" s="325" t="str">
        <f t="shared" ca="1" si="4"/>
        <v>0ESTIVE&gt;9 mois</v>
      </c>
      <c r="K100" s="325"/>
      <c r="L100" s="352">
        <f ca="1">SUMIFS(es_poids,es_prod_type_affinage,'SUIVI STOCKS PAR PAYSAN'!$C100,es_date_entree,"&gt;"&amp;date_inventaire)-SUMIFS(v_Poids,v_conc_prod_tye_affinage,'SUIVI STOCKS PAR PAYSAN'!$C100,v_Date_commande,"&gt;"&amp;date_inventaire)</f>
        <v>0</v>
      </c>
      <c r="M100" s="341">
        <f ca="1">SUMIFS(bddres_c_qte,bddres_c_prod_type_aff,'SUIVI STOCKS PAR PAYSAN'!C100,'BDD RESERVATIONS'!$B:$B,"&gt;"&amp;date_inventaire)</f>
        <v>0</v>
      </c>
      <c r="N100" s="342">
        <f ca="1">SUMIFS(bddres_pieces,es_prod_type_affinage,'SUIVI STOCKS PAR PAYSAN'!$C100,es_date_entree,"&gt;"&amp;date_inventaire,es_taille,'SUIVI STOCKS PAR PAYSAN'!$N$7)-SUMIFS(v_Pièces,v_Taille,'SUIVI STOCKS PAR PAYSAN'!$N$7,v_conc_prod_tye_affinage,'SUIVI STOCKS PAR PAYSAN'!$C100,v_Date_commande,"&gt;"&amp;date_inventaire)</f>
        <v>0</v>
      </c>
      <c r="O100" s="342">
        <f ca="1">SUMIFS(bddres_pieces,'BDD RESERVATIONS'!$G:$G,'SUIVI STOCKS PAR PAYSAN'!$N$7,bddres_c_prod_type_aff,'SUIVI STOCKS PAR PAYSAN'!$C100,'BDD RESERVATIONS'!$B:$B,"&gt;"&amp;date_inventaire)</f>
        <v>0</v>
      </c>
      <c r="P100" s="343">
        <f ca="1">SUMIFS(es_pieces,es_prod_type_affinage,'SUIVI STOCKS PAR PAYSAN'!$C100,es_date_entree,"&gt;"&amp;date_inventaire,es_taille,'SUIVI STOCKS PAR PAYSAN'!$P$7)-SUMIFS(v_Pièces,v_Taille,'SUIVI STOCKS PAR PAYSAN'!$P$7,v_conc_prod_tye_affinage,'SUIVI STOCKS PAR PAYSAN'!$C100,v_Date_commande,"&gt;"&amp;date_inventaire)</f>
        <v>0</v>
      </c>
      <c r="Q100" s="353">
        <f ca="1">SUMIFS(bddres_pieces,'BDD RESERVATIONS'!$G:$G,'SUIVI STOCKS PAR PAYSAN'!$P$7,bddres_c_prod_type_aff,'SUIVI STOCKS PAR PAYSAN'!$C100,'BDD RESERVATIONS'!$B:$B,"&gt;"&amp;date_inventaire)</f>
        <v>0</v>
      </c>
      <c r="R100" s="340">
        <f ca="1">SUMIFS(es_poids,es_prod_type_affinage,'SUIVI STOCKS PAR PAYSAN'!$D100,es_date_entree,"&gt;"&amp;date_inventaire)-SUMIFS(v_Poids,v_conc_prod_tye_affinage,'SUIVI STOCKS PAR PAYSAN'!$D100,v_Date_commande,"&gt;"&amp;date_inventaire)</f>
        <v>0</v>
      </c>
      <c r="S100" s="341">
        <f ca="1">SUMIFS(bddres_c_qte,bddres_c_prod_type_aff,'SUIVI STOCKS PAR PAYSAN'!D100,'BDD RESERVATIONS'!$B:$B,"&gt;"&amp;date_inventaire)</f>
        <v>0</v>
      </c>
      <c r="T100" s="342">
        <f ca="1">SUMIFS(bddres_pieces,es_prod_type_affinage,'SUIVI STOCKS PAR PAYSAN'!$D100,es_date_entree,"&gt;"&amp;date_inventaire,es_taille,'SUIVI STOCKS PAR PAYSAN'!$T$7)-SUMIFS(v_Pièces,v_Taille,'SUIVI STOCKS PAR PAYSAN'!$T$7,v_conc_prod_tye_affinage,'SUIVI STOCKS PAR PAYSAN'!$D100,v_Date_commande,"&gt;"&amp;date_inventaire)</f>
        <v>0</v>
      </c>
      <c r="U100" s="342">
        <f ca="1">SUMIFS(bddres_pieces,'BDD RESERVATIONS'!$G:$G,'SUIVI STOCKS PAR PAYSAN'!$T$7,bddres_c_prod_type_aff,'SUIVI STOCKS PAR PAYSAN'!$D100,'BDD RESERVATIONS'!$B:$B,"&gt;"&amp;date_inventaire)</f>
        <v>0</v>
      </c>
      <c r="V100" s="343">
        <f ca="1">SUMIFS(es_pieces,es_prod_type_affinage,'SUIVI STOCKS PAR PAYSAN'!$D100,es_date_entree,"&gt;"&amp;date_inventaire,es_taille,'SUIVI STOCKS PAR PAYSAN'!$V$7)-SUMIFS(v_Pièces,v_Taille,'SUIVI STOCKS PAR PAYSAN'!$V$7,v_conc_prod_tye_affinage,'SUIVI STOCKS PAR PAYSAN'!$D100,v_Date_commande,"&gt;"&amp;date_inventaire)</f>
        <v>0</v>
      </c>
      <c r="W100" s="353">
        <f ca="1">SUMIFS(bddres_pieces,'BDD RESERVATIONS'!$G:$G,'SUIVI STOCKS PAR PAYSAN'!$V$7,bddres_c_prod_type_aff,'SUIVI STOCKS PAR PAYSAN'!$D100,'BDD RESERVATIONS'!$B:$B,"&gt;"&amp;date_inventaire)</f>
        <v>0</v>
      </c>
      <c r="X100" s="313">
        <f ca="1">SUMIFS(es_poids,es_prod_type_affinage,'SUIVI STOCKS PAR PAYSAN'!$E100,es_date_entree,"&gt;"&amp;date_inventaire)-SUMIFS(v_Poids,v_conc_prod_tye_affinage,'SUIVI STOCKS PAR PAYSAN'!$E100,v_Date_commande,"&gt;"&amp;date_inventaire)</f>
        <v>0</v>
      </c>
      <c r="Y100" s="341">
        <f ca="1">SUMIFS(bddres_c_qte,bddres_c_prod_type_aff,'SUIVI STOCKS PAR PAYSAN'!E100,'BDD RESERVATIONS'!$B:$B,"&gt;"&amp;date_inventaire)</f>
        <v>0</v>
      </c>
      <c r="Z100" s="342">
        <f ca="1">SUMIFS(bddres_pieces,es_prod_type_affinage,'SUIVI STOCKS PAR PAYSAN'!$E100,es_date_entree,"&gt;"&amp;date_inventaire,es_taille,'SUIVI STOCKS PAR PAYSAN'!$Z$7)-SUMIFS(v_Pièces,v_Taille,'SUIVI STOCKS PAR PAYSAN'!$Z$7,v_conc_prod_tye_affinage,'SUIVI STOCKS PAR PAYSAN'!$E100,v_Date_commande,"&gt;"&amp;date_inventaire)</f>
        <v>0</v>
      </c>
      <c r="AA100" s="342">
        <f ca="1">SUMIFS(bddres_pieces,'BDD RESERVATIONS'!$G:$G,'SUIVI STOCKS PAR PAYSAN'!$Z$7,bddres_c_prod_type_aff,'SUIVI STOCKS PAR PAYSAN'!$E100,'BDD RESERVATIONS'!$B:$B,"&gt;"&amp;date_inventaire)</f>
        <v>0</v>
      </c>
      <c r="AB100" s="343">
        <f ca="1">SUMIFS(es_pieces,es_prod_type_affinage,'SUIVI STOCKS PAR PAYSAN'!$E100,es_date_entree,"&gt;"&amp;date_inventaire,es_taille,'SUIVI STOCKS PAR PAYSAN'!$AB$7)-SUMIFS(v_Pièces,v_Taille,'SUIVI STOCKS PAR PAYSAN'!$AB$7,v_conc_prod_tye_affinage,'SUIVI STOCKS PAR PAYSAN'!$E100,v_Date_commande,"&gt;"&amp;date_inventaire)</f>
        <v>0</v>
      </c>
      <c r="AC100" s="353">
        <f ca="1">SUMIFS(bddres_pieces,'BDD RESERVATIONS'!$G:$G,'SUIVI STOCKS PAR PAYSAN'!$AB$7,bddres_c_prod_type_aff,'SUIVI STOCKS PAR PAYSAN'!$E100,'BDD RESERVATIONS'!$B:$B,"&gt;"&amp;date_inventaire)</f>
        <v>0</v>
      </c>
      <c r="AD100" s="313">
        <f ca="1">SUMIFS(es_poids,es_prod_type_affinage,'SUIVI STOCKS PAR PAYSAN'!$F100,es_date_entree,"&gt;"&amp;date_inventaire)-SUMIFS(v_Poids,v_conc_prod_tye_affinage,'SUIVI STOCKS PAR PAYSAN'!$F100,v_Date_commande,"&gt;"&amp;date_inventaire)</f>
        <v>0</v>
      </c>
      <c r="AE100" s="341">
        <f ca="1">SUMIFS(bddres_c_qte,bddres_c_prod_type_aff,'SUIVI STOCKS PAR PAYSAN'!F100,'BDD RESERVATIONS'!$B:$B,"&gt;"&amp;date_inventaire)</f>
        <v>0</v>
      </c>
      <c r="AF100" s="342">
        <f ca="1">SUMIFS(bddres_pieces,es_prod_type_affinage,'SUIVI STOCKS PAR PAYSAN'!$F100,es_date_entree,"&gt;"&amp;date_inventaire,es_taille,'SUIVI STOCKS PAR PAYSAN'!$Z$7)-SUMIFS(v_Pièces,v_Taille,'SUIVI STOCKS PAR PAYSAN'!$Z$7,v_conc_prod_tye_affinage,'SUIVI STOCKS PAR PAYSAN'!$F100,v_Date_commande,"&gt;"&amp;date_inventaire)</f>
        <v>0</v>
      </c>
      <c r="AG100" s="342">
        <f ca="1">SUMIFS(bddres_pieces,'BDD RESERVATIONS'!$G:$G,'SUIVI STOCKS PAR PAYSAN'!$Z$7,bddres_c_prod_type_aff,'SUIVI STOCKS PAR PAYSAN'!$F100,'BDD RESERVATIONS'!$B:$B,"&gt;"&amp;date_inventaire)</f>
        <v>0</v>
      </c>
      <c r="AH100" s="343">
        <f ca="1">SUMIFS(es_pieces,es_prod_type_affinage,'SUIVI STOCKS PAR PAYSAN'!$F100,es_date_entree,"&gt;"&amp;date_inventaire,es_taille,'SUIVI STOCKS PAR PAYSAN'!$AH$7)-SUMIFS(v_Pièces,v_Taille,'SUIVI STOCKS PAR PAYSAN'!$AH$7,v_conc_prod_tye_affinage,'SUIVI STOCKS PAR PAYSAN'!$F100,v_Date_commande,"&gt;"&amp;date_inventaire)</f>
        <v>0</v>
      </c>
      <c r="AI100" s="353">
        <f ca="1">SUMIFS(bddres_pieces,'BDD RESERVATIONS'!$G:$G,'SUIVI STOCKS PAR PAYSAN'!$AB$7,bddres_c_prod_type_aff,'SUIVI STOCKS PAR PAYSAN'!$F100,'BDD RESERVATIONS'!$B:$B,"&gt;"&amp;date_inventaire)</f>
        <v>0</v>
      </c>
      <c r="AJ100" s="352">
        <f ca="1">SUMIFS(es_poids,es_prod_type_affinage,'SUIVI STOCKS PAR PAYSAN'!$G100,es_date_entree,"&gt;"&amp;date_inventaire)-SUMIFS(v_Poids,v_conc_prod_tye_affinage,'SUIVI STOCKS PAR PAYSAN'!$G100,v_Date_commande,"&gt;"&amp;date_inventaire)</f>
        <v>0</v>
      </c>
      <c r="AK100" s="341">
        <f ca="1">SUMIFS(bddres_c_qte,bddres_c_prod_type_aff,'SUIVI STOCKS PAR PAYSAN'!G100,'BDD RESERVATIONS'!$B:$B,"&gt;"&amp;date_inventaire)</f>
        <v>0</v>
      </c>
      <c r="AL100" s="342">
        <f ca="1">SUMIFS(bddres_pieces,es_prod_type_affinage,'SUIVI STOCKS PAR PAYSAN'!$G100,es_date_entree,"&gt;"&amp;date_inventaire,es_taille,'SUIVI STOCKS PAR PAYSAN'!$AL$7)-SUMIFS(v_Pièces,v_Taille,'SUIVI STOCKS PAR PAYSAN'!$AL$7,v_conc_prod_tye_affinage,'SUIVI STOCKS PAR PAYSAN'!$G100,v_Date_commande,"&gt;"&amp;date_inventaire)</f>
        <v>0</v>
      </c>
      <c r="AM100" s="342">
        <f ca="1">SUMIFS(bddres_pieces,'BDD RESERVATIONS'!$G:$G,'SUIVI STOCKS PAR PAYSAN'!$AL$7,bddres_c_prod_type_aff,'SUIVI STOCKS PAR PAYSAN'!$G100,'BDD RESERVATIONS'!$B:$B,"&gt;"&amp;date_inventaire)</f>
        <v>0</v>
      </c>
      <c r="AN100" s="343">
        <f ca="1">SUMIFS(es_pieces,es_prod_type_affinage,'SUIVI STOCKS PAR PAYSAN'!$G100,es_date_entree,"&gt;"&amp;date_inventaire,es_taille,'SUIVI STOCKS PAR PAYSAN'!$AN$7)-SUMIFS(v_Pièces,v_Taille,'SUIVI STOCKS PAR PAYSAN'!$AN$7,v_conc_prod_tye_affinage,'SUIVI STOCKS PAR PAYSAN'!$G100,v_Date_commande,"&gt;"&amp;date_inventaire)</f>
        <v>0</v>
      </c>
      <c r="AO100" s="353">
        <f ca="1">SUMIFS(bddres_pieces,'BDD RESERVATIONS'!$G:$G,'SUIVI STOCKS PAR PAYSAN'!$AN$7,bddres_c_prod_type_aff,'SUIVI STOCKS PAR PAYSAN'!$G100,'BDD RESERVATIONS'!$B:$B,"&gt;"&amp;date_inventaire)</f>
        <v>0</v>
      </c>
      <c r="AP100" s="313">
        <f ca="1">SUMIFS(es_poids,es_prod_type_affinage,'SUIVI STOCKS PAR PAYSAN'!$H100,es_date_entree,"&gt;"&amp;date_inventaire)-SUMIFS(v_Poids,v_conc_prod_tye_affinage,'SUIVI STOCKS PAR PAYSAN'!$H100,v_Date_commande,"&gt;"&amp;date_inventaire)</f>
        <v>0</v>
      </c>
      <c r="AQ100" s="341">
        <f ca="1">SUMIFS(bddres_c_qte,bddres_c_prod_type_aff,'SUIVI STOCKS PAR PAYSAN'!H100,'BDD RESERVATIONS'!$B:$B,"&gt;"&amp;date_inventaire)</f>
        <v>0</v>
      </c>
      <c r="AR100" s="342">
        <f ca="1">SUMIFS(bddres_pieces,es_prod_type_affinage,'SUIVI STOCKS PAR PAYSAN'!$H100,es_date_entree,"&gt;"&amp;date_inventaire,es_taille,'SUIVI STOCKS PAR PAYSAN'!$AR$7)-SUMIFS(v_Pièces,v_Taille,'SUIVI STOCKS PAR PAYSAN'!$AR$7,v_conc_prod_tye_affinage,'SUIVI STOCKS PAR PAYSAN'!$H100,v_Date_commande,"&gt;"&amp;date_inventaire)</f>
        <v>0</v>
      </c>
      <c r="AS100" s="326">
        <f ca="1">SUMIFS(bddres_pieces,'BDD RESERVATIONS'!$G:$G,'SUIVI STOCKS PAR PAYSAN'!AR95,bddres_c_prod_type_aff,'SUIVI STOCKS PAR PAYSAN'!$H100,'BDD RESERVATIONS'!$B:$B,"&gt;"&amp;date_inventaire)</f>
        <v>0</v>
      </c>
      <c r="AT100" s="343">
        <f ca="1">SUMIFS(es_pieces,es_prod_type_affinage,'SUIVI STOCKS PAR PAYSAN'!$H100,es_date_entree,"&gt;"&amp;date_inventaire,es_taille,'SUIVI STOCKS PAR PAYSAN'!$AT$7)-SUMIFS(v_Pièces,v_Taille,'SUIVI STOCKS PAR PAYSAN'!$AT$7,v_conc_prod_tye_affinage,'SUIVI STOCKS PAR PAYSAN'!$H100,v_Date_commande,"&gt;"&amp;date_inventaire)</f>
        <v>0</v>
      </c>
      <c r="AU100" s="353">
        <f ca="1">SUMIFS(bddres_pieces,'BDD RESERVATIONS'!$G:$G,'SUIVI STOCKS PAR PAYSAN'!$AT$7,bddres_c_prod_type_aff,'SUIVI STOCKS PAR PAYSAN'!$H100,'BDD RESERVATIONS'!$B:$B,"&gt;"&amp;date_inventaire)</f>
        <v>0</v>
      </c>
      <c r="AV100" s="313">
        <f ca="1">SUMIFS(es_poids,es_prod_type_affinage,'SUIVI STOCKS PAR PAYSAN'!$I100,es_date_entree,"&gt;"&amp;date_inventaire)-SUMIFS(v_Poids,v_conc_prod_tye_affinage,'SUIVI STOCKS PAR PAYSAN'!$E100,v_Date_commande,"&gt;"&amp;date_inventaire)</f>
        <v>0</v>
      </c>
      <c r="AW100" s="313">
        <f ca="1">SUMIFS(bddres_c_qte,bddres_c_prod_type_aff,'SUIVI STOCKS PAR PAYSAN'!I100,'BDD RESERVATIONS'!$B:$B,"&gt;"&amp;date_inventaire)</f>
        <v>0</v>
      </c>
      <c r="AX100" s="342">
        <f ca="1">SUMIFS(bddres_pieces,es_prod_type_affinage,'SUIVI STOCKS PAR PAYSAN'!$I100,es_date_entree,"&gt;"&amp;date_inventaire,es_taille,'SUIVI STOCKS PAR PAYSAN'!$AX$7)-SUMIFS(v_Pièces,v_Taille,'SUIVI STOCKS PAR PAYSAN'!$AX$7,v_conc_prod_tye_affinage,'SUIVI STOCKS PAR PAYSAN'!$I100,v_Date_commande,"&gt;"&amp;date_inventaire)</f>
        <v>0</v>
      </c>
      <c r="AY100" s="342">
        <f ca="1">SUMIFS(bddres_pieces,'BDD RESERVATIONS'!$G:$G,'SUIVI STOCKS PAR PAYSAN'!$AX$7,bddres_c_prod_type_aff,'SUIVI STOCKS PAR PAYSAN'!$I100,'BDD RESERVATIONS'!$B:$B,"&gt;"&amp;date_inventaire)</f>
        <v>0</v>
      </c>
      <c r="AZ100" s="343">
        <f ca="1">SUMIFS(es_pieces,es_prod_type_affinage,'SUIVI STOCKS PAR PAYSAN'!$I100,es_date_entree,"&gt;"&amp;date_inventaire,es_taille,'SUIVI STOCKS PAR PAYSAN'!$AZ$7)-SUMIFS(v_Pièces,v_Taille,'SUIVI STOCKS PAR PAYSAN'!$AZ$7,v_conc_prod_tye_affinage,'SUIVI STOCKS PAR PAYSAN'!$I100,v_Date_commande,"&gt;"&amp;date_inventaire)</f>
        <v>0</v>
      </c>
      <c r="BA100" s="353">
        <f ca="1">SUMIFS(bddres_pieces,'BDD RESERVATIONS'!$G:$G,'SUIVI STOCKS PAR PAYSAN'!$AZ$7,bddres_c_prod_type_aff,'SUIVI STOCKS PAR PAYSAN'!$I100,'BDD RESERVATIONS'!$B:$B,"&gt;"&amp;date_inventaire)</f>
        <v>0</v>
      </c>
      <c r="BB100" s="313">
        <f ca="1">SUMIFS(es_poids,es_prod_type_affinage,'SUIVI STOCKS PAR PAYSAN'!$J100,es_date_entree,"&gt;"&amp;date_inventaire)-SUMIFS(v_Poids,v_conc_prod_tye_affinage,'SUIVI STOCKS PAR PAYSAN'!$J100,v_Date_commande,"&gt;"&amp;date_inventaire)</f>
        <v>0</v>
      </c>
      <c r="BC100" s="313">
        <f ca="1">SUMIFS(bddres_c_qte,bddres_c_prod_type_aff,'SUIVI STOCKS PAR PAYSAN'!J100,'BDD RESERVATIONS'!$B:$B,"&gt;"&amp;date_inventaire)</f>
        <v>0</v>
      </c>
      <c r="BD100" s="342">
        <f ca="1">SUMIFS(bddres_pieces,es_prod_type_affinage,'SUIVI STOCKS PAR PAYSAN'!$J100,es_date_entree,"&gt;"&amp;date_inventaire,es_taille,'SUIVI STOCKS PAR PAYSAN'!$BD$7)-SUMIFS(v_Pièces,v_Taille,'SUIVI STOCKS PAR PAYSAN'!$BD$7,v_conc_prod_tye_affinage,'SUIVI STOCKS PAR PAYSAN'!$J100,v_Date_commande,"&gt;"&amp;date_inventaire)</f>
        <v>0</v>
      </c>
      <c r="BE100" s="326">
        <f ca="1">SUMIFS(bddres_pieces,'BDD RESERVATIONS'!$G:$G,'SUIVI STOCKS PAR PAYSAN'!BD95,bddres_c_prod_type_aff,'SUIVI STOCKS PAR PAYSAN'!J100,'BDD RESERVATIONS'!$B:$B,"&gt;"&amp;date_inventaire)</f>
        <v>0</v>
      </c>
      <c r="BF100" s="343">
        <f ca="1">SUMIFS(es_pieces,es_prod_type_affinage,'SUIVI STOCKS PAR PAYSAN'!J100,es_date_entree,"&gt;"&amp;date_inventaire,es_taille,'SUIVI STOCKS PAR PAYSAN'!$BF$7)-SUMIFS(v_Pièces,v_Taille,'SUIVI STOCKS PAR PAYSAN'!$BF$7,v_conc_prod_tye_affinage,'SUIVI STOCKS PAR PAYSAN'!J100,v_Date_commande,"&gt;"&amp;date_inventaire)</f>
        <v>0</v>
      </c>
      <c r="BG100" s="353">
        <f ca="1">SUMIFS(bddres_pieces,'BDD RESERVATIONS'!$G:$G,'SUIVI STOCKS PAR PAYSAN'!$BF$7,bddres_c_prod_type_aff,'SUIVI STOCKS PAR PAYSAN'!J100,'BDD RESERVATIONS'!$B:$B,"&gt;"&amp;date_inventaire)</f>
        <v>0</v>
      </c>
    </row>
    <row r="101" spans="1:59" ht="18.75" customHeight="1" x14ac:dyDescent="0.25">
      <c r="A101" s="331">
        <f ca="1">OFFSET('BDD PAYSANS'!$B$1,B101,0,1,1)</f>
        <v>0</v>
      </c>
      <c r="B101" s="325">
        <v>90</v>
      </c>
      <c r="C101" s="325" t="str">
        <f t="shared" ca="1" si="4"/>
        <v>0FERMIER&lt;3 mois</v>
      </c>
      <c r="D101" s="325" t="str">
        <f t="shared" ca="1" si="4"/>
        <v>0FERMIER3-6 mois</v>
      </c>
      <c r="E101" s="325" t="str">
        <f t="shared" ca="1" si="4"/>
        <v>0FERMIER6-9 mois</v>
      </c>
      <c r="F101" s="325" t="str">
        <f t="shared" ca="1" si="4"/>
        <v>0FERMIER&gt;9 mois</v>
      </c>
      <c r="G101" s="325" t="str">
        <f t="shared" ca="1" si="4"/>
        <v>0ESTIVE&lt;3 mois</v>
      </c>
      <c r="H101" s="325" t="str">
        <f t="shared" ca="1" si="4"/>
        <v>0ESTIVE3-6 mois</v>
      </c>
      <c r="I101" s="325" t="str">
        <f t="shared" ca="1" si="4"/>
        <v>0ESTIVE6-9 mois</v>
      </c>
      <c r="J101" s="325" t="str">
        <f t="shared" ca="1" si="4"/>
        <v>0ESTIVE&gt;9 mois</v>
      </c>
      <c r="K101" s="325"/>
      <c r="L101" s="352">
        <f ca="1">SUMIFS(es_poids,es_prod_type_affinage,'SUIVI STOCKS PAR PAYSAN'!$C101,es_date_entree,"&gt;"&amp;date_inventaire)-SUMIFS(v_Poids,v_conc_prod_tye_affinage,'SUIVI STOCKS PAR PAYSAN'!$C101,v_Date_commande,"&gt;"&amp;date_inventaire)</f>
        <v>0</v>
      </c>
      <c r="M101" s="341">
        <f ca="1">SUMIFS(bddres_c_qte,bddres_c_prod_type_aff,'SUIVI STOCKS PAR PAYSAN'!C101,'BDD RESERVATIONS'!$B:$B,"&gt;"&amp;date_inventaire)</f>
        <v>0</v>
      </c>
      <c r="N101" s="342">
        <f ca="1">SUMIFS(bddres_pieces,es_prod_type_affinage,'SUIVI STOCKS PAR PAYSAN'!$C101,es_date_entree,"&gt;"&amp;date_inventaire,es_taille,'SUIVI STOCKS PAR PAYSAN'!$N$7)-SUMIFS(v_Pièces,v_Taille,'SUIVI STOCKS PAR PAYSAN'!$N$7,v_conc_prod_tye_affinage,'SUIVI STOCKS PAR PAYSAN'!$C101,v_Date_commande,"&gt;"&amp;date_inventaire)</f>
        <v>0</v>
      </c>
      <c r="O101" s="342">
        <f ca="1">SUMIFS(bddres_pieces,'BDD RESERVATIONS'!$G:$G,'SUIVI STOCKS PAR PAYSAN'!$N$7,bddres_c_prod_type_aff,'SUIVI STOCKS PAR PAYSAN'!$C101,'BDD RESERVATIONS'!$B:$B,"&gt;"&amp;date_inventaire)</f>
        <v>0</v>
      </c>
      <c r="P101" s="343">
        <f ca="1">SUMIFS(es_pieces,es_prod_type_affinage,'SUIVI STOCKS PAR PAYSAN'!$C101,es_date_entree,"&gt;"&amp;date_inventaire,es_taille,'SUIVI STOCKS PAR PAYSAN'!$P$7)-SUMIFS(v_Pièces,v_Taille,'SUIVI STOCKS PAR PAYSAN'!$P$7,v_conc_prod_tye_affinage,'SUIVI STOCKS PAR PAYSAN'!$C101,v_Date_commande,"&gt;"&amp;date_inventaire)</f>
        <v>0</v>
      </c>
      <c r="Q101" s="353">
        <f ca="1">SUMIFS(bddres_pieces,'BDD RESERVATIONS'!$G:$G,'SUIVI STOCKS PAR PAYSAN'!$P$7,bddres_c_prod_type_aff,'SUIVI STOCKS PAR PAYSAN'!$C101,'BDD RESERVATIONS'!$B:$B,"&gt;"&amp;date_inventaire)</f>
        <v>0</v>
      </c>
      <c r="R101" s="340">
        <f ca="1">SUMIFS(es_poids,es_prod_type_affinage,'SUIVI STOCKS PAR PAYSAN'!$D101,es_date_entree,"&gt;"&amp;date_inventaire)-SUMIFS(v_Poids,v_conc_prod_tye_affinage,'SUIVI STOCKS PAR PAYSAN'!$D101,v_Date_commande,"&gt;"&amp;date_inventaire)</f>
        <v>0</v>
      </c>
      <c r="S101" s="341">
        <f ca="1">SUMIFS(bddres_c_qte,bddres_c_prod_type_aff,'SUIVI STOCKS PAR PAYSAN'!D101,'BDD RESERVATIONS'!$B:$B,"&gt;"&amp;date_inventaire)</f>
        <v>0</v>
      </c>
      <c r="T101" s="342">
        <f ca="1">SUMIFS(bddres_pieces,es_prod_type_affinage,'SUIVI STOCKS PAR PAYSAN'!$D101,es_date_entree,"&gt;"&amp;date_inventaire,es_taille,'SUIVI STOCKS PAR PAYSAN'!$T$7)-SUMIFS(v_Pièces,v_Taille,'SUIVI STOCKS PAR PAYSAN'!$T$7,v_conc_prod_tye_affinage,'SUIVI STOCKS PAR PAYSAN'!$D101,v_Date_commande,"&gt;"&amp;date_inventaire)</f>
        <v>0</v>
      </c>
      <c r="U101" s="342">
        <f ca="1">SUMIFS(bddres_pieces,'BDD RESERVATIONS'!$G:$G,'SUIVI STOCKS PAR PAYSAN'!$T$7,bddres_c_prod_type_aff,'SUIVI STOCKS PAR PAYSAN'!$D101,'BDD RESERVATIONS'!$B:$B,"&gt;"&amp;date_inventaire)</f>
        <v>0</v>
      </c>
      <c r="V101" s="343">
        <f ca="1">SUMIFS(es_pieces,es_prod_type_affinage,'SUIVI STOCKS PAR PAYSAN'!$D101,es_date_entree,"&gt;"&amp;date_inventaire,es_taille,'SUIVI STOCKS PAR PAYSAN'!$V$7)-SUMIFS(v_Pièces,v_Taille,'SUIVI STOCKS PAR PAYSAN'!$V$7,v_conc_prod_tye_affinage,'SUIVI STOCKS PAR PAYSAN'!$D101,v_Date_commande,"&gt;"&amp;date_inventaire)</f>
        <v>0</v>
      </c>
      <c r="W101" s="353">
        <f ca="1">SUMIFS(bddres_pieces,'BDD RESERVATIONS'!$G:$G,'SUIVI STOCKS PAR PAYSAN'!$V$7,bddres_c_prod_type_aff,'SUIVI STOCKS PAR PAYSAN'!$D101,'BDD RESERVATIONS'!$B:$B,"&gt;"&amp;date_inventaire)</f>
        <v>0</v>
      </c>
      <c r="X101" s="313">
        <f ca="1">SUMIFS(es_poids,es_prod_type_affinage,'SUIVI STOCKS PAR PAYSAN'!$E101,es_date_entree,"&gt;"&amp;date_inventaire)-SUMIFS(v_Poids,v_conc_prod_tye_affinage,'SUIVI STOCKS PAR PAYSAN'!$E101,v_Date_commande,"&gt;"&amp;date_inventaire)</f>
        <v>0</v>
      </c>
      <c r="Y101" s="341">
        <f ca="1">SUMIFS(bddres_c_qte,bddres_c_prod_type_aff,'SUIVI STOCKS PAR PAYSAN'!E101,'BDD RESERVATIONS'!$B:$B,"&gt;"&amp;date_inventaire)</f>
        <v>0</v>
      </c>
      <c r="Z101" s="342">
        <f ca="1">SUMIFS(bddres_pieces,es_prod_type_affinage,'SUIVI STOCKS PAR PAYSAN'!$E101,es_date_entree,"&gt;"&amp;date_inventaire,es_taille,'SUIVI STOCKS PAR PAYSAN'!$Z$7)-SUMIFS(v_Pièces,v_Taille,'SUIVI STOCKS PAR PAYSAN'!$Z$7,v_conc_prod_tye_affinage,'SUIVI STOCKS PAR PAYSAN'!$E101,v_Date_commande,"&gt;"&amp;date_inventaire)</f>
        <v>0</v>
      </c>
      <c r="AA101" s="342">
        <f ca="1">SUMIFS(bddres_pieces,'BDD RESERVATIONS'!$G:$G,'SUIVI STOCKS PAR PAYSAN'!$Z$7,bddres_c_prod_type_aff,'SUIVI STOCKS PAR PAYSAN'!$E101,'BDD RESERVATIONS'!$B:$B,"&gt;"&amp;date_inventaire)</f>
        <v>0</v>
      </c>
      <c r="AB101" s="343">
        <f ca="1">SUMIFS(es_pieces,es_prod_type_affinage,'SUIVI STOCKS PAR PAYSAN'!$E101,es_date_entree,"&gt;"&amp;date_inventaire,es_taille,'SUIVI STOCKS PAR PAYSAN'!$AB$7)-SUMIFS(v_Pièces,v_Taille,'SUIVI STOCKS PAR PAYSAN'!$AB$7,v_conc_prod_tye_affinage,'SUIVI STOCKS PAR PAYSAN'!$E101,v_Date_commande,"&gt;"&amp;date_inventaire)</f>
        <v>0</v>
      </c>
      <c r="AC101" s="353">
        <f ca="1">SUMIFS(bddres_pieces,'BDD RESERVATIONS'!$G:$G,'SUIVI STOCKS PAR PAYSAN'!$AB$7,bddres_c_prod_type_aff,'SUIVI STOCKS PAR PAYSAN'!$E101,'BDD RESERVATIONS'!$B:$B,"&gt;"&amp;date_inventaire)</f>
        <v>0</v>
      </c>
      <c r="AD101" s="313">
        <f ca="1">SUMIFS(es_poids,es_prod_type_affinage,'SUIVI STOCKS PAR PAYSAN'!$F101,es_date_entree,"&gt;"&amp;date_inventaire)-SUMIFS(v_Poids,v_conc_prod_tye_affinage,'SUIVI STOCKS PAR PAYSAN'!$F101,v_Date_commande,"&gt;"&amp;date_inventaire)</f>
        <v>0</v>
      </c>
      <c r="AE101" s="341">
        <f ca="1">SUMIFS(bddres_c_qte,bddres_c_prod_type_aff,'SUIVI STOCKS PAR PAYSAN'!F101,'BDD RESERVATIONS'!$B:$B,"&gt;"&amp;date_inventaire)</f>
        <v>0</v>
      </c>
      <c r="AF101" s="342">
        <f ca="1">SUMIFS(bddres_pieces,es_prod_type_affinage,'SUIVI STOCKS PAR PAYSAN'!$F101,es_date_entree,"&gt;"&amp;date_inventaire,es_taille,'SUIVI STOCKS PAR PAYSAN'!$Z$7)-SUMIFS(v_Pièces,v_Taille,'SUIVI STOCKS PAR PAYSAN'!$Z$7,v_conc_prod_tye_affinage,'SUIVI STOCKS PAR PAYSAN'!$F101,v_Date_commande,"&gt;"&amp;date_inventaire)</f>
        <v>0</v>
      </c>
      <c r="AG101" s="342">
        <f ca="1">SUMIFS(bddres_pieces,'BDD RESERVATIONS'!$G:$G,'SUIVI STOCKS PAR PAYSAN'!$Z$7,bddres_c_prod_type_aff,'SUIVI STOCKS PAR PAYSAN'!$F101,'BDD RESERVATIONS'!$B:$B,"&gt;"&amp;date_inventaire)</f>
        <v>0</v>
      </c>
      <c r="AH101" s="343">
        <f ca="1">SUMIFS(es_pieces,es_prod_type_affinage,'SUIVI STOCKS PAR PAYSAN'!$F101,es_date_entree,"&gt;"&amp;date_inventaire,es_taille,'SUIVI STOCKS PAR PAYSAN'!$AH$7)-SUMIFS(v_Pièces,v_Taille,'SUIVI STOCKS PAR PAYSAN'!$AH$7,v_conc_prod_tye_affinage,'SUIVI STOCKS PAR PAYSAN'!$F101,v_Date_commande,"&gt;"&amp;date_inventaire)</f>
        <v>0</v>
      </c>
      <c r="AI101" s="353">
        <f ca="1">SUMIFS(bddres_pieces,'BDD RESERVATIONS'!$G:$G,'SUIVI STOCKS PAR PAYSAN'!$AB$7,bddres_c_prod_type_aff,'SUIVI STOCKS PAR PAYSAN'!$F101,'BDD RESERVATIONS'!$B:$B,"&gt;"&amp;date_inventaire)</f>
        <v>0</v>
      </c>
      <c r="AJ101" s="352">
        <f ca="1">SUMIFS(es_poids,es_prod_type_affinage,'SUIVI STOCKS PAR PAYSAN'!$G101,es_date_entree,"&gt;"&amp;date_inventaire)-SUMIFS(v_Poids,v_conc_prod_tye_affinage,'SUIVI STOCKS PAR PAYSAN'!$G101,v_Date_commande,"&gt;"&amp;date_inventaire)</f>
        <v>0</v>
      </c>
      <c r="AK101" s="341">
        <f ca="1">SUMIFS(bddres_c_qte,bddres_c_prod_type_aff,'SUIVI STOCKS PAR PAYSAN'!G101,'BDD RESERVATIONS'!$B:$B,"&gt;"&amp;date_inventaire)</f>
        <v>0</v>
      </c>
      <c r="AL101" s="342">
        <f ca="1">SUMIFS(bddres_pieces,es_prod_type_affinage,'SUIVI STOCKS PAR PAYSAN'!$G101,es_date_entree,"&gt;"&amp;date_inventaire,es_taille,'SUIVI STOCKS PAR PAYSAN'!$AL$7)-SUMIFS(v_Pièces,v_Taille,'SUIVI STOCKS PAR PAYSAN'!$AL$7,v_conc_prod_tye_affinage,'SUIVI STOCKS PAR PAYSAN'!$G101,v_Date_commande,"&gt;"&amp;date_inventaire)</f>
        <v>0</v>
      </c>
      <c r="AM101" s="342">
        <f ca="1">SUMIFS(bddres_pieces,'BDD RESERVATIONS'!$G:$G,'SUIVI STOCKS PAR PAYSAN'!$AL$7,bddres_c_prod_type_aff,'SUIVI STOCKS PAR PAYSAN'!$G101,'BDD RESERVATIONS'!$B:$B,"&gt;"&amp;date_inventaire)</f>
        <v>0</v>
      </c>
      <c r="AN101" s="343">
        <f ca="1">SUMIFS(es_pieces,es_prod_type_affinage,'SUIVI STOCKS PAR PAYSAN'!$G101,es_date_entree,"&gt;"&amp;date_inventaire,es_taille,'SUIVI STOCKS PAR PAYSAN'!$AN$7)-SUMIFS(v_Pièces,v_Taille,'SUIVI STOCKS PAR PAYSAN'!$AN$7,v_conc_prod_tye_affinage,'SUIVI STOCKS PAR PAYSAN'!$G101,v_Date_commande,"&gt;"&amp;date_inventaire)</f>
        <v>0</v>
      </c>
      <c r="AO101" s="353">
        <f ca="1">SUMIFS(bddres_pieces,'BDD RESERVATIONS'!$G:$G,'SUIVI STOCKS PAR PAYSAN'!$AN$7,bddres_c_prod_type_aff,'SUIVI STOCKS PAR PAYSAN'!$G101,'BDD RESERVATIONS'!$B:$B,"&gt;"&amp;date_inventaire)</f>
        <v>0</v>
      </c>
      <c r="AP101" s="313">
        <f ca="1">SUMIFS(es_poids,es_prod_type_affinage,'SUIVI STOCKS PAR PAYSAN'!$H101,es_date_entree,"&gt;"&amp;date_inventaire)-SUMIFS(v_Poids,v_conc_prod_tye_affinage,'SUIVI STOCKS PAR PAYSAN'!$H101,v_Date_commande,"&gt;"&amp;date_inventaire)</f>
        <v>0</v>
      </c>
      <c r="AQ101" s="341">
        <f ca="1">SUMIFS(bddres_c_qte,bddres_c_prod_type_aff,'SUIVI STOCKS PAR PAYSAN'!H101,'BDD RESERVATIONS'!$B:$B,"&gt;"&amp;date_inventaire)</f>
        <v>0</v>
      </c>
      <c r="AR101" s="342">
        <f ca="1">SUMIFS(bddres_pieces,es_prod_type_affinage,'SUIVI STOCKS PAR PAYSAN'!$H101,es_date_entree,"&gt;"&amp;date_inventaire,es_taille,'SUIVI STOCKS PAR PAYSAN'!$AR$7)-SUMIFS(v_Pièces,v_Taille,'SUIVI STOCKS PAR PAYSAN'!$AR$7,v_conc_prod_tye_affinage,'SUIVI STOCKS PAR PAYSAN'!$H101,v_Date_commande,"&gt;"&amp;date_inventaire)</f>
        <v>0</v>
      </c>
      <c r="AS101" s="326">
        <f ca="1">SUMIFS(bddres_pieces,'BDD RESERVATIONS'!$G:$G,'SUIVI STOCKS PAR PAYSAN'!AR96,bddres_c_prod_type_aff,'SUIVI STOCKS PAR PAYSAN'!$H101,'BDD RESERVATIONS'!$B:$B,"&gt;"&amp;date_inventaire)</f>
        <v>0</v>
      </c>
      <c r="AT101" s="343">
        <f ca="1">SUMIFS(es_pieces,es_prod_type_affinage,'SUIVI STOCKS PAR PAYSAN'!$H101,es_date_entree,"&gt;"&amp;date_inventaire,es_taille,'SUIVI STOCKS PAR PAYSAN'!$AT$7)-SUMIFS(v_Pièces,v_Taille,'SUIVI STOCKS PAR PAYSAN'!$AT$7,v_conc_prod_tye_affinage,'SUIVI STOCKS PAR PAYSAN'!$H101,v_Date_commande,"&gt;"&amp;date_inventaire)</f>
        <v>0</v>
      </c>
      <c r="AU101" s="353">
        <f ca="1">SUMIFS(bddres_pieces,'BDD RESERVATIONS'!$G:$G,'SUIVI STOCKS PAR PAYSAN'!$AT$7,bddres_c_prod_type_aff,'SUIVI STOCKS PAR PAYSAN'!$H101,'BDD RESERVATIONS'!$B:$B,"&gt;"&amp;date_inventaire)</f>
        <v>0</v>
      </c>
      <c r="AV101" s="313">
        <f ca="1">SUMIFS(es_poids,es_prod_type_affinage,'SUIVI STOCKS PAR PAYSAN'!$I101,es_date_entree,"&gt;"&amp;date_inventaire)-SUMIFS(v_Poids,v_conc_prod_tye_affinage,'SUIVI STOCKS PAR PAYSAN'!$E101,v_Date_commande,"&gt;"&amp;date_inventaire)</f>
        <v>0</v>
      </c>
      <c r="AW101" s="313">
        <f ca="1">SUMIFS(bddres_c_qte,bddres_c_prod_type_aff,'SUIVI STOCKS PAR PAYSAN'!I101,'BDD RESERVATIONS'!$B:$B,"&gt;"&amp;date_inventaire)</f>
        <v>0</v>
      </c>
      <c r="AX101" s="342">
        <f ca="1">SUMIFS(bddres_pieces,es_prod_type_affinage,'SUIVI STOCKS PAR PAYSAN'!$I101,es_date_entree,"&gt;"&amp;date_inventaire,es_taille,'SUIVI STOCKS PAR PAYSAN'!$AX$7)-SUMIFS(v_Pièces,v_Taille,'SUIVI STOCKS PAR PAYSAN'!$AX$7,v_conc_prod_tye_affinage,'SUIVI STOCKS PAR PAYSAN'!$I101,v_Date_commande,"&gt;"&amp;date_inventaire)</f>
        <v>0</v>
      </c>
      <c r="AY101" s="342">
        <f ca="1">SUMIFS(bddres_pieces,'BDD RESERVATIONS'!$G:$G,'SUIVI STOCKS PAR PAYSAN'!$AX$7,bddres_c_prod_type_aff,'SUIVI STOCKS PAR PAYSAN'!$I101,'BDD RESERVATIONS'!$B:$B,"&gt;"&amp;date_inventaire)</f>
        <v>0</v>
      </c>
      <c r="AZ101" s="343">
        <f ca="1">SUMIFS(es_pieces,es_prod_type_affinage,'SUIVI STOCKS PAR PAYSAN'!$I101,es_date_entree,"&gt;"&amp;date_inventaire,es_taille,'SUIVI STOCKS PAR PAYSAN'!$AZ$7)-SUMIFS(v_Pièces,v_Taille,'SUIVI STOCKS PAR PAYSAN'!$AZ$7,v_conc_prod_tye_affinage,'SUIVI STOCKS PAR PAYSAN'!$I101,v_Date_commande,"&gt;"&amp;date_inventaire)</f>
        <v>0</v>
      </c>
      <c r="BA101" s="353">
        <f ca="1">SUMIFS(bddres_pieces,'BDD RESERVATIONS'!$G:$G,'SUIVI STOCKS PAR PAYSAN'!$AZ$7,bddres_c_prod_type_aff,'SUIVI STOCKS PAR PAYSAN'!$I101,'BDD RESERVATIONS'!$B:$B,"&gt;"&amp;date_inventaire)</f>
        <v>0</v>
      </c>
      <c r="BB101" s="313">
        <f ca="1">SUMIFS(es_poids,es_prod_type_affinage,'SUIVI STOCKS PAR PAYSAN'!$J101,es_date_entree,"&gt;"&amp;date_inventaire)-SUMIFS(v_Poids,v_conc_prod_tye_affinage,'SUIVI STOCKS PAR PAYSAN'!$J101,v_Date_commande,"&gt;"&amp;date_inventaire)</f>
        <v>0</v>
      </c>
      <c r="BC101" s="313">
        <f ca="1">SUMIFS(bddres_c_qte,bddres_c_prod_type_aff,'SUIVI STOCKS PAR PAYSAN'!J101,'BDD RESERVATIONS'!$B:$B,"&gt;"&amp;date_inventaire)</f>
        <v>0</v>
      </c>
      <c r="BD101" s="342">
        <f ca="1">SUMIFS(bddres_pieces,es_prod_type_affinage,'SUIVI STOCKS PAR PAYSAN'!$J101,es_date_entree,"&gt;"&amp;date_inventaire,es_taille,'SUIVI STOCKS PAR PAYSAN'!$BD$7)-SUMIFS(v_Pièces,v_Taille,'SUIVI STOCKS PAR PAYSAN'!$BD$7,v_conc_prod_tye_affinage,'SUIVI STOCKS PAR PAYSAN'!$J101,v_Date_commande,"&gt;"&amp;date_inventaire)</f>
        <v>0</v>
      </c>
      <c r="BE101" s="326">
        <f ca="1">SUMIFS(bddres_pieces,'BDD RESERVATIONS'!$G:$G,'SUIVI STOCKS PAR PAYSAN'!BD96,bddres_c_prod_type_aff,'SUIVI STOCKS PAR PAYSAN'!J101,'BDD RESERVATIONS'!$B:$B,"&gt;"&amp;date_inventaire)</f>
        <v>0</v>
      </c>
      <c r="BF101" s="343">
        <f ca="1">SUMIFS(es_pieces,es_prod_type_affinage,'SUIVI STOCKS PAR PAYSAN'!J101,es_date_entree,"&gt;"&amp;date_inventaire,es_taille,'SUIVI STOCKS PAR PAYSAN'!$BF$7)-SUMIFS(v_Pièces,v_Taille,'SUIVI STOCKS PAR PAYSAN'!$BF$7,v_conc_prod_tye_affinage,'SUIVI STOCKS PAR PAYSAN'!J101,v_Date_commande,"&gt;"&amp;date_inventaire)</f>
        <v>0</v>
      </c>
      <c r="BG101" s="353">
        <f ca="1">SUMIFS(bddres_pieces,'BDD RESERVATIONS'!$G:$G,'SUIVI STOCKS PAR PAYSAN'!$BF$7,bddres_c_prod_type_aff,'SUIVI STOCKS PAR PAYSAN'!J101,'BDD RESERVATIONS'!$B:$B,"&gt;"&amp;date_inventaire)</f>
        <v>0</v>
      </c>
    </row>
    <row r="102" spans="1:59" ht="18.75" customHeight="1" x14ac:dyDescent="0.25">
      <c r="A102" s="331">
        <f ca="1">OFFSET('BDD PAYSANS'!$B$1,B102,0,1,1)</f>
        <v>0</v>
      </c>
      <c r="B102" s="325">
        <v>91</v>
      </c>
      <c r="C102" s="325" t="str">
        <f t="shared" ca="1" si="4"/>
        <v>0FERMIER&lt;3 mois</v>
      </c>
      <c r="D102" s="325" t="str">
        <f t="shared" ca="1" si="4"/>
        <v>0FERMIER3-6 mois</v>
      </c>
      <c r="E102" s="325" t="str">
        <f t="shared" ca="1" si="4"/>
        <v>0FERMIER6-9 mois</v>
      </c>
      <c r="F102" s="325" t="str">
        <f t="shared" ca="1" si="4"/>
        <v>0FERMIER&gt;9 mois</v>
      </c>
      <c r="G102" s="325" t="str">
        <f t="shared" ca="1" si="4"/>
        <v>0ESTIVE&lt;3 mois</v>
      </c>
      <c r="H102" s="325" t="str">
        <f t="shared" ca="1" si="4"/>
        <v>0ESTIVE3-6 mois</v>
      </c>
      <c r="I102" s="325" t="str">
        <f t="shared" ca="1" si="4"/>
        <v>0ESTIVE6-9 mois</v>
      </c>
      <c r="J102" s="325" t="str">
        <f t="shared" ca="1" si="4"/>
        <v>0ESTIVE&gt;9 mois</v>
      </c>
      <c r="K102" s="325"/>
      <c r="L102" s="352">
        <f ca="1">SUMIFS(es_poids,es_prod_type_affinage,'SUIVI STOCKS PAR PAYSAN'!$C102,es_date_entree,"&gt;"&amp;date_inventaire)-SUMIFS(v_Poids,v_conc_prod_tye_affinage,'SUIVI STOCKS PAR PAYSAN'!$C102,v_Date_commande,"&gt;"&amp;date_inventaire)</f>
        <v>0</v>
      </c>
      <c r="M102" s="341">
        <f ca="1">SUMIFS(bddres_c_qte,bddres_c_prod_type_aff,'SUIVI STOCKS PAR PAYSAN'!C102,'BDD RESERVATIONS'!$B:$B,"&gt;"&amp;date_inventaire)</f>
        <v>0</v>
      </c>
      <c r="N102" s="342">
        <f ca="1">SUMIFS(bddres_pieces,es_prod_type_affinage,'SUIVI STOCKS PAR PAYSAN'!$C102,es_date_entree,"&gt;"&amp;date_inventaire,es_taille,'SUIVI STOCKS PAR PAYSAN'!$N$7)-SUMIFS(v_Pièces,v_Taille,'SUIVI STOCKS PAR PAYSAN'!$N$7,v_conc_prod_tye_affinage,'SUIVI STOCKS PAR PAYSAN'!$C102,v_Date_commande,"&gt;"&amp;date_inventaire)</f>
        <v>0</v>
      </c>
      <c r="O102" s="342">
        <f ca="1">SUMIFS(bddres_pieces,'BDD RESERVATIONS'!$G:$G,'SUIVI STOCKS PAR PAYSAN'!$N$7,bddres_c_prod_type_aff,'SUIVI STOCKS PAR PAYSAN'!$C102,'BDD RESERVATIONS'!$B:$B,"&gt;"&amp;date_inventaire)</f>
        <v>0</v>
      </c>
      <c r="P102" s="343">
        <f ca="1">SUMIFS(es_pieces,es_prod_type_affinage,'SUIVI STOCKS PAR PAYSAN'!$C102,es_date_entree,"&gt;"&amp;date_inventaire,es_taille,'SUIVI STOCKS PAR PAYSAN'!$P$7)-SUMIFS(v_Pièces,v_Taille,'SUIVI STOCKS PAR PAYSAN'!$P$7,v_conc_prod_tye_affinage,'SUIVI STOCKS PAR PAYSAN'!$C102,v_Date_commande,"&gt;"&amp;date_inventaire)</f>
        <v>0</v>
      </c>
      <c r="Q102" s="353">
        <f ca="1">SUMIFS(bddres_pieces,'BDD RESERVATIONS'!$G:$G,'SUIVI STOCKS PAR PAYSAN'!$P$7,bddres_c_prod_type_aff,'SUIVI STOCKS PAR PAYSAN'!$C102,'BDD RESERVATIONS'!$B:$B,"&gt;"&amp;date_inventaire)</f>
        <v>0</v>
      </c>
      <c r="R102" s="340">
        <f ca="1">SUMIFS(es_poids,es_prod_type_affinage,'SUIVI STOCKS PAR PAYSAN'!$D102,es_date_entree,"&gt;"&amp;date_inventaire)-SUMIFS(v_Poids,v_conc_prod_tye_affinage,'SUIVI STOCKS PAR PAYSAN'!$D102,v_Date_commande,"&gt;"&amp;date_inventaire)</f>
        <v>0</v>
      </c>
      <c r="S102" s="341">
        <f ca="1">SUMIFS(bddres_c_qte,bddres_c_prod_type_aff,'SUIVI STOCKS PAR PAYSAN'!D102,'BDD RESERVATIONS'!$B:$B,"&gt;"&amp;date_inventaire)</f>
        <v>0</v>
      </c>
      <c r="T102" s="342">
        <f ca="1">SUMIFS(bddres_pieces,es_prod_type_affinage,'SUIVI STOCKS PAR PAYSAN'!$D102,es_date_entree,"&gt;"&amp;date_inventaire,es_taille,'SUIVI STOCKS PAR PAYSAN'!$T$7)-SUMIFS(v_Pièces,v_Taille,'SUIVI STOCKS PAR PAYSAN'!$T$7,v_conc_prod_tye_affinage,'SUIVI STOCKS PAR PAYSAN'!$D102,v_Date_commande,"&gt;"&amp;date_inventaire)</f>
        <v>0</v>
      </c>
      <c r="U102" s="342">
        <f ca="1">SUMIFS(bddres_pieces,'BDD RESERVATIONS'!$G:$G,'SUIVI STOCKS PAR PAYSAN'!$T$7,bddres_c_prod_type_aff,'SUIVI STOCKS PAR PAYSAN'!$D102,'BDD RESERVATIONS'!$B:$B,"&gt;"&amp;date_inventaire)</f>
        <v>0</v>
      </c>
      <c r="V102" s="343">
        <f ca="1">SUMIFS(es_pieces,es_prod_type_affinage,'SUIVI STOCKS PAR PAYSAN'!$D102,es_date_entree,"&gt;"&amp;date_inventaire,es_taille,'SUIVI STOCKS PAR PAYSAN'!$V$7)-SUMIFS(v_Pièces,v_Taille,'SUIVI STOCKS PAR PAYSAN'!$V$7,v_conc_prod_tye_affinage,'SUIVI STOCKS PAR PAYSAN'!$D102,v_Date_commande,"&gt;"&amp;date_inventaire)</f>
        <v>0</v>
      </c>
      <c r="W102" s="353">
        <f ca="1">SUMIFS(bddres_pieces,'BDD RESERVATIONS'!$G:$G,'SUIVI STOCKS PAR PAYSAN'!$V$7,bddres_c_prod_type_aff,'SUIVI STOCKS PAR PAYSAN'!$D102,'BDD RESERVATIONS'!$B:$B,"&gt;"&amp;date_inventaire)</f>
        <v>0</v>
      </c>
      <c r="X102" s="313">
        <f ca="1">SUMIFS(es_poids,es_prod_type_affinage,'SUIVI STOCKS PAR PAYSAN'!$E102,es_date_entree,"&gt;"&amp;date_inventaire)-SUMIFS(v_Poids,v_conc_prod_tye_affinage,'SUIVI STOCKS PAR PAYSAN'!$E102,v_Date_commande,"&gt;"&amp;date_inventaire)</f>
        <v>0</v>
      </c>
      <c r="Y102" s="341">
        <f ca="1">SUMIFS(bddres_c_qte,bddres_c_prod_type_aff,'SUIVI STOCKS PAR PAYSAN'!E102,'BDD RESERVATIONS'!$B:$B,"&gt;"&amp;date_inventaire)</f>
        <v>0</v>
      </c>
      <c r="Z102" s="342">
        <f ca="1">SUMIFS(bddres_pieces,es_prod_type_affinage,'SUIVI STOCKS PAR PAYSAN'!$E102,es_date_entree,"&gt;"&amp;date_inventaire,es_taille,'SUIVI STOCKS PAR PAYSAN'!$Z$7)-SUMIFS(v_Pièces,v_Taille,'SUIVI STOCKS PAR PAYSAN'!$Z$7,v_conc_prod_tye_affinage,'SUIVI STOCKS PAR PAYSAN'!$E102,v_Date_commande,"&gt;"&amp;date_inventaire)</f>
        <v>0</v>
      </c>
      <c r="AA102" s="342">
        <f ca="1">SUMIFS(bddres_pieces,'BDD RESERVATIONS'!$G:$G,'SUIVI STOCKS PAR PAYSAN'!$Z$7,bddres_c_prod_type_aff,'SUIVI STOCKS PAR PAYSAN'!$E102,'BDD RESERVATIONS'!$B:$B,"&gt;"&amp;date_inventaire)</f>
        <v>0</v>
      </c>
      <c r="AB102" s="343">
        <f ca="1">SUMIFS(es_pieces,es_prod_type_affinage,'SUIVI STOCKS PAR PAYSAN'!$E102,es_date_entree,"&gt;"&amp;date_inventaire,es_taille,'SUIVI STOCKS PAR PAYSAN'!$AB$7)-SUMIFS(v_Pièces,v_Taille,'SUIVI STOCKS PAR PAYSAN'!$AB$7,v_conc_prod_tye_affinage,'SUIVI STOCKS PAR PAYSAN'!$E102,v_Date_commande,"&gt;"&amp;date_inventaire)</f>
        <v>0</v>
      </c>
      <c r="AC102" s="353">
        <f ca="1">SUMIFS(bddres_pieces,'BDD RESERVATIONS'!$G:$G,'SUIVI STOCKS PAR PAYSAN'!$AB$7,bddres_c_prod_type_aff,'SUIVI STOCKS PAR PAYSAN'!$E102,'BDD RESERVATIONS'!$B:$B,"&gt;"&amp;date_inventaire)</f>
        <v>0</v>
      </c>
      <c r="AD102" s="313">
        <f ca="1">SUMIFS(es_poids,es_prod_type_affinage,'SUIVI STOCKS PAR PAYSAN'!$F102,es_date_entree,"&gt;"&amp;date_inventaire)-SUMIFS(v_Poids,v_conc_prod_tye_affinage,'SUIVI STOCKS PAR PAYSAN'!$F102,v_Date_commande,"&gt;"&amp;date_inventaire)</f>
        <v>0</v>
      </c>
      <c r="AE102" s="341">
        <f ca="1">SUMIFS(bddres_c_qte,bddres_c_prod_type_aff,'SUIVI STOCKS PAR PAYSAN'!F102,'BDD RESERVATIONS'!$B:$B,"&gt;"&amp;date_inventaire)</f>
        <v>0</v>
      </c>
      <c r="AF102" s="342">
        <f ca="1">SUMIFS(bddres_pieces,es_prod_type_affinage,'SUIVI STOCKS PAR PAYSAN'!$F102,es_date_entree,"&gt;"&amp;date_inventaire,es_taille,'SUIVI STOCKS PAR PAYSAN'!$Z$7)-SUMIFS(v_Pièces,v_Taille,'SUIVI STOCKS PAR PAYSAN'!$Z$7,v_conc_prod_tye_affinage,'SUIVI STOCKS PAR PAYSAN'!$F102,v_Date_commande,"&gt;"&amp;date_inventaire)</f>
        <v>0</v>
      </c>
      <c r="AG102" s="342">
        <f ca="1">SUMIFS(bddres_pieces,'BDD RESERVATIONS'!$G:$G,'SUIVI STOCKS PAR PAYSAN'!$Z$7,bddres_c_prod_type_aff,'SUIVI STOCKS PAR PAYSAN'!$F102,'BDD RESERVATIONS'!$B:$B,"&gt;"&amp;date_inventaire)</f>
        <v>0</v>
      </c>
      <c r="AH102" s="343">
        <f ca="1">SUMIFS(es_pieces,es_prod_type_affinage,'SUIVI STOCKS PAR PAYSAN'!$F102,es_date_entree,"&gt;"&amp;date_inventaire,es_taille,'SUIVI STOCKS PAR PAYSAN'!$AH$7)-SUMIFS(v_Pièces,v_Taille,'SUIVI STOCKS PAR PAYSAN'!$AH$7,v_conc_prod_tye_affinage,'SUIVI STOCKS PAR PAYSAN'!$F102,v_Date_commande,"&gt;"&amp;date_inventaire)</f>
        <v>0</v>
      </c>
      <c r="AI102" s="353">
        <f ca="1">SUMIFS(bddres_pieces,'BDD RESERVATIONS'!$G:$G,'SUIVI STOCKS PAR PAYSAN'!$AB$7,bddres_c_prod_type_aff,'SUIVI STOCKS PAR PAYSAN'!$F102,'BDD RESERVATIONS'!$B:$B,"&gt;"&amp;date_inventaire)</f>
        <v>0</v>
      </c>
      <c r="AJ102" s="352">
        <f ca="1">SUMIFS(es_poids,es_prod_type_affinage,'SUIVI STOCKS PAR PAYSAN'!$G102,es_date_entree,"&gt;"&amp;date_inventaire)-SUMIFS(v_Poids,v_conc_prod_tye_affinage,'SUIVI STOCKS PAR PAYSAN'!$G102,v_Date_commande,"&gt;"&amp;date_inventaire)</f>
        <v>0</v>
      </c>
      <c r="AK102" s="341">
        <f ca="1">SUMIFS(bddres_c_qte,bddres_c_prod_type_aff,'SUIVI STOCKS PAR PAYSAN'!G102,'BDD RESERVATIONS'!$B:$B,"&gt;"&amp;date_inventaire)</f>
        <v>0</v>
      </c>
      <c r="AL102" s="342">
        <f ca="1">SUMIFS(bddres_pieces,es_prod_type_affinage,'SUIVI STOCKS PAR PAYSAN'!$G102,es_date_entree,"&gt;"&amp;date_inventaire,es_taille,'SUIVI STOCKS PAR PAYSAN'!$AL$7)-SUMIFS(v_Pièces,v_Taille,'SUIVI STOCKS PAR PAYSAN'!$AL$7,v_conc_prod_tye_affinage,'SUIVI STOCKS PAR PAYSAN'!$G102,v_Date_commande,"&gt;"&amp;date_inventaire)</f>
        <v>0</v>
      </c>
      <c r="AM102" s="342">
        <f ca="1">SUMIFS(bddres_pieces,'BDD RESERVATIONS'!$G:$G,'SUIVI STOCKS PAR PAYSAN'!$AL$7,bddres_c_prod_type_aff,'SUIVI STOCKS PAR PAYSAN'!$G102,'BDD RESERVATIONS'!$B:$B,"&gt;"&amp;date_inventaire)</f>
        <v>0</v>
      </c>
      <c r="AN102" s="343">
        <f ca="1">SUMIFS(es_pieces,es_prod_type_affinage,'SUIVI STOCKS PAR PAYSAN'!$G102,es_date_entree,"&gt;"&amp;date_inventaire,es_taille,'SUIVI STOCKS PAR PAYSAN'!$AN$7)-SUMIFS(v_Pièces,v_Taille,'SUIVI STOCKS PAR PAYSAN'!$AN$7,v_conc_prod_tye_affinage,'SUIVI STOCKS PAR PAYSAN'!$G102,v_Date_commande,"&gt;"&amp;date_inventaire)</f>
        <v>0</v>
      </c>
      <c r="AO102" s="353">
        <f ca="1">SUMIFS(bddres_pieces,'BDD RESERVATIONS'!$G:$G,'SUIVI STOCKS PAR PAYSAN'!$AN$7,bddres_c_prod_type_aff,'SUIVI STOCKS PAR PAYSAN'!$G102,'BDD RESERVATIONS'!$B:$B,"&gt;"&amp;date_inventaire)</f>
        <v>0</v>
      </c>
      <c r="AP102" s="313">
        <f ca="1">SUMIFS(es_poids,es_prod_type_affinage,'SUIVI STOCKS PAR PAYSAN'!$H102,es_date_entree,"&gt;"&amp;date_inventaire)-SUMIFS(v_Poids,v_conc_prod_tye_affinage,'SUIVI STOCKS PAR PAYSAN'!$H102,v_Date_commande,"&gt;"&amp;date_inventaire)</f>
        <v>0</v>
      </c>
      <c r="AQ102" s="341">
        <f ca="1">SUMIFS(bddres_c_qte,bddres_c_prod_type_aff,'SUIVI STOCKS PAR PAYSAN'!H102,'BDD RESERVATIONS'!$B:$B,"&gt;"&amp;date_inventaire)</f>
        <v>0</v>
      </c>
      <c r="AR102" s="342">
        <f ca="1">SUMIFS(bddres_pieces,es_prod_type_affinage,'SUIVI STOCKS PAR PAYSAN'!$H102,es_date_entree,"&gt;"&amp;date_inventaire,es_taille,'SUIVI STOCKS PAR PAYSAN'!$AR$7)-SUMIFS(v_Pièces,v_Taille,'SUIVI STOCKS PAR PAYSAN'!$AR$7,v_conc_prod_tye_affinage,'SUIVI STOCKS PAR PAYSAN'!$H102,v_Date_commande,"&gt;"&amp;date_inventaire)</f>
        <v>0</v>
      </c>
      <c r="AS102" s="326">
        <f ca="1">SUMIFS(bddres_pieces,'BDD RESERVATIONS'!$G:$G,'SUIVI STOCKS PAR PAYSAN'!AR97,bddres_c_prod_type_aff,'SUIVI STOCKS PAR PAYSAN'!$H102,'BDD RESERVATIONS'!$B:$B,"&gt;"&amp;date_inventaire)</f>
        <v>0</v>
      </c>
      <c r="AT102" s="343">
        <f ca="1">SUMIFS(es_pieces,es_prod_type_affinage,'SUIVI STOCKS PAR PAYSAN'!$H102,es_date_entree,"&gt;"&amp;date_inventaire,es_taille,'SUIVI STOCKS PAR PAYSAN'!$AT$7)-SUMIFS(v_Pièces,v_Taille,'SUIVI STOCKS PAR PAYSAN'!$AT$7,v_conc_prod_tye_affinage,'SUIVI STOCKS PAR PAYSAN'!$H102,v_Date_commande,"&gt;"&amp;date_inventaire)</f>
        <v>0</v>
      </c>
      <c r="AU102" s="353">
        <f ca="1">SUMIFS(bddres_pieces,'BDD RESERVATIONS'!$G:$G,'SUIVI STOCKS PAR PAYSAN'!$AT$7,bddres_c_prod_type_aff,'SUIVI STOCKS PAR PAYSAN'!$H102,'BDD RESERVATIONS'!$B:$B,"&gt;"&amp;date_inventaire)</f>
        <v>0</v>
      </c>
      <c r="AV102" s="313">
        <f ca="1">SUMIFS(es_poids,es_prod_type_affinage,'SUIVI STOCKS PAR PAYSAN'!$I102,es_date_entree,"&gt;"&amp;date_inventaire)-SUMIFS(v_Poids,v_conc_prod_tye_affinage,'SUIVI STOCKS PAR PAYSAN'!$E102,v_Date_commande,"&gt;"&amp;date_inventaire)</f>
        <v>0</v>
      </c>
      <c r="AW102" s="313">
        <f ca="1">SUMIFS(bddres_c_qte,bddres_c_prod_type_aff,'SUIVI STOCKS PAR PAYSAN'!I102,'BDD RESERVATIONS'!$B:$B,"&gt;"&amp;date_inventaire)</f>
        <v>0</v>
      </c>
      <c r="AX102" s="342">
        <f ca="1">SUMIFS(bddres_pieces,es_prod_type_affinage,'SUIVI STOCKS PAR PAYSAN'!$I102,es_date_entree,"&gt;"&amp;date_inventaire,es_taille,'SUIVI STOCKS PAR PAYSAN'!$AX$7)-SUMIFS(v_Pièces,v_Taille,'SUIVI STOCKS PAR PAYSAN'!$AX$7,v_conc_prod_tye_affinage,'SUIVI STOCKS PAR PAYSAN'!$I102,v_Date_commande,"&gt;"&amp;date_inventaire)</f>
        <v>0</v>
      </c>
      <c r="AY102" s="342">
        <f ca="1">SUMIFS(bddres_pieces,'BDD RESERVATIONS'!$G:$G,'SUIVI STOCKS PAR PAYSAN'!$AX$7,bddres_c_prod_type_aff,'SUIVI STOCKS PAR PAYSAN'!$I102,'BDD RESERVATIONS'!$B:$B,"&gt;"&amp;date_inventaire)</f>
        <v>0</v>
      </c>
      <c r="AZ102" s="343">
        <f ca="1">SUMIFS(es_pieces,es_prod_type_affinage,'SUIVI STOCKS PAR PAYSAN'!$I102,es_date_entree,"&gt;"&amp;date_inventaire,es_taille,'SUIVI STOCKS PAR PAYSAN'!$AZ$7)-SUMIFS(v_Pièces,v_Taille,'SUIVI STOCKS PAR PAYSAN'!$AZ$7,v_conc_prod_tye_affinage,'SUIVI STOCKS PAR PAYSAN'!$I102,v_Date_commande,"&gt;"&amp;date_inventaire)</f>
        <v>0</v>
      </c>
      <c r="BA102" s="353">
        <f ca="1">SUMIFS(bddres_pieces,'BDD RESERVATIONS'!$G:$G,'SUIVI STOCKS PAR PAYSAN'!$AZ$7,bddres_c_prod_type_aff,'SUIVI STOCKS PAR PAYSAN'!$I102,'BDD RESERVATIONS'!$B:$B,"&gt;"&amp;date_inventaire)</f>
        <v>0</v>
      </c>
      <c r="BB102" s="313">
        <f ca="1">SUMIFS(es_poids,es_prod_type_affinage,'SUIVI STOCKS PAR PAYSAN'!$J102,es_date_entree,"&gt;"&amp;date_inventaire)-SUMIFS(v_Poids,v_conc_prod_tye_affinage,'SUIVI STOCKS PAR PAYSAN'!$J102,v_Date_commande,"&gt;"&amp;date_inventaire)</f>
        <v>0</v>
      </c>
      <c r="BC102" s="313">
        <f ca="1">SUMIFS(bddres_c_qte,bddres_c_prod_type_aff,'SUIVI STOCKS PAR PAYSAN'!J102,'BDD RESERVATIONS'!$B:$B,"&gt;"&amp;date_inventaire)</f>
        <v>0</v>
      </c>
      <c r="BD102" s="342">
        <f ca="1">SUMIFS(bddres_pieces,es_prod_type_affinage,'SUIVI STOCKS PAR PAYSAN'!$J102,es_date_entree,"&gt;"&amp;date_inventaire,es_taille,'SUIVI STOCKS PAR PAYSAN'!$BD$7)-SUMIFS(v_Pièces,v_Taille,'SUIVI STOCKS PAR PAYSAN'!$BD$7,v_conc_prod_tye_affinage,'SUIVI STOCKS PAR PAYSAN'!$J102,v_Date_commande,"&gt;"&amp;date_inventaire)</f>
        <v>0</v>
      </c>
      <c r="BE102" s="326">
        <f ca="1">SUMIFS(bddres_pieces,'BDD RESERVATIONS'!$G:$G,'SUIVI STOCKS PAR PAYSAN'!BD97,bddres_c_prod_type_aff,'SUIVI STOCKS PAR PAYSAN'!J102,'BDD RESERVATIONS'!$B:$B,"&gt;"&amp;date_inventaire)</f>
        <v>0</v>
      </c>
      <c r="BF102" s="343">
        <f ca="1">SUMIFS(es_pieces,es_prod_type_affinage,'SUIVI STOCKS PAR PAYSAN'!J102,es_date_entree,"&gt;"&amp;date_inventaire,es_taille,'SUIVI STOCKS PAR PAYSAN'!$BF$7)-SUMIFS(v_Pièces,v_Taille,'SUIVI STOCKS PAR PAYSAN'!$BF$7,v_conc_prod_tye_affinage,'SUIVI STOCKS PAR PAYSAN'!J102,v_Date_commande,"&gt;"&amp;date_inventaire)</f>
        <v>0</v>
      </c>
      <c r="BG102" s="353">
        <f ca="1">SUMIFS(bddres_pieces,'BDD RESERVATIONS'!$G:$G,'SUIVI STOCKS PAR PAYSAN'!$BF$7,bddres_c_prod_type_aff,'SUIVI STOCKS PAR PAYSAN'!J102,'BDD RESERVATIONS'!$B:$B,"&gt;"&amp;date_inventaire)</f>
        <v>0</v>
      </c>
    </row>
    <row r="103" spans="1:59" ht="18.75" customHeight="1" x14ac:dyDescent="0.25">
      <c r="A103" s="331">
        <f ca="1">OFFSET('BDD PAYSANS'!$B$1,B103,0,1,1)</f>
        <v>0</v>
      </c>
      <c r="B103" s="325">
        <v>92</v>
      </c>
      <c r="C103" s="325" t="str">
        <f t="shared" ca="1" si="4"/>
        <v>0FERMIER&lt;3 mois</v>
      </c>
      <c r="D103" s="325" t="str">
        <f t="shared" ca="1" si="4"/>
        <v>0FERMIER3-6 mois</v>
      </c>
      <c r="E103" s="325" t="str">
        <f t="shared" ca="1" si="4"/>
        <v>0FERMIER6-9 mois</v>
      </c>
      <c r="F103" s="325" t="str">
        <f t="shared" ca="1" si="4"/>
        <v>0FERMIER&gt;9 mois</v>
      </c>
      <c r="G103" s="325" t="str">
        <f t="shared" ca="1" si="4"/>
        <v>0ESTIVE&lt;3 mois</v>
      </c>
      <c r="H103" s="325" t="str">
        <f t="shared" ca="1" si="4"/>
        <v>0ESTIVE3-6 mois</v>
      </c>
      <c r="I103" s="325" t="str">
        <f t="shared" ca="1" si="4"/>
        <v>0ESTIVE6-9 mois</v>
      </c>
      <c r="J103" s="325" t="str">
        <f t="shared" ca="1" si="4"/>
        <v>0ESTIVE&gt;9 mois</v>
      </c>
      <c r="K103" s="325"/>
      <c r="L103" s="352">
        <f ca="1">SUMIFS(es_poids,es_prod_type_affinage,'SUIVI STOCKS PAR PAYSAN'!$C103,es_date_entree,"&gt;"&amp;date_inventaire)-SUMIFS(v_Poids,v_conc_prod_tye_affinage,'SUIVI STOCKS PAR PAYSAN'!$C103,v_Date_commande,"&gt;"&amp;date_inventaire)</f>
        <v>0</v>
      </c>
      <c r="M103" s="341">
        <f ca="1">SUMIFS(bddres_c_qte,bddres_c_prod_type_aff,'SUIVI STOCKS PAR PAYSAN'!C103,'BDD RESERVATIONS'!$B:$B,"&gt;"&amp;date_inventaire)</f>
        <v>0</v>
      </c>
      <c r="N103" s="342">
        <f ca="1">SUMIFS(bddres_pieces,es_prod_type_affinage,'SUIVI STOCKS PAR PAYSAN'!$C103,es_date_entree,"&gt;"&amp;date_inventaire,es_taille,'SUIVI STOCKS PAR PAYSAN'!$N$7)-SUMIFS(v_Pièces,v_Taille,'SUIVI STOCKS PAR PAYSAN'!$N$7,v_conc_prod_tye_affinage,'SUIVI STOCKS PAR PAYSAN'!$C103,v_Date_commande,"&gt;"&amp;date_inventaire)</f>
        <v>0</v>
      </c>
      <c r="O103" s="342">
        <f ca="1">SUMIFS(bddres_pieces,'BDD RESERVATIONS'!$G:$G,'SUIVI STOCKS PAR PAYSAN'!$N$7,bddres_c_prod_type_aff,'SUIVI STOCKS PAR PAYSAN'!$C103,'BDD RESERVATIONS'!$B:$B,"&gt;"&amp;date_inventaire)</f>
        <v>0</v>
      </c>
      <c r="P103" s="343">
        <f ca="1">SUMIFS(es_pieces,es_prod_type_affinage,'SUIVI STOCKS PAR PAYSAN'!$C103,es_date_entree,"&gt;"&amp;date_inventaire,es_taille,'SUIVI STOCKS PAR PAYSAN'!$P$7)-SUMIFS(v_Pièces,v_Taille,'SUIVI STOCKS PAR PAYSAN'!$P$7,v_conc_prod_tye_affinage,'SUIVI STOCKS PAR PAYSAN'!$C103,v_Date_commande,"&gt;"&amp;date_inventaire)</f>
        <v>0</v>
      </c>
      <c r="Q103" s="353">
        <f ca="1">SUMIFS(bddres_pieces,'BDD RESERVATIONS'!$G:$G,'SUIVI STOCKS PAR PAYSAN'!$P$7,bddres_c_prod_type_aff,'SUIVI STOCKS PAR PAYSAN'!$C103,'BDD RESERVATIONS'!$B:$B,"&gt;"&amp;date_inventaire)</f>
        <v>0</v>
      </c>
      <c r="R103" s="340">
        <f ca="1">SUMIFS(es_poids,es_prod_type_affinage,'SUIVI STOCKS PAR PAYSAN'!$D103,es_date_entree,"&gt;"&amp;date_inventaire)-SUMIFS(v_Poids,v_conc_prod_tye_affinage,'SUIVI STOCKS PAR PAYSAN'!$D103,v_Date_commande,"&gt;"&amp;date_inventaire)</f>
        <v>0</v>
      </c>
      <c r="S103" s="341">
        <f ca="1">SUMIFS(bddres_c_qte,bddres_c_prod_type_aff,'SUIVI STOCKS PAR PAYSAN'!D103,'BDD RESERVATIONS'!$B:$B,"&gt;"&amp;date_inventaire)</f>
        <v>0</v>
      </c>
      <c r="T103" s="342">
        <f ca="1">SUMIFS(bddres_pieces,es_prod_type_affinage,'SUIVI STOCKS PAR PAYSAN'!$D103,es_date_entree,"&gt;"&amp;date_inventaire,es_taille,'SUIVI STOCKS PAR PAYSAN'!$T$7)-SUMIFS(v_Pièces,v_Taille,'SUIVI STOCKS PAR PAYSAN'!$T$7,v_conc_prod_tye_affinage,'SUIVI STOCKS PAR PAYSAN'!$D103,v_Date_commande,"&gt;"&amp;date_inventaire)</f>
        <v>0</v>
      </c>
      <c r="U103" s="342">
        <f ca="1">SUMIFS(bddres_pieces,'BDD RESERVATIONS'!$G:$G,'SUIVI STOCKS PAR PAYSAN'!$T$7,bddres_c_prod_type_aff,'SUIVI STOCKS PAR PAYSAN'!$D103,'BDD RESERVATIONS'!$B:$B,"&gt;"&amp;date_inventaire)</f>
        <v>0</v>
      </c>
      <c r="V103" s="343">
        <f ca="1">SUMIFS(es_pieces,es_prod_type_affinage,'SUIVI STOCKS PAR PAYSAN'!$D103,es_date_entree,"&gt;"&amp;date_inventaire,es_taille,'SUIVI STOCKS PAR PAYSAN'!$V$7)-SUMIFS(v_Pièces,v_Taille,'SUIVI STOCKS PAR PAYSAN'!$V$7,v_conc_prod_tye_affinage,'SUIVI STOCKS PAR PAYSAN'!$D103,v_Date_commande,"&gt;"&amp;date_inventaire)</f>
        <v>0</v>
      </c>
      <c r="W103" s="353">
        <f ca="1">SUMIFS(bddres_pieces,'BDD RESERVATIONS'!$G:$G,'SUIVI STOCKS PAR PAYSAN'!$V$7,bddres_c_prod_type_aff,'SUIVI STOCKS PAR PAYSAN'!$D103,'BDD RESERVATIONS'!$B:$B,"&gt;"&amp;date_inventaire)</f>
        <v>0</v>
      </c>
      <c r="X103" s="313">
        <f ca="1">SUMIFS(es_poids,es_prod_type_affinage,'SUIVI STOCKS PAR PAYSAN'!$E103,es_date_entree,"&gt;"&amp;date_inventaire)-SUMIFS(v_Poids,v_conc_prod_tye_affinage,'SUIVI STOCKS PAR PAYSAN'!$E103,v_Date_commande,"&gt;"&amp;date_inventaire)</f>
        <v>0</v>
      </c>
      <c r="Y103" s="341">
        <f ca="1">SUMIFS(bddres_c_qte,bddres_c_prod_type_aff,'SUIVI STOCKS PAR PAYSAN'!E103,'BDD RESERVATIONS'!$B:$B,"&gt;"&amp;date_inventaire)</f>
        <v>0</v>
      </c>
      <c r="Z103" s="342">
        <f ca="1">SUMIFS(bddres_pieces,es_prod_type_affinage,'SUIVI STOCKS PAR PAYSAN'!$E103,es_date_entree,"&gt;"&amp;date_inventaire,es_taille,'SUIVI STOCKS PAR PAYSAN'!$Z$7)-SUMIFS(v_Pièces,v_Taille,'SUIVI STOCKS PAR PAYSAN'!$Z$7,v_conc_prod_tye_affinage,'SUIVI STOCKS PAR PAYSAN'!$E103,v_Date_commande,"&gt;"&amp;date_inventaire)</f>
        <v>0</v>
      </c>
      <c r="AA103" s="342">
        <f ca="1">SUMIFS(bddres_pieces,'BDD RESERVATIONS'!$G:$G,'SUIVI STOCKS PAR PAYSAN'!$Z$7,bddres_c_prod_type_aff,'SUIVI STOCKS PAR PAYSAN'!$E103,'BDD RESERVATIONS'!$B:$B,"&gt;"&amp;date_inventaire)</f>
        <v>0</v>
      </c>
      <c r="AB103" s="343">
        <f ca="1">SUMIFS(es_pieces,es_prod_type_affinage,'SUIVI STOCKS PAR PAYSAN'!$E103,es_date_entree,"&gt;"&amp;date_inventaire,es_taille,'SUIVI STOCKS PAR PAYSAN'!$AB$7)-SUMIFS(v_Pièces,v_Taille,'SUIVI STOCKS PAR PAYSAN'!$AB$7,v_conc_prod_tye_affinage,'SUIVI STOCKS PAR PAYSAN'!$E103,v_Date_commande,"&gt;"&amp;date_inventaire)</f>
        <v>0</v>
      </c>
      <c r="AC103" s="353">
        <f ca="1">SUMIFS(bddres_pieces,'BDD RESERVATIONS'!$G:$G,'SUIVI STOCKS PAR PAYSAN'!$AB$7,bddres_c_prod_type_aff,'SUIVI STOCKS PAR PAYSAN'!$E103,'BDD RESERVATIONS'!$B:$B,"&gt;"&amp;date_inventaire)</f>
        <v>0</v>
      </c>
      <c r="AD103" s="313">
        <f ca="1">SUMIFS(es_poids,es_prod_type_affinage,'SUIVI STOCKS PAR PAYSAN'!$F103,es_date_entree,"&gt;"&amp;date_inventaire)-SUMIFS(v_Poids,v_conc_prod_tye_affinage,'SUIVI STOCKS PAR PAYSAN'!$F103,v_Date_commande,"&gt;"&amp;date_inventaire)</f>
        <v>0</v>
      </c>
      <c r="AE103" s="341">
        <f ca="1">SUMIFS(bddres_c_qte,bddres_c_prod_type_aff,'SUIVI STOCKS PAR PAYSAN'!F103,'BDD RESERVATIONS'!$B:$B,"&gt;"&amp;date_inventaire)</f>
        <v>0</v>
      </c>
      <c r="AF103" s="342">
        <f ca="1">SUMIFS(bddres_pieces,es_prod_type_affinage,'SUIVI STOCKS PAR PAYSAN'!$F103,es_date_entree,"&gt;"&amp;date_inventaire,es_taille,'SUIVI STOCKS PAR PAYSAN'!$Z$7)-SUMIFS(v_Pièces,v_Taille,'SUIVI STOCKS PAR PAYSAN'!$Z$7,v_conc_prod_tye_affinage,'SUIVI STOCKS PAR PAYSAN'!$F103,v_Date_commande,"&gt;"&amp;date_inventaire)</f>
        <v>0</v>
      </c>
      <c r="AG103" s="342">
        <f ca="1">SUMIFS(bddres_pieces,'BDD RESERVATIONS'!$G:$G,'SUIVI STOCKS PAR PAYSAN'!$Z$7,bddres_c_prod_type_aff,'SUIVI STOCKS PAR PAYSAN'!$F103,'BDD RESERVATIONS'!$B:$B,"&gt;"&amp;date_inventaire)</f>
        <v>0</v>
      </c>
      <c r="AH103" s="343">
        <f ca="1">SUMIFS(es_pieces,es_prod_type_affinage,'SUIVI STOCKS PAR PAYSAN'!$F103,es_date_entree,"&gt;"&amp;date_inventaire,es_taille,'SUIVI STOCKS PAR PAYSAN'!$AH$7)-SUMIFS(v_Pièces,v_Taille,'SUIVI STOCKS PAR PAYSAN'!$AH$7,v_conc_prod_tye_affinage,'SUIVI STOCKS PAR PAYSAN'!$F103,v_Date_commande,"&gt;"&amp;date_inventaire)</f>
        <v>0</v>
      </c>
      <c r="AI103" s="353">
        <f ca="1">SUMIFS(bddres_pieces,'BDD RESERVATIONS'!$G:$G,'SUIVI STOCKS PAR PAYSAN'!$AB$7,bddres_c_prod_type_aff,'SUIVI STOCKS PAR PAYSAN'!$F103,'BDD RESERVATIONS'!$B:$B,"&gt;"&amp;date_inventaire)</f>
        <v>0</v>
      </c>
      <c r="AJ103" s="352">
        <f ca="1">SUMIFS(es_poids,es_prod_type_affinage,'SUIVI STOCKS PAR PAYSAN'!$G103,es_date_entree,"&gt;"&amp;date_inventaire)-SUMIFS(v_Poids,v_conc_prod_tye_affinage,'SUIVI STOCKS PAR PAYSAN'!$G103,v_Date_commande,"&gt;"&amp;date_inventaire)</f>
        <v>0</v>
      </c>
      <c r="AK103" s="341">
        <f ca="1">SUMIFS(bddres_c_qte,bddres_c_prod_type_aff,'SUIVI STOCKS PAR PAYSAN'!G103,'BDD RESERVATIONS'!$B:$B,"&gt;"&amp;date_inventaire)</f>
        <v>0</v>
      </c>
      <c r="AL103" s="342">
        <f ca="1">SUMIFS(bddres_pieces,es_prod_type_affinage,'SUIVI STOCKS PAR PAYSAN'!$G103,es_date_entree,"&gt;"&amp;date_inventaire,es_taille,'SUIVI STOCKS PAR PAYSAN'!$AL$7)-SUMIFS(v_Pièces,v_Taille,'SUIVI STOCKS PAR PAYSAN'!$AL$7,v_conc_prod_tye_affinage,'SUIVI STOCKS PAR PAYSAN'!$G103,v_Date_commande,"&gt;"&amp;date_inventaire)</f>
        <v>0</v>
      </c>
      <c r="AM103" s="342">
        <f ca="1">SUMIFS(bddres_pieces,'BDD RESERVATIONS'!$G:$G,'SUIVI STOCKS PAR PAYSAN'!$AL$7,bddres_c_prod_type_aff,'SUIVI STOCKS PAR PAYSAN'!$G103,'BDD RESERVATIONS'!$B:$B,"&gt;"&amp;date_inventaire)</f>
        <v>0</v>
      </c>
      <c r="AN103" s="343">
        <f ca="1">SUMIFS(es_pieces,es_prod_type_affinage,'SUIVI STOCKS PAR PAYSAN'!$G103,es_date_entree,"&gt;"&amp;date_inventaire,es_taille,'SUIVI STOCKS PAR PAYSAN'!$AN$7)-SUMIFS(v_Pièces,v_Taille,'SUIVI STOCKS PAR PAYSAN'!$AN$7,v_conc_prod_tye_affinage,'SUIVI STOCKS PAR PAYSAN'!$G103,v_Date_commande,"&gt;"&amp;date_inventaire)</f>
        <v>0</v>
      </c>
      <c r="AO103" s="353">
        <f ca="1">SUMIFS(bddres_pieces,'BDD RESERVATIONS'!$G:$G,'SUIVI STOCKS PAR PAYSAN'!$AN$7,bddres_c_prod_type_aff,'SUIVI STOCKS PAR PAYSAN'!$G103,'BDD RESERVATIONS'!$B:$B,"&gt;"&amp;date_inventaire)</f>
        <v>0</v>
      </c>
      <c r="AP103" s="313">
        <f ca="1">SUMIFS(es_poids,es_prod_type_affinage,'SUIVI STOCKS PAR PAYSAN'!$H103,es_date_entree,"&gt;"&amp;date_inventaire)-SUMIFS(v_Poids,v_conc_prod_tye_affinage,'SUIVI STOCKS PAR PAYSAN'!$H103,v_Date_commande,"&gt;"&amp;date_inventaire)</f>
        <v>0</v>
      </c>
      <c r="AQ103" s="341">
        <f ca="1">SUMIFS(bddres_c_qte,bddres_c_prod_type_aff,'SUIVI STOCKS PAR PAYSAN'!H103,'BDD RESERVATIONS'!$B:$B,"&gt;"&amp;date_inventaire)</f>
        <v>0</v>
      </c>
      <c r="AR103" s="342">
        <f ca="1">SUMIFS(bddres_pieces,es_prod_type_affinage,'SUIVI STOCKS PAR PAYSAN'!$H103,es_date_entree,"&gt;"&amp;date_inventaire,es_taille,'SUIVI STOCKS PAR PAYSAN'!$AR$7)-SUMIFS(v_Pièces,v_Taille,'SUIVI STOCKS PAR PAYSAN'!$AR$7,v_conc_prod_tye_affinage,'SUIVI STOCKS PAR PAYSAN'!$H103,v_Date_commande,"&gt;"&amp;date_inventaire)</f>
        <v>0</v>
      </c>
      <c r="AS103" s="326">
        <f ca="1">SUMIFS(bddres_pieces,'BDD RESERVATIONS'!$G:$G,'SUIVI STOCKS PAR PAYSAN'!AR98,bddres_c_prod_type_aff,'SUIVI STOCKS PAR PAYSAN'!$H103,'BDD RESERVATIONS'!$B:$B,"&gt;"&amp;date_inventaire)</f>
        <v>0</v>
      </c>
      <c r="AT103" s="343">
        <f ca="1">SUMIFS(es_pieces,es_prod_type_affinage,'SUIVI STOCKS PAR PAYSAN'!$H103,es_date_entree,"&gt;"&amp;date_inventaire,es_taille,'SUIVI STOCKS PAR PAYSAN'!$AT$7)-SUMIFS(v_Pièces,v_Taille,'SUIVI STOCKS PAR PAYSAN'!$AT$7,v_conc_prod_tye_affinage,'SUIVI STOCKS PAR PAYSAN'!$H103,v_Date_commande,"&gt;"&amp;date_inventaire)</f>
        <v>0</v>
      </c>
      <c r="AU103" s="353">
        <f ca="1">SUMIFS(bddres_pieces,'BDD RESERVATIONS'!$G:$G,'SUIVI STOCKS PAR PAYSAN'!$AT$7,bddres_c_prod_type_aff,'SUIVI STOCKS PAR PAYSAN'!$H103,'BDD RESERVATIONS'!$B:$B,"&gt;"&amp;date_inventaire)</f>
        <v>0</v>
      </c>
      <c r="AV103" s="313">
        <f ca="1">SUMIFS(es_poids,es_prod_type_affinage,'SUIVI STOCKS PAR PAYSAN'!$I103,es_date_entree,"&gt;"&amp;date_inventaire)-SUMIFS(v_Poids,v_conc_prod_tye_affinage,'SUIVI STOCKS PAR PAYSAN'!$E103,v_Date_commande,"&gt;"&amp;date_inventaire)</f>
        <v>0</v>
      </c>
      <c r="AW103" s="313">
        <f ca="1">SUMIFS(bddres_c_qte,bddres_c_prod_type_aff,'SUIVI STOCKS PAR PAYSAN'!I103,'BDD RESERVATIONS'!$B:$B,"&gt;"&amp;date_inventaire)</f>
        <v>0</v>
      </c>
      <c r="AX103" s="342">
        <f ca="1">SUMIFS(bddres_pieces,es_prod_type_affinage,'SUIVI STOCKS PAR PAYSAN'!$I103,es_date_entree,"&gt;"&amp;date_inventaire,es_taille,'SUIVI STOCKS PAR PAYSAN'!$AX$7)-SUMIFS(v_Pièces,v_Taille,'SUIVI STOCKS PAR PAYSAN'!$AX$7,v_conc_prod_tye_affinage,'SUIVI STOCKS PAR PAYSAN'!$I103,v_Date_commande,"&gt;"&amp;date_inventaire)</f>
        <v>0</v>
      </c>
      <c r="AY103" s="342">
        <f ca="1">SUMIFS(bddres_pieces,'BDD RESERVATIONS'!$G:$G,'SUIVI STOCKS PAR PAYSAN'!$AX$7,bddres_c_prod_type_aff,'SUIVI STOCKS PAR PAYSAN'!$I103,'BDD RESERVATIONS'!$B:$B,"&gt;"&amp;date_inventaire)</f>
        <v>0</v>
      </c>
      <c r="AZ103" s="343">
        <f ca="1">SUMIFS(es_pieces,es_prod_type_affinage,'SUIVI STOCKS PAR PAYSAN'!$I103,es_date_entree,"&gt;"&amp;date_inventaire,es_taille,'SUIVI STOCKS PAR PAYSAN'!$AZ$7)-SUMIFS(v_Pièces,v_Taille,'SUIVI STOCKS PAR PAYSAN'!$AZ$7,v_conc_prod_tye_affinage,'SUIVI STOCKS PAR PAYSAN'!$I103,v_Date_commande,"&gt;"&amp;date_inventaire)</f>
        <v>0</v>
      </c>
      <c r="BA103" s="353">
        <f ca="1">SUMIFS(bddres_pieces,'BDD RESERVATIONS'!$G:$G,'SUIVI STOCKS PAR PAYSAN'!$AZ$7,bddres_c_prod_type_aff,'SUIVI STOCKS PAR PAYSAN'!$I103,'BDD RESERVATIONS'!$B:$B,"&gt;"&amp;date_inventaire)</f>
        <v>0</v>
      </c>
      <c r="BB103" s="313">
        <f ca="1">SUMIFS(es_poids,es_prod_type_affinage,'SUIVI STOCKS PAR PAYSAN'!$J103,es_date_entree,"&gt;"&amp;date_inventaire)-SUMIFS(v_Poids,v_conc_prod_tye_affinage,'SUIVI STOCKS PAR PAYSAN'!$J103,v_Date_commande,"&gt;"&amp;date_inventaire)</f>
        <v>0</v>
      </c>
      <c r="BC103" s="313">
        <f ca="1">SUMIFS(bddres_c_qte,bddres_c_prod_type_aff,'SUIVI STOCKS PAR PAYSAN'!J103,'BDD RESERVATIONS'!$B:$B,"&gt;"&amp;date_inventaire)</f>
        <v>0</v>
      </c>
      <c r="BD103" s="342">
        <f ca="1">SUMIFS(bddres_pieces,es_prod_type_affinage,'SUIVI STOCKS PAR PAYSAN'!$J103,es_date_entree,"&gt;"&amp;date_inventaire,es_taille,'SUIVI STOCKS PAR PAYSAN'!$BD$7)-SUMIFS(v_Pièces,v_Taille,'SUIVI STOCKS PAR PAYSAN'!$BD$7,v_conc_prod_tye_affinage,'SUIVI STOCKS PAR PAYSAN'!$J103,v_Date_commande,"&gt;"&amp;date_inventaire)</f>
        <v>0</v>
      </c>
      <c r="BE103" s="326">
        <f ca="1">SUMIFS(bddres_pieces,'BDD RESERVATIONS'!$G:$G,'SUIVI STOCKS PAR PAYSAN'!BD98,bddres_c_prod_type_aff,'SUIVI STOCKS PAR PAYSAN'!J103,'BDD RESERVATIONS'!$B:$B,"&gt;"&amp;date_inventaire)</f>
        <v>0</v>
      </c>
      <c r="BF103" s="343">
        <f ca="1">SUMIFS(es_pieces,es_prod_type_affinage,'SUIVI STOCKS PAR PAYSAN'!J103,es_date_entree,"&gt;"&amp;date_inventaire,es_taille,'SUIVI STOCKS PAR PAYSAN'!$BF$7)-SUMIFS(v_Pièces,v_Taille,'SUIVI STOCKS PAR PAYSAN'!$BF$7,v_conc_prod_tye_affinage,'SUIVI STOCKS PAR PAYSAN'!J103,v_Date_commande,"&gt;"&amp;date_inventaire)</f>
        <v>0</v>
      </c>
      <c r="BG103" s="353">
        <f ca="1">SUMIFS(bddres_pieces,'BDD RESERVATIONS'!$G:$G,'SUIVI STOCKS PAR PAYSAN'!$BF$7,bddres_c_prod_type_aff,'SUIVI STOCKS PAR PAYSAN'!J103,'BDD RESERVATIONS'!$B:$B,"&gt;"&amp;date_inventaire)</f>
        <v>0</v>
      </c>
    </row>
    <row r="104" spans="1:59" ht="18.75" customHeight="1" x14ac:dyDescent="0.25">
      <c r="A104" s="331">
        <f ca="1">OFFSET('BDD PAYSANS'!$B$1,B104,0,1,1)</f>
        <v>0</v>
      </c>
      <c r="B104" s="325">
        <v>93</v>
      </c>
      <c r="C104" s="325" t="str">
        <f t="shared" ca="1" si="4"/>
        <v>0FERMIER&lt;3 mois</v>
      </c>
      <c r="D104" s="325" t="str">
        <f t="shared" ca="1" si="4"/>
        <v>0FERMIER3-6 mois</v>
      </c>
      <c r="E104" s="325" t="str">
        <f t="shared" ca="1" si="4"/>
        <v>0FERMIER6-9 mois</v>
      </c>
      <c r="F104" s="325" t="str">
        <f t="shared" ca="1" si="4"/>
        <v>0FERMIER&gt;9 mois</v>
      </c>
      <c r="G104" s="325" t="str">
        <f t="shared" ca="1" si="4"/>
        <v>0ESTIVE&lt;3 mois</v>
      </c>
      <c r="H104" s="325" t="str">
        <f t="shared" ca="1" si="4"/>
        <v>0ESTIVE3-6 mois</v>
      </c>
      <c r="I104" s="325" t="str">
        <f t="shared" ca="1" si="4"/>
        <v>0ESTIVE6-9 mois</v>
      </c>
      <c r="J104" s="325" t="str">
        <f t="shared" ca="1" si="4"/>
        <v>0ESTIVE&gt;9 mois</v>
      </c>
      <c r="K104" s="325"/>
      <c r="L104" s="352">
        <f ca="1">SUMIFS(es_poids,es_prod_type_affinage,'SUIVI STOCKS PAR PAYSAN'!$C104,es_date_entree,"&gt;"&amp;date_inventaire)-SUMIFS(v_Poids,v_conc_prod_tye_affinage,'SUIVI STOCKS PAR PAYSAN'!$C104,v_Date_commande,"&gt;"&amp;date_inventaire)</f>
        <v>0</v>
      </c>
      <c r="M104" s="341">
        <f ca="1">SUMIFS(bddres_c_qte,bddres_c_prod_type_aff,'SUIVI STOCKS PAR PAYSAN'!C104,'BDD RESERVATIONS'!$B:$B,"&gt;"&amp;date_inventaire)</f>
        <v>0</v>
      </c>
      <c r="N104" s="342">
        <f ca="1">SUMIFS(bddres_pieces,es_prod_type_affinage,'SUIVI STOCKS PAR PAYSAN'!$C104,es_date_entree,"&gt;"&amp;date_inventaire,es_taille,'SUIVI STOCKS PAR PAYSAN'!$N$7)-SUMIFS(v_Pièces,v_Taille,'SUIVI STOCKS PAR PAYSAN'!$N$7,v_conc_prod_tye_affinage,'SUIVI STOCKS PAR PAYSAN'!$C104,v_Date_commande,"&gt;"&amp;date_inventaire)</f>
        <v>0</v>
      </c>
      <c r="O104" s="342">
        <f ca="1">SUMIFS(bddres_pieces,'BDD RESERVATIONS'!$G:$G,'SUIVI STOCKS PAR PAYSAN'!$N$7,bddres_c_prod_type_aff,'SUIVI STOCKS PAR PAYSAN'!$C104,'BDD RESERVATIONS'!$B:$B,"&gt;"&amp;date_inventaire)</f>
        <v>0</v>
      </c>
      <c r="P104" s="343">
        <f ca="1">SUMIFS(es_pieces,es_prod_type_affinage,'SUIVI STOCKS PAR PAYSAN'!$C104,es_date_entree,"&gt;"&amp;date_inventaire,es_taille,'SUIVI STOCKS PAR PAYSAN'!$P$7)-SUMIFS(v_Pièces,v_Taille,'SUIVI STOCKS PAR PAYSAN'!$P$7,v_conc_prod_tye_affinage,'SUIVI STOCKS PAR PAYSAN'!$C104,v_Date_commande,"&gt;"&amp;date_inventaire)</f>
        <v>0</v>
      </c>
      <c r="Q104" s="353">
        <f ca="1">SUMIFS(bddres_pieces,'BDD RESERVATIONS'!$G:$G,'SUIVI STOCKS PAR PAYSAN'!$P$7,bddres_c_prod_type_aff,'SUIVI STOCKS PAR PAYSAN'!$C104,'BDD RESERVATIONS'!$B:$B,"&gt;"&amp;date_inventaire)</f>
        <v>0</v>
      </c>
      <c r="R104" s="340">
        <f ca="1">SUMIFS(es_poids,es_prod_type_affinage,'SUIVI STOCKS PAR PAYSAN'!$D104,es_date_entree,"&gt;"&amp;date_inventaire)-SUMIFS(v_Poids,v_conc_prod_tye_affinage,'SUIVI STOCKS PAR PAYSAN'!$D104,v_Date_commande,"&gt;"&amp;date_inventaire)</f>
        <v>0</v>
      </c>
      <c r="S104" s="341">
        <f ca="1">SUMIFS(bddres_c_qte,bddres_c_prod_type_aff,'SUIVI STOCKS PAR PAYSAN'!D104,'BDD RESERVATIONS'!$B:$B,"&gt;"&amp;date_inventaire)</f>
        <v>0</v>
      </c>
      <c r="T104" s="342">
        <f ca="1">SUMIFS(bddres_pieces,es_prod_type_affinage,'SUIVI STOCKS PAR PAYSAN'!$D104,es_date_entree,"&gt;"&amp;date_inventaire,es_taille,'SUIVI STOCKS PAR PAYSAN'!$T$7)-SUMIFS(v_Pièces,v_Taille,'SUIVI STOCKS PAR PAYSAN'!$T$7,v_conc_prod_tye_affinage,'SUIVI STOCKS PAR PAYSAN'!$D104,v_Date_commande,"&gt;"&amp;date_inventaire)</f>
        <v>0</v>
      </c>
      <c r="U104" s="342">
        <f ca="1">SUMIFS(bddres_pieces,'BDD RESERVATIONS'!$G:$G,'SUIVI STOCKS PAR PAYSAN'!$T$7,bddres_c_prod_type_aff,'SUIVI STOCKS PAR PAYSAN'!$D104,'BDD RESERVATIONS'!$B:$B,"&gt;"&amp;date_inventaire)</f>
        <v>0</v>
      </c>
      <c r="V104" s="343">
        <f ca="1">SUMIFS(es_pieces,es_prod_type_affinage,'SUIVI STOCKS PAR PAYSAN'!$D104,es_date_entree,"&gt;"&amp;date_inventaire,es_taille,'SUIVI STOCKS PAR PAYSAN'!$V$7)-SUMIFS(v_Pièces,v_Taille,'SUIVI STOCKS PAR PAYSAN'!$V$7,v_conc_prod_tye_affinage,'SUIVI STOCKS PAR PAYSAN'!$D104,v_Date_commande,"&gt;"&amp;date_inventaire)</f>
        <v>0</v>
      </c>
      <c r="W104" s="353">
        <f ca="1">SUMIFS(bddres_pieces,'BDD RESERVATIONS'!$G:$G,'SUIVI STOCKS PAR PAYSAN'!$V$7,bddres_c_prod_type_aff,'SUIVI STOCKS PAR PAYSAN'!$D104,'BDD RESERVATIONS'!$B:$B,"&gt;"&amp;date_inventaire)</f>
        <v>0</v>
      </c>
      <c r="X104" s="313">
        <f ca="1">SUMIFS(es_poids,es_prod_type_affinage,'SUIVI STOCKS PAR PAYSAN'!$E104,es_date_entree,"&gt;"&amp;date_inventaire)-SUMIFS(v_Poids,v_conc_prod_tye_affinage,'SUIVI STOCKS PAR PAYSAN'!$E104,v_Date_commande,"&gt;"&amp;date_inventaire)</f>
        <v>0</v>
      </c>
      <c r="Y104" s="341">
        <f ca="1">SUMIFS(bddres_c_qte,bddres_c_prod_type_aff,'SUIVI STOCKS PAR PAYSAN'!E104,'BDD RESERVATIONS'!$B:$B,"&gt;"&amp;date_inventaire)</f>
        <v>0</v>
      </c>
      <c r="Z104" s="342">
        <f ca="1">SUMIFS(bddres_pieces,es_prod_type_affinage,'SUIVI STOCKS PAR PAYSAN'!$E104,es_date_entree,"&gt;"&amp;date_inventaire,es_taille,'SUIVI STOCKS PAR PAYSAN'!$Z$7)-SUMIFS(v_Pièces,v_Taille,'SUIVI STOCKS PAR PAYSAN'!$Z$7,v_conc_prod_tye_affinage,'SUIVI STOCKS PAR PAYSAN'!$E104,v_Date_commande,"&gt;"&amp;date_inventaire)</f>
        <v>0</v>
      </c>
      <c r="AA104" s="342">
        <f ca="1">SUMIFS(bddres_pieces,'BDD RESERVATIONS'!$G:$G,'SUIVI STOCKS PAR PAYSAN'!$Z$7,bddres_c_prod_type_aff,'SUIVI STOCKS PAR PAYSAN'!$E104,'BDD RESERVATIONS'!$B:$B,"&gt;"&amp;date_inventaire)</f>
        <v>0</v>
      </c>
      <c r="AB104" s="343">
        <f ca="1">SUMIFS(es_pieces,es_prod_type_affinage,'SUIVI STOCKS PAR PAYSAN'!$E104,es_date_entree,"&gt;"&amp;date_inventaire,es_taille,'SUIVI STOCKS PAR PAYSAN'!$AB$7)-SUMIFS(v_Pièces,v_Taille,'SUIVI STOCKS PAR PAYSAN'!$AB$7,v_conc_prod_tye_affinage,'SUIVI STOCKS PAR PAYSAN'!$E104,v_Date_commande,"&gt;"&amp;date_inventaire)</f>
        <v>0</v>
      </c>
      <c r="AC104" s="353">
        <f ca="1">SUMIFS(bddres_pieces,'BDD RESERVATIONS'!$G:$G,'SUIVI STOCKS PAR PAYSAN'!$AB$7,bddres_c_prod_type_aff,'SUIVI STOCKS PAR PAYSAN'!$E104,'BDD RESERVATIONS'!$B:$B,"&gt;"&amp;date_inventaire)</f>
        <v>0</v>
      </c>
      <c r="AD104" s="313">
        <f ca="1">SUMIFS(es_poids,es_prod_type_affinage,'SUIVI STOCKS PAR PAYSAN'!$F104,es_date_entree,"&gt;"&amp;date_inventaire)-SUMIFS(v_Poids,v_conc_prod_tye_affinage,'SUIVI STOCKS PAR PAYSAN'!$F104,v_Date_commande,"&gt;"&amp;date_inventaire)</f>
        <v>0</v>
      </c>
      <c r="AE104" s="341">
        <f ca="1">SUMIFS(bddres_c_qte,bddres_c_prod_type_aff,'SUIVI STOCKS PAR PAYSAN'!F104,'BDD RESERVATIONS'!$B:$B,"&gt;"&amp;date_inventaire)</f>
        <v>0</v>
      </c>
      <c r="AF104" s="342">
        <f ca="1">SUMIFS(bddres_pieces,es_prod_type_affinage,'SUIVI STOCKS PAR PAYSAN'!$F104,es_date_entree,"&gt;"&amp;date_inventaire,es_taille,'SUIVI STOCKS PAR PAYSAN'!$Z$7)-SUMIFS(v_Pièces,v_Taille,'SUIVI STOCKS PAR PAYSAN'!$Z$7,v_conc_prod_tye_affinage,'SUIVI STOCKS PAR PAYSAN'!$F104,v_Date_commande,"&gt;"&amp;date_inventaire)</f>
        <v>0</v>
      </c>
      <c r="AG104" s="342">
        <f ca="1">SUMIFS(bddres_pieces,'BDD RESERVATIONS'!$G:$G,'SUIVI STOCKS PAR PAYSAN'!$Z$7,bddres_c_prod_type_aff,'SUIVI STOCKS PAR PAYSAN'!$F104,'BDD RESERVATIONS'!$B:$B,"&gt;"&amp;date_inventaire)</f>
        <v>0</v>
      </c>
      <c r="AH104" s="343">
        <f ca="1">SUMIFS(es_pieces,es_prod_type_affinage,'SUIVI STOCKS PAR PAYSAN'!$F104,es_date_entree,"&gt;"&amp;date_inventaire,es_taille,'SUIVI STOCKS PAR PAYSAN'!$AH$7)-SUMIFS(v_Pièces,v_Taille,'SUIVI STOCKS PAR PAYSAN'!$AH$7,v_conc_prod_tye_affinage,'SUIVI STOCKS PAR PAYSAN'!$F104,v_Date_commande,"&gt;"&amp;date_inventaire)</f>
        <v>0</v>
      </c>
      <c r="AI104" s="353">
        <f ca="1">SUMIFS(bddres_pieces,'BDD RESERVATIONS'!$G:$G,'SUIVI STOCKS PAR PAYSAN'!$AB$7,bddres_c_prod_type_aff,'SUIVI STOCKS PAR PAYSAN'!$F104,'BDD RESERVATIONS'!$B:$B,"&gt;"&amp;date_inventaire)</f>
        <v>0</v>
      </c>
      <c r="AJ104" s="352">
        <f ca="1">SUMIFS(es_poids,es_prod_type_affinage,'SUIVI STOCKS PAR PAYSAN'!$G104,es_date_entree,"&gt;"&amp;date_inventaire)-SUMIFS(v_Poids,v_conc_prod_tye_affinage,'SUIVI STOCKS PAR PAYSAN'!$G104,v_Date_commande,"&gt;"&amp;date_inventaire)</f>
        <v>0</v>
      </c>
      <c r="AK104" s="341">
        <f ca="1">SUMIFS(bddres_c_qte,bddres_c_prod_type_aff,'SUIVI STOCKS PAR PAYSAN'!G104,'BDD RESERVATIONS'!$B:$B,"&gt;"&amp;date_inventaire)</f>
        <v>0</v>
      </c>
      <c r="AL104" s="342">
        <f ca="1">SUMIFS(bddres_pieces,es_prod_type_affinage,'SUIVI STOCKS PAR PAYSAN'!$G104,es_date_entree,"&gt;"&amp;date_inventaire,es_taille,'SUIVI STOCKS PAR PAYSAN'!$AL$7)-SUMIFS(v_Pièces,v_Taille,'SUIVI STOCKS PAR PAYSAN'!$AL$7,v_conc_prod_tye_affinage,'SUIVI STOCKS PAR PAYSAN'!$G104,v_Date_commande,"&gt;"&amp;date_inventaire)</f>
        <v>0</v>
      </c>
      <c r="AM104" s="342">
        <f ca="1">SUMIFS(bddres_pieces,'BDD RESERVATIONS'!$G:$G,'SUIVI STOCKS PAR PAYSAN'!$AL$7,bddres_c_prod_type_aff,'SUIVI STOCKS PAR PAYSAN'!$G104,'BDD RESERVATIONS'!$B:$B,"&gt;"&amp;date_inventaire)</f>
        <v>0</v>
      </c>
      <c r="AN104" s="343">
        <f ca="1">SUMIFS(es_pieces,es_prod_type_affinage,'SUIVI STOCKS PAR PAYSAN'!$G104,es_date_entree,"&gt;"&amp;date_inventaire,es_taille,'SUIVI STOCKS PAR PAYSAN'!$AN$7)-SUMIFS(v_Pièces,v_Taille,'SUIVI STOCKS PAR PAYSAN'!$AN$7,v_conc_prod_tye_affinage,'SUIVI STOCKS PAR PAYSAN'!$G104,v_Date_commande,"&gt;"&amp;date_inventaire)</f>
        <v>0</v>
      </c>
      <c r="AO104" s="353">
        <f ca="1">SUMIFS(bddres_pieces,'BDD RESERVATIONS'!$G:$G,'SUIVI STOCKS PAR PAYSAN'!$AN$7,bddres_c_prod_type_aff,'SUIVI STOCKS PAR PAYSAN'!$G104,'BDD RESERVATIONS'!$B:$B,"&gt;"&amp;date_inventaire)</f>
        <v>0</v>
      </c>
      <c r="AP104" s="313">
        <f ca="1">SUMIFS(es_poids,es_prod_type_affinage,'SUIVI STOCKS PAR PAYSAN'!$H104,es_date_entree,"&gt;"&amp;date_inventaire)-SUMIFS(v_Poids,v_conc_prod_tye_affinage,'SUIVI STOCKS PAR PAYSAN'!$H104,v_Date_commande,"&gt;"&amp;date_inventaire)</f>
        <v>0</v>
      </c>
      <c r="AQ104" s="341">
        <f ca="1">SUMIFS(bddres_c_qte,bddres_c_prod_type_aff,'SUIVI STOCKS PAR PAYSAN'!H104,'BDD RESERVATIONS'!$B:$B,"&gt;"&amp;date_inventaire)</f>
        <v>0</v>
      </c>
      <c r="AR104" s="342">
        <f ca="1">SUMIFS(bddres_pieces,es_prod_type_affinage,'SUIVI STOCKS PAR PAYSAN'!$H104,es_date_entree,"&gt;"&amp;date_inventaire,es_taille,'SUIVI STOCKS PAR PAYSAN'!$AR$7)-SUMIFS(v_Pièces,v_Taille,'SUIVI STOCKS PAR PAYSAN'!$AR$7,v_conc_prod_tye_affinage,'SUIVI STOCKS PAR PAYSAN'!$H104,v_Date_commande,"&gt;"&amp;date_inventaire)</f>
        <v>0</v>
      </c>
      <c r="AS104" s="326">
        <f ca="1">SUMIFS(bddres_pieces,'BDD RESERVATIONS'!$G:$G,'SUIVI STOCKS PAR PAYSAN'!AR99,bddres_c_prod_type_aff,'SUIVI STOCKS PAR PAYSAN'!$H104,'BDD RESERVATIONS'!$B:$B,"&gt;"&amp;date_inventaire)</f>
        <v>0</v>
      </c>
      <c r="AT104" s="343">
        <f ca="1">SUMIFS(es_pieces,es_prod_type_affinage,'SUIVI STOCKS PAR PAYSAN'!$H104,es_date_entree,"&gt;"&amp;date_inventaire,es_taille,'SUIVI STOCKS PAR PAYSAN'!$AT$7)-SUMIFS(v_Pièces,v_Taille,'SUIVI STOCKS PAR PAYSAN'!$AT$7,v_conc_prod_tye_affinage,'SUIVI STOCKS PAR PAYSAN'!$H104,v_Date_commande,"&gt;"&amp;date_inventaire)</f>
        <v>0</v>
      </c>
      <c r="AU104" s="353">
        <f ca="1">SUMIFS(bddres_pieces,'BDD RESERVATIONS'!$G:$G,'SUIVI STOCKS PAR PAYSAN'!$AT$7,bddres_c_prod_type_aff,'SUIVI STOCKS PAR PAYSAN'!$H104,'BDD RESERVATIONS'!$B:$B,"&gt;"&amp;date_inventaire)</f>
        <v>0</v>
      </c>
      <c r="AV104" s="313">
        <f ca="1">SUMIFS(es_poids,es_prod_type_affinage,'SUIVI STOCKS PAR PAYSAN'!$I104,es_date_entree,"&gt;"&amp;date_inventaire)-SUMIFS(v_Poids,v_conc_prod_tye_affinage,'SUIVI STOCKS PAR PAYSAN'!$E104,v_Date_commande,"&gt;"&amp;date_inventaire)</f>
        <v>0</v>
      </c>
      <c r="AW104" s="313">
        <f ca="1">SUMIFS(bddres_c_qte,bddres_c_prod_type_aff,'SUIVI STOCKS PAR PAYSAN'!I104,'BDD RESERVATIONS'!$B:$B,"&gt;"&amp;date_inventaire)</f>
        <v>0</v>
      </c>
      <c r="AX104" s="342">
        <f ca="1">SUMIFS(bddres_pieces,es_prod_type_affinage,'SUIVI STOCKS PAR PAYSAN'!$I104,es_date_entree,"&gt;"&amp;date_inventaire,es_taille,'SUIVI STOCKS PAR PAYSAN'!$AX$7)-SUMIFS(v_Pièces,v_Taille,'SUIVI STOCKS PAR PAYSAN'!$AX$7,v_conc_prod_tye_affinage,'SUIVI STOCKS PAR PAYSAN'!$I104,v_Date_commande,"&gt;"&amp;date_inventaire)</f>
        <v>0</v>
      </c>
      <c r="AY104" s="342">
        <f ca="1">SUMIFS(bddres_pieces,'BDD RESERVATIONS'!$G:$G,'SUIVI STOCKS PAR PAYSAN'!$AX$7,bddres_c_prod_type_aff,'SUIVI STOCKS PAR PAYSAN'!$I104,'BDD RESERVATIONS'!$B:$B,"&gt;"&amp;date_inventaire)</f>
        <v>0</v>
      </c>
      <c r="AZ104" s="343">
        <f ca="1">SUMIFS(es_pieces,es_prod_type_affinage,'SUIVI STOCKS PAR PAYSAN'!$I104,es_date_entree,"&gt;"&amp;date_inventaire,es_taille,'SUIVI STOCKS PAR PAYSAN'!$AZ$7)-SUMIFS(v_Pièces,v_Taille,'SUIVI STOCKS PAR PAYSAN'!$AZ$7,v_conc_prod_tye_affinage,'SUIVI STOCKS PAR PAYSAN'!$I104,v_Date_commande,"&gt;"&amp;date_inventaire)</f>
        <v>0</v>
      </c>
      <c r="BA104" s="353">
        <f ca="1">SUMIFS(bddres_pieces,'BDD RESERVATIONS'!$G:$G,'SUIVI STOCKS PAR PAYSAN'!$AZ$7,bddres_c_prod_type_aff,'SUIVI STOCKS PAR PAYSAN'!$I104,'BDD RESERVATIONS'!$B:$B,"&gt;"&amp;date_inventaire)</f>
        <v>0</v>
      </c>
      <c r="BB104" s="313">
        <f ca="1">SUMIFS(es_poids,es_prod_type_affinage,'SUIVI STOCKS PAR PAYSAN'!$J104,es_date_entree,"&gt;"&amp;date_inventaire)-SUMIFS(v_Poids,v_conc_prod_tye_affinage,'SUIVI STOCKS PAR PAYSAN'!$J104,v_Date_commande,"&gt;"&amp;date_inventaire)</f>
        <v>0</v>
      </c>
      <c r="BC104" s="313">
        <f ca="1">SUMIFS(bddres_c_qte,bddres_c_prod_type_aff,'SUIVI STOCKS PAR PAYSAN'!J104,'BDD RESERVATIONS'!$B:$B,"&gt;"&amp;date_inventaire)</f>
        <v>0</v>
      </c>
      <c r="BD104" s="342">
        <f ca="1">SUMIFS(bddres_pieces,es_prod_type_affinage,'SUIVI STOCKS PAR PAYSAN'!$J104,es_date_entree,"&gt;"&amp;date_inventaire,es_taille,'SUIVI STOCKS PAR PAYSAN'!$BD$7)-SUMIFS(v_Pièces,v_Taille,'SUIVI STOCKS PAR PAYSAN'!$BD$7,v_conc_prod_tye_affinage,'SUIVI STOCKS PAR PAYSAN'!$J104,v_Date_commande,"&gt;"&amp;date_inventaire)</f>
        <v>0</v>
      </c>
      <c r="BE104" s="326">
        <f ca="1">SUMIFS(bddres_pieces,'BDD RESERVATIONS'!$G:$G,'SUIVI STOCKS PAR PAYSAN'!BD99,bddres_c_prod_type_aff,'SUIVI STOCKS PAR PAYSAN'!J104,'BDD RESERVATIONS'!$B:$B,"&gt;"&amp;date_inventaire)</f>
        <v>0</v>
      </c>
      <c r="BF104" s="343">
        <f ca="1">SUMIFS(es_pieces,es_prod_type_affinage,'SUIVI STOCKS PAR PAYSAN'!J104,es_date_entree,"&gt;"&amp;date_inventaire,es_taille,'SUIVI STOCKS PAR PAYSAN'!$BF$7)-SUMIFS(v_Pièces,v_Taille,'SUIVI STOCKS PAR PAYSAN'!$BF$7,v_conc_prod_tye_affinage,'SUIVI STOCKS PAR PAYSAN'!J104,v_Date_commande,"&gt;"&amp;date_inventaire)</f>
        <v>0</v>
      </c>
      <c r="BG104" s="353">
        <f ca="1">SUMIFS(bddres_pieces,'BDD RESERVATIONS'!$G:$G,'SUIVI STOCKS PAR PAYSAN'!$BF$7,bddres_c_prod_type_aff,'SUIVI STOCKS PAR PAYSAN'!J104,'BDD RESERVATIONS'!$B:$B,"&gt;"&amp;date_inventaire)</f>
        <v>0</v>
      </c>
    </row>
    <row r="105" spans="1:59" ht="18.75" customHeight="1" x14ac:dyDescent="0.25">
      <c r="A105" s="331">
        <f ca="1">OFFSET('BDD PAYSANS'!$B$1,B105,0,1,1)</f>
        <v>0</v>
      </c>
      <c r="B105" s="325">
        <v>94</v>
      </c>
      <c r="C105" s="325" t="str">
        <f t="shared" ca="1" si="4"/>
        <v>0FERMIER&lt;3 mois</v>
      </c>
      <c r="D105" s="325" t="str">
        <f t="shared" ca="1" si="4"/>
        <v>0FERMIER3-6 mois</v>
      </c>
      <c r="E105" s="325" t="str">
        <f t="shared" ca="1" si="4"/>
        <v>0FERMIER6-9 mois</v>
      </c>
      <c r="F105" s="325" t="str">
        <f t="shared" ca="1" si="4"/>
        <v>0FERMIER&gt;9 mois</v>
      </c>
      <c r="G105" s="325" t="str">
        <f t="shared" ca="1" si="4"/>
        <v>0ESTIVE&lt;3 mois</v>
      </c>
      <c r="H105" s="325" t="str">
        <f t="shared" ca="1" si="4"/>
        <v>0ESTIVE3-6 mois</v>
      </c>
      <c r="I105" s="325" t="str">
        <f t="shared" ca="1" si="4"/>
        <v>0ESTIVE6-9 mois</v>
      </c>
      <c r="J105" s="325" t="str">
        <f t="shared" ca="1" si="4"/>
        <v>0ESTIVE&gt;9 mois</v>
      </c>
      <c r="K105" s="325"/>
      <c r="L105" s="352">
        <f ca="1">SUMIFS(es_poids,es_prod_type_affinage,'SUIVI STOCKS PAR PAYSAN'!$C105,es_date_entree,"&gt;"&amp;date_inventaire)-SUMIFS(v_Poids,v_conc_prod_tye_affinage,'SUIVI STOCKS PAR PAYSAN'!$C105,v_Date_commande,"&gt;"&amp;date_inventaire)</f>
        <v>0</v>
      </c>
      <c r="M105" s="341">
        <f ca="1">SUMIFS(bddres_c_qte,bddres_c_prod_type_aff,'SUIVI STOCKS PAR PAYSAN'!C105,'BDD RESERVATIONS'!$B:$B,"&gt;"&amp;date_inventaire)</f>
        <v>0</v>
      </c>
      <c r="N105" s="342">
        <f ca="1">SUMIFS(bddres_pieces,es_prod_type_affinage,'SUIVI STOCKS PAR PAYSAN'!$C105,es_date_entree,"&gt;"&amp;date_inventaire,es_taille,'SUIVI STOCKS PAR PAYSAN'!$N$7)-SUMIFS(v_Pièces,v_Taille,'SUIVI STOCKS PAR PAYSAN'!$N$7,v_conc_prod_tye_affinage,'SUIVI STOCKS PAR PAYSAN'!$C105,v_Date_commande,"&gt;"&amp;date_inventaire)</f>
        <v>0</v>
      </c>
      <c r="O105" s="342">
        <f ca="1">SUMIFS(bddres_pieces,'BDD RESERVATIONS'!$G:$G,'SUIVI STOCKS PAR PAYSAN'!$N$7,bddres_c_prod_type_aff,'SUIVI STOCKS PAR PAYSAN'!$C105,'BDD RESERVATIONS'!$B:$B,"&gt;"&amp;date_inventaire)</f>
        <v>0</v>
      </c>
      <c r="P105" s="343">
        <f ca="1">SUMIFS(es_pieces,es_prod_type_affinage,'SUIVI STOCKS PAR PAYSAN'!$C105,es_date_entree,"&gt;"&amp;date_inventaire,es_taille,'SUIVI STOCKS PAR PAYSAN'!$P$7)-SUMIFS(v_Pièces,v_Taille,'SUIVI STOCKS PAR PAYSAN'!$P$7,v_conc_prod_tye_affinage,'SUIVI STOCKS PAR PAYSAN'!$C105,v_Date_commande,"&gt;"&amp;date_inventaire)</f>
        <v>0</v>
      </c>
      <c r="Q105" s="353">
        <f ca="1">SUMIFS(bddres_pieces,'BDD RESERVATIONS'!$G:$G,'SUIVI STOCKS PAR PAYSAN'!$P$7,bddres_c_prod_type_aff,'SUIVI STOCKS PAR PAYSAN'!$C105,'BDD RESERVATIONS'!$B:$B,"&gt;"&amp;date_inventaire)</f>
        <v>0</v>
      </c>
      <c r="R105" s="340">
        <f ca="1">SUMIFS(es_poids,es_prod_type_affinage,'SUIVI STOCKS PAR PAYSAN'!$D105,es_date_entree,"&gt;"&amp;date_inventaire)-SUMIFS(v_Poids,v_conc_prod_tye_affinage,'SUIVI STOCKS PAR PAYSAN'!$D105,v_Date_commande,"&gt;"&amp;date_inventaire)</f>
        <v>0</v>
      </c>
      <c r="S105" s="341">
        <f ca="1">SUMIFS(bddres_c_qte,bddres_c_prod_type_aff,'SUIVI STOCKS PAR PAYSAN'!D105,'BDD RESERVATIONS'!$B:$B,"&gt;"&amp;date_inventaire)</f>
        <v>0</v>
      </c>
      <c r="T105" s="342">
        <f ca="1">SUMIFS(bddres_pieces,es_prod_type_affinage,'SUIVI STOCKS PAR PAYSAN'!$D105,es_date_entree,"&gt;"&amp;date_inventaire,es_taille,'SUIVI STOCKS PAR PAYSAN'!$T$7)-SUMIFS(v_Pièces,v_Taille,'SUIVI STOCKS PAR PAYSAN'!$T$7,v_conc_prod_tye_affinage,'SUIVI STOCKS PAR PAYSAN'!$D105,v_Date_commande,"&gt;"&amp;date_inventaire)</f>
        <v>0</v>
      </c>
      <c r="U105" s="342">
        <f ca="1">SUMIFS(bddres_pieces,'BDD RESERVATIONS'!$G:$G,'SUIVI STOCKS PAR PAYSAN'!$T$7,bddres_c_prod_type_aff,'SUIVI STOCKS PAR PAYSAN'!$D105,'BDD RESERVATIONS'!$B:$B,"&gt;"&amp;date_inventaire)</f>
        <v>0</v>
      </c>
      <c r="V105" s="343">
        <f ca="1">SUMIFS(es_pieces,es_prod_type_affinage,'SUIVI STOCKS PAR PAYSAN'!$D105,es_date_entree,"&gt;"&amp;date_inventaire,es_taille,'SUIVI STOCKS PAR PAYSAN'!$V$7)-SUMIFS(v_Pièces,v_Taille,'SUIVI STOCKS PAR PAYSAN'!$V$7,v_conc_prod_tye_affinage,'SUIVI STOCKS PAR PAYSAN'!$D105,v_Date_commande,"&gt;"&amp;date_inventaire)</f>
        <v>0</v>
      </c>
      <c r="W105" s="353">
        <f ca="1">SUMIFS(bddres_pieces,'BDD RESERVATIONS'!$G:$G,'SUIVI STOCKS PAR PAYSAN'!$V$7,bddres_c_prod_type_aff,'SUIVI STOCKS PAR PAYSAN'!$D105,'BDD RESERVATIONS'!$B:$B,"&gt;"&amp;date_inventaire)</f>
        <v>0</v>
      </c>
      <c r="X105" s="313">
        <f ca="1">SUMIFS(es_poids,es_prod_type_affinage,'SUIVI STOCKS PAR PAYSAN'!$E105,es_date_entree,"&gt;"&amp;date_inventaire)-SUMIFS(v_Poids,v_conc_prod_tye_affinage,'SUIVI STOCKS PAR PAYSAN'!$E105,v_Date_commande,"&gt;"&amp;date_inventaire)</f>
        <v>0</v>
      </c>
      <c r="Y105" s="341">
        <f ca="1">SUMIFS(bddres_c_qte,bddres_c_prod_type_aff,'SUIVI STOCKS PAR PAYSAN'!E105,'BDD RESERVATIONS'!$B:$B,"&gt;"&amp;date_inventaire)</f>
        <v>0</v>
      </c>
      <c r="Z105" s="342">
        <f ca="1">SUMIFS(bddres_pieces,es_prod_type_affinage,'SUIVI STOCKS PAR PAYSAN'!$E105,es_date_entree,"&gt;"&amp;date_inventaire,es_taille,'SUIVI STOCKS PAR PAYSAN'!$Z$7)-SUMIFS(v_Pièces,v_Taille,'SUIVI STOCKS PAR PAYSAN'!$Z$7,v_conc_prod_tye_affinage,'SUIVI STOCKS PAR PAYSAN'!$E105,v_Date_commande,"&gt;"&amp;date_inventaire)</f>
        <v>0</v>
      </c>
      <c r="AA105" s="342">
        <f ca="1">SUMIFS(bddres_pieces,'BDD RESERVATIONS'!$G:$G,'SUIVI STOCKS PAR PAYSAN'!$Z$7,bddres_c_prod_type_aff,'SUIVI STOCKS PAR PAYSAN'!$E105,'BDD RESERVATIONS'!$B:$B,"&gt;"&amp;date_inventaire)</f>
        <v>0</v>
      </c>
      <c r="AB105" s="343">
        <f ca="1">SUMIFS(es_pieces,es_prod_type_affinage,'SUIVI STOCKS PAR PAYSAN'!$E105,es_date_entree,"&gt;"&amp;date_inventaire,es_taille,'SUIVI STOCKS PAR PAYSAN'!$AB$7)-SUMIFS(v_Pièces,v_Taille,'SUIVI STOCKS PAR PAYSAN'!$AB$7,v_conc_prod_tye_affinage,'SUIVI STOCKS PAR PAYSAN'!$E105,v_Date_commande,"&gt;"&amp;date_inventaire)</f>
        <v>0</v>
      </c>
      <c r="AC105" s="353">
        <f ca="1">SUMIFS(bddres_pieces,'BDD RESERVATIONS'!$G:$G,'SUIVI STOCKS PAR PAYSAN'!$AB$7,bddres_c_prod_type_aff,'SUIVI STOCKS PAR PAYSAN'!$E105,'BDD RESERVATIONS'!$B:$B,"&gt;"&amp;date_inventaire)</f>
        <v>0</v>
      </c>
      <c r="AD105" s="313">
        <f ca="1">SUMIFS(es_poids,es_prod_type_affinage,'SUIVI STOCKS PAR PAYSAN'!$F105,es_date_entree,"&gt;"&amp;date_inventaire)-SUMIFS(v_Poids,v_conc_prod_tye_affinage,'SUIVI STOCKS PAR PAYSAN'!$F105,v_Date_commande,"&gt;"&amp;date_inventaire)</f>
        <v>0</v>
      </c>
      <c r="AE105" s="341">
        <f ca="1">SUMIFS(bddres_c_qte,bddres_c_prod_type_aff,'SUIVI STOCKS PAR PAYSAN'!F105,'BDD RESERVATIONS'!$B:$B,"&gt;"&amp;date_inventaire)</f>
        <v>0</v>
      </c>
      <c r="AF105" s="342">
        <f ca="1">SUMIFS(bddres_pieces,es_prod_type_affinage,'SUIVI STOCKS PAR PAYSAN'!$F105,es_date_entree,"&gt;"&amp;date_inventaire,es_taille,'SUIVI STOCKS PAR PAYSAN'!$Z$7)-SUMIFS(v_Pièces,v_Taille,'SUIVI STOCKS PAR PAYSAN'!$Z$7,v_conc_prod_tye_affinage,'SUIVI STOCKS PAR PAYSAN'!$F105,v_Date_commande,"&gt;"&amp;date_inventaire)</f>
        <v>0</v>
      </c>
      <c r="AG105" s="342">
        <f ca="1">SUMIFS(bddres_pieces,'BDD RESERVATIONS'!$G:$G,'SUIVI STOCKS PAR PAYSAN'!$Z$7,bddres_c_prod_type_aff,'SUIVI STOCKS PAR PAYSAN'!$F105,'BDD RESERVATIONS'!$B:$B,"&gt;"&amp;date_inventaire)</f>
        <v>0</v>
      </c>
      <c r="AH105" s="343">
        <f ca="1">SUMIFS(es_pieces,es_prod_type_affinage,'SUIVI STOCKS PAR PAYSAN'!$F105,es_date_entree,"&gt;"&amp;date_inventaire,es_taille,'SUIVI STOCKS PAR PAYSAN'!$AH$7)-SUMIFS(v_Pièces,v_Taille,'SUIVI STOCKS PAR PAYSAN'!$AH$7,v_conc_prod_tye_affinage,'SUIVI STOCKS PAR PAYSAN'!$F105,v_Date_commande,"&gt;"&amp;date_inventaire)</f>
        <v>0</v>
      </c>
      <c r="AI105" s="353">
        <f ca="1">SUMIFS(bddres_pieces,'BDD RESERVATIONS'!$G:$G,'SUIVI STOCKS PAR PAYSAN'!$AB$7,bddres_c_prod_type_aff,'SUIVI STOCKS PAR PAYSAN'!$F105,'BDD RESERVATIONS'!$B:$B,"&gt;"&amp;date_inventaire)</f>
        <v>0</v>
      </c>
      <c r="AJ105" s="352">
        <f ca="1">SUMIFS(es_poids,es_prod_type_affinage,'SUIVI STOCKS PAR PAYSAN'!$G105,es_date_entree,"&gt;"&amp;date_inventaire)-SUMIFS(v_Poids,v_conc_prod_tye_affinage,'SUIVI STOCKS PAR PAYSAN'!$G105,v_Date_commande,"&gt;"&amp;date_inventaire)</f>
        <v>0</v>
      </c>
      <c r="AK105" s="341">
        <f ca="1">SUMIFS(bddres_c_qte,bddres_c_prod_type_aff,'SUIVI STOCKS PAR PAYSAN'!G105,'BDD RESERVATIONS'!$B:$B,"&gt;"&amp;date_inventaire)</f>
        <v>0</v>
      </c>
      <c r="AL105" s="342">
        <f ca="1">SUMIFS(bddres_pieces,es_prod_type_affinage,'SUIVI STOCKS PAR PAYSAN'!$G105,es_date_entree,"&gt;"&amp;date_inventaire,es_taille,'SUIVI STOCKS PAR PAYSAN'!$AL$7)-SUMIFS(v_Pièces,v_Taille,'SUIVI STOCKS PAR PAYSAN'!$AL$7,v_conc_prod_tye_affinage,'SUIVI STOCKS PAR PAYSAN'!$G105,v_Date_commande,"&gt;"&amp;date_inventaire)</f>
        <v>0</v>
      </c>
      <c r="AM105" s="342">
        <f ca="1">SUMIFS(bddres_pieces,'BDD RESERVATIONS'!$G:$G,'SUIVI STOCKS PAR PAYSAN'!$AL$7,bddres_c_prod_type_aff,'SUIVI STOCKS PAR PAYSAN'!$G105,'BDD RESERVATIONS'!$B:$B,"&gt;"&amp;date_inventaire)</f>
        <v>0</v>
      </c>
      <c r="AN105" s="343">
        <f ca="1">SUMIFS(es_pieces,es_prod_type_affinage,'SUIVI STOCKS PAR PAYSAN'!$G105,es_date_entree,"&gt;"&amp;date_inventaire,es_taille,'SUIVI STOCKS PAR PAYSAN'!$AN$7)-SUMIFS(v_Pièces,v_Taille,'SUIVI STOCKS PAR PAYSAN'!$AN$7,v_conc_prod_tye_affinage,'SUIVI STOCKS PAR PAYSAN'!$G105,v_Date_commande,"&gt;"&amp;date_inventaire)</f>
        <v>0</v>
      </c>
      <c r="AO105" s="353">
        <f ca="1">SUMIFS(bddres_pieces,'BDD RESERVATIONS'!$G:$G,'SUIVI STOCKS PAR PAYSAN'!$AN$7,bddres_c_prod_type_aff,'SUIVI STOCKS PAR PAYSAN'!$G105,'BDD RESERVATIONS'!$B:$B,"&gt;"&amp;date_inventaire)</f>
        <v>0</v>
      </c>
      <c r="AP105" s="313">
        <f ca="1">SUMIFS(es_poids,es_prod_type_affinage,'SUIVI STOCKS PAR PAYSAN'!$H105,es_date_entree,"&gt;"&amp;date_inventaire)-SUMIFS(v_Poids,v_conc_prod_tye_affinage,'SUIVI STOCKS PAR PAYSAN'!$H105,v_Date_commande,"&gt;"&amp;date_inventaire)</f>
        <v>0</v>
      </c>
      <c r="AQ105" s="341">
        <f ca="1">SUMIFS(bddres_c_qte,bddres_c_prod_type_aff,'SUIVI STOCKS PAR PAYSAN'!H105,'BDD RESERVATIONS'!$B:$B,"&gt;"&amp;date_inventaire)</f>
        <v>0</v>
      </c>
      <c r="AR105" s="342">
        <f ca="1">SUMIFS(bddres_pieces,es_prod_type_affinage,'SUIVI STOCKS PAR PAYSAN'!$H105,es_date_entree,"&gt;"&amp;date_inventaire,es_taille,'SUIVI STOCKS PAR PAYSAN'!$AR$7)-SUMIFS(v_Pièces,v_Taille,'SUIVI STOCKS PAR PAYSAN'!$AR$7,v_conc_prod_tye_affinage,'SUIVI STOCKS PAR PAYSAN'!$H105,v_Date_commande,"&gt;"&amp;date_inventaire)</f>
        <v>0</v>
      </c>
      <c r="AS105" s="326">
        <f ca="1">SUMIFS(bddres_pieces,'BDD RESERVATIONS'!$G:$G,'SUIVI STOCKS PAR PAYSAN'!AR100,bddres_c_prod_type_aff,'SUIVI STOCKS PAR PAYSAN'!$H105,'BDD RESERVATIONS'!$B:$B,"&gt;"&amp;date_inventaire)</f>
        <v>0</v>
      </c>
      <c r="AT105" s="343">
        <f ca="1">SUMIFS(es_pieces,es_prod_type_affinage,'SUIVI STOCKS PAR PAYSAN'!$H105,es_date_entree,"&gt;"&amp;date_inventaire,es_taille,'SUIVI STOCKS PAR PAYSAN'!$AT$7)-SUMIFS(v_Pièces,v_Taille,'SUIVI STOCKS PAR PAYSAN'!$AT$7,v_conc_prod_tye_affinage,'SUIVI STOCKS PAR PAYSAN'!$H105,v_Date_commande,"&gt;"&amp;date_inventaire)</f>
        <v>0</v>
      </c>
      <c r="AU105" s="353">
        <f ca="1">SUMIFS(bddres_pieces,'BDD RESERVATIONS'!$G:$G,'SUIVI STOCKS PAR PAYSAN'!$AT$7,bddres_c_prod_type_aff,'SUIVI STOCKS PAR PAYSAN'!$H105,'BDD RESERVATIONS'!$B:$B,"&gt;"&amp;date_inventaire)</f>
        <v>0</v>
      </c>
      <c r="AV105" s="313">
        <f ca="1">SUMIFS(es_poids,es_prod_type_affinage,'SUIVI STOCKS PAR PAYSAN'!$I105,es_date_entree,"&gt;"&amp;date_inventaire)-SUMIFS(v_Poids,v_conc_prod_tye_affinage,'SUIVI STOCKS PAR PAYSAN'!$E105,v_Date_commande,"&gt;"&amp;date_inventaire)</f>
        <v>0</v>
      </c>
      <c r="AW105" s="313">
        <f ca="1">SUMIFS(bddres_c_qte,bddres_c_prod_type_aff,'SUIVI STOCKS PAR PAYSAN'!I105,'BDD RESERVATIONS'!$B:$B,"&gt;"&amp;date_inventaire)</f>
        <v>0</v>
      </c>
      <c r="AX105" s="342">
        <f ca="1">SUMIFS(bddres_pieces,es_prod_type_affinage,'SUIVI STOCKS PAR PAYSAN'!$I105,es_date_entree,"&gt;"&amp;date_inventaire,es_taille,'SUIVI STOCKS PAR PAYSAN'!$AX$7)-SUMIFS(v_Pièces,v_Taille,'SUIVI STOCKS PAR PAYSAN'!$AX$7,v_conc_prod_tye_affinage,'SUIVI STOCKS PAR PAYSAN'!$I105,v_Date_commande,"&gt;"&amp;date_inventaire)</f>
        <v>0</v>
      </c>
      <c r="AY105" s="342">
        <f ca="1">SUMIFS(bddres_pieces,'BDD RESERVATIONS'!$G:$G,'SUIVI STOCKS PAR PAYSAN'!$AX$7,bddres_c_prod_type_aff,'SUIVI STOCKS PAR PAYSAN'!$I105,'BDD RESERVATIONS'!$B:$B,"&gt;"&amp;date_inventaire)</f>
        <v>0</v>
      </c>
      <c r="AZ105" s="343">
        <f ca="1">SUMIFS(es_pieces,es_prod_type_affinage,'SUIVI STOCKS PAR PAYSAN'!$I105,es_date_entree,"&gt;"&amp;date_inventaire,es_taille,'SUIVI STOCKS PAR PAYSAN'!$AZ$7)-SUMIFS(v_Pièces,v_Taille,'SUIVI STOCKS PAR PAYSAN'!$AZ$7,v_conc_prod_tye_affinage,'SUIVI STOCKS PAR PAYSAN'!$I105,v_Date_commande,"&gt;"&amp;date_inventaire)</f>
        <v>0</v>
      </c>
      <c r="BA105" s="353">
        <f ca="1">SUMIFS(bddres_pieces,'BDD RESERVATIONS'!$G:$G,'SUIVI STOCKS PAR PAYSAN'!$AZ$7,bddres_c_prod_type_aff,'SUIVI STOCKS PAR PAYSAN'!$I105,'BDD RESERVATIONS'!$B:$B,"&gt;"&amp;date_inventaire)</f>
        <v>0</v>
      </c>
      <c r="BB105" s="313">
        <f ca="1">SUMIFS(es_poids,es_prod_type_affinage,'SUIVI STOCKS PAR PAYSAN'!$J105,es_date_entree,"&gt;"&amp;date_inventaire)-SUMIFS(v_Poids,v_conc_prod_tye_affinage,'SUIVI STOCKS PAR PAYSAN'!$J105,v_Date_commande,"&gt;"&amp;date_inventaire)</f>
        <v>0</v>
      </c>
      <c r="BC105" s="313">
        <f ca="1">SUMIFS(bddres_c_qte,bddres_c_prod_type_aff,'SUIVI STOCKS PAR PAYSAN'!J105,'BDD RESERVATIONS'!$B:$B,"&gt;"&amp;date_inventaire)</f>
        <v>0</v>
      </c>
      <c r="BD105" s="342">
        <f ca="1">SUMIFS(bddres_pieces,es_prod_type_affinage,'SUIVI STOCKS PAR PAYSAN'!$J105,es_date_entree,"&gt;"&amp;date_inventaire,es_taille,'SUIVI STOCKS PAR PAYSAN'!$BD$7)-SUMIFS(v_Pièces,v_Taille,'SUIVI STOCKS PAR PAYSAN'!$BD$7,v_conc_prod_tye_affinage,'SUIVI STOCKS PAR PAYSAN'!$J105,v_Date_commande,"&gt;"&amp;date_inventaire)</f>
        <v>0</v>
      </c>
      <c r="BE105" s="326">
        <f ca="1">SUMIFS(bddres_pieces,'BDD RESERVATIONS'!$G:$G,'SUIVI STOCKS PAR PAYSAN'!BD100,bddres_c_prod_type_aff,'SUIVI STOCKS PAR PAYSAN'!J105,'BDD RESERVATIONS'!$B:$B,"&gt;"&amp;date_inventaire)</f>
        <v>0</v>
      </c>
      <c r="BF105" s="343">
        <f ca="1">SUMIFS(es_pieces,es_prod_type_affinage,'SUIVI STOCKS PAR PAYSAN'!J105,es_date_entree,"&gt;"&amp;date_inventaire,es_taille,'SUIVI STOCKS PAR PAYSAN'!$BF$7)-SUMIFS(v_Pièces,v_Taille,'SUIVI STOCKS PAR PAYSAN'!$BF$7,v_conc_prod_tye_affinage,'SUIVI STOCKS PAR PAYSAN'!J105,v_Date_commande,"&gt;"&amp;date_inventaire)</f>
        <v>0</v>
      </c>
      <c r="BG105" s="353">
        <f ca="1">SUMIFS(bddres_pieces,'BDD RESERVATIONS'!$G:$G,'SUIVI STOCKS PAR PAYSAN'!$BF$7,bddres_c_prod_type_aff,'SUIVI STOCKS PAR PAYSAN'!J105,'BDD RESERVATIONS'!$B:$B,"&gt;"&amp;date_inventaire)</f>
        <v>0</v>
      </c>
    </row>
    <row r="106" spans="1:59" ht="18.75" customHeight="1" x14ac:dyDescent="0.25">
      <c r="A106" s="331">
        <f ca="1">OFFSET('BDD PAYSANS'!$B$1,B106,0,1,1)</f>
        <v>0</v>
      </c>
      <c r="B106" s="325">
        <v>95</v>
      </c>
      <c r="C106" s="325" t="str">
        <f t="shared" ca="1" si="4"/>
        <v>0FERMIER&lt;3 mois</v>
      </c>
      <c r="D106" s="325" t="str">
        <f t="shared" ca="1" si="4"/>
        <v>0FERMIER3-6 mois</v>
      </c>
      <c r="E106" s="325" t="str">
        <f t="shared" ca="1" si="4"/>
        <v>0FERMIER6-9 mois</v>
      </c>
      <c r="F106" s="325" t="str">
        <f t="shared" ca="1" si="4"/>
        <v>0FERMIER&gt;9 mois</v>
      </c>
      <c r="G106" s="325" t="str">
        <f t="shared" ca="1" si="4"/>
        <v>0ESTIVE&lt;3 mois</v>
      </c>
      <c r="H106" s="325" t="str">
        <f t="shared" ca="1" si="4"/>
        <v>0ESTIVE3-6 mois</v>
      </c>
      <c r="I106" s="325" t="str">
        <f t="shared" ca="1" si="4"/>
        <v>0ESTIVE6-9 mois</v>
      </c>
      <c r="J106" s="325" t="str">
        <f t="shared" ca="1" si="4"/>
        <v>0ESTIVE&gt;9 mois</v>
      </c>
      <c r="K106" s="325"/>
      <c r="L106" s="352">
        <f ca="1">SUMIFS(es_poids,es_prod_type_affinage,'SUIVI STOCKS PAR PAYSAN'!$C106,es_date_entree,"&gt;"&amp;date_inventaire)-SUMIFS(v_Poids,v_conc_prod_tye_affinage,'SUIVI STOCKS PAR PAYSAN'!$C106,v_Date_commande,"&gt;"&amp;date_inventaire)</f>
        <v>0</v>
      </c>
      <c r="M106" s="341">
        <f ca="1">SUMIFS(bddres_c_qte,bddres_c_prod_type_aff,'SUIVI STOCKS PAR PAYSAN'!C106,'BDD RESERVATIONS'!$B:$B,"&gt;"&amp;date_inventaire)</f>
        <v>0</v>
      </c>
      <c r="N106" s="342">
        <f ca="1">SUMIFS(bddres_pieces,es_prod_type_affinage,'SUIVI STOCKS PAR PAYSAN'!$C106,es_date_entree,"&gt;"&amp;date_inventaire,es_taille,'SUIVI STOCKS PAR PAYSAN'!$N$7)-SUMIFS(v_Pièces,v_Taille,'SUIVI STOCKS PAR PAYSAN'!$N$7,v_conc_prod_tye_affinage,'SUIVI STOCKS PAR PAYSAN'!$C106,v_Date_commande,"&gt;"&amp;date_inventaire)</f>
        <v>0</v>
      </c>
      <c r="O106" s="342">
        <f ca="1">SUMIFS(bddres_pieces,'BDD RESERVATIONS'!$G:$G,'SUIVI STOCKS PAR PAYSAN'!$N$7,bddres_c_prod_type_aff,'SUIVI STOCKS PAR PAYSAN'!$C106,'BDD RESERVATIONS'!$B:$B,"&gt;"&amp;date_inventaire)</f>
        <v>0</v>
      </c>
      <c r="P106" s="343">
        <f ca="1">SUMIFS(es_pieces,es_prod_type_affinage,'SUIVI STOCKS PAR PAYSAN'!$C106,es_date_entree,"&gt;"&amp;date_inventaire,es_taille,'SUIVI STOCKS PAR PAYSAN'!$P$7)-SUMIFS(v_Pièces,v_Taille,'SUIVI STOCKS PAR PAYSAN'!$P$7,v_conc_prod_tye_affinage,'SUIVI STOCKS PAR PAYSAN'!$C106,v_Date_commande,"&gt;"&amp;date_inventaire)</f>
        <v>0</v>
      </c>
      <c r="Q106" s="353">
        <f ca="1">SUMIFS(bddres_pieces,'BDD RESERVATIONS'!$G:$G,'SUIVI STOCKS PAR PAYSAN'!$P$7,bddres_c_prod_type_aff,'SUIVI STOCKS PAR PAYSAN'!$C106,'BDD RESERVATIONS'!$B:$B,"&gt;"&amp;date_inventaire)</f>
        <v>0</v>
      </c>
      <c r="R106" s="340">
        <f ca="1">SUMIFS(es_poids,es_prod_type_affinage,'SUIVI STOCKS PAR PAYSAN'!$D106,es_date_entree,"&gt;"&amp;date_inventaire)-SUMIFS(v_Poids,v_conc_prod_tye_affinage,'SUIVI STOCKS PAR PAYSAN'!$D106,v_Date_commande,"&gt;"&amp;date_inventaire)</f>
        <v>0</v>
      </c>
      <c r="S106" s="341">
        <f ca="1">SUMIFS(bddres_c_qte,bddres_c_prod_type_aff,'SUIVI STOCKS PAR PAYSAN'!D106,'BDD RESERVATIONS'!$B:$B,"&gt;"&amp;date_inventaire)</f>
        <v>0</v>
      </c>
      <c r="T106" s="342">
        <f ca="1">SUMIFS(bddres_pieces,es_prod_type_affinage,'SUIVI STOCKS PAR PAYSAN'!$D106,es_date_entree,"&gt;"&amp;date_inventaire,es_taille,'SUIVI STOCKS PAR PAYSAN'!$T$7)-SUMIFS(v_Pièces,v_Taille,'SUIVI STOCKS PAR PAYSAN'!$T$7,v_conc_prod_tye_affinage,'SUIVI STOCKS PAR PAYSAN'!$D106,v_Date_commande,"&gt;"&amp;date_inventaire)</f>
        <v>0</v>
      </c>
      <c r="U106" s="342">
        <f ca="1">SUMIFS(bddres_pieces,'BDD RESERVATIONS'!$G:$G,'SUIVI STOCKS PAR PAYSAN'!$T$7,bddres_c_prod_type_aff,'SUIVI STOCKS PAR PAYSAN'!$D106,'BDD RESERVATIONS'!$B:$B,"&gt;"&amp;date_inventaire)</f>
        <v>0</v>
      </c>
      <c r="V106" s="343">
        <f ca="1">SUMIFS(es_pieces,es_prod_type_affinage,'SUIVI STOCKS PAR PAYSAN'!$D106,es_date_entree,"&gt;"&amp;date_inventaire,es_taille,'SUIVI STOCKS PAR PAYSAN'!$V$7)-SUMIFS(v_Pièces,v_Taille,'SUIVI STOCKS PAR PAYSAN'!$V$7,v_conc_prod_tye_affinage,'SUIVI STOCKS PAR PAYSAN'!$D106,v_Date_commande,"&gt;"&amp;date_inventaire)</f>
        <v>0</v>
      </c>
      <c r="W106" s="353">
        <f ca="1">SUMIFS(bddres_pieces,'BDD RESERVATIONS'!$G:$G,'SUIVI STOCKS PAR PAYSAN'!$V$7,bddres_c_prod_type_aff,'SUIVI STOCKS PAR PAYSAN'!$D106,'BDD RESERVATIONS'!$B:$B,"&gt;"&amp;date_inventaire)</f>
        <v>0</v>
      </c>
      <c r="X106" s="313">
        <f ca="1">SUMIFS(es_poids,es_prod_type_affinage,'SUIVI STOCKS PAR PAYSAN'!$E106,es_date_entree,"&gt;"&amp;date_inventaire)-SUMIFS(v_Poids,v_conc_prod_tye_affinage,'SUIVI STOCKS PAR PAYSAN'!$E106,v_Date_commande,"&gt;"&amp;date_inventaire)</f>
        <v>0</v>
      </c>
      <c r="Y106" s="341">
        <f ca="1">SUMIFS(bddres_c_qte,bddres_c_prod_type_aff,'SUIVI STOCKS PAR PAYSAN'!E106,'BDD RESERVATIONS'!$B:$B,"&gt;"&amp;date_inventaire)</f>
        <v>0</v>
      </c>
      <c r="Z106" s="342">
        <f ca="1">SUMIFS(bddres_pieces,es_prod_type_affinage,'SUIVI STOCKS PAR PAYSAN'!$E106,es_date_entree,"&gt;"&amp;date_inventaire,es_taille,'SUIVI STOCKS PAR PAYSAN'!$Z$7)-SUMIFS(v_Pièces,v_Taille,'SUIVI STOCKS PAR PAYSAN'!$Z$7,v_conc_prod_tye_affinage,'SUIVI STOCKS PAR PAYSAN'!$E106,v_Date_commande,"&gt;"&amp;date_inventaire)</f>
        <v>0</v>
      </c>
      <c r="AA106" s="342">
        <f ca="1">SUMIFS(bddres_pieces,'BDD RESERVATIONS'!$G:$G,'SUIVI STOCKS PAR PAYSAN'!$Z$7,bddres_c_prod_type_aff,'SUIVI STOCKS PAR PAYSAN'!$E106,'BDD RESERVATIONS'!$B:$B,"&gt;"&amp;date_inventaire)</f>
        <v>0</v>
      </c>
      <c r="AB106" s="343">
        <f ca="1">SUMIFS(es_pieces,es_prod_type_affinage,'SUIVI STOCKS PAR PAYSAN'!$E106,es_date_entree,"&gt;"&amp;date_inventaire,es_taille,'SUIVI STOCKS PAR PAYSAN'!$AB$7)-SUMIFS(v_Pièces,v_Taille,'SUIVI STOCKS PAR PAYSAN'!$AB$7,v_conc_prod_tye_affinage,'SUIVI STOCKS PAR PAYSAN'!$E106,v_Date_commande,"&gt;"&amp;date_inventaire)</f>
        <v>0</v>
      </c>
      <c r="AC106" s="353">
        <f ca="1">SUMIFS(bddres_pieces,'BDD RESERVATIONS'!$G:$G,'SUIVI STOCKS PAR PAYSAN'!$AB$7,bddres_c_prod_type_aff,'SUIVI STOCKS PAR PAYSAN'!$E106,'BDD RESERVATIONS'!$B:$B,"&gt;"&amp;date_inventaire)</f>
        <v>0</v>
      </c>
      <c r="AD106" s="313">
        <f ca="1">SUMIFS(es_poids,es_prod_type_affinage,'SUIVI STOCKS PAR PAYSAN'!$F106,es_date_entree,"&gt;"&amp;date_inventaire)-SUMIFS(v_Poids,v_conc_prod_tye_affinage,'SUIVI STOCKS PAR PAYSAN'!$F106,v_Date_commande,"&gt;"&amp;date_inventaire)</f>
        <v>0</v>
      </c>
      <c r="AE106" s="341">
        <f ca="1">SUMIFS(bddres_c_qte,bddres_c_prod_type_aff,'SUIVI STOCKS PAR PAYSAN'!F106,'BDD RESERVATIONS'!$B:$B,"&gt;"&amp;date_inventaire)</f>
        <v>0</v>
      </c>
      <c r="AF106" s="342">
        <f ca="1">SUMIFS(bddres_pieces,es_prod_type_affinage,'SUIVI STOCKS PAR PAYSAN'!$F106,es_date_entree,"&gt;"&amp;date_inventaire,es_taille,'SUIVI STOCKS PAR PAYSAN'!$Z$7)-SUMIFS(v_Pièces,v_Taille,'SUIVI STOCKS PAR PAYSAN'!$Z$7,v_conc_prod_tye_affinage,'SUIVI STOCKS PAR PAYSAN'!$F106,v_Date_commande,"&gt;"&amp;date_inventaire)</f>
        <v>0</v>
      </c>
      <c r="AG106" s="342">
        <f ca="1">SUMIFS(bddres_pieces,'BDD RESERVATIONS'!$G:$G,'SUIVI STOCKS PAR PAYSAN'!$Z$7,bddres_c_prod_type_aff,'SUIVI STOCKS PAR PAYSAN'!$F106,'BDD RESERVATIONS'!$B:$B,"&gt;"&amp;date_inventaire)</f>
        <v>0</v>
      </c>
      <c r="AH106" s="343">
        <f ca="1">SUMIFS(es_pieces,es_prod_type_affinage,'SUIVI STOCKS PAR PAYSAN'!$F106,es_date_entree,"&gt;"&amp;date_inventaire,es_taille,'SUIVI STOCKS PAR PAYSAN'!$AH$7)-SUMIFS(v_Pièces,v_Taille,'SUIVI STOCKS PAR PAYSAN'!$AH$7,v_conc_prod_tye_affinage,'SUIVI STOCKS PAR PAYSAN'!$F106,v_Date_commande,"&gt;"&amp;date_inventaire)</f>
        <v>0</v>
      </c>
      <c r="AI106" s="353">
        <f ca="1">SUMIFS(bddres_pieces,'BDD RESERVATIONS'!$G:$G,'SUIVI STOCKS PAR PAYSAN'!$AB$7,bddres_c_prod_type_aff,'SUIVI STOCKS PAR PAYSAN'!$F106,'BDD RESERVATIONS'!$B:$B,"&gt;"&amp;date_inventaire)</f>
        <v>0</v>
      </c>
      <c r="AJ106" s="352">
        <f ca="1">SUMIFS(es_poids,es_prod_type_affinage,'SUIVI STOCKS PAR PAYSAN'!$G106,es_date_entree,"&gt;"&amp;date_inventaire)-SUMIFS(v_Poids,v_conc_prod_tye_affinage,'SUIVI STOCKS PAR PAYSAN'!$G106,v_Date_commande,"&gt;"&amp;date_inventaire)</f>
        <v>0</v>
      </c>
      <c r="AK106" s="341">
        <f ca="1">SUMIFS(bddres_c_qte,bddres_c_prod_type_aff,'SUIVI STOCKS PAR PAYSAN'!G106,'BDD RESERVATIONS'!$B:$B,"&gt;"&amp;date_inventaire)</f>
        <v>0</v>
      </c>
      <c r="AL106" s="342">
        <f ca="1">SUMIFS(bddres_pieces,es_prod_type_affinage,'SUIVI STOCKS PAR PAYSAN'!$G106,es_date_entree,"&gt;"&amp;date_inventaire,es_taille,'SUIVI STOCKS PAR PAYSAN'!$AL$7)-SUMIFS(v_Pièces,v_Taille,'SUIVI STOCKS PAR PAYSAN'!$AL$7,v_conc_prod_tye_affinage,'SUIVI STOCKS PAR PAYSAN'!$G106,v_Date_commande,"&gt;"&amp;date_inventaire)</f>
        <v>0</v>
      </c>
      <c r="AM106" s="342">
        <f ca="1">SUMIFS(bddres_pieces,'BDD RESERVATIONS'!$G:$G,'SUIVI STOCKS PAR PAYSAN'!$AL$7,bddres_c_prod_type_aff,'SUIVI STOCKS PAR PAYSAN'!$G106,'BDD RESERVATIONS'!$B:$B,"&gt;"&amp;date_inventaire)</f>
        <v>0</v>
      </c>
      <c r="AN106" s="343">
        <f ca="1">SUMIFS(es_pieces,es_prod_type_affinage,'SUIVI STOCKS PAR PAYSAN'!$G106,es_date_entree,"&gt;"&amp;date_inventaire,es_taille,'SUIVI STOCKS PAR PAYSAN'!$AN$7)-SUMIFS(v_Pièces,v_Taille,'SUIVI STOCKS PAR PAYSAN'!$AN$7,v_conc_prod_tye_affinage,'SUIVI STOCKS PAR PAYSAN'!$G106,v_Date_commande,"&gt;"&amp;date_inventaire)</f>
        <v>0</v>
      </c>
      <c r="AO106" s="353">
        <f ca="1">SUMIFS(bddres_pieces,'BDD RESERVATIONS'!$G:$G,'SUIVI STOCKS PAR PAYSAN'!$AN$7,bddres_c_prod_type_aff,'SUIVI STOCKS PAR PAYSAN'!$G106,'BDD RESERVATIONS'!$B:$B,"&gt;"&amp;date_inventaire)</f>
        <v>0</v>
      </c>
      <c r="AP106" s="313">
        <f ca="1">SUMIFS(es_poids,es_prod_type_affinage,'SUIVI STOCKS PAR PAYSAN'!$H106,es_date_entree,"&gt;"&amp;date_inventaire)-SUMIFS(v_Poids,v_conc_prod_tye_affinage,'SUIVI STOCKS PAR PAYSAN'!$H106,v_Date_commande,"&gt;"&amp;date_inventaire)</f>
        <v>0</v>
      </c>
      <c r="AQ106" s="341">
        <f ca="1">SUMIFS(bddres_c_qte,bddres_c_prod_type_aff,'SUIVI STOCKS PAR PAYSAN'!H106,'BDD RESERVATIONS'!$B:$B,"&gt;"&amp;date_inventaire)</f>
        <v>0</v>
      </c>
      <c r="AR106" s="342">
        <f ca="1">SUMIFS(bddres_pieces,es_prod_type_affinage,'SUIVI STOCKS PAR PAYSAN'!$H106,es_date_entree,"&gt;"&amp;date_inventaire,es_taille,'SUIVI STOCKS PAR PAYSAN'!$AR$7)-SUMIFS(v_Pièces,v_Taille,'SUIVI STOCKS PAR PAYSAN'!$AR$7,v_conc_prod_tye_affinage,'SUIVI STOCKS PAR PAYSAN'!$H106,v_Date_commande,"&gt;"&amp;date_inventaire)</f>
        <v>0</v>
      </c>
      <c r="AS106" s="326">
        <f ca="1">SUMIFS(bddres_pieces,'BDD RESERVATIONS'!$G:$G,'SUIVI STOCKS PAR PAYSAN'!AR101,bddres_c_prod_type_aff,'SUIVI STOCKS PAR PAYSAN'!$H106,'BDD RESERVATIONS'!$B:$B,"&gt;"&amp;date_inventaire)</f>
        <v>0</v>
      </c>
      <c r="AT106" s="343">
        <f ca="1">SUMIFS(es_pieces,es_prod_type_affinage,'SUIVI STOCKS PAR PAYSAN'!$H106,es_date_entree,"&gt;"&amp;date_inventaire,es_taille,'SUIVI STOCKS PAR PAYSAN'!$AT$7)-SUMIFS(v_Pièces,v_Taille,'SUIVI STOCKS PAR PAYSAN'!$AT$7,v_conc_prod_tye_affinage,'SUIVI STOCKS PAR PAYSAN'!$H106,v_Date_commande,"&gt;"&amp;date_inventaire)</f>
        <v>0</v>
      </c>
      <c r="AU106" s="353">
        <f ca="1">SUMIFS(bddres_pieces,'BDD RESERVATIONS'!$G:$G,'SUIVI STOCKS PAR PAYSAN'!$AT$7,bddres_c_prod_type_aff,'SUIVI STOCKS PAR PAYSAN'!$H106,'BDD RESERVATIONS'!$B:$B,"&gt;"&amp;date_inventaire)</f>
        <v>0</v>
      </c>
      <c r="AV106" s="313">
        <f ca="1">SUMIFS(es_poids,es_prod_type_affinage,'SUIVI STOCKS PAR PAYSAN'!$I106,es_date_entree,"&gt;"&amp;date_inventaire)-SUMIFS(v_Poids,v_conc_prod_tye_affinage,'SUIVI STOCKS PAR PAYSAN'!$E106,v_Date_commande,"&gt;"&amp;date_inventaire)</f>
        <v>0</v>
      </c>
      <c r="AW106" s="313">
        <f ca="1">SUMIFS(bddres_c_qte,bddres_c_prod_type_aff,'SUIVI STOCKS PAR PAYSAN'!I106,'BDD RESERVATIONS'!$B:$B,"&gt;"&amp;date_inventaire)</f>
        <v>0</v>
      </c>
      <c r="AX106" s="342">
        <f ca="1">SUMIFS(bddres_pieces,es_prod_type_affinage,'SUIVI STOCKS PAR PAYSAN'!$I106,es_date_entree,"&gt;"&amp;date_inventaire,es_taille,'SUIVI STOCKS PAR PAYSAN'!$AX$7)-SUMIFS(v_Pièces,v_Taille,'SUIVI STOCKS PAR PAYSAN'!$AX$7,v_conc_prod_tye_affinage,'SUIVI STOCKS PAR PAYSAN'!$I106,v_Date_commande,"&gt;"&amp;date_inventaire)</f>
        <v>0</v>
      </c>
      <c r="AY106" s="342">
        <f ca="1">SUMIFS(bddres_pieces,'BDD RESERVATIONS'!$G:$G,'SUIVI STOCKS PAR PAYSAN'!$AX$7,bddres_c_prod_type_aff,'SUIVI STOCKS PAR PAYSAN'!$I106,'BDD RESERVATIONS'!$B:$B,"&gt;"&amp;date_inventaire)</f>
        <v>0</v>
      </c>
      <c r="AZ106" s="343">
        <f ca="1">SUMIFS(es_pieces,es_prod_type_affinage,'SUIVI STOCKS PAR PAYSAN'!$I106,es_date_entree,"&gt;"&amp;date_inventaire,es_taille,'SUIVI STOCKS PAR PAYSAN'!$AZ$7)-SUMIFS(v_Pièces,v_Taille,'SUIVI STOCKS PAR PAYSAN'!$AZ$7,v_conc_prod_tye_affinage,'SUIVI STOCKS PAR PAYSAN'!$I106,v_Date_commande,"&gt;"&amp;date_inventaire)</f>
        <v>0</v>
      </c>
      <c r="BA106" s="353">
        <f ca="1">SUMIFS(bddres_pieces,'BDD RESERVATIONS'!$G:$G,'SUIVI STOCKS PAR PAYSAN'!$AZ$7,bddres_c_prod_type_aff,'SUIVI STOCKS PAR PAYSAN'!$I106,'BDD RESERVATIONS'!$B:$B,"&gt;"&amp;date_inventaire)</f>
        <v>0</v>
      </c>
      <c r="BB106" s="313">
        <f ca="1">SUMIFS(es_poids,es_prod_type_affinage,'SUIVI STOCKS PAR PAYSAN'!$J106,es_date_entree,"&gt;"&amp;date_inventaire)-SUMIFS(v_Poids,v_conc_prod_tye_affinage,'SUIVI STOCKS PAR PAYSAN'!$J106,v_Date_commande,"&gt;"&amp;date_inventaire)</f>
        <v>0</v>
      </c>
      <c r="BC106" s="313">
        <f ca="1">SUMIFS(bddres_c_qte,bddres_c_prod_type_aff,'SUIVI STOCKS PAR PAYSAN'!J106,'BDD RESERVATIONS'!$B:$B,"&gt;"&amp;date_inventaire)</f>
        <v>0</v>
      </c>
      <c r="BD106" s="342">
        <f ca="1">SUMIFS(bddres_pieces,es_prod_type_affinage,'SUIVI STOCKS PAR PAYSAN'!$J106,es_date_entree,"&gt;"&amp;date_inventaire,es_taille,'SUIVI STOCKS PAR PAYSAN'!$BD$7)-SUMIFS(v_Pièces,v_Taille,'SUIVI STOCKS PAR PAYSAN'!$BD$7,v_conc_prod_tye_affinage,'SUIVI STOCKS PAR PAYSAN'!$J106,v_Date_commande,"&gt;"&amp;date_inventaire)</f>
        <v>0</v>
      </c>
      <c r="BE106" s="326">
        <f ca="1">SUMIFS(bddres_pieces,'BDD RESERVATIONS'!$G:$G,'SUIVI STOCKS PAR PAYSAN'!BD101,bddres_c_prod_type_aff,'SUIVI STOCKS PAR PAYSAN'!J106,'BDD RESERVATIONS'!$B:$B,"&gt;"&amp;date_inventaire)</f>
        <v>0</v>
      </c>
      <c r="BF106" s="343">
        <f ca="1">SUMIFS(es_pieces,es_prod_type_affinage,'SUIVI STOCKS PAR PAYSAN'!J106,es_date_entree,"&gt;"&amp;date_inventaire,es_taille,'SUIVI STOCKS PAR PAYSAN'!$BF$7)-SUMIFS(v_Pièces,v_Taille,'SUIVI STOCKS PAR PAYSAN'!$BF$7,v_conc_prod_tye_affinage,'SUIVI STOCKS PAR PAYSAN'!J106,v_Date_commande,"&gt;"&amp;date_inventaire)</f>
        <v>0</v>
      </c>
      <c r="BG106" s="353">
        <f ca="1">SUMIFS(bddres_pieces,'BDD RESERVATIONS'!$G:$G,'SUIVI STOCKS PAR PAYSAN'!$BF$7,bddres_c_prod_type_aff,'SUIVI STOCKS PAR PAYSAN'!J106,'BDD RESERVATIONS'!$B:$B,"&gt;"&amp;date_inventaire)</f>
        <v>0</v>
      </c>
    </row>
    <row r="107" spans="1:59" ht="18.75" customHeight="1" x14ac:dyDescent="0.25">
      <c r="A107" s="331">
        <f ca="1">OFFSET('BDD PAYSANS'!$B$1,B107,0,1,1)</f>
        <v>0</v>
      </c>
      <c r="B107" s="325">
        <v>96</v>
      </c>
      <c r="C107" s="325" t="str">
        <f t="shared" ca="1" si="4"/>
        <v>0FERMIER&lt;3 mois</v>
      </c>
      <c r="D107" s="325" t="str">
        <f t="shared" ca="1" si="4"/>
        <v>0FERMIER3-6 mois</v>
      </c>
      <c r="E107" s="325" t="str">
        <f t="shared" ca="1" si="4"/>
        <v>0FERMIER6-9 mois</v>
      </c>
      <c r="F107" s="325" t="str">
        <f t="shared" ca="1" si="4"/>
        <v>0FERMIER&gt;9 mois</v>
      </c>
      <c r="G107" s="325" t="str">
        <f t="shared" ca="1" si="4"/>
        <v>0ESTIVE&lt;3 mois</v>
      </c>
      <c r="H107" s="325" t="str">
        <f t="shared" ca="1" si="4"/>
        <v>0ESTIVE3-6 mois</v>
      </c>
      <c r="I107" s="325" t="str">
        <f t="shared" ca="1" si="4"/>
        <v>0ESTIVE6-9 mois</v>
      </c>
      <c r="J107" s="325" t="str">
        <f t="shared" ca="1" si="4"/>
        <v>0ESTIVE&gt;9 mois</v>
      </c>
      <c r="K107" s="325"/>
      <c r="L107" s="352">
        <f ca="1">SUMIFS(es_poids,es_prod_type_affinage,'SUIVI STOCKS PAR PAYSAN'!$C107,es_date_entree,"&gt;"&amp;date_inventaire)-SUMIFS(v_Poids,v_conc_prod_tye_affinage,'SUIVI STOCKS PAR PAYSAN'!$C107,v_Date_commande,"&gt;"&amp;date_inventaire)</f>
        <v>0</v>
      </c>
      <c r="M107" s="341">
        <f ca="1">SUMIFS(bddres_c_qte,bddres_c_prod_type_aff,'SUIVI STOCKS PAR PAYSAN'!C107,'BDD RESERVATIONS'!$B:$B,"&gt;"&amp;date_inventaire)</f>
        <v>0</v>
      </c>
      <c r="N107" s="342">
        <f ca="1">SUMIFS(bddres_pieces,es_prod_type_affinage,'SUIVI STOCKS PAR PAYSAN'!$C107,es_date_entree,"&gt;"&amp;date_inventaire,es_taille,'SUIVI STOCKS PAR PAYSAN'!$N$7)-SUMIFS(v_Pièces,v_Taille,'SUIVI STOCKS PAR PAYSAN'!$N$7,v_conc_prod_tye_affinage,'SUIVI STOCKS PAR PAYSAN'!$C107,v_Date_commande,"&gt;"&amp;date_inventaire)</f>
        <v>0</v>
      </c>
      <c r="O107" s="342">
        <f ca="1">SUMIFS(bddres_pieces,'BDD RESERVATIONS'!$G:$G,'SUIVI STOCKS PAR PAYSAN'!$N$7,bddres_c_prod_type_aff,'SUIVI STOCKS PAR PAYSAN'!$C107,'BDD RESERVATIONS'!$B:$B,"&gt;"&amp;date_inventaire)</f>
        <v>0</v>
      </c>
      <c r="P107" s="343">
        <f ca="1">SUMIFS(es_pieces,es_prod_type_affinage,'SUIVI STOCKS PAR PAYSAN'!$C107,es_date_entree,"&gt;"&amp;date_inventaire,es_taille,'SUIVI STOCKS PAR PAYSAN'!$P$7)-SUMIFS(v_Pièces,v_Taille,'SUIVI STOCKS PAR PAYSAN'!$P$7,v_conc_prod_tye_affinage,'SUIVI STOCKS PAR PAYSAN'!$C107,v_Date_commande,"&gt;"&amp;date_inventaire)</f>
        <v>0</v>
      </c>
      <c r="Q107" s="353">
        <f ca="1">SUMIFS(bddres_pieces,'BDD RESERVATIONS'!$G:$G,'SUIVI STOCKS PAR PAYSAN'!$P$7,bddres_c_prod_type_aff,'SUIVI STOCKS PAR PAYSAN'!$C107,'BDD RESERVATIONS'!$B:$B,"&gt;"&amp;date_inventaire)</f>
        <v>0</v>
      </c>
      <c r="R107" s="340">
        <f ca="1">SUMIFS(es_poids,es_prod_type_affinage,'SUIVI STOCKS PAR PAYSAN'!$D107,es_date_entree,"&gt;"&amp;date_inventaire)-SUMIFS(v_Poids,v_conc_prod_tye_affinage,'SUIVI STOCKS PAR PAYSAN'!$D107,v_Date_commande,"&gt;"&amp;date_inventaire)</f>
        <v>0</v>
      </c>
      <c r="S107" s="341">
        <f ca="1">SUMIFS(bddres_c_qte,bddres_c_prod_type_aff,'SUIVI STOCKS PAR PAYSAN'!D107,'BDD RESERVATIONS'!$B:$B,"&gt;"&amp;date_inventaire)</f>
        <v>0</v>
      </c>
      <c r="T107" s="342">
        <f ca="1">SUMIFS(bddres_pieces,es_prod_type_affinage,'SUIVI STOCKS PAR PAYSAN'!$D107,es_date_entree,"&gt;"&amp;date_inventaire,es_taille,'SUIVI STOCKS PAR PAYSAN'!$T$7)-SUMIFS(v_Pièces,v_Taille,'SUIVI STOCKS PAR PAYSAN'!$T$7,v_conc_prod_tye_affinage,'SUIVI STOCKS PAR PAYSAN'!$D107,v_Date_commande,"&gt;"&amp;date_inventaire)</f>
        <v>0</v>
      </c>
      <c r="U107" s="342">
        <f ca="1">SUMIFS(bddres_pieces,'BDD RESERVATIONS'!$G:$G,'SUIVI STOCKS PAR PAYSAN'!$T$7,bddres_c_prod_type_aff,'SUIVI STOCKS PAR PAYSAN'!$D107,'BDD RESERVATIONS'!$B:$B,"&gt;"&amp;date_inventaire)</f>
        <v>0</v>
      </c>
      <c r="V107" s="343">
        <f ca="1">SUMIFS(es_pieces,es_prod_type_affinage,'SUIVI STOCKS PAR PAYSAN'!$D107,es_date_entree,"&gt;"&amp;date_inventaire,es_taille,'SUIVI STOCKS PAR PAYSAN'!$V$7)-SUMIFS(v_Pièces,v_Taille,'SUIVI STOCKS PAR PAYSAN'!$V$7,v_conc_prod_tye_affinage,'SUIVI STOCKS PAR PAYSAN'!$D107,v_Date_commande,"&gt;"&amp;date_inventaire)</f>
        <v>0</v>
      </c>
      <c r="W107" s="353">
        <f ca="1">SUMIFS(bddres_pieces,'BDD RESERVATIONS'!$G:$G,'SUIVI STOCKS PAR PAYSAN'!$V$7,bddres_c_prod_type_aff,'SUIVI STOCKS PAR PAYSAN'!$D107,'BDD RESERVATIONS'!$B:$B,"&gt;"&amp;date_inventaire)</f>
        <v>0</v>
      </c>
      <c r="X107" s="313">
        <f ca="1">SUMIFS(es_poids,es_prod_type_affinage,'SUIVI STOCKS PAR PAYSAN'!$E107,es_date_entree,"&gt;"&amp;date_inventaire)-SUMIFS(v_Poids,v_conc_prod_tye_affinage,'SUIVI STOCKS PAR PAYSAN'!$E107,v_Date_commande,"&gt;"&amp;date_inventaire)</f>
        <v>0</v>
      </c>
      <c r="Y107" s="341">
        <f ca="1">SUMIFS(bddres_c_qte,bddres_c_prod_type_aff,'SUIVI STOCKS PAR PAYSAN'!E107,'BDD RESERVATIONS'!$B:$B,"&gt;"&amp;date_inventaire)</f>
        <v>0</v>
      </c>
      <c r="Z107" s="342">
        <f ca="1">SUMIFS(bddres_pieces,es_prod_type_affinage,'SUIVI STOCKS PAR PAYSAN'!$E107,es_date_entree,"&gt;"&amp;date_inventaire,es_taille,'SUIVI STOCKS PAR PAYSAN'!$Z$7)-SUMIFS(v_Pièces,v_Taille,'SUIVI STOCKS PAR PAYSAN'!$Z$7,v_conc_prod_tye_affinage,'SUIVI STOCKS PAR PAYSAN'!$E107,v_Date_commande,"&gt;"&amp;date_inventaire)</f>
        <v>0</v>
      </c>
      <c r="AA107" s="342">
        <f ca="1">SUMIFS(bddres_pieces,'BDD RESERVATIONS'!$G:$G,'SUIVI STOCKS PAR PAYSAN'!$Z$7,bddres_c_prod_type_aff,'SUIVI STOCKS PAR PAYSAN'!$E107,'BDD RESERVATIONS'!$B:$B,"&gt;"&amp;date_inventaire)</f>
        <v>0</v>
      </c>
      <c r="AB107" s="343">
        <f ca="1">SUMIFS(es_pieces,es_prod_type_affinage,'SUIVI STOCKS PAR PAYSAN'!$E107,es_date_entree,"&gt;"&amp;date_inventaire,es_taille,'SUIVI STOCKS PAR PAYSAN'!$AB$7)-SUMIFS(v_Pièces,v_Taille,'SUIVI STOCKS PAR PAYSAN'!$AB$7,v_conc_prod_tye_affinage,'SUIVI STOCKS PAR PAYSAN'!$E107,v_Date_commande,"&gt;"&amp;date_inventaire)</f>
        <v>0</v>
      </c>
      <c r="AC107" s="353">
        <f ca="1">SUMIFS(bddres_pieces,'BDD RESERVATIONS'!$G:$G,'SUIVI STOCKS PAR PAYSAN'!$AB$7,bddres_c_prod_type_aff,'SUIVI STOCKS PAR PAYSAN'!$E107,'BDD RESERVATIONS'!$B:$B,"&gt;"&amp;date_inventaire)</f>
        <v>0</v>
      </c>
      <c r="AD107" s="313">
        <f ca="1">SUMIFS(es_poids,es_prod_type_affinage,'SUIVI STOCKS PAR PAYSAN'!$F107,es_date_entree,"&gt;"&amp;date_inventaire)-SUMIFS(v_Poids,v_conc_prod_tye_affinage,'SUIVI STOCKS PAR PAYSAN'!$F107,v_Date_commande,"&gt;"&amp;date_inventaire)</f>
        <v>0</v>
      </c>
      <c r="AE107" s="341">
        <f ca="1">SUMIFS(bddres_c_qte,bddres_c_prod_type_aff,'SUIVI STOCKS PAR PAYSAN'!F107,'BDD RESERVATIONS'!$B:$B,"&gt;"&amp;date_inventaire)</f>
        <v>0</v>
      </c>
      <c r="AF107" s="342">
        <f ca="1">SUMIFS(bddres_pieces,es_prod_type_affinage,'SUIVI STOCKS PAR PAYSAN'!$F107,es_date_entree,"&gt;"&amp;date_inventaire,es_taille,'SUIVI STOCKS PAR PAYSAN'!$Z$7)-SUMIFS(v_Pièces,v_Taille,'SUIVI STOCKS PAR PAYSAN'!$Z$7,v_conc_prod_tye_affinage,'SUIVI STOCKS PAR PAYSAN'!$F107,v_Date_commande,"&gt;"&amp;date_inventaire)</f>
        <v>0</v>
      </c>
      <c r="AG107" s="342">
        <f ca="1">SUMIFS(bddres_pieces,'BDD RESERVATIONS'!$G:$G,'SUIVI STOCKS PAR PAYSAN'!$Z$7,bddres_c_prod_type_aff,'SUIVI STOCKS PAR PAYSAN'!$F107,'BDD RESERVATIONS'!$B:$B,"&gt;"&amp;date_inventaire)</f>
        <v>0</v>
      </c>
      <c r="AH107" s="343">
        <f ca="1">SUMIFS(es_pieces,es_prod_type_affinage,'SUIVI STOCKS PAR PAYSAN'!$F107,es_date_entree,"&gt;"&amp;date_inventaire,es_taille,'SUIVI STOCKS PAR PAYSAN'!$AH$7)-SUMIFS(v_Pièces,v_Taille,'SUIVI STOCKS PAR PAYSAN'!$AH$7,v_conc_prod_tye_affinage,'SUIVI STOCKS PAR PAYSAN'!$F107,v_Date_commande,"&gt;"&amp;date_inventaire)</f>
        <v>0</v>
      </c>
      <c r="AI107" s="353">
        <f ca="1">SUMIFS(bddres_pieces,'BDD RESERVATIONS'!$G:$G,'SUIVI STOCKS PAR PAYSAN'!$AB$7,bddres_c_prod_type_aff,'SUIVI STOCKS PAR PAYSAN'!$F107,'BDD RESERVATIONS'!$B:$B,"&gt;"&amp;date_inventaire)</f>
        <v>0</v>
      </c>
      <c r="AJ107" s="352">
        <f ca="1">SUMIFS(es_poids,es_prod_type_affinage,'SUIVI STOCKS PAR PAYSAN'!$G107,es_date_entree,"&gt;"&amp;date_inventaire)-SUMIFS(v_Poids,v_conc_prod_tye_affinage,'SUIVI STOCKS PAR PAYSAN'!$G107,v_Date_commande,"&gt;"&amp;date_inventaire)</f>
        <v>0</v>
      </c>
      <c r="AK107" s="341">
        <f ca="1">SUMIFS(bddres_c_qte,bddres_c_prod_type_aff,'SUIVI STOCKS PAR PAYSAN'!G107,'BDD RESERVATIONS'!$B:$B,"&gt;"&amp;date_inventaire)</f>
        <v>0</v>
      </c>
      <c r="AL107" s="342">
        <f ca="1">SUMIFS(bddres_pieces,es_prod_type_affinage,'SUIVI STOCKS PAR PAYSAN'!$G107,es_date_entree,"&gt;"&amp;date_inventaire,es_taille,'SUIVI STOCKS PAR PAYSAN'!$AL$7)-SUMIFS(v_Pièces,v_Taille,'SUIVI STOCKS PAR PAYSAN'!$AL$7,v_conc_prod_tye_affinage,'SUIVI STOCKS PAR PAYSAN'!$G107,v_Date_commande,"&gt;"&amp;date_inventaire)</f>
        <v>0</v>
      </c>
      <c r="AM107" s="342">
        <f ca="1">SUMIFS(bddres_pieces,'BDD RESERVATIONS'!$G:$G,'SUIVI STOCKS PAR PAYSAN'!$AL$7,bddres_c_prod_type_aff,'SUIVI STOCKS PAR PAYSAN'!$G107,'BDD RESERVATIONS'!$B:$B,"&gt;"&amp;date_inventaire)</f>
        <v>0</v>
      </c>
      <c r="AN107" s="343">
        <f ca="1">SUMIFS(es_pieces,es_prod_type_affinage,'SUIVI STOCKS PAR PAYSAN'!$G107,es_date_entree,"&gt;"&amp;date_inventaire,es_taille,'SUIVI STOCKS PAR PAYSAN'!$AN$7)-SUMIFS(v_Pièces,v_Taille,'SUIVI STOCKS PAR PAYSAN'!$AN$7,v_conc_prod_tye_affinage,'SUIVI STOCKS PAR PAYSAN'!$G107,v_Date_commande,"&gt;"&amp;date_inventaire)</f>
        <v>0</v>
      </c>
      <c r="AO107" s="353">
        <f ca="1">SUMIFS(bddres_pieces,'BDD RESERVATIONS'!$G:$G,'SUIVI STOCKS PAR PAYSAN'!$AN$7,bddres_c_prod_type_aff,'SUIVI STOCKS PAR PAYSAN'!$G107,'BDD RESERVATIONS'!$B:$B,"&gt;"&amp;date_inventaire)</f>
        <v>0</v>
      </c>
      <c r="AP107" s="313">
        <f ca="1">SUMIFS(es_poids,es_prod_type_affinage,'SUIVI STOCKS PAR PAYSAN'!$H107,es_date_entree,"&gt;"&amp;date_inventaire)-SUMIFS(v_Poids,v_conc_prod_tye_affinage,'SUIVI STOCKS PAR PAYSAN'!$H107,v_Date_commande,"&gt;"&amp;date_inventaire)</f>
        <v>0</v>
      </c>
      <c r="AQ107" s="341">
        <f ca="1">SUMIFS(bddres_c_qte,bddres_c_prod_type_aff,'SUIVI STOCKS PAR PAYSAN'!H107,'BDD RESERVATIONS'!$B:$B,"&gt;"&amp;date_inventaire)</f>
        <v>0</v>
      </c>
      <c r="AR107" s="342">
        <f ca="1">SUMIFS(bddres_pieces,es_prod_type_affinage,'SUIVI STOCKS PAR PAYSAN'!$H107,es_date_entree,"&gt;"&amp;date_inventaire,es_taille,'SUIVI STOCKS PAR PAYSAN'!$AR$7)-SUMIFS(v_Pièces,v_Taille,'SUIVI STOCKS PAR PAYSAN'!$AR$7,v_conc_prod_tye_affinage,'SUIVI STOCKS PAR PAYSAN'!$H107,v_Date_commande,"&gt;"&amp;date_inventaire)</f>
        <v>0</v>
      </c>
      <c r="AS107" s="326">
        <f ca="1">SUMIFS(bddres_pieces,'BDD RESERVATIONS'!$G:$G,'SUIVI STOCKS PAR PAYSAN'!AR102,bddres_c_prod_type_aff,'SUIVI STOCKS PAR PAYSAN'!$H107,'BDD RESERVATIONS'!$B:$B,"&gt;"&amp;date_inventaire)</f>
        <v>0</v>
      </c>
      <c r="AT107" s="343">
        <f ca="1">SUMIFS(es_pieces,es_prod_type_affinage,'SUIVI STOCKS PAR PAYSAN'!$H107,es_date_entree,"&gt;"&amp;date_inventaire,es_taille,'SUIVI STOCKS PAR PAYSAN'!$AT$7)-SUMIFS(v_Pièces,v_Taille,'SUIVI STOCKS PAR PAYSAN'!$AT$7,v_conc_prod_tye_affinage,'SUIVI STOCKS PAR PAYSAN'!$H107,v_Date_commande,"&gt;"&amp;date_inventaire)</f>
        <v>0</v>
      </c>
      <c r="AU107" s="353">
        <f ca="1">SUMIFS(bddres_pieces,'BDD RESERVATIONS'!$G:$G,'SUIVI STOCKS PAR PAYSAN'!$AT$7,bddres_c_prod_type_aff,'SUIVI STOCKS PAR PAYSAN'!$H107,'BDD RESERVATIONS'!$B:$B,"&gt;"&amp;date_inventaire)</f>
        <v>0</v>
      </c>
      <c r="AV107" s="313">
        <f ca="1">SUMIFS(es_poids,es_prod_type_affinage,'SUIVI STOCKS PAR PAYSAN'!$I107,es_date_entree,"&gt;"&amp;date_inventaire)-SUMIFS(v_Poids,v_conc_prod_tye_affinage,'SUIVI STOCKS PAR PAYSAN'!$E107,v_Date_commande,"&gt;"&amp;date_inventaire)</f>
        <v>0</v>
      </c>
      <c r="AW107" s="313">
        <f ca="1">SUMIFS(bddres_c_qte,bddres_c_prod_type_aff,'SUIVI STOCKS PAR PAYSAN'!I107,'BDD RESERVATIONS'!$B:$B,"&gt;"&amp;date_inventaire)</f>
        <v>0</v>
      </c>
      <c r="AX107" s="342">
        <f ca="1">SUMIFS(bddres_pieces,es_prod_type_affinage,'SUIVI STOCKS PAR PAYSAN'!$I107,es_date_entree,"&gt;"&amp;date_inventaire,es_taille,'SUIVI STOCKS PAR PAYSAN'!$AX$7)-SUMIFS(v_Pièces,v_Taille,'SUIVI STOCKS PAR PAYSAN'!$AX$7,v_conc_prod_tye_affinage,'SUIVI STOCKS PAR PAYSAN'!$I107,v_Date_commande,"&gt;"&amp;date_inventaire)</f>
        <v>0</v>
      </c>
      <c r="AY107" s="342">
        <f ca="1">SUMIFS(bddres_pieces,'BDD RESERVATIONS'!$G:$G,'SUIVI STOCKS PAR PAYSAN'!$AX$7,bddres_c_prod_type_aff,'SUIVI STOCKS PAR PAYSAN'!$I107,'BDD RESERVATIONS'!$B:$B,"&gt;"&amp;date_inventaire)</f>
        <v>0</v>
      </c>
      <c r="AZ107" s="343">
        <f ca="1">SUMIFS(es_pieces,es_prod_type_affinage,'SUIVI STOCKS PAR PAYSAN'!$I107,es_date_entree,"&gt;"&amp;date_inventaire,es_taille,'SUIVI STOCKS PAR PAYSAN'!$AZ$7)-SUMIFS(v_Pièces,v_Taille,'SUIVI STOCKS PAR PAYSAN'!$AZ$7,v_conc_prod_tye_affinage,'SUIVI STOCKS PAR PAYSAN'!$I107,v_Date_commande,"&gt;"&amp;date_inventaire)</f>
        <v>0</v>
      </c>
      <c r="BA107" s="353">
        <f ca="1">SUMIFS(bddres_pieces,'BDD RESERVATIONS'!$G:$G,'SUIVI STOCKS PAR PAYSAN'!$AZ$7,bddres_c_prod_type_aff,'SUIVI STOCKS PAR PAYSAN'!$I107,'BDD RESERVATIONS'!$B:$B,"&gt;"&amp;date_inventaire)</f>
        <v>0</v>
      </c>
      <c r="BB107" s="313">
        <f ca="1">SUMIFS(es_poids,es_prod_type_affinage,'SUIVI STOCKS PAR PAYSAN'!$J107,es_date_entree,"&gt;"&amp;date_inventaire)-SUMIFS(v_Poids,v_conc_prod_tye_affinage,'SUIVI STOCKS PAR PAYSAN'!$J107,v_Date_commande,"&gt;"&amp;date_inventaire)</f>
        <v>0</v>
      </c>
      <c r="BC107" s="313">
        <f ca="1">SUMIFS(bddres_c_qte,bddres_c_prod_type_aff,'SUIVI STOCKS PAR PAYSAN'!J107,'BDD RESERVATIONS'!$B:$B,"&gt;"&amp;date_inventaire)</f>
        <v>0</v>
      </c>
      <c r="BD107" s="342">
        <f ca="1">SUMIFS(bddres_pieces,es_prod_type_affinage,'SUIVI STOCKS PAR PAYSAN'!$J107,es_date_entree,"&gt;"&amp;date_inventaire,es_taille,'SUIVI STOCKS PAR PAYSAN'!$BD$7)-SUMIFS(v_Pièces,v_Taille,'SUIVI STOCKS PAR PAYSAN'!$BD$7,v_conc_prod_tye_affinage,'SUIVI STOCKS PAR PAYSAN'!$J107,v_Date_commande,"&gt;"&amp;date_inventaire)</f>
        <v>0</v>
      </c>
      <c r="BE107" s="326">
        <f ca="1">SUMIFS(bddres_pieces,'BDD RESERVATIONS'!$G:$G,'SUIVI STOCKS PAR PAYSAN'!BD102,bddres_c_prod_type_aff,'SUIVI STOCKS PAR PAYSAN'!J107,'BDD RESERVATIONS'!$B:$B,"&gt;"&amp;date_inventaire)</f>
        <v>0</v>
      </c>
      <c r="BF107" s="343">
        <f ca="1">SUMIFS(es_pieces,es_prod_type_affinage,'SUIVI STOCKS PAR PAYSAN'!J107,es_date_entree,"&gt;"&amp;date_inventaire,es_taille,'SUIVI STOCKS PAR PAYSAN'!$BF$7)-SUMIFS(v_Pièces,v_Taille,'SUIVI STOCKS PAR PAYSAN'!$BF$7,v_conc_prod_tye_affinage,'SUIVI STOCKS PAR PAYSAN'!J107,v_Date_commande,"&gt;"&amp;date_inventaire)</f>
        <v>0</v>
      </c>
      <c r="BG107" s="353">
        <f ca="1">SUMIFS(bddres_pieces,'BDD RESERVATIONS'!$G:$G,'SUIVI STOCKS PAR PAYSAN'!$BF$7,bddres_c_prod_type_aff,'SUIVI STOCKS PAR PAYSAN'!J107,'BDD RESERVATIONS'!$B:$B,"&gt;"&amp;date_inventaire)</f>
        <v>0</v>
      </c>
    </row>
    <row r="108" spans="1:59" ht="18.75" customHeight="1" x14ac:dyDescent="0.25">
      <c r="A108" s="331">
        <f ca="1">OFFSET('BDD PAYSANS'!$B$1,B108,0,1,1)</f>
        <v>0</v>
      </c>
      <c r="B108" s="325">
        <v>97</v>
      </c>
      <c r="C108" s="325" t="str">
        <f t="shared" ca="1" si="4"/>
        <v>0FERMIER&lt;3 mois</v>
      </c>
      <c r="D108" s="325" t="str">
        <f t="shared" ca="1" si="4"/>
        <v>0FERMIER3-6 mois</v>
      </c>
      <c r="E108" s="325" t="str">
        <f t="shared" ca="1" si="4"/>
        <v>0FERMIER6-9 mois</v>
      </c>
      <c r="F108" s="325" t="str">
        <f t="shared" ca="1" si="4"/>
        <v>0FERMIER&gt;9 mois</v>
      </c>
      <c r="G108" s="325" t="str">
        <f t="shared" ca="1" si="4"/>
        <v>0ESTIVE&lt;3 mois</v>
      </c>
      <c r="H108" s="325" t="str">
        <f t="shared" ca="1" si="4"/>
        <v>0ESTIVE3-6 mois</v>
      </c>
      <c r="I108" s="325" t="str">
        <f t="shared" ca="1" si="4"/>
        <v>0ESTIVE6-9 mois</v>
      </c>
      <c r="J108" s="325" t="str">
        <f t="shared" ca="1" si="4"/>
        <v>0ESTIVE&gt;9 mois</v>
      </c>
      <c r="K108" s="325"/>
      <c r="L108" s="352">
        <f ca="1">SUMIFS(es_poids,es_prod_type_affinage,'SUIVI STOCKS PAR PAYSAN'!$C108,es_date_entree,"&gt;"&amp;date_inventaire)-SUMIFS(v_Poids,v_conc_prod_tye_affinage,'SUIVI STOCKS PAR PAYSAN'!$C108,v_Date_commande,"&gt;"&amp;date_inventaire)</f>
        <v>0</v>
      </c>
      <c r="M108" s="341">
        <f ca="1">SUMIFS(bddres_c_qte,bddres_c_prod_type_aff,'SUIVI STOCKS PAR PAYSAN'!C108,'BDD RESERVATIONS'!$B:$B,"&gt;"&amp;date_inventaire)</f>
        <v>0</v>
      </c>
      <c r="N108" s="342">
        <f ca="1">SUMIFS(bddres_pieces,es_prod_type_affinage,'SUIVI STOCKS PAR PAYSAN'!$C108,es_date_entree,"&gt;"&amp;date_inventaire,es_taille,'SUIVI STOCKS PAR PAYSAN'!$N$7)-SUMIFS(v_Pièces,v_Taille,'SUIVI STOCKS PAR PAYSAN'!$N$7,v_conc_prod_tye_affinage,'SUIVI STOCKS PAR PAYSAN'!$C108,v_Date_commande,"&gt;"&amp;date_inventaire)</f>
        <v>0</v>
      </c>
      <c r="O108" s="342">
        <f ca="1">SUMIFS(bddres_pieces,'BDD RESERVATIONS'!$G:$G,'SUIVI STOCKS PAR PAYSAN'!$N$7,bddres_c_prod_type_aff,'SUIVI STOCKS PAR PAYSAN'!$C108,'BDD RESERVATIONS'!$B:$B,"&gt;"&amp;date_inventaire)</f>
        <v>0</v>
      </c>
      <c r="P108" s="343">
        <f ca="1">SUMIFS(es_pieces,es_prod_type_affinage,'SUIVI STOCKS PAR PAYSAN'!$C108,es_date_entree,"&gt;"&amp;date_inventaire,es_taille,'SUIVI STOCKS PAR PAYSAN'!$P$7)-SUMIFS(v_Pièces,v_Taille,'SUIVI STOCKS PAR PAYSAN'!$P$7,v_conc_prod_tye_affinage,'SUIVI STOCKS PAR PAYSAN'!$C108,v_Date_commande,"&gt;"&amp;date_inventaire)</f>
        <v>0</v>
      </c>
      <c r="Q108" s="353">
        <f ca="1">SUMIFS(bddres_pieces,'BDD RESERVATIONS'!$G:$G,'SUIVI STOCKS PAR PAYSAN'!$P$7,bddres_c_prod_type_aff,'SUIVI STOCKS PAR PAYSAN'!$C108,'BDD RESERVATIONS'!$B:$B,"&gt;"&amp;date_inventaire)</f>
        <v>0</v>
      </c>
      <c r="R108" s="340">
        <f ca="1">SUMIFS(es_poids,es_prod_type_affinage,'SUIVI STOCKS PAR PAYSAN'!$D108,es_date_entree,"&gt;"&amp;date_inventaire)-SUMIFS(v_Poids,v_conc_prod_tye_affinage,'SUIVI STOCKS PAR PAYSAN'!$D108,v_Date_commande,"&gt;"&amp;date_inventaire)</f>
        <v>0</v>
      </c>
      <c r="S108" s="341">
        <f ca="1">SUMIFS(bddres_c_qte,bddres_c_prod_type_aff,'SUIVI STOCKS PAR PAYSAN'!D108,'BDD RESERVATIONS'!$B:$B,"&gt;"&amp;date_inventaire)</f>
        <v>0</v>
      </c>
      <c r="T108" s="342">
        <f ca="1">SUMIFS(bddres_pieces,es_prod_type_affinage,'SUIVI STOCKS PAR PAYSAN'!$D108,es_date_entree,"&gt;"&amp;date_inventaire,es_taille,'SUIVI STOCKS PAR PAYSAN'!$T$7)-SUMIFS(v_Pièces,v_Taille,'SUIVI STOCKS PAR PAYSAN'!$T$7,v_conc_prod_tye_affinage,'SUIVI STOCKS PAR PAYSAN'!$D108,v_Date_commande,"&gt;"&amp;date_inventaire)</f>
        <v>0</v>
      </c>
      <c r="U108" s="342">
        <f ca="1">SUMIFS(bddres_pieces,'BDD RESERVATIONS'!$G:$G,'SUIVI STOCKS PAR PAYSAN'!$T$7,bddres_c_prod_type_aff,'SUIVI STOCKS PAR PAYSAN'!$D108,'BDD RESERVATIONS'!$B:$B,"&gt;"&amp;date_inventaire)</f>
        <v>0</v>
      </c>
      <c r="V108" s="343">
        <f ca="1">SUMIFS(es_pieces,es_prod_type_affinage,'SUIVI STOCKS PAR PAYSAN'!$D108,es_date_entree,"&gt;"&amp;date_inventaire,es_taille,'SUIVI STOCKS PAR PAYSAN'!$V$7)-SUMIFS(v_Pièces,v_Taille,'SUIVI STOCKS PAR PAYSAN'!$V$7,v_conc_prod_tye_affinage,'SUIVI STOCKS PAR PAYSAN'!$D108,v_Date_commande,"&gt;"&amp;date_inventaire)</f>
        <v>0</v>
      </c>
      <c r="W108" s="353">
        <f ca="1">SUMIFS(bddres_pieces,'BDD RESERVATIONS'!$G:$G,'SUIVI STOCKS PAR PAYSAN'!$V$7,bddres_c_prod_type_aff,'SUIVI STOCKS PAR PAYSAN'!$D108,'BDD RESERVATIONS'!$B:$B,"&gt;"&amp;date_inventaire)</f>
        <v>0</v>
      </c>
      <c r="X108" s="313">
        <f ca="1">SUMIFS(es_poids,es_prod_type_affinage,'SUIVI STOCKS PAR PAYSAN'!$E108,es_date_entree,"&gt;"&amp;date_inventaire)-SUMIFS(v_Poids,v_conc_prod_tye_affinage,'SUIVI STOCKS PAR PAYSAN'!$E108,v_Date_commande,"&gt;"&amp;date_inventaire)</f>
        <v>0</v>
      </c>
      <c r="Y108" s="341">
        <f ca="1">SUMIFS(bddres_c_qte,bddres_c_prod_type_aff,'SUIVI STOCKS PAR PAYSAN'!E108,'BDD RESERVATIONS'!$B:$B,"&gt;"&amp;date_inventaire)</f>
        <v>0</v>
      </c>
      <c r="Z108" s="342">
        <f ca="1">SUMIFS(bddres_pieces,es_prod_type_affinage,'SUIVI STOCKS PAR PAYSAN'!$E108,es_date_entree,"&gt;"&amp;date_inventaire,es_taille,'SUIVI STOCKS PAR PAYSAN'!$Z$7)-SUMIFS(v_Pièces,v_Taille,'SUIVI STOCKS PAR PAYSAN'!$Z$7,v_conc_prod_tye_affinage,'SUIVI STOCKS PAR PAYSAN'!$E108,v_Date_commande,"&gt;"&amp;date_inventaire)</f>
        <v>0</v>
      </c>
      <c r="AA108" s="342">
        <f ca="1">SUMIFS(bddres_pieces,'BDD RESERVATIONS'!$G:$G,'SUIVI STOCKS PAR PAYSAN'!$Z$7,bddres_c_prod_type_aff,'SUIVI STOCKS PAR PAYSAN'!$E108,'BDD RESERVATIONS'!$B:$B,"&gt;"&amp;date_inventaire)</f>
        <v>0</v>
      </c>
      <c r="AB108" s="343">
        <f ca="1">SUMIFS(es_pieces,es_prod_type_affinage,'SUIVI STOCKS PAR PAYSAN'!$E108,es_date_entree,"&gt;"&amp;date_inventaire,es_taille,'SUIVI STOCKS PAR PAYSAN'!$AB$7)-SUMIFS(v_Pièces,v_Taille,'SUIVI STOCKS PAR PAYSAN'!$AB$7,v_conc_prod_tye_affinage,'SUIVI STOCKS PAR PAYSAN'!$E108,v_Date_commande,"&gt;"&amp;date_inventaire)</f>
        <v>0</v>
      </c>
      <c r="AC108" s="353">
        <f ca="1">SUMIFS(bddres_pieces,'BDD RESERVATIONS'!$G:$G,'SUIVI STOCKS PAR PAYSAN'!$AB$7,bddres_c_prod_type_aff,'SUIVI STOCKS PAR PAYSAN'!$E108,'BDD RESERVATIONS'!$B:$B,"&gt;"&amp;date_inventaire)</f>
        <v>0</v>
      </c>
      <c r="AD108" s="313">
        <f ca="1">SUMIFS(es_poids,es_prod_type_affinage,'SUIVI STOCKS PAR PAYSAN'!$F108,es_date_entree,"&gt;"&amp;date_inventaire)-SUMIFS(v_Poids,v_conc_prod_tye_affinage,'SUIVI STOCKS PAR PAYSAN'!$F108,v_Date_commande,"&gt;"&amp;date_inventaire)</f>
        <v>0</v>
      </c>
      <c r="AE108" s="341">
        <f ca="1">SUMIFS(bddres_c_qte,bddres_c_prod_type_aff,'SUIVI STOCKS PAR PAYSAN'!F108,'BDD RESERVATIONS'!$B:$B,"&gt;"&amp;date_inventaire)</f>
        <v>0</v>
      </c>
      <c r="AF108" s="342">
        <f ca="1">SUMIFS(bddres_pieces,es_prod_type_affinage,'SUIVI STOCKS PAR PAYSAN'!$F108,es_date_entree,"&gt;"&amp;date_inventaire,es_taille,'SUIVI STOCKS PAR PAYSAN'!$Z$7)-SUMIFS(v_Pièces,v_Taille,'SUIVI STOCKS PAR PAYSAN'!$Z$7,v_conc_prod_tye_affinage,'SUIVI STOCKS PAR PAYSAN'!$F108,v_Date_commande,"&gt;"&amp;date_inventaire)</f>
        <v>0</v>
      </c>
      <c r="AG108" s="342">
        <f ca="1">SUMIFS(bddres_pieces,'BDD RESERVATIONS'!$G:$G,'SUIVI STOCKS PAR PAYSAN'!$Z$7,bddres_c_prod_type_aff,'SUIVI STOCKS PAR PAYSAN'!$F108,'BDD RESERVATIONS'!$B:$B,"&gt;"&amp;date_inventaire)</f>
        <v>0</v>
      </c>
      <c r="AH108" s="343">
        <f ca="1">SUMIFS(es_pieces,es_prod_type_affinage,'SUIVI STOCKS PAR PAYSAN'!$F108,es_date_entree,"&gt;"&amp;date_inventaire,es_taille,'SUIVI STOCKS PAR PAYSAN'!$AH$7)-SUMIFS(v_Pièces,v_Taille,'SUIVI STOCKS PAR PAYSAN'!$AH$7,v_conc_prod_tye_affinage,'SUIVI STOCKS PAR PAYSAN'!$F108,v_Date_commande,"&gt;"&amp;date_inventaire)</f>
        <v>0</v>
      </c>
      <c r="AI108" s="353">
        <f ca="1">SUMIFS(bddres_pieces,'BDD RESERVATIONS'!$G:$G,'SUIVI STOCKS PAR PAYSAN'!$AB$7,bddres_c_prod_type_aff,'SUIVI STOCKS PAR PAYSAN'!$F108,'BDD RESERVATIONS'!$B:$B,"&gt;"&amp;date_inventaire)</f>
        <v>0</v>
      </c>
      <c r="AJ108" s="352">
        <f ca="1">SUMIFS(es_poids,es_prod_type_affinage,'SUIVI STOCKS PAR PAYSAN'!$G108,es_date_entree,"&gt;"&amp;date_inventaire)-SUMIFS(v_Poids,v_conc_prod_tye_affinage,'SUIVI STOCKS PAR PAYSAN'!$G108,v_Date_commande,"&gt;"&amp;date_inventaire)</f>
        <v>0</v>
      </c>
      <c r="AK108" s="341">
        <f ca="1">SUMIFS(bddres_c_qte,bddres_c_prod_type_aff,'SUIVI STOCKS PAR PAYSAN'!G108,'BDD RESERVATIONS'!$B:$B,"&gt;"&amp;date_inventaire)</f>
        <v>0</v>
      </c>
      <c r="AL108" s="342">
        <f ca="1">SUMIFS(bddres_pieces,es_prod_type_affinage,'SUIVI STOCKS PAR PAYSAN'!$G108,es_date_entree,"&gt;"&amp;date_inventaire,es_taille,'SUIVI STOCKS PAR PAYSAN'!$AL$7)-SUMIFS(v_Pièces,v_Taille,'SUIVI STOCKS PAR PAYSAN'!$AL$7,v_conc_prod_tye_affinage,'SUIVI STOCKS PAR PAYSAN'!$G108,v_Date_commande,"&gt;"&amp;date_inventaire)</f>
        <v>0</v>
      </c>
      <c r="AM108" s="342">
        <f ca="1">SUMIFS(bddres_pieces,'BDD RESERVATIONS'!$G:$G,'SUIVI STOCKS PAR PAYSAN'!$AL$7,bddres_c_prod_type_aff,'SUIVI STOCKS PAR PAYSAN'!$G108,'BDD RESERVATIONS'!$B:$B,"&gt;"&amp;date_inventaire)</f>
        <v>0</v>
      </c>
      <c r="AN108" s="343">
        <f ca="1">SUMIFS(es_pieces,es_prod_type_affinage,'SUIVI STOCKS PAR PAYSAN'!$G108,es_date_entree,"&gt;"&amp;date_inventaire,es_taille,'SUIVI STOCKS PAR PAYSAN'!$AN$7)-SUMIFS(v_Pièces,v_Taille,'SUIVI STOCKS PAR PAYSAN'!$AN$7,v_conc_prod_tye_affinage,'SUIVI STOCKS PAR PAYSAN'!$G108,v_Date_commande,"&gt;"&amp;date_inventaire)</f>
        <v>0</v>
      </c>
      <c r="AO108" s="353">
        <f ca="1">SUMIFS(bddres_pieces,'BDD RESERVATIONS'!$G:$G,'SUIVI STOCKS PAR PAYSAN'!$AN$7,bddres_c_prod_type_aff,'SUIVI STOCKS PAR PAYSAN'!$G108,'BDD RESERVATIONS'!$B:$B,"&gt;"&amp;date_inventaire)</f>
        <v>0</v>
      </c>
      <c r="AP108" s="313">
        <f ca="1">SUMIFS(es_poids,es_prod_type_affinage,'SUIVI STOCKS PAR PAYSAN'!$H108,es_date_entree,"&gt;"&amp;date_inventaire)-SUMIFS(v_Poids,v_conc_prod_tye_affinage,'SUIVI STOCKS PAR PAYSAN'!$H108,v_Date_commande,"&gt;"&amp;date_inventaire)</f>
        <v>0</v>
      </c>
      <c r="AQ108" s="341">
        <f ca="1">SUMIFS(bddres_c_qte,bddres_c_prod_type_aff,'SUIVI STOCKS PAR PAYSAN'!H108,'BDD RESERVATIONS'!$B:$B,"&gt;"&amp;date_inventaire)</f>
        <v>0</v>
      </c>
      <c r="AR108" s="342">
        <f ca="1">SUMIFS(bddres_pieces,es_prod_type_affinage,'SUIVI STOCKS PAR PAYSAN'!$H108,es_date_entree,"&gt;"&amp;date_inventaire,es_taille,'SUIVI STOCKS PAR PAYSAN'!$AR$7)-SUMIFS(v_Pièces,v_Taille,'SUIVI STOCKS PAR PAYSAN'!$AR$7,v_conc_prod_tye_affinage,'SUIVI STOCKS PAR PAYSAN'!$H108,v_Date_commande,"&gt;"&amp;date_inventaire)</f>
        <v>0</v>
      </c>
      <c r="AS108" s="326">
        <f ca="1">SUMIFS(bddres_pieces,'BDD RESERVATIONS'!$G:$G,'SUIVI STOCKS PAR PAYSAN'!AR103,bddres_c_prod_type_aff,'SUIVI STOCKS PAR PAYSAN'!$H108,'BDD RESERVATIONS'!$B:$B,"&gt;"&amp;date_inventaire)</f>
        <v>0</v>
      </c>
      <c r="AT108" s="343">
        <f ca="1">SUMIFS(es_pieces,es_prod_type_affinage,'SUIVI STOCKS PAR PAYSAN'!$H108,es_date_entree,"&gt;"&amp;date_inventaire,es_taille,'SUIVI STOCKS PAR PAYSAN'!$AT$7)-SUMIFS(v_Pièces,v_Taille,'SUIVI STOCKS PAR PAYSAN'!$AT$7,v_conc_prod_tye_affinage,'SUIVI STOCKS PAR PAYSAN'!$H108,v_Date_commande,"&gt;"&amp;date_inventaire)</f>
        <v>0</v>
      </c>
      <c r="AU108" s="353">
        <f ca="1">SUMIFS(bddres_pieces,'BDD RESERVATIONS'!$G:$G,'SUIVI STOCKS PAR PAYSAN'!$AT$7,bddres_c_prod_type_aff,'SUIVI STOCKS PAR PAYSAN'!$H108,'BDD RESERVATIONS'!$B:$B,"&gt;"&amp;date_inventaire)</f>
        <v>0</v>
      </c>
      <c r="AV108" s="313">
        <f ca="1">SUMIFS(es_poids,es_prod_type_affinage,'SUIVI STOCKS PAR PAYSAN'!$I108,es_date_entree,"&gt;"&amp;date_inventaire)-SUMIFS(v_Poids,v_conc_prod_tye_affinage,'SUIVI STOCKS PAR PAYSAN'!$E108,v_Date_commande,"&gt;"&amp;date_inventaire)</f>
        <v>0</v>
      </c>
      <c r="AW108" s="313">
        <f ca="1">SUMIFS(bddres_c_qte,bddres_c_prod_type_aff,'SUIVI STOCKS PAR PAYSAN'!I108,'BDD RESERVATIONS'!$B:$B,"&gt;"&amp;date_inventaire)</f>
        <v>0</v>
      </c>
      <c r="AX108" s="342">
        <f ca="1">SUMIFS(bddres_pieces,es_prod_type_affinage,'SUIVI STOCKS PAR PAYSAN'!$I108,es_date_entree,"&gt;"&amp;date_inventaire,es_taille,'SUIVI STOCKS PAR PAYSAN'!$AX$7)-SUMIFS(v_Pièces,v_Taille,'SUIVI STOCKS PAR PAYSAN'!$AX$7,v_conc_prod_tye_affinage,'SUIVI STOCKS PAR PAYSAN'!$I108,v_Date_commande,"&gt;"&amp;date_inventaire)</f>
        <v>0</v>
      </c>
      <c r="AY108" s="342">
        <f ca="1">SUMIFS(bddres_pieces,'BDD RESERVATIONS'!$G:$G,'SUIVI STOCKS PAR PAYSAN'!$AX$7,bddres_c_prod_type_aff,'SUIVI STOCKS PAR PAYSAN'!$I108,'BDD RESERVATIONS'!$B:$B,"&gt;"&amp;date_inventaire)</f>
        <v>0</v>
      </c>
      <c r="AZ108" s="343">
        <f ca="1">SUMIFS(es_pieces,es_prod_type_affinage,'SUIVI STOCKS PAR PAYSAN'!$I108,es_date_entree,"&gt;"&amp;date_inventaire,es_taille,'SUIVI STOCKS PAR PAYSAN'!$AZ$7)-SUMIFS(v_Pièces,v_Taille,'SUIVI STOCKS PAR PAYSAN'!$AZ$7,v_conc_prod_tye_affinage,'SUIVI STOCKS PAR PAYSAN'!$I108,v_Date_commande,"&gt;"&amp;date_inventaire)</f>
        <v>0</v>
      </c>
      <c r="BA108" s="353">
        <f ca="1">SUMIFS(bddres_pieces,'BDD RESERVATIONS'!$G:$G,'SUIVI STOCKS PAR PAYSAN'!$AZ$7,bddres_c_prod_type_aff,'SUIVI STOCKS PAR PAYSAN'!$I108,'BDD RESERVATIONS'!$B:$B,"&gt;"&amp;date_inventaire)</f>
        <v>0</v>
      </c>
      <c r="BB108" s="313">
        <f ca="1">SUMIFS(es_poids,es_prod_type_affinage,'SUIVI STOCKS PAR PAYSAN'!$J108,es_date_entree,"&gt;"&amp;date_inventaire)-SUMIFS(v_Poids,v_conc_prod_tye_affinage,'SUIVI STOCKS PAR PAYSAN'!$J108,v_Date_commande,"&gt;"&amp;date_inventaire)</f>
        <v>0</v>
      </c>
      <c r="BC108" s="313">
        <f ca="1">SUMIFS(bddres_c_qte,bddres_c_prod_type_aff,'SUIVI STOCKS PAR PAYSAN'!J108,'BDD RESERVATIONS'!$B:$B,"&gt;"&amp;date_inventaire)</f>
        <v>0</v>
      </c>
      <c r="BD108" s="342">
        <f ca="1">SUMIFS(bddres_pieces,es_prod_type_affinage,'SUIVI STOCKS PAR PAYSAN'!$J108,es_date_entree,"&gt;"&amp;date_inventaire,es_taille,'SUIVI STOCKS PAR PAYSAN'!$BD$7)-SUMIFS(v_Pièces,v_Taille,'SUIVI STOCKS PAR PAYSAN'!$BD$7,v_conc_prod_tye_affinage,'SUIVI STOCKS PAR PAYSAN'!$J108,v_Date_commande,"&gt;"&amp;date_inventaire)</f>
        <v>0</v>
      </c>
      <c r="BE108" s="326">
        <f ca="1">SUMIFS(bddres_pieces,'BDD RESERVATIONS'!$G:$G,'SUIVI STOCKS PAR PAYSAN'!BD103,bddres_c_prod_type_aff,'SUIVI STOCKS PAR PAYSAN'!J108,'BDD RESERVATIONS'!$B:$B,"&gt;"&amp;date_inventaire)</f>
        <v>0</v>
      </c>
      <c r="BF108" s="343">
        <f ca="1">SUMIFS(es_pieces,es_prod_type_affinage,'SUIVI STOCKS PAR PAYSAN'!J108,es_date_entree,"&gt;"&amp;date_inventaire,es_taille,'SUIVI STOCKS PAR PAYSAN'!$BF$7)-SUMIFS(v_Pièces,v_Taille,'SUIVI STOCKS PAR PAYSAN'!$BF$7,v_conc_prod_tye_affinage,'SUIVI STOCKS PAR PAYSAN'!J108,v_Date_commande,"&gt;"&amp;date_inventaire)</f>
        <v>0</v>
      </c>
      <c r="BG108" s="353">
        <f ca="1">SUMIFS(bddres_pieces,'BDD RESERVATIONS'!$G:$G,'SUIVI STOCKS PAR PAYSAN'!$BF$7,bddres_c_prod_type_aff,'SUIVI STOCKS PAR PAYSAN'!J108,'BDD RESERVATIONS'!$B:$B,"&gt;"&amp;date_inventaire)</f>
        <v>0</v>
      </c>
    </row>
    <row r="109" spans="1:59" ht="18.75" customHeight="1" x14ac:dyDescent="0.25">
      <c r="A109" s="331">
        <f ca="1">OFFSET('BDD PAYSANS'!$B$1,B109,0,1,1)</f>
        <v>0</v>
      </c>
      <c r="B109" s="325">
        <v>98</v>
      </c>
      <c r="C109" s="325" t="str">
        <f t="shared" ca="1" si="4"/>
        <v>0FERMIER&lt;3 mois</v>
      </c>
      <c r="D109" s="325" t="str">
        <f t="shared" ca="1" si="4"/>
        <v>0FERMIER3-6 mois</v>
      </c>
      <c r="E109" s="325" t="str">
        <f t="shared" ca="1" si="4"/>
        <v>0FERMIER6-9 mois</v>
      </c>
      <c r="F109" s="325" t="str">
        <f t="shared" ca="1" si="4"/>
        <v>0FERMIER&gt;9 mois</v>
      </c>
      <c r="G109" s="325" t="str">
        <f t="shared" ca="1" si="4"/>
        <v>0ESTIVE&lt;3 mois</v>
      </c>
      <c r="H109" s="325" t="str">
        <f t="shared" ca="1" si="4"/>
        <v>0ESTIVE3-6 mois</v>
      </c>
      <c r="I109" s="325" t="str">
        <f t="shared" ca="1" si="4"/>
        <v>0ESTIVE6-9 mois</v>
      </c>
      <c r="J109" s="325" t="str">
        <f t="shared" ca="1" si="4"/>
        <v>0ESTIVE&gt;9 mois</v>
      </c>
      <c r="K109" s="325"/>
      <c r="L109" s="352">
        <f ca="1">SUMIFS(es_poids,es_prod_type_affinage,'SUIVI STOCKS PAR PAYSAN'!$C109,es_date_entree,"&gt;"&amp;date_inventaire)-SUMIFS(v_Poids,v_conc_prod_tye_affinage,'SUIVI STOCKS PAR PAYSAN'!$C109,v_Date_commande,"&gt;"&amp;date_inventaire)</f>
        <v>0</v>
      </c>
      <c r="M109" s="341">
        <f ca="1">SUMIFS(bddres_c_qte,bddres_c_prod_type_aff,'SUIVI STOCKS PAR PAYSAN'!C109,'BDD RESERVATIONS'!$B:$B,"&gt;"&amp;date_inventaire)</f>
        <v>0</v>
      </c>
      <c r="N109" s="342">
        <f ca="1">SUMIFS(bddres_pieces,es_prod_type_affinage,'SUIVI STOCKS PAR PAYSAN'!$C109,es_date_entree,"&gt;"&amp;date_inventaire,es_taille,'SUIVI STOCKS PAR PAYSAN'!$N$7)-SUMIFS(v_Pièces,v_Taille,'SUIVI STOCKS PAR PAYSAN'!$N$7,v_conc_prod_tye_affinage,'SUIVI STOCKS PAR PAYSAN'!$C109,v_Date_commande,"&gt;"&amp;date_inventaire)</f>
        <v>0</v>
      </c>
      <c r="O109" s="342">
        <f ca="1">SUMIFS(bddres_pieces,'BDD RESERVATIONS'!$G:$G,'SUIVI STOCKS PAR PAYSAN'!$N$7,bddres_c_prod_type_aff,'SUIVI STOCKS PAR PAYSAN'!$C109,'BDD RESERVATIONS'!$B:$B,"&gt;"&amp;date_inventaire)</f>
        <v>0</v>
      </c>
      <c r="P109" s="343">
        <f ca="1">SUMIFS(es_pieces,es_prod_type_affinage,'SUIVI STOCKS PAR PAYSAN'!$C109,es_date_entree,"&gt;"&amp;date_inventaire,es_taille,'SUIVI STOCKS PAR PAYSAN'!$P$7)-SUMIFS(v_Pièces,v_Taille,'SUIVI STOCKS PAR PAYSAN'!$P$7,v_conc_prod_tye_affinage,'SUIVI STOCKS PAR PAYSAN'!$C109,v_Date_commande,"&gt;"&amp;date_inventaire)</f>
        <v>0</v>
      </c>
      <c r="Q109" s="353">
        <f ca="1">SUMIFS(bddres_pieces,'BDD RESERVATIONS'!$G:$G,'SUIVI STOCKS PAR PAYSAN'!$P$7,bddres_c_prod_type_aff,'SUIVI STOCKS PAR PAYSAN'!$C109,'BDD RESERVATIONS'!$B:$B,"&gt;"&amp;date_inventaire)</f>
        <v>0</v>
      </c>
      <c r="R109" s="340">
        <f ca="1">SUMIFS(es_poids,es_prod_type_affinage,'SUIVI STOCKS PAR PAYSAN'!$D109,es_date_entree,"&gt;"&amp;date_inventaire)-SUMIFS(v_Poids,v_conc_prod_tye_affinage,'SUIVI STOCKS PAR PAYSAN'!$D109,v_Date_commande,"&gt;"&amp;date_inventaire)</f>
        <v>0</v>
      </c>
      <c r="S109" s="341">
        <f ca="1">SUMIFS(bddres_c_qte,bddres_c_prod_type_aff,'SUIVI STOCKS PAR PAYSAN'!D109,'BDD RESERVATIONS'!$B:$B,"&gt;"&amp;date_inventaire)</f>
        <v>0</v>
      </c>
      <c r="T109" s="342">
        <f ca="1">SUMIFS(bddres_pieces,es_prod_type_affinage,'SUIVI STOCKS PAR PAYSAN'!$D109,es_date_entree,"&gt;"&amp;date_inventaire,es_taille,'SUIVI STOCKS PAR PAYSAN'!$T$7)-SUMIFS(v_Pièces,v_Taille,'SUIVI STOCKS PAR PAYSAN'!$T$7,v_conc_prod_tye_affinage,'SUIVI STOCKS PAR PAYSAN'!$D109,v_Date_commande,"&gt;"&amp;date_inventaire)</f>
        <v>0</v>
      </c>
      <c r="U109" s="342">
        <f ca="1">SUMIFS(bddres_pieces,'BDD RESERVATIONS'!$G:$G,'SUIVI STOCKS PAR PAYSAN'!$T$7,bddres_c_prod_type_aff,'SUIVI STOCKS PAR PAYSAN'!$D109,'BDD RESERVATIONS'!$B:$B,"&gt;"&amp;date_inventaire)</f>
        <v>0</v>
      </c>
      <c r="V109" s="343">
        <f ca="1">SUMIFS(es_pieces,es_prod_type_affinage,'SUIVI STOCKS PAR PAYSAN'!$D109,es_date_entree,"&gt;"&amp;date_inventaire,es_taille,'SUIVI STOCKS PAR PAYSAN'!$V$7)-SUMIFS(v_Pièces,v_Taille,'SUIVI STOCKS PAR PAYSAN'!$V$7,v_conc_prod_tye_affinage,'SUIVI STOCKS PAR PAYSAN'!$D109,v_Date_commande,"&gt;"&amp;date_inventaire)</f>
        <v>0</v>
      </c>
      <c r="W109" s="353">
        <f ca="1">SUMIFS(bddres_pieces,'BDD RESERVATIONS'!$G:$G,'SUIVI STOCKS PAR PAYSAN'!$V$7,bddres_c_prod_type_aff,'SUIVI STOCKS PAR PAYSAN'!$D109,'BDD RESERVATIONS'!$B:$B,"&gt;"&amp;date_inventaire)</f>
        <v>0</v>
      </c>
      <c r="X109" s="313">
        <f ca="1">SUMIFS(es_poids,es_prod_type_affinage,'SUIVI STOCKS PAR PAYSAN'!$E109,es_date_entree,"&gt;"&amp;date_inventaire)-SUMIFS(v_Poids,v_conc_prod_tye_affinage,'SUIVI STOCKS PAR PAYSAN'!$E109,v_Date_commande,"&gt;"&amp;date_inventaire)</f>
        <v>0</v>
      </c>
      <c r="Y109" s="341">
        <f ca="1">SUMIFS(bddres_c_qte,bddres_c_prod_type_aff,'SUIVI STOCKS PAR PAYSAN'!E109,'BDD RESERVATIONS'!$B:$B,"&gt;"&amp;date_inventaire)</f>
        <v>0</v>
      </c>
      <c r="Z109" s="342">
        <f ca="1">SUMIFS(bddres_pieces,es_prod_type_affinage,'SUIVI STOCKS PAR PAYSAN'!$E109,es_date_entree,"&gt;"&amp;date_inventaire,es_taille,'SUIVI STOCKS PAR PAYSAN'!$Z$7)-SUMIFS(v_Pièces,v_Taille,'SUIVI STOCKS PAR PAYSAN'!$Z$7,v_conc_prod_tye_affinage,'SUIVI STOCKS PAR PAYSAN'!$E109,v_Date_commande,"&gt;"&amp;date_inventaire)</f>
        <v>0</v>
      </c>
      <c r="AA109" s="342">
        <f ca="1">SUMIFS(bddres_pieces,'BDD RESERVATIONS'!$G:$G,'SUIVI STOCKS PAR PAYSAN'!$Z$7,bddres_c_prod_type_aff,'SUIVI STOCKS PAR PAYSAN'!$E109,'BDD RESERVATIONS'!$B:$B,"&gt;"&amp;date_inventaire)</f>
        <v>0</v>
      </c>
      <c r="AB109" s="343">
        <f ca="1">SUMIFS(es_pieces,es_prod_type_affinage,'SUIVI STOCKS PAR PAYSAN'!$E109,es_date_entree,"&gt;"&amp;date_inventaire,es_taille,'SUIVI STOCKS PAR PAYSAN'!$AB$7)-SUMIFS(v_Pièces,v_Taille,'SUIVI STOCKS PAR PAYSAN'!$AB$7,v_conc_prod_tye_affinage,'SUIVI STOCKS PAR PAYSAN'!$E109,v_Date_commande,"&gt;"&amp;date_inventaire)</f>
        <v>0</v>
      </c>
      <c r="AC109" s="353">
        <f ca="1">SUMIFS(bddres_pieces,'BDD RESERVATIONS'!$G:$G,'SUIVI STOCKS PAR PAYSAN'!$AB$7,bddres_c_prod_type_aff,'SUIVI STOCKS PAR PAYSAN'!$E109,'BDD RESERVATIONS'!$B:$B,"&gt;"&amp;date_inventaire)</f>
        <v>0</v>
      </c>
      <c r="AD109" s="313">
        <f ca="1">SUMIFS(es_poids,es_prod_type_affinage,'SUIVI STOCKS PAR PAYSAN'!$F109,es_date_entree,"&gt;"&amp;date_inventaire)-SUMIFS(v_Poids,v_conc_prod_tye_affinage,'SUIVI STOCKS PAR PAYSAN'!$F109,v_Date_commande,"&gt;"&amp;date_inventaire)</f>
        <v>0</v>
      </c>
      <c r="AE109" s="341">
        <f ca="1">SUMIFS(bddres_c_qte,bddres_c_prod_type_aff,'SUIVI STOCKS PAR PAYSAN'!F109,'BDD RESERVATIONS'!$B:$B,"&gt;"&amp;date_inventaire)</f>
        <v>0</v>
      </c>
      <c r="AF109" s="342">
        <f ca="1">SUMIFS(bddres_pieces,es_prod_type_affinage,'SUIVI STOCKS PAR PAYSAN'!$F109,es_date_entree,"&gt;"&amp;date_inventaire,es_taille,'SUIVI STOCKS PAR PAYSAN'!$Z$7)-SUMIFS(v_Pièces,v_Taille,'SUIVI STOCKS PAR PAYSAN'!$Z$7,v_conc_prod_tye_affinage,'SUIVI STOCKS PAR PAYSAN'!$F109,v_Date_commande,"&gt;"&amp;date_inventaire)</f>
        <v>0</v>
      </c>
      <c r="AG109" s="342">
        <f ca="1">SUMIFS(bddres_pieces,'BDD RESERVATIONS'!$G:$G,'SUIVI STOCKS PAR PAYSAN'!$Z$7,bddres_c_prod_type_aff,'SUIVI STOCKS PAR PAYSAN'!$F109,'BDD RESERVATIONS'!$B:$B,"&gt;"&amp;date_inventaire)</f>
        <v>0</v>
      </c>
      <c r="AH109" s="343">
        <f ca="1">SUMIFS(es_pieces,es_prod_type_affinage,'SUIVI STOCKS PAR PAYSAN'!$F109,es_date_entree,"&gt;"&amp;date_inventaire,es_taille,'SUIVI STOCKS PAR PAYSAN'!$AH$7)-SUMIFS(v_Pièces,v_Taille,'SUIVI STOCKS PAR PAYSAN'!$AH$7,v_conc_prod_tye_affinage,'SUIVI STOCKS PAR PAYSAN'!$F109,v_Date_commande,"&gt;"&amp;date_inventaire)</f>
        <v>0</v>
      </c>
      <c r="AI109" s="353">
        <f ca="1">SUMIFS(bddres_pieces,'BDD RESERVATIONS'!$G:$G,'SUIVI STOCKS PAR PAYSAN'!$AB$7,bddres_c_prod_type_aff,'SUIVI STOCKS PAR PAYSAN'!$F109,'BDD RESERVATIONS'!$B:$B,"&gt;"&amp;date_inventaire)</f>
        <v>0</v>
      </c>
      <c r="AJ109" s="352">
        <f ca="1">SUMIFS(es_poids,es_prod_type_affinage,'SUIVI STOCKS PAR PAYSAN'!$G109,es_date_entree,"&gt;"&amp;date_inventaire)-SUMIFS(v_Poids,v_conc_prod_tye_affinage,'SUIVI STOCKS PAR PAYSAN'!$G109,v_Date_commande,"&gt;"&amp;date_inventaire)</f>
        <v>0</v>
      </c>
      <c r="AK109" s="341">
        <f ca="1">SUMIFS(bddres_c_qte,bddres_c_prod_type_aff,'SUIVI STOCKS PAR PAYSAN'!G109,'BDD RESERVATIONS'!$B:$B,"&gt;"&amp;date_inventaire)</f>
        <v>0</v>
      </c>
      <c r="AL109" s="342">
        <f ca="1">SUMIFS(bddres_pieces,es_prod_type_affinage,'SUIVI STOCKS PAR PAYSAN'!$G109,es_date_entree,"&gt;"&amp;date_inventaire,es_taille,'SUIVI STOCKS PAR PAYSAN'!$AL$7)-SUMIFS(v_Pièces,v_Taille,'SUIVI STOCKS PAR PAYSAN'!$AL$7,v_conc_prod_tye_affinage,'SUIVI STOCKS PAR PAYSAN'!$G109,v_Date_commande,"&gt;"&amp;date_inventaire)</f>
        <v>0</v>
      </c>
      <c r="AM109" s="342">
        <f ca="1">SUMIFS(bddres_pieces,'BDD RESERVATIONS'!$G:$G,'SUIVI STOCKS PAR PAYSAN'!$AL$7,bddres_c_prod_type_aff,'SUIVI STOCKS PAR PAYSAN'!$G109,'BDD RESERVATIONS'!$B:$B,"&gt;"&amp;date_inventaire)</f>
        <v>0</v>
      </c>
      <c r="AN109" s="343">
        <f ca="1">SUMIFS(es_pieces,es_prod_type_affinage,'SUIVI STOCKS PAR PAYSAN'!$G109,es_date_entree,"&gt;"&amp;date_inventaire,es_taille,'SUIVI STOCKS PAR PAYSAN'!$AN$7)-SUMIFS(v_Pièces,v_Taille,'SUIVI STOCKS PAR PAYSAN'!$AN$7,v_conc_prod_tye_affinage,'SUIVI STOCKS PAR PAYSAN'!$G109,v_Date_commande,"&gt;"&amp;date_inventaire)</f>
        <v>0</v>
      </c>
      <c r="AO109" s="353">
        <f ca="1">SUMIFS(bddres_pieces,'BDD RESERVATIONS'!$G:$G,'SUIVI STOCKS PAR PAYSAN'!$AN$7,bddres_c_prod_type_aff,'SUIVI STOCKS PAR PAYSAN'!$G109,'BDD RESERVATIONS'!$B:$B,"&gt;"&amp;date_inventaire)</f>
        <v>0</v>
      </c>
      <c r="AP109" s="313">
        <f ca="1">SUMIFS(es_poids,es_prod_type_affinage,'SUIVI STOCKS PAR PAYSAN'!$H109,es_date_entree,"&gt;"&amp;date_inventaire)-SUMIFS(v_Poids,v_conc_prod_tye_affinage,'SUIVI STOCKS PAR PAYSAN'!$H109,v_Date_commande,"&gt;"&amp;date_inventaire)</f>
        <v>0</v>
      </c>
      <c r="AQ109" s="341">
        <f ca="1">SUMIFS(bddres_c_qte,bddres_c_prod_type_aff,'SUIVI STOCKS PAR PAYSAN'!H109,'BDD RESERVATIONS'!$B:$B,"&gt;"&amp;date_inventaire)</f>
        <v>0</v>
      </c>
      <c r="AR109" s="342">
        <f ca="1">SUMIFS(bddres_pieces,es_prod_type_affinage,'SUIVI STOCKS PAR PAYSAN'!$H109,es_date_entree,"&gt;"&amp;date_inventaire,es_taille,'SUIVI STOCKS PAR PAYSAN'!$AR$7)-SUMIFS(v_Pièces,v_Taille,'SUIVI STOCKS PAR PAYSAN'!$AR$7,v_conc_prod_tye_affinage,'SUIVI STOCKS PAR PAYSAN'!$H109,v_Date_commande,"&gt;"&amp;date_inventaire)</f>
        <v>0</v>
      </c>
      <c r="AS109" s="326">
        <f ca="1">SUMIFS(bddres_pieces,'BDD RESERVATIONS'!$G:$G,'SUIVI STOCKS PAR PAYSAN'!AR104,bddres_c_prod_type_aff,'SUIVI STOCKS PAR PAYSAN'!$H109,'BDD RESERVATIONS'!$B:$B,"&gt;"&amp;date_inventaire)</f>
        <v>0</v>
      </c>
      <c r="AT109" s="343">
        <f ca="1">SUMIFS(es_pieces,es_prod_type_affinage,'SUIVI STOCKS PAR PAYSAN'!$H109,es_date_entree,"&gt;"&amp;date_inventaire,es_taille,'SUIVI STOCKS PAR PAYSAN'!$AT$7)-SUMIFS(v_Pièces,v_Taille,'SUIVI STOCKS PAR PAYSAN'!$AT$7,v_conc_prod_tye_affinage,'SUIVI STOCKS PAR PAYSAN'!$H109,v_Date_commande,"&gt;"&amp;date_inventaire)</f>
        <v>0</v>
      </c>
      <c r="AU109" s="353">
        <f ca="1">SUMIFS(bddres_pieces,'BDD RESERVATIONS'!$G:$G,'SUIVI STOCKS PAR PAYSAN'!$AT$7,bddres_c_prod_type_aff,'SUIVI STOCKS PAR PAYSAN'!$H109,'BDD RESERVATIONS'!$B:$B,"&gt;"&amp;date_inventaire)</f>
        <v>0</v>
      </c>
      <c r="AV109" s="313">
        <f ca="1">SUMIFS(es_poids,es_prod_type_affinage,'SUIVI STOCKS PAR PAYSAN'!$I109,es_date_entree,"&gt;"&amp;date_inventaire)-SUMIFS(v_Poids,v_conc_prod_tye_affinage,'SUIVI STOCKS PAR PAYSAN'!$E109,v_Date_commande,"&gt;"&amp;date_inventaire)</f>
        <v>0</v>
      </c>
      <c r="AW109" s="313">
        <f ca="1">SUMIFS(bddres_c_qte,bddres_c_prod_type_aff,'SUIVI STOCKS PAR PAYSAN'!I109,'BDD RESERVATIONS'!$B:$B,"&gt;"&amp;date_inventaire)</f>
        <v>0</v>
      </c>
      <c r="AX109" s="342">
        <f ca="1">SUMIFS(bddres_pieces,es_prod_type_affinage,'SUIVI STOCKS PAR PAYSAN'!$I109,es_date_entree,"&gt;"&amp;date_inventaire,es_taille,'SUIVI STOCKS PAR PAYSAN'!$AX$7)-SUMIFS(v_Pièces,v_Taille,'SUIVI STOCKS PAR PAYSAN'!$AX$7,v_conc_prod_tye_affinage,'SUIVI STOCKS PAR PAYSAN'!$I109,v_Date_commande,"&gt;"&amp;date_inventaire)</f>
        <v>0</v>
      </c>
      <c r="AY109" s="342">
        <f ca="1">SUMIFS(bddres_pieces,'BDD RESERVATIONS'!$G:$G,'SUIVI STOCKS PAR PAYSAN'!$AX$7,bddres_c_prod_type_aff,'SUIVI STOCKS PAR PAYSAN'!$I109,'BDD RESERVATIONS'!$B:$B,"&gt;"&amp;date_inventaire)</f>
        <v>0</v>
      </c>
      <c r="AZ109" s="343">
        <f ca="1">SUMIFS(es_pieces,es_prod_type_affinage,'SUIVI STOCKS PAR PAYSAN'!$I109,es_date_entree,"&gt;"&amp;date_inventaire,es_taille,'SUIVI STOCKS PAR PAYSAN'!$AZ$7)-SUMIFS(v_Pièces,v_Taille,'SUIVI STOCKS PAR PAYSAN'!$AZ$7,v_conc_prod_tye_affinage,'SUIVI STOCKS PAR PAYSAN'!$I109,v_Date_commande,"&gt;"&amp;date_inventaire)</f>
        <v>0</v>
      </c>
      <c r="BA109" s="353">
        <f ca="1">SUMIFS(bddres_pieces,'BDD RESERVATIONS'!$G:$G,'SUIVI STOCKS PAR PAYSAN'!$AZ$7,bddres_c_prod_type_aff,'SUIVI STOCKS PAR PAYSAN'!$I109,'BDD RESERVATIONS'!$B:$B,"&gt;"&amp;date_inventaire)</f>
        <v>0</v>
      </c>
      <c r="BB109" s="313">
        <f ca="1">SUMIFS(es_poids,es_prod_type_affinage,'SUIVI STOCKS PAR PAYSAN'!$J109,es_date_entree,"&gt;"&amp;date_inventaire)-SUMIFS(v_Poids,v_conc_prod_tye_affinage,'SUIVI STOCKS PAR PAYSAN'!$J109,v_Date_commande,"&gt;"&amp;date_inventaire)</f>
        <v>0</v>
      </c>
      <c r="BC109" s="313">
        <f ca="1">SUMIFS(bddres_c_qte,bddres_c_prod_type_aff,'SUIVI STOCKS PAR PAYSAN'!J109,'BDD RESERVATIONS'!$B:$B,"&gt;"&amp;date_inventaire)</f>
        <v>0</v>
      </c>
      <c r="BD109" s="342">
        <f ca="1">SUMIFS(bddres_pieces,es_prod_type_affinage,'SUIVI STOCKS PAR PAYSAN'!$J109,es_date_entree,"&gt;"&amp;date_inventaire,es_taille,'SUIVI STOCKS PAR PAYSAN'!$BD$7)-SUMIFS(v_Pièces,v_Taille,'SUIVI STOCKS PAR PAYSAN'!$BD$7,v_conc_prod_tye_affinage,'SUIVI STOCKS PAR PAYSAN'!$J109,v_Date_commande,"&gt;"&amp;date_inventaire)</f>
        <v>0</v>
      </c>
      <c r="BE109" s="326">
        <f ca="1">SUMIFS(bddres_pieces,'BDD RESERVATIONS'!$G:$G,'SUIVI STOCKS PAR PAYSAN'!BD104,bddres_c_prod_type_aff,'SUIVI STOCKS PAR PAYSAN'!J109,'BDD RESERVATIONS'!$B:$B,"&gt;"&amp;date_inventaire)</f>
        <v>0</v>
      </c>
      <c r="BF109" s="343">
        <f ca="1">SUMIFS(es_pieces,es_prod_type_affinage,'SUIVI STOCKS PAR PAYSAN'!J109,es_date_entree,"&gt;"&amp;date_inventaire,es_taille,'SUIVI STOCKS PAR PAYSAN'!$BF$7)-SUMIFS(v_Pièces,v_Taille,'SUIVI STOCKS PAR PAYSAN'!$BF$7,v_conc_prod_tye_affinage,'SUIVI STOCKS PAR PAYSAN'!J109,v_Date_commande,"&gt;"&amp;date_inventaire)</f>
        <v>0</v>
      </c>
      <c r="BG109" s="353">
        <f ca="1">SUMIFS(bddres_pieces,'BDD RESERVATIONS'!$G:$G,'SUIVI STOCKS PAR PAYSAN'!$BF$7,bddres_c_prod_type_aff,'SUIVI STOCKS PAR PAYSAN'!J109,'BDD RESERVATIONS'!$B:$B,"&gt;"&amp;date_inventaire)</f>
        <v>0</v>
      </c>
    </row>
    <row r="110" spans="1:59" ht="18.75" customHeight="1" x14ac:dyDescent="0.25">
      <c r="A110" s="331">
        <f ca="1">OFFSET('BDD PAYSANS'!$B$1,B110,0,1,1)</f>
        <v>0</v>
      </c>
      <c r="B110" s="325">
        <v>99</v>
      </c>
      <c r="C110" s="325" t="str">
        <f t="shared" ca="1" si="4"/>
        <v>0FERMIER&lt;3 mois</v>
      </c>
      <c r="D110" s="325" t="str">
        <f t="shared" ca="1" si="4"/>
        <v>0FERMIER3-6 mois</v>
      </c>
      <c r="E110" s="325" t="str">
        <f t="shared" ca="1" si="4"/>
        <v>0FERMIER6-9 mois</v>
      </c>
      <c r="F110" s="325" t="str">
        <f t="shared" ca="1" si="4"/>
        <v>0FERMIER&gt;9 mois</v>
      </c>
      <c r="G110" s="325" t="str">
        <f t="shared" ca="1" si="4"/>
        <v>0ESTIVE&lt;3 mois</v>
      </c>
      <c r="H110" s="325" t="str">
        <f t="shared" ca="1" si="4"/>
        <v>0ESTIVE3-6 mois</v>
      </c>
      <c r="I110" s="325" t="str">
        <f t="shared" ca="1" si="4"/>
        <v>0ESTIVE6-9 mois</v>
      </c>
      <c r="J110" s="325" t="str">
        <f t="shared" ca="1" si="4"/>
        <v>0ESTIVE&gt;9 mois</v>
      </c>
      <c r="K110" s="325"/>
      <c r="L110" s="352">
        <f ca="1">SUMIFS(es_poids,es_prod_type_affinage,'SUIVI STOCKS PAR PAYSAN'!$C110,es_date_entree,"&gt;"&amp;date_inventaire)-SUMIFS(v_Poids,v_conc_prod_tye_affinage,'SUIVI STOCKS PAR PAYSAN'!$C110,v_Date_commande,"&gt;"&amp;date_inventaire)</f>
        <v>0</v>
      </c>
      <c r="M110" s="341">
        <f ca="1">SUMIFS(bddres_c_qte,bddres_c_prod_type_aff,'SUIVI STOCKS PAR PAYSAN'!C110,'BDD RESERVATIONS'!$B:$B,"&gt;"&amp;date_inventaire)</f>
        <v>0</v>
      </c>
      <c r="N110" s="342">
        <f ca="1">SUMIFS(bddres_pieces,es_prod_type_affinage,'SUIVI STOCKS PAR PAYSAN'!$C110,es_date_entree,"&gt;"&amp;date_inventaire,es_taille,'SUIVI STOCKS PAR PAYSAN'!$N$7)-SUMIFS(v_Pièces,v_Taille,'SUIVI STOCKS PAR PAYSAN'!$N$7,v_conc_prod_tye_affinage,'SUIVI STOCKS PAR PAYSAN'!$C110,v_Date_commande,"&gt;"&amp;date_inventaire)</f>
        <v>0</v>
      </c>
      <c r="O110" s="342">
        <f ca="1">SUMIFS(bddres_pieces,'BDD RESERVATIONS'!$G:$G,'SUIVI STOCKS PAR PAYSAN'!$N$7,bddres_c_prod_type_aff,'SUIVI STOCKS PAR PAYSAN'!$C110,'BDD RESERVATIONS'!$B:$B,"&gt;"&amp;date_inventaire)</f>
        <v>0</v>
      </c>
      <c r="P110" s="343">
        <f ca="1">SUMIFS(es_pieces,es_prod_type_affinage,'SUIVI STOCKS PAR PAYSAN'!$C110,es_date_entree,"&gt;"&amp;date_inventaire,es_taille,'SUIVI STOCKS PAR PAYSAN'!$P$7)-SUMIFS(v_Pièces,v_Taille,'SUIVI STOCKS PAR PAYSAN'!$P$7,v_conc_prod_tye_affinage,'SUIVI STOCKS PAR PAYSAN'!$C110,v_Date_commande,"&gt;"&amp;date_inventaire)</f>
        <v>0</v>
      </c>
      <c r="Q110" s="353">
        <f ca="1">SUMIFS(bddres_pieces,'BDD RESERVATIONS'!$G:$G,'SUIVI STOCKS PAR PAYSAN'!$P$7,bddres_c_prod_type_aff,'SUIVI STOCKS PAR PAYSAN'!$C110,'BDD RESERVATIONS'!$B:$B,"&gt;"&amp;date_inventaire)</f>
        <v>0</v>
      </c>
      <c r="R110" s="340">
        <f ca="1">SUMIFS(es_poids,es_prod_type_affinage,'SUIVI STOCKS PAR PAYSAN'!$D110,es_date_entree,"&gt;"&amp;date_inventaire)-SUMIFS(v_Poids,v_conc_prod_tye_affinage,'SUIVI STOCKS PAR PAYSAN'!$D110,v_Date_commande,"&gt;"&amp;date_inventaire)</f>
        <v>0</v>
      </c>
      <c r="S110" s="341">
        <f ca="1">SUMIFS(bddres_c_qte,bddres_c_prod_type_aff,'SUIVI STOCKS PAR PAYSAN'!D110,'BDD RESERVATIONS'!$B:$B,"&gt;"&amp;date_inventaire)</f>
        <v>0</v>
      </c>
      <c r="T110" s="342">
        <f ca="1">SUMIFS(bddres_pieces,es_prod_type_affinage,'SUIVI STOCKS PAR PAYSAN'!$D110,es_date_entree,"&gt;"&amp;date_inventaire,es_taille,'SUIVI STOCKS PAR PAYSAN'!$T$7)-SUMIFS(v_Pièces,v_Taille,'SUIVI STOCKS PAR PAYSAN'!$T$7,v_conc_prod_tye_affinage,'SUIVI STOCKS PAR PAYSAN'!$D110,v_Date_commande,"&gt;"&amp;date_inventaire)</f>
        <v>0</v>
      </c>
      <c r="U110" s="342">
        <f ca="1">SUMIFS(bddres_pieces,'BDD RESERVATIONS'!$G:$G,'SUIVI STOCKS PAR PAYSAN'!$T$7,bddres_c_prod_type_aff,'SUIVI STOCKS PAR PAYSAN'!$D110,'BDD RESERVATIONS'!$B:$B,"&gt;"&amp;date_inventaire)</f>
        <v>0</v>
      </c>
      <c r="V110" s="343">
        <f ca="1">SUMIFS(es_pieces,es_prod_type_affinage,'SUIVI STOCKS PAR PAYSAN'!$D110,es_date_entree,"&gt;"&amp;date_inventaire,es_taille,'SUIVI STOCKS PAR PAYSAN'!$V$7)-SUMIFS(v_Pièces,v_Taille,'SUIVI STOCKS PAR PAYSAN'!$V$7,v_conc_prod_tye_affinage,'SUIVI STOCKS PAR PAYSAN'!$D110,v_Date_commande,"&gt;"&amp;date_inventaire)</f>
        <v>0</v>
      </c>
      <c r="W110" s="353">
        <f ca="1">SUMIFS(bddres_pieces,'BDD RESERVATIONS'!$G:$G,'SUIVI STOCKS PAR PAYSAN'!$V$7,bddres_c_prod_type_aff,'SUIVI STOCKS PAR PAYSAN'!$D110,'BDD RESERVATIONS'!$B:$B,"&gt;"&amp;date_inventaire)</f>
        <v>0</v>
      </c>
      <c r="X110" s="313">
        <f ca="1">SUMIFS(es_poids,es_prod_type_affinage,'SUIVI STOCKS PAR PAYSAN'!$E110,es_date_entree,"&gt;"&amp;date_inventaire)-SUMIFS(v_Poids,v_conc_prod_tye_affinage,'SUIVI STOCKS PAR PAYSAN'!$E110,v_Date_commande,"&gt;"&amp;date_inventaire)</f>
        <v>0</v>
      </c>
      <c r="Y110" s="341">
        <f ca="1">SUMIFS(bddres_c_qte,bddres_c_prod_type_aff,'SUIVI STOCKS PAR PAYSAN'!E110,'BDD RESERVATIONS'!$B:$B,"&gt;"&amp;date_inventaire)</f>
        <v>0</v>
      </c>
      <c r="Z110" s="342">
        <f ca="1">SUMIFS(bddres_pieces,es_prod_type_affinage,'SUIVI STOCKS PAR PAYSAN'!$E110,es_date_entree,"&gt;"&amp;date_inventaire,es_taille,'SUIVI STOCKS PAR PAYSAN'!$Z$7)-SUMIFS(v_Pièces,v_Taille,'SUIVI STOCKS PAR PAYSAN'!$Z$7,v_conc_prod_tye_affinage,'SUIVI STOCKS PAR PAYSAN'!$E110,v_Date_commande,"&gt;"&amp;date_inventaire)</f>
        <v>0</v>
      </c>
      <c r="AA110" s="342">
        <f ca="1">SUMIFS(bddres_pieces,'BDD RESERVATIONS'!$G:$G,'SUIVI STOCKS PAR PAYSAN'!$Z$7,bddres_c_prod_type_aff,'SUIVI STOCKS PAR PAYSAN'!$E110,'BDD RESERVATIONS'!$B:$B,"&gt;"&amp;date_inventaire)</f>
        <v>0</v>
      </c>
      <c r="AB110" s="343">
        <f ca="1">SUMIFS(es_pieces,es_prod_type_affinage,'SUIVI STOCKS PAR PAYSAN'!$E110,es_date_entree,"&gt;"&amp;date_inventaire,es_taille,'SUIVI STOCKS PAR PAYSAN'!$AB$7)-SUMIFS(v_Pièces,v_Taille,'SUIVI STOCKS PAR PAYSAN'!$AB$7,v_conc_prod_tye_affinage,'SUIVI STOCKS PAR PAYSAN'!$E110,v_Date_commande,"&gt;"&amp;date_inventaire)</f>
        <v>0</v>
      </c>
      <c r="AC110" s="353">
        <f ca="1">SUMIFS(bddres_pieces,'BDD RESERVATIONS'!$G:$G,'SUIVI STOCKS PAR PAYSAN'!$AB$7,bddres_c_prod_type_aff,'SUIVI STOCKS PAR PAYSAN'!$E110,'BDD RESERVATIONS'!$B:$B,"&gt;"&amp;date_inventaire)</f>
        <v>0</v>
      </c>
      <c r="AD110" s="313">
        <f ca="1">SUMIFS(es_poids,es_prod_type_affinage,'SUIVI STOCKS PAR PAYSAN'!$F110,es_date_entree,"&gt;"&amp;date_inventaire)-SUMIFS(v_Poids,v_conc_prod_tye_affinage,'SUIVI STOCKS PAR PAYSAN'!$F110,v_Date_commande,"&gt;"&amp;date_inventaire)</f>
        <v>0</v>
      </c>
      <c r="AE110" s="341">
        <f ca="1">SUMIFS(bddres_c_qte,bddres_c_prod_type_aff,'SUIVI STOCKS PAR PAYSAN'!F110,'BDD RESERVATIONS'!$B:$B,"&gt;"&amp;date_inventaire)</f>
        <v>0</v>
      </c>
      <c r="AF110" s="342">
        <f ca="1">SUMIFS(bddres_pieces,es_prod_type_affinage,'SUIVI STOCKS PAR PAYSAN'!$F110,es_date_entree,"&gt;"&amp;date_inventaire,es_taille,'SUIVI STOCKS PAR PAYSAN'!$Z$7)-SUMIFS(v_Pièces,v_Taille,'SUIVI STOCKS PAR PAYSAN'!$Z$7,v_conc_prod_tye_affinage,'SUIVI STOCKS PAR PAYSAN'!$F110,v_Date_commande,"&gt;"&amp;date_inventaire)</f>
        <v>0</v>
      </c>
      <c r="AG110" s="342">
        <f ca="1">SUMIFS(bddres_pieces,'BDD RESERVATIONS'!$G:$G,'SUIVI STOCKS PAR PAYSAN'!$Z$7,bddres_c_prod_type_aff,'SUIVI STOCKS PAR PAYSAN'!$F110,'BDD RESERVATIONS'!$B:$B,"&gt;"&amp;date_inventaire)</f>
        <v>0</v>
      </c>
      <c r="AH110" s="343">
        <f ca="1">SUMIFS(es_pieces,es_prod_type_affinage,'SUIVI STOCKS PAR PAYSAN'!$F110,es_date_entree,"&gt;"&amp;date_inventaire,es_taille,'SUIVI STOCKS PAR PAYSAN'!$AH$7)-SUMIFS(v_Pièces,v_Taille,'SUIVI STOCKS PAR PAYSAN'!$AH$7,v_conc_prod_tye_affinage,'SUIVI STOCKS PAR PAYSAN'!$F110,v_Date_commande,"&gt;"&amp;date_inventaire)</f>
        <v>0</v>
      </c>
      <c r="AI110" s="353">
        <f ca="1">SUMIFS(bddres_pieces,'BDD RESERVATIONS'!$G:$G,'SUIVI STOCKS PAR PAYSAN'!$AB$7,bddres_c_prod_type_aff,'SUIVI STOCKS PAR PAYSAN'!$F110,'BDD RESERVATIONS'!$B:$B,"&gt;"&amp;date_inventaire)</f>
        <v>0</v>
      </c>
      <c r="AJ110" s="352">
        <f ca="1">SUMIFS(es_poids,es_prod_type_affinage,'SUIVI STOCKS PAR PAYSAN'!$G110,es_date_entree,"&gt;"&amp;date_inventaire)-SUMIFS(v_Poids,v_conc_prod_tye_affinage,'SUIVI STOCKS PAR PAYSAN'!$G110,v_Date_commande,"&gt;"&amp;date_inventaire)</f>
        <v>0</v>
      </c>
      <c r="AK110" s="341">
        <f ca="1">SUMIFS(bddres_c_qte,bddres_c_prod_type_aff,'SUIVI STOCKS PAR PAYSAN'!G110,'BDD RESERVATIONS'!$B:$B,"&gt;"&amp;date_inventaire)</f>
        <v>0</v>
      </c>
      <c r="AL110" s="342">
        <f ca="1">SUMIFS(bddres_pieces,es_prod_type_affinage,'SUIVI STOCKS PAR PAYSAN'!$G110,es_date_entree,"&gt;"&amp;date_inventaire,es_taille,'SUIVI STOCKS PAR PAYSAN'!$AL$7)-SUMIFS(v_Pièces,v_Taille,'SUIVI STOCKS PAR PAYSAN'!$AL$7,v_conc_prod_tye_affinage,'SUIVI STOCKS PAR PAYSAN'!$G110,v_Date_commande,"&gt;"&amp;date_inventaire)</f>
        <v>0</v>
      </c>
      <c r="AM110" s="342">
        <f ca="1">SUMIFS(bddres_pieces,'BDD RESERVATIONS'!$G:$G,'SUIVI STOCKS PAR PAYSAN'!$AL$7,bddres_c_prod_type_aff,'SUIVI STOCKS PAR PAYSAN'!$G110,'BDD RESERVATIONS'!$B:$B,"&gt;"&amp;date_inventaire)</f>
        <v>0</v>
      </c>
      <c r="AN110" s="343">
        <f ca="1">SUMIFS(es_pieces,es_prod_type_affinage,'SUIVI STOCKS PAR PAYSAN'!$G110,es_date_entree,"&gt;"&amp;date_inventaire,es_taille,'SUIVI STOCKS PAR PAYSAN'!$AN$7)-SUMIFS(v_Pièces,v_Taille,'SUIVI STOCKS PAR PAYSAN'!$AN$7,v_conc_prod_tye_affinage,'SUIVI STOCKS PAR PAYSAN'!$G110,v_Date_commande,"&gt;"&amp;date_inventaire)</f>
        <v>0</v>
      </c>
      <c r="AO110" s="353">
        <f ca="1">SUMIFS(bddres_pieces,'BDD RESERVATIONS'!$G:$G,'SUIVI STOCKS PAR PAYSAN'!$AN$7,bddres_c_prod_type_aff,'SUIVI STOCKS PAR PAYSAN'!$G110,'BDD RESERVATIONS'!$B:$B,"&gt;"&amp;date_inventaire)</f>
        <v>0</v>
      </c>
      <c r="AP110" s="313">
        <f ca="1">SUMIFS(es_poids,es_prod_type_affinage,'SUIVI STOCKS PAR PAYSAN'!$H110,es_date_entree,"&gt;"&amp;date_inventaire)-SUMIFS(v_Poids,v_conc_prod_tye_affinage,'SUIVI STOCKS PAR PAYSAN'!$H110,v_Date_commande,"&gt;"&amp;date_inventaire)</f>
        <v>0</v>
      </c>
      <c r="AQ110" s="341">
        <f ca="1">SUMIFS(bddres_c_qte,bddres_c_prod_type_aff,'SUIVI STOCKS PAR PAYSAN'!H110,'BDD RESERVATIONS'!$B:$B,"&gt;"&amp;date_inventaire)</f>
        <v>0</v>
      </c>
      <c r="AR110" s="342">
        <f ca="1">SUMIFS(bddres_pieces,es_prod_type_affinage,'SUIVI STOCKS PAR PAYSAN'!$H110,es_date_entree,"&gt;"&amp;date_inventaire,es_taille,'SUIVI STOCKS PAR PAYSAN'!$AR$7)-SUMIFS(v_Pièces,v_Taille,'SUIVI STOCKS PAR PAYSAN'!$AR$7,v_conc_prod_tye_affinage,'SUIVI STOCKS PAR PAYSAN'!$H110,v_Date_commande,"&gt;"&amp;date_inventaire)</f>
        <v>0</v>
      </c>
      <c r="AS110" s="326">
        <f ca="1">SUMIFS(bddres_pieces,'BDD RESERVATIONS'!$G:$G,'SUIVI STOCKS PAR PAYSAN'!AR105,bddres_c_prod_type_aff,'SUIVI STOCKS PAR PAYSAN'!$H110,'BDD RESERVATIONS'!$B:$B,"&gt;"&amp;date_inventaire)</f>
        <v>0</v>
      </c>
      <c r="AT110" s="343">
        <f ca="1">SUMIFS(es_pieces,es_prod_type_affinage,'SUIVI STOCKS PAR PAYSAN'!$H110,es_date_entree,"&gt;"&amp;date_inventaire,es_taille,'SUIVI STOCKS PAR PAYSAN'!$AT$7)-SUMIFS(v_Pièces,v_Taille,'SUIVI STOCKS PAR PAYSAN'!$AT$7,v_conc_prod_tye_affinage,'SUIVI STOCKS PAR PAYSAN'!$H110,v_Date_commande,"&gt;"&amp;date_inventaire)</f>
        <v>0</v>
      </c>
      <c r="AU110" s="353">
        <f ca="1">SUMIFS(bddres_pieces,'BDD RESERVATIONS'!$G:$G,'SUIVI STOCKS PAR PAYSAN'!$AT$7,bddres_c_prod_type_aff,'SUIVI STOCKS PAR PAYSAN'!$H110,'BDD RESERVATIONS'!$B:$B,"&gt;"&amp;date_inventaire)</f>
        <v>0</v>
      </c>
      <c r="AV110" s="313">
        <f ca="1">SUMIFS(es_poids,es_prod_type_affinage,'SUIVI STOCKS PAR PAYSAN'!$I110,es_date_entree,"&gt;"&amp;date_inventaire)-SUMIFS(v_Poids,v_conc_prod_tye_affinage,'SUIVI STOCKS PAR PAYSAN'!$E110,v_Date_commande,"&gt;"&amp;date_inventaire)</f>
        <v>0</v>
      </c>
      <c r="AW110" s="313">
        <f ca="1">SUMIFS(bddres_c_qte,bddres_c_prod_type_aff,'SUIVI STOCKS PAR PAYSAN'!I110,'BDD RESERVATIONS'!$B:$B,"&gt;"&amp;date_inventaire)</f>
        <v>0</v>
      </c>
      <c r="AX110" s="342">
        <f ca="1">SUMIFS(bddres_pieces,es_prod_type_affinage,'SUIVI STOCKS PAR PAYSAN'!$I110,es_date_entree,"&gt;"&amp;date_inventaire,es_taille,'SUIVI STOCKS PAR PAYSAN'!$AX$7)-SUMIFS(v_Pièces,v_Taille,'SUIVI STOCKS PAR PAYSAN'!$AX$7,v_conc_prod_tye_affinage,'SUIVI STOCKS PAR PAYSAN'!$I110,v_Date_commande,"&gt;"&amp;date_inventaire)</f>
        <v>0</v>
      </c>
      <c r="AY110" s="342">
        <f ca="1">SUMIFS(bddres_pieces,'BDD RESERVATIONS'!$G:$G,'SUIVI STOCKS PAR PAYSAN'!$AX$7,bddres_c_prod_type_aff,'SUIVI STOCKS PAR PAYSAN'!$I110,'BDD RESERVATIONS'!$B:$B,"&gt;"&amp;date_inventaire)</f>
        <v>0</v>
      </c>
      <c r="AZ110" s="343">
        <f ca="1">SUMIFS(es_pieces,es_prod_type_affinage,'SUIVI STOCKS PAR PAYSAN'!$I110,es_date_entree,"&gt;"&amp;date_inventaire,es_taille,'SUIVI STOCKS PAR PAYSAN'!$AZ$7)-SUMIFS(v_Pièces,v_Taille,'SUIVI STOCKS PAR PAYSAN'!$AZ$7,v_conc_prod_tye_affinage,'SUIVI STOCKS PAR PAYSAN'!$I110,v_Date_commande,"&gt;"&amp;date_inventaire)</f>
        <v>0</v>
      </c>
      <c r="BA110" s="353">
        <f ca="1">SUMIFS(bddres_pieces,'BDD RESERVATIONS'!$G:$G,'SUIVI STOCKS PAR PAYSAN'!$AZ$7,bddres_c_prod_type_aff,'SUIVI STOCKS PAR PAYSAN'!$I110,'BDD RESERVATIONS'!$B:$B,"&gt;"&amp;date_inventaire)</f>
        <v>0</v>
      </c>
      <c r="BB110" s="313">
        <f ca="1">SUMIFS(es_poids,es_prod_type_affinage,'SUIVI STOCKS PAR PAYSAN'!$J110,es_date_entree,"&gt;"&amp;date_inventaire)-SUMIFS(v_Poids,v_conc_prod_tye_affinage,'SUIVI STOCKS PAR PAYSAN'!$J110,v_Date_commande,"&gt;"&amp;date_inventaire)</f>
        <v>0</v>
      </c>
      <c r="BC110" s="313">
        <f ca="1">SUMIFS(bddres_c_qte,bddres_c_prod_type_aff,'SUIVI STOCKS PAR PAYSAN'!J110,'BDD RESERVATIONS'!$B:$B,"&gt;"&amp;date_inventaire)</f>
        <v>0</v>
      </c>
      <c r="BD110" s="342">
        <f ca="1">SUMIFS(bddres_pieces,es_prod_type_affinage,'SUIVI STOCKS PAR PAYSAN'!$J110,es_date_entree,"&gt;"&amp;date_inventaire,es_taille,'SUIVI STOCKS PAR PAYSAN'!$BD$7)-SUMIFS(v_Pièces,v_Taille,'SUIVI STOCKS PAR PAYSAN'!$BD$7,v_conc_prod_tye_affinage,'SUIVI STOCKS PAR PAYSAN'!$J110,v_Date_commande,"&gt;"&amp;date_inventaire)</f>
        <v>0</v>
      </c>
      <c r="BE110" s="326">
        <f ca="1">SUMIFS(bddres_pieces,'BDD RESERVATIONS'!$G:$G,'SUIVI STOCKS PAR PAYSAN'!BD105,bddres_c_prod_type_aff,'SUIVI STOCKS PAR PAYSAN'!J110,'BDD RESERVATIONS'!$B:$B,"&gt;"&amp;date_inventaire)</f>
        <v>0</v>
      </c>
      <c r="BF110" s="343">
        <f ca="1">SUMIFS(es_pieces,es_prod_type_affinage,'SUIVI STOCKS PAR PAYSAN'!J110,es_date_entree,"&gt;"&amp;date_inventaire,es_taille,'SUIVI STOCKS PAR PAYSAN'!$BF$7)-SUMIFS(v_Pièces,v_Taille,'SUIVI STOCKS PAR PAYSAN'!$BF$7,v_conc_prod_tye_affinage,'SUIVI STOCKS PAR PAYSAN'!J110,v_Date_commande,"&gt;"&amp;date_inventaire)</f>
        <v>0</v>
      </c>
      <c r="BG110" s="353">
        <f ca="1">SUMIFS(bddres_pieces,'BDD RESERVATIONS'!$G:$G,'SUIVI STOCKS PAR PAYSAN'!$BF$7,bddres_c_prod_type_aff,'SUIVI STOCKS PAR PAYSAN'!J110,'BDD RESERVATIONS'!$B:$B,"&gt;"&amp;date_inventaire)</f>
        <v>0</v>
      </c>
    </row>
    <row r="111" spans="1:59" ht="18.75" customHeight="1" x14ac:dyDescent="0.25">
      <c r="A111" s="331">
        <f ca="1">OFFSET('BDD PAYSANS'!$B$1,B111,0,1,1)</f>
        <v>0</v>
      </c>
      <c r="B111" s="325">
        <v>100</v>
      </c>
      <c r="C111" s="325" t="str">
        <f t="shared" ca="1" si="4"/>
        <v>0FERMIER&lt;3 mois</v>
      </c>
      <c r="D111" s="325" t="str">
        <f t="shared" ca="1" si="4"/>
        <v>0FERMIER3-6 mois</v>
      </c>
      <c r="E111" s="325" t="str">
        <f t="shared" ca="1" si="4"/>
        <v>0FERMIER6-9 mois</v>
      </c>
      <c r="F111" s="325" t="str">
        <f t="shared" ca="1" si="4"/>
        <v>0FERMIER&gt;9 mois</v>
      </c>
      <c r="G111" s="325" t="str">
        <f t="shared" ca="1" si="4"/>
        <v>0ESTIVE&lt;3 mois</v>
      </c>
      <c r="H111" s="325" t="str">
        <f t="shared" ca="1" si="4"/>
        <v>0ESTIVE3-6 mois</v>
      </c>
      <c r="I111" s="325" t="str">
        <f t="shared" ca="1" si="4"/>
        <v>0ESTIVE6-9 mois</v>
      </c>
      <c r="J111" s="325" t="str">
        <f t="shared" ca="1" si="4"/>
        <v>0ESTIVE&gt;9 mois</v>
      </c>
      <c r="K111" s="325"/>
      <c r="L111" s="352">
        <f ca="1">SUMIFS(es_poids,es_prod_type_affinage,'SUIVI STOCKS PAR PAYSAN'!$C111,es_date_entree,"&gt;"&amp;date_inventaire)-SUMIFS(v_Poids,v_conc_prod_tye_affinage,'SUIVI STOCKS PAR PAYSAN'!$C111,v_Date_commande,"&gt;"&amp;date_inventaire)</f>
        <v>0</v>
      </c>
      <c r="M111" s="341">
        <f ca="1">SUMIFS(bddres_c_qte,bddres_c_prod_type_aff,'SUIVI STOCKS PAR PAYSAN'!C111,'BDD RESERVATIONS'!$B:$B,"&gt;"&amp;date_inventaire)</f>
        <v>0</v>
      </c>
      <c r="N111" s="342">
        <f ca="1">SUMIFS(bddres_pieces,es_prod_type_affinage,'SUIVI STOCKS PAR PAYSAN'!$C111,es_date_entree,"&gt;"&amp;date_inventaire,es_taille,'SUIVI STOCKS PAR PAYSAN'!$N$7)-SUMIFS(v_Pièces,v_Taille,'SUIVI STOCKS PAR PAYSAN'!$N$7,v_conc_prod_tye_affinage,'SUIVI STOCKS PAR PAYSAN'!$C111,v_Date_commande,"&gt;"&amp;date_inventaire)</f>
        <v>0</v>
      </c>
      <c r="O111" s="342">
        <f ca="1">SUMIFS(bddres_pieces,'BDD RESERVATIONS'!$G:$G,'SUIVI STOCKS PAR PAYSAN'!$N$7,bddres_c_prod_type_aff,'SUIVI STOCKS PAR PAYSAN'!$C111,'BDD RESERVATIONS'!$B:$B,"&gt;"&amp;date_inventaire)</f>
        <v>0</v>
      </c>
      <c r="P111" s="343">
        <f ca="1">SUMIFS(es_pieces,es_prod_type_affinage,'SUIVI STOCKS PAR PAYSAN'!$C111,es_date_entree,"&gt;"&amp;date_inventaire,es_taille,'SUIVI STOCKS PAR PAYSAN'!$P$7)-SUMIFS(v_Pièces,v_Taille,'SUIVI STOCKS PAR PAYSAN'!$P$7,v_conc_prod_tye_affinage,'SUIVI STOCKS PAR PAYSAN'!$C111,v_Date_commande,"&gt;"&amp;date_inventaire)</f>
        <v>0</v>
      </c>
      <c r="Q111" s="353">
        <f ca="1">SUMIFS(bddres_pieces,'BDD RESERVATIONS'!$G:$G,'SUIVI STOCKS PAR PAYSAN'!$P$7,bddres_c_prod_type_aff,'SUIVI STOCKS PAR PAYSAN'!$C111,'BDD RESERVATIONS'!$B:$B,"&gt;"&amp;date_inventaire)</f>
        <v>0</v>
      </c>
      <c r="R111" s="340">
        <f ca="1">SUMIFS(es_poids,es_prod_type_affinage,'SUIVI STOCKS PAR PAYSAN'!$D111,es_date_entree,"&gt;"&amp;date_inventaire)-SUMIFS(v_Poids,v_conc_prod_tye_affinage,'SUIVI STOCKS PAR PAYSAN'!$D111,v_Date_commande,"&gt;"&amp;date_inventaire)</f>
        <v>0</v>
      </c>
      <c r="S111" s="341">
        <f ca="1">SUMIFS(bddres_c_qte,bddres_c_prod_type_aff,'SUIVI STOCKS PAR PAYSAN'!D111,'BDD RESERVATIONS'!$B:$B,"&gt;"&amp;date_inventaire)</f>
        <v>0</v>
      </c>
      <c r="T111" s="342">
        <f ca="1">SUMIFS(bddres_pieces,es_prod_type_affinage,'SUIVI STOCKS PAR PAYSAN'!$D111,es_date_entree,"&gt;"&amp;date_inventaire,es_taille,'SUIVI STOCKS PAR PAYSAN'!$T$7)-SUMIFS(v_Pièces,v_Taille,'SUIVI STOCKS PAR PAYSAN'!$T$7,v_conc_prod_tye_affinage,'SUIVI STOCKS PAR PAYSAN'!$D111,v_Date_commande,"&gt;"&amp;date_inventaire)</f>
        <v>0</v>
      </c>
      <c r="U111" s="342">
        <f ca="1">SUMIFS(bddres_pieces,'BDD RESERVATIONS'!$G:$G,'SUIVI STOCKS PAR PAYSAN'!$T$7,bddres_c_prod_type_aff,'SUIVI STOCKS PAR PAYSAN'!$D111,'BDD RESERVATIONS'!$B:$B,"&gt;"&amp;date_inventaire)</f>
        <v>0</v>
      </c>
      <c r="V111" s="343">
        <f ca="1">SUMIFS(es_pieces,es_prod_type_affinage,'SUIVI STOCKS PAR PAYSAN'!$D111,es_date_entree,"&gt;"&amp;date_inventaire,es_taille,'SUIVI STOCKS PAR PAYSAN'!$V$7)-SUMIFS(v_Pièces,v_Taille,'SUIVI STOCKS PAR PAYSAN'!$V$7,v_conc_prod_tye_affinage,'SUIVI STOCKS PAR PAYSAN'!$D111,v_Date_commande,"&gt;"&amp;date_inventaire)</f>
        <v>0</v>
      </c>
      <c r="W111" s="353">
        <f ca="1">SUMIFS(bddres_pieces,'BDD RESERVATIONS'!$G:$G,'SUIVI STOCKS PAR PAYSAN'!$V$7,bddres_c_prod_type_aff,'SUIVI STOCKS PAR PAYSAN'!$D111,'BDD RESERVATIONS'!$B:$B,"&gt;"&amp;date_inventaire)</f>
        <v>0</v>
      </c>
      <c r="X111" s="313">
        <f ca="1">SUMIFS(es_poids,es_prod_type_affinage,'SUIVI STOCKS PAR PAYSAN'!$E111,es_date_entree,"&gt;"&amp;date_inventaire)-SUMIFS(v_Poids,v_conc_prod_tye_affinage,'SUIVI STOCKS PAR PAYSAN'!$E111,v_Date_commande,"&gt;"&amp;date_inventaire)</f>
        <v>0</v>
      </c>
      <c r="Y111" s="341">
        <f ca="1">SUMIFS(bddres_c_qte,bddres_c_prod_type_aff,'SUIVI STOCKS PAR PAYSAN'!E111,'BDD RESERVATIONS'!$B:$B,"&gt;"&amp;date_inventaire)</f>
        <v>0</v>
      </c>
      <c r="Z111" s="342">
        <f ca="1">SUMIFS(bddres_pieces,es_prod_type_affinage,'SUIVI STOCKS PAR PAYSAN'!$E111,es_date_entree,"&gt;"&amp;date_inventaire,es_taille,'SUIVI STOCKS PAR PAYSAN'!$Z$7)-SUMIFS(v_Pièces,v_Taille,'SUIVI STOCKS PAR PAYSAN'!$Z$7,v_conc_prod_tye_affinage,'SUIVI STOCKS PAR PAYSAN'!$E111,v_Date_commande,"&gt;"&amp;date_inventaire)</f>
        <v>0</v>
      </c>
      <c r="AA111" s="342">
        <f ca="1">SUMIFS(bddres_pieces,'BDD RESERVATIONS'!$G:$G,'SUIVI STOCKS PAR PAYSAN'!$Z$7,bddres_c_prod_type_aff,'SUIVI STOCKS PAR PAYSAN'!$E111,'BDD RESERVATIONS'!$B:$B,"&gt;"&amp;date_inventaire)</f>
        <v>0</v>
      </c>
      <c r="AB111" s="343">
        <f ca="1">SUMIFS(es_pieces,es_prod_type_affinage,'SUIVI STOCKS PAR PAYSAN'!$E111,es_date_entree,"&gt;"&amp;date_inventaire,es_taille,'SUIVI STOCKS PAR PAYSAN'!$AB$7)-SUMIFS(v_Pièces,v_Taille,'SUIVI STOCKS PAR PAYSAN'!$AB$7,v_conc_prod_tye_affinage,'SUIVI STOCKS PAR PAYSAN'!$E111,v_Date_commande,"&gt;"&amp;date_inventaire)</f>
        <v>0</v>
      </c>
      <c r="AC111" s="353">
        <f ca="1">SUMIFS(bddres_pieces,'BDD RESERVATIONS'!$G:$G,'SUIVI STOCKS PAR PAYSAN'!$AB$7,bddres_c_prod_type_aff,'SUIVI STOCKS PAR PAYSAN'!$E111,'BDD RESERVATIONS'!$B:$B,"&gt;"&amp;date_inventaire)</f>
        <v>0</v>
      </c>
      <c r="AD111" s="313">
        <f ca="1">SUMIFS(es_poids,es_prod_type_affinage,'SUIVI STOCKS PAR PAYSAN'!$F111,es_date_entree,"&gt;"&amp;date_inventaire)-SUMIFS(v_Poids,v_conc_prod_tye_affinage,'SUIVI STOCKS PAR PAYSAN'!$F111,v_Date_commande,"&gt;"&amp;date_inventaire)</f>
        <v>0</v>
      </c>
      <c r="AE111" s="341">
        <f ca="1">SUMIFS(bddres_c_qte,bddres_c_prod_type_aff,'SUIVI STOCKS PAR PAYSAN'!F111,'BDD RESERVATIONS'!$B:$B,"&gt;"&amp;date_inventaire)</f>
        <v>0</v>
      </c>
      <c r="AF111" s="342">
        <f ca="1">SUMIFS(bddres_pieces,es_prod_type_affinage,'SUIVI STOCKS PAR PAYSAN'!$F111,es_date_entree,"&gt;"&amp;date_inventaire,es_taille,'SUIVI STOCKS PAR PAYSAN'!$Z$7)-SUMIFS(v_Pièces,v_Taille,'SUIVI STOCKS PAR PAYSAN'!$Z$7,v_conc_prod_tye_affinage,'SUIVI STOCKS PAR PAYSAN'!$F111,v_Date_commande,"&gt;"&amp;date_inventaire)</f>
        <v>0</v>
      </c>
      <c r="AG111" s="342">
        <f ca="1">SUMIFS(bddres_pieces,'BDD RESERVATIONS'!$G:$G,'SUIVI STOCKS PAR PAYSAN'!$Z$7,bddres_c_prod_type_aff,'SUIVI STOCKS PAR PAYSAN'!$F111,'BDD RESERVATIONS'!$B:$B,"&gt;"&amp;date_inventaire)</f>
        <v>0</v>
      </c>
      <c r="AH111" s="343">
        <f ca="1">SUMIFS(es_pieces,es_prod_type_affinage,'SUIVI STOCKS PAR PAYSAN'!$F111,es_date_entree,"&gt;"&amp;date_inventaire,es_taille,'SUIVI STOCKS PAR PAYSAN'!$AH$7)-SUMIFS(v_Pièces,v_Taille,'SUIVI STOCKS PAR PAYSAN'!$AH$7,v_conc_prod_tye_affinage,'SUIVI STOCKS PAR PAYSAN'!$F111,v_Date_commande,"&gt;"&amp;date_inventaire)</f>
        <v>0</v>
      </c>
      <c r="AI111" s="353">
        <f ca="1">SUMIFS(bddres_pieces,'BDD RESERVATIONS'!$G:$G,'SUIVI STOCKS PAR PAYSAN'!$AB$7,bddres_c_prod_type_aff,'SUIVI STOCKS PAR PAYSAN'!$F111,'BDD RESERVATIONS'!$B:$B,"&gt;"&amp;date_inventaire)</f>
        <v>0</v>
      </c>
      <c r="AJ111" s="352">
        <f ca="1">SUMIFS(es_poids,es_prod_type_affinage,'SUIVI STOCKS PAR PAYSAN'!$G111,es_date_entree,"&gt;"&amp;date_inventaire)-SUMIFS(v_Poids,v_conc_prod_tye_affinage,'SUIVI STOCKS PAR PAYSAN'!$G111,v_Date_commande,"&gt;"&amp;date_inventaire)</f>
        <v>0</v>
      </c>
      <c r="AK111" s="341">
        <f ca="1">SUMIFS(bddres_c_qte,bddres_c_prod_type_aff,'SUIVI STOCKS PAR PAYSAN'!G111,'BDD RESERVATIONS'!$B:$B,"&gt;"&amp;date_inventaire)</f>
        <v>0</v>
      </c>
      <c r="AL111" s="342">
        <f ca="1">SUMIFS(bddres_pieces,es_prod_type_affinage,'SUIVI STOCKS PAR PAYSAN'!$G111,es_date_entree,"&gt;"&amp;date_inventaire,es_taille,'SUIVI STOCKS PAR PAYSAN'!$AL$7)-SUMIFS(v_Pièces,v_Taille,'SUIVI STOCKS PAR PAYSAN'!$AL$7,v_conc_prod_tye_affinage,'SUIVI STOCKS PAR PAYSAN'!$G111,v_Date_commande,"&gt;"&amp;date_inventaire)</f>
        <v>0</v>
      </c>
      <c r="AM111" s="342">
        <f ca="1">SUMIFS(bddres_pieces,'BDD RESERVATIONS'!$G:$G,'SUIVI STOCKS PAR PAYSAN'!$AL$7,bddres_c_prod_type_aff,'SUIVI STOCKS PAR PAYSAN'!$G111,'BDD RESERVATIONS'!$B:$B,"&gt;"&amp;date_inventaire)</f>
        <v>0</v>
      </c>
      <c r="AN111" s="343">
        <f ca="1">SUMIFS(es_pieces,es_prod_type_affinage,'SUIVI STOCKS PAR PAYSAN'!$G111,es_date_entree,"&gt;"&amp;date_inventaire,es_taille,'SUIVI STOCKS PAR PAYSAN'!$AN$7)-SUMIFS(v_Pièces,v_Taille,'SUIVI STOCKS PAR PAYSAN'!$AN$7,v_conc_prod_tye_affinage,'SUIVI STOCKS PAR PAYSAN'!$G111,v_Date_commande,"&gt;"&amp;date_inventaire)</f>
        <v>0</v>
      </c>
      <c r="AO111" s="353">
        <f ca="1">SUMIFS(bddres_pieces,'BDD RESERVATIONS'!$G:$G,'SUIVI STOCKS PAR PAYSAN'!$AN$7,bddres_c_prod_type_aff,'SUIVI STOCKS PAR PAYSAN'!$G111,'BDD RESERVATIONS'!$B:$B,"&gt;"&amp;date_inventaire)</f>
        <v>0</v>
      </c>
      <c r="AP111" s="313">
        <f ca="1">SUMIFS(es_poids,es_prod_type_affinage,'SUIVI STOCKS PAR PAYSAN'!$H111,es_date_entree,"&gt;"&amp;date_inventaire)-SUMIFS(v_Poids,v_conc_prod_tye_affinage,'SUIVI STOCKS PAR PAYSAN'!$H111,v_Date_commande,"&gt;"&amp;date_inventaire)</f>
        <v>0</v>
      </c>
      <c r="AQ111" s="341">
        <f ca="1">SUMIFS(bddres_c_qte,bddres_c_prod_type_aff,'SUIVI STOCKS PAR PAYSAN'!H111,'BDD RESERVATIONS'!$B:$B,"&gt;"&amp;date_inventaire)</f>
        <v>0</v>
      </c>
      <c r="AR111" s="342">
        <f ca="1">SUMIFS(bddres_pieces,es_prod_type_affinage,'SUIVI STOCKS PAR PAYSAN'!$H111,es_date_entree,"&gt;"&amp;date_inventaire,es_taille,'SUIVI STOCKS PAR PAYSAN'!$AR$7)-SUMIFS(v_Pièces,v_Taille,'SUIVI STOCKS PAR PAYSAN'!$AR$7,v_conc_prod_tye_affinage,'SUIVI STOCKS PAR PAYSAN'!$H111,v_Date_commande,"&gt;"&amp;date_inventaire)</f>
        <v>0</v>
      </c>
      <c r="AS111" s="326">
        <f ca="1">SUMIFS(bddres_pieces,'BDD RESERVATIONS'!$G:$G,'SUIVI STOCKS PAR PAYSAN'!AR106,bddres_c_prod_type_aff,'SUIVI STOCKS PAR PAYSAN'!$H111,'BDD RESERVATIONS'!$B:$B,"&gt;"&amp;date_inventaire)</f>
        <v>0</v>
      </c>
      <c r="AT111" s="343">
        <f ca="1">SUMIFS(es_pieces,es_prod_type_affinage,'SUIVI STOCKS PAR PAYSAN'!$H111,es_date_entree,"&gt;"&amp;date_inventaire,es_taille,'SUIVI STOCKS PAR PAYSAN'!$AT$7)-SUMIFS(v_Pièces,v_Taille,'SUIVI STOCKS PAR PAYSAN'!$AT$7,v_conc_prod_tye_affinage,'SUIVI STOCKS PAR PAYSAN'!$H111,v_Date_commande,"&gt;"&amp;date_inventaire)</f>
        <v>0</v>
      </c>
      <c r="AU111" s="353">
        <f ca="1">SUMIFS(bddres_pieces,'BDD RESERVATIONS'!$G:$G,'SUIVI STOCKS PAR PAYSAN'!$AT$7,bddres_c_prod_type_aff,'SUIVI STOCKS PAR PAYSAN'!$H111,'BDD RESERVATIONS'!$B:$B,"&gt;"&amp;date_inventaire)</f>
        <v>0</v>
      </c>
      <c r="AV111" s="313">
        <f ca="1">SUMIFS(es_poids,es_prod_type_affinage,'SUIVI STOCKS PAR PAYSAN'!$I111,es_date_entree,"&gt;"&amp;date_inventaire)-SUMIFS(v_Poids,v_conc_prod_tye_affinage,'SUIVI STOCKS PAR PAYSAN'!$E111,v_Date_commande,"&gt;"&amp;date_inventaire)</f>
        <v>0</v>
      </c>
      <c r="AW111" s="313">
        <f ca="1">SUMIFS(bddres_c_qte,bddres_c_prod_type_aff,'SUIVI STOCKS PAR PAYSAN'!I111,'BDD RESERVATIONS'!$B:$B,"&gt;"&amp;date_inventaire)</f>
        <v>0</v>
      </c>
      <c r="AX111" s="342">
        <f ca="1">SUMIFS(bddres_pieces,es_prod_type_affinage,'SUIVI STOCKS PAR PAYSAN'!$I111,es_date_entree,"&gt;"&amp;date_inventaire,es_taille,'SUIVI STOCKS PAR PAYSAN'!$AX$7)-SUMIFS(v_Pièces,v_Taille,'SUIVI STOCKS PAR PAYSAN'!$AX$7,v_conc_prod_tye_affinage,'SUIVI STOCKS PAR PAYSAN'!$I111,v_Date_commande,"&gt;"&amp;date_inventaire)</f>
        <v>0</v>
      </c>
      <c r="AY111" s="342">
        <f ca="1">SUMIFS(bddres_pieces,'BDD RESERVATIONS'!$G:$G,'SUIVI STOCKS PAR PAYSAN'!$AX$7,bddres_c_prod_type_aff,'SUIVI STOCKS PAR PAYSAN'!$I111,'BDD RESERVATIONS'!$B:$B,"&gt;"&amp;date_inventaire)</f>
        <v>0</v>
      </c>
      <c r="AZ111" s="343">
        <f ca="1">SUMIFS(es_pieces,es_prod_type_affinage,'SUIVI STOCKS PAR PAYSAN'!$I111,es_date_entree,"&gt;"&amp;date_inventaire,es_taille,'SUIVI STOCKS PAR PAYSAN'!$AZ$7)-SUMIFS(v_Pièces,v_Taille,'SUIVI STOCKS PAR PAYSAN'!$AZ$7,v_conc_prod_tye_affinage,'SUIVI STOCKS PAR PAYSAN'!$I111,v_Date_commande,"&gt;"&amp;date_inventaire)</f>
        <v>0</v>
      </c>
      <c r="BA111" s="353">
        <f ca="1">SUMIFS(bddres_pieces,'BDD RESERVATIONS'!$G:$G,'SUIVI STOCKS PAR PAYSAN'!$AZ$7,bddres_c_prod_type_aff,'SUIVI STOCKS PAR PAYSAN'!$I111,'BDD RESERVATIONS'!$B:$B,"&gt;"&amp;date_inventaire)</f>
        <v>0</v>
      </c>
      <c r="BB111" s="313">
        <f ca="1">SUMIFS(es_poids,es_prod_type_affinage,'SUIVI STOCKS PAR PAYSAN'!$J111,es_date_entree,"&gt;"&amp;date_inventaire)-SUMIFS(v_Poids,v_conc_prod_tye_affinage,'SUIVI STOCKS PAR PAYSAN'!$J111,v_Date_commande,"&gt;"&amp;date_inventaire)</f>
        <v>0</v>
      </c>
      <c r="BC111" s="313">
        <f ca="1">SUMIFS(bddres_c_qte,bddres_c_prod_type_aff,'SUIVI STOCKS PAR PAYSAN'!J111,'BDD RESERVATIONS'!$B:$B,"&gt;"&amp;date_inventaire)</f>
        <v>0</v>
      </c>
      <c r="BD111" s="342">
        <f ca="1">SUMIFS(bddres_pieces,es_prod_type_affinage,'SUIVI STOCKS PAR PAYSAN'!$J111,es_date_entree,"&gt;"&amp;date_inventaire,es_taille,'SUIVI STOCKS PAR PAYSAN'!$BD$7)-SUMIFS(v_Pièces,v_Taille,'SUIVI STOCKS PAR PAYSAN'!$BD$7,v_conc_prod_tye_affinage,'SUIVI STOCKS PAR PAYSAN'!$J111,v_Date_commande,"&gt;"&amp;date_inventaire)</f>
        <v>0</v>
      </c>
      <c r="BE111" s="326">
        <f ca="1">SUMIFS(bddres_pieces,'BDD RESERVATIONS'!$G:$G,'SUIVI STOCKS PAR PAYSAN'!BD106,bddres_c_prod_type_aff,'SUIVI STOCKS PAR PAYSAN'!J111,'BDD RESERVATIONS'!$B:$B,"&gt;"&amp;date_inventaire)</f>
        <v>0</v>
      </c>
      <c r="BF111" s="343">
        <f ca="1">SUMIFS(es_pieces,es_prod_type_affinage,'SUIVI STOCKS PAR PAYSAN'!J111,es_date_entree,"&gt;"&amp;date_inventaire,es_taille,'SUIVI STOCKS PAR PAYSAN'!$BF$7)-SUMIFS(v_Pièces,v_Taille,'SUIVI STOCKS PAR PAYSAN'!$BF$7,v_conc_prod_tye_affinage,'SUIVI STOCKS PAR PAYSAN'!J111,v_Date_commande,"&gt;"&amp;date_inventaire)</f>
        <v>0</v>
      </c>
      <c r="BG111" s="353">
        <f ca="1">SUMIFS(bddres_pieces,'BDD RESERVATIONS'!$G:$G,'SUIVI STOCKS PAR PAYSAN'!$BF$7,bddres_c_prod_type_aff,'SUIVI STOCKS PAR PAYSAN'!J111,'BDD RESERVATIONS'!$B:$B,"&gt;"&amp;date_inventaire)</f>
        <v>0</v>
      </c>
    </row>
  </sheetData>
  <mergeCells count="42">
    <mergeCell ref="R7:S7"/>
    <mergeCell ref="T7:U7"/>
    <mergeCell ref="V7:W7"/>
    <mergeCell ref="X6:AC6"/>
    <mergeCell ref="X7:Y7"/>
    <mergeCell ref="Z7:AA7"/>
    <mergeCell ref="AB7:AC7"/>
    <mergeCell ref="A7:J7"/>
    <mergeCell ref="A1:AI1"/>
    <mergeCell ref="L5:Q5"/>
    <mergeCell ref="AJ5:AO5"/>
    <mergeCell ref="AP5:AU5"/>
    <mergeCell ref="AJ6:AO6"/>
    <mergeCell ref="AP6:AU6"/>
    <mergeCell ref="AD6:AI6"/>
    <mergeCell ref="AD7:AE7"/>
    <mergeCell ref="AF7:AG7"/>
    <mergeCell ref="AH7:AI7"/>
    <mergeCell ref="L7:M7"/>
    <mergeCell ref="N7:O7"/>
    <mergeCell ref="P7:Q7"/>
    <mergeCell ref="L6:Q6"/>
    <mergeCell ref="R6:W6"/>
    <mergeCell ref="AV5:BA5"/>
    <mergeCell ref="R5:W5"/>
    <mergeCell ref="AD5:AI5"/>
    <mergeCell ref="X5:AC5"/>
    <mergeCell ref="BB5:BG5"/>
    <mergeCell ref="AV6:BA6"/>
    <mergeCell ref="BB6:BG6"/>
    <mergeCell ref="AJ7:AK7"/>
    <mergeCell ref="AL7:AM7"/>
    <mergeCell ref="AN7:AO7"/>
    <mergeCell ref="AP7:AQ7"/>
    <mergeCell ref="AR7:AS7"/>
    <mergeCell ref="BD7:BE7"/>
    <mergeCell ref="BF7:BG7"/>
    <mergeCell ref="AT7:AU7"/>
    <mergeCell ref="AV7:AW7"/>
    <mergeCell ref="AX7:AY7"/>
    <mergeCell ref="AZ7:BA7"/>
    <mergeCell ref="BB7:BC7"/>
  </mergeCells>
  <conditionalFormatting sqref="L12:P12 L41:L111 M13:P111">
    <cfRule type="cellIs" dxfId="36" priority="91" operator="equal">
      <formula>0</formula>
    </cfRule>
  </conditionalFormatting>
  <conditionalFormatting sqref="A12:P12 A41:B111 L41:L111 C13:K111 M13:P111">
    <cfRule type="expression" dxfId="35" priority="86">
      <formula>$A$12=0</formula>
    </cfRule>
  </conditionalFormatting>
  <conditionalFormatting sqref="Q12:Q111">
    <cfRule type="cellIs" dxfId="34" priority="81" operator="equal">
      <formula>0</formula>
    </cfRule>
  </conditionalFormatting>
  <conditionalFormatting sqref="R12:V12 R41:R111 S13:V111">
    <cfRule type="cellIs" dxfId="33" priority="72" operator="equal">
      <formula>0</formula>
    </cfRule>
  </conditionalFormatting>
  <conditionalFormatting sqref="W12:W111">
    <cfRule type="cellIs" dxfId="32" priority="69" operator="equal">
      <formula>0</formula>
    </cfRule>
  </conditionalFormatting>
  <conditionalFormatting sqref="X41:X111">
    <cfRule type="cellIs" dxfId="31" priority="66" operator="equal">
      <formula>0</formula>
    </cfRule>
  </conditionalFormatting>
  <conditionalFormatting sqref="AD41:AD111">
    <cfRule type="cellIs" dxfId="30" priority="60" operator="equal">
      <formula>0</formula>
    </cfRule>
  </conditionalFormatting>
  <conditionalFormatting sqref="AJ12:AN111">
    <cfRule type="cellIs" dxfId="29" priority="54" operator="equal">
      <formula>0</formula>
    </cfRule>
  </conditionalFormatting>
  <conditionalFormatting sqref="AO12:AO111">
    <cfRule type="cellIs" dxfId="28" priority="51" operator="equal">
      <formula>0</formula>
    </cfRule>
  </conditionalFormatting>
  <conditionalFormatting sqref="AP41:AP111 AS41:AS111">
    <cfRule type="cellIs" dxfId="27" priority="48" operator="equal">
      <formula>0</formula>
    </cfRule>
  </conditionalFormatting>
  <conditionalFormatting sqref="AV41:AW111">
    <cfRule type="cellIs" dxfId="26" priority="42" operator="equal">
      <formula>0</formula>
    </cfRule>
  </conditionalFormatting>
  <conditionalFormatting sqref="BB41:BC111 BE41:BE111">
    <cfRule type="cellIs" dxfId="25" priority="36" operator="equal">
      <formula>0</formula>
    </cfRule>
  </conditionalFormatting>
  <conditionalFormatting sqref="A12:W12 BH12:XFD12 C13:K111 M13:Q111 S13:W111 AJ12:AO111">
    <cfRule type="expression" dxfId="24" priority="31">
      <formula>$A12=0</formula>
    </cfRule>
  </conditionalFormatting>
  <conditionalFormatting sqref="L13:L111 N13:P111">
    <cfRule type="cellIs" dxfId="23" priority="30" operator="equal">
      <formula>0</formula>
    </cfRule>
  </conditionalFormatting>
  <conditionalFormatting sqref="A13:B111 L13:L111">
    <cfRule type="expression" dxfId="22" priority="29">
      <formula>$A$12=0</formula>
    </cfRule>
  </conditionalFormatting>
  <conditionalFormatting sqref="R13:R111">
    <cfRule type="cellIs" dxfId="21" priority="27" operator="equal">
      <formula>0</formula>
    </cfRule>
  </conditionalFormatting>
  <conditionalFormatting sqref="X31:X111">
    <cfRule type="cellIs" dxfId="20" priority="25" operator="equal">
      <formula>0</formula>
    </cfRule>
  </conditionalFormatting>
  <conditionalFormatting sqref="AD31:AD111">
    <cfRule type="cellIs" dxfId="19" priority="23" operator="equal">
      <formula>0</formula>
    </cfRule>
  </conditionalFormatting>
  <conditionalFormatting sqref="AP31:AP111 AS31:AS111">
    <cfRule type="cellIs" dxfId="18" priority="19" operator="equal">
      <formula>0</formula>
    </cfRule>
  </conditionalFormatting>
  <conditionalFormatting sqref="AV31:AW111">
    <cfRule type="cellIs" dxfId="17" priority="17" operator="equal">
      <formula>0</formula>
    </cfRule>
  </conditionalFormatting>
  <conditionalFormatting sqref="BB31:BC111 BE31:BE111">
    <cfRule type="cellIs" dxfId="16" priority="15" operator="equal">
      <formula>0</formula>
    </cfRule>
  </conditionalFormatting>
  <conditionalFormatting sqref="A13:B111 AP31:AP111 N13:P111 X31:X111 AD31:AD111 AS31:AS111 L13:L111 R13:R111 AV31:AW111 BB31:BC111 BE31:BE111 BH13:XFD111">
    <cfRule type="expression" dxfId="15" priority="13">
      <formula>$A13=0</formula>
    </cfRule>
  </conditionalFormatting>
  <conditionalFormatting sqref="X12:AB12 AD12:AH12 Y13:AB111 AE13:AH111">
    <cfRule type="cellIs" dxfId="14" priority="12" operator="equal">
      <formula>0</formula>
    </cfRule>
  </conditionalFormatting>
  <conditionalFormatting sqref="AC12:AC111 AI12:AI111">
    <cfRule type="cellIs" dxfId="13" priority="11" operator="equal">
      <formula>0</formula>
    </cfRule>
  </conditionalFormatting>
  <conditionalFormatting sqref="X12:AI12 Y13:AC111 AE13:AI111">
    <cfRule type="expression" dxfId="12" priority="10">
      <formula>$A12=0</formula>
    </cfRule>
  </conditionalFormatting>
  <conditionalFormatting sqref="X13:X30 AD13:AD30">
    <cfRule type="cellIs" dxfId="11" priority="9" operator="equal">
      <formula>0</formula>
    </cfRule>
  </conditionalFormatting>
  <conditionalFormatting sqref="X13:X30 AD13:AD30">
    <cfRule type="expression" dxfId="10" priority="7">
      <formula>$A13=0</formula>
    </cfRule>
  </conditionalFormatting>
  <conditionalFormatting sqref="AP12:AT12 AV12:AZ12 BB12:BF12 AQ13:AR111 AT13:AT111 AX13:AZ111 BD13:BD111 BF13:BF111">
    <cfRule type="cellIs" dxfId="9" priority="6" operator="equal">
      <formula>0</formula>
    </cfRule>
  </conditionalFormatting>
  <conditionalFormatting sqref="AU12:AU111 BA12:BA111 BG12:BG111">
    <cfRule type="cellIs" dxfId="8" priority="5" operator="equal">
      <formula>0</formula>
    </cfRule>
  </conditionalFormatting>
  <conditionalFormatting sqref="AP12:BG12 AQ13:AR111 AT13:AU111 AX13:BA111 BD13:BD111 BF13:BG111">
    <cfRule type="expression" dxfId="7" priority="4">
      <formula>$A12=0</formula>
    </cfRule>
  </conditionalFormatting>
  <conditionalFormatting sqref="AP13:AP30 AV13:AW30 BB13:BC30 AS13:AS30 BE13:BE30">
    <cfRule type="cellIs" dxfId="6" priority="3" operator="equal">
      <formula>0</formula>
    </cfRule>
  </conditionalFormatting>
  <conditionalFormatting sqref="AP13:AP30 AS13:AS30 AV13:AW30 BB13:BC30 BE13:BE30">
    <cfRule type="expression" dxfId="5" priority="1">
      <formula>$A13=0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1D810-24CB-4A01-AA7E-129ACA559ED4}">
  <sheetPr codeName="Feuil13">
    <tabColor rgb="FFFF0000"/>
  </sheetPr>
  <dimension ref="A1:M3"/>
  <sheetViews>
    <sheetView topLeftCell="B1" workbookViewId="0">
      <selection activeCell="C5" sqref="C5"/>
    </sheetView>
  </sheetViews>
  <sheetFormatPr baseColWidth="10" defaultRowHeight="15" x14ac:dyDescent="0.25"/>
  <cols>
    <col min="1" max="1" width="21.28515625" customWidth="1"/>
    <col min="2" max="2" width="22.5703125" style="6" customWidth="1"/>
    <col min="3" max="3" width="24.140625" style="6" customWidth="1"/>
    <col min="4" max="4" width="10.28515625" bestFit="1" customWidth="1"/>
    <col min="5" max="5" width="20.85546875" bestFit="1" customWidth="1"/>
    <col min="6" max="6" width="18" customWidth="1"/>
    <col min="7" max="7" width="20.28515625" customWidth="1"/>
    <col min="8" max="8" width="18" customWidth="1"/>
    <col min="9" max="9" width="8.42578125" customWidth="1"/>
    <col min="10" max="10" width="16.140625" customWidth="1"/>
    <col min="11" max="11" width="21.85546875" customWidth="1"/>
    <col min="12" max="12" width="17" customWidth="1"/>
    <col min="13" max="13" width="36.28515625" bestFit="1" customWidth="1"/>
  </cols>
  <sheetData>
    <row r="1" spans="1:13" ht="44.25" customHeight="1" x14ac:dyDescent="0.25">
      <c r="A1" s="364" t="s">
        <v>350</v>
      </c>
      <c r="B1" s="367" t="s">
        <v>338</v>
      </c>
      <c r="C1" s="367" t="s">
        <v>351</v>
      </c>
      <c r="D1" s="365" t="s">
        <v>352</v>
      </c>
      <c r="E1" s="365" t="s">
        <v>165</v>
      </c>
      <c r="F1" s="365" t="s">
        <v>89</v>
      </c>
      <c r="G1" s="365" t="s">
        <v>322</v>
      </c>
      <c r="H1" s="365" t="s">
        <v>270</v>
      </c>
      <c r="I1" s="365" t="s">
        <v>284</v>
      </c>
      <c r="J1" s="365" t="s">
        <v>271</v>
      </c>
      <c r="K1" s="365" t="s">
        <v>272</v>
      </c>
      <c r="L1" s="365" t="s">
        <v>318</v>
      </c>
      <c r="M1" s="366" t="s">
        <v>358</v>
      </c>
    </row>
    <row r="2" spans="1:13" s="307" customFormat="1" x14ac:dyDescent="0.25">
      <c r="A2" s="336">
        <v>1</v>
      </c>
      <c r="B2" s="332">
        <v>43154</v>
      </c>
      <c r="C2" s="332">
        <v>43155</v>
      </c>
      <c r="D2" s="333" t="s">
        <v>96</v>
      </c>
      <c r="E2" s="334" t="s">
        <v>27</v>
      </c>
      <c r="F2" s="333" t="s">
        <v>100</v>
      </c>
      <c r="G2" s="333" t="s">
        <v>324</v>
      </c>
      <c r="H2" s="333" t="s">
        <v>130</v>
      </c>
      <c r="I2" s="333"/>
      <c r="J2" s="333">
        <v>40</v>
      </c>
      <c r="K2" s="333">
        <v>20</v>
      </c>
      <c r="L2" s="333" t="s">
        <v>353</v>
      </c>
      <c r="M2" s="335" t="str">
        <f>CONCATENATE(Tableau10[[#This Row],[Producteur]],Tableau10[[#This Row],[Type de fromage]],Tableau10[[#This Row],[Durée d''affinage]])</f>
        <v>BIDABE MarcelESTIVE&lt;3 mois</v>
      </c>
    </row>
    <row r="3" spans="1:13" x14ac:dyDescent="0.25">
      <c r="A3">
        <v>2</v>
      </c>
      <c r="B3" s="6">
        <v>43144</v>
      </c>
      <c r="C3" s="6">
        <v>43146</v>
      </c>
      <c r="D3" t="s">
        <v>96</v>
      </c>
      <c r="E3" t="s">
        <v>27</v>
      </c>
      <c r="F3" t="s">
        <v>100</v>
      </c>
      <c r="G3" t="s">
        <v>324</v>
      </c>
      <c r="H3" t="s">
        <v>104</v>
      </c>
      <c r="I3" t="s">
        <v>363</v>
      </c>
      <c r="J3">
        <v>13</v>
      </c>
      <c r="K3">
        <v>6</v>
      </c>
      <c r="L3" t="s">
        <v>353</v>
      </c>
      <c r="M3" t="str">
        <f>CONCATENATE(Tableau10[[#This Row],[Producteur]],Tableau10[[#This Row],[Type de fromage]],Tableau10[[#This Row],[Durée d''affinage]])</f>
        <v>BIDABE MarcelESTIVE3-6 mois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4DC7F-DFE1-4282-B3B0-3C009AE2E1A4}">
  <sheetPr codeName="Feuil27"/>
  <dimension ref="A1:G21"/>
  <sheetViews>
    <sheetView workbookViewId="0">
      <selection activeCell="D12" sqref="D12"/>
    </sheetView>
  </sheetViews>
  <sheetFormatPr baseColWidth="10" defaultRowHeight="15" x14ac:dyDescent="0.25"/>
  <cols>
    <col min="1" max="1" width="21" bestFit="1" customWidth="1"/>
    <col min="2" max="2" width="19.28515625" style="45" bestFit="1" customWidth="1"/>
    <col min="5" max="5" width="25.140625" bestFit="1" customWidth="1"/>
    <col min="6" max="6" width="26.85546875" style="155" customWidth="1"/>
  </cols>
  <sheetData>
    <row r="1" spans="1:7" x14ac:dyDescent="0.25">
      <c r="E1" s="156"/>
      <c r="F1" s="157"/>
      <c r="G1" s="6">
        <f ca="1">TODAY()</f>
        <v>43152</v>
      </c>
    </row>
    <row r="2" spans="1:7" ht="30" x14ac:dyDescent="0.25">
      <c r="B2"/>
      <c r="E2" s="158" t="s">
        <v>291</v>
      </c>
      <c r="F2" s="159" t="s">
        <v>57</v>
      </c>
    </row>
    <row r="3" spans="1:7" x14ac:dyDescent="0.25">
      <c r="E3" s="156"/>
      <c r="F3" s="157"/>
    </row>
    <row r="4" spans="1:7" x14ac:dyDescent="0.25">
      <c r="A4" s="103" t="s">
        <v>289</v>
      </c>
      <c r="B4" s="45" t="s">
        <v>290</v>
      </c>
      <c r="D4" s="25"/>
      <c r="E4" s="156"/>
      <c r="F4" s="157"/>
    </row>
    <row r="5" spans="1:7" x14ac:dyDescent="0.25">
      <c r="A5" s="258" t="s">
        <v>387</v>
      </c>
      <c r="D5" s="25"/>
      <c r="E5" s="156"/>
      <c r="F5" s="157"/>
    </row>
    <row r="6" spans="1:7" x14ac:dyDescent="0.25">
      <c r="A6" s="258" t="s">
        <v>30</v>
      </c>
      <c r="B6" s="45">
        <v>1320</v>
      </c>
      <c r="D6" s="25"/>
      <c r="E6" s="156"/>
      <c r="F6" s="157"/>
    </row>
    <row r="7" spans="1:7" x14ac:dyDescent="0.25">
      <c r="A7" s="258" t="s">
        <v>27</v>
      </c>
      <c r="B7" s="45">
        <v>938</v>
      </c>
      <c r="D7" s="25"/>
      <c r="E7" s="156"/>
      <c r="F7" s="157"/>
    </row>
    <row r="8" spans="1:7" x14ac:dyDescent="0.25">
      <c r="A8" s="258" t="s">
        <v>57</v>
      </c>
      <c r="B8" s="45">
        <v>384</v>
      </c>
      <c r="D8" s="25"/>
    </row>
    <row r="9" spans="1:7" x14ac:dyDescent="0.25">
      <c r="A9" s="258" t="s">
        <v>38</v>
      </c>
      <c r="B9" s="45">
        <v>728</v>
      </c>
      <c r="D9" s="25"/>
    </row>
    <row r="10" spans="1:7" x14ac:dyDescent="0.25">
      <c r="A10" s="258" t="s">
        <v>67</v>
      </c>
      <c r="B10" s="45">
        <v>650</v>
      </c>
      <c r="D10" s="25"/>
    </row>
    <row r="11" spans="1:7" x14ac:dyDescent="0.25">
      <c r="A11" s="258" t="s">
        <v>259</v>
      </c>
      <c r="B11" s="45">
        <v>4020</v>
      </c>
      <c r="D11" s="25"/>
    </row>
    <row r="12" spans="1:7" x14ac:dyDescent="0.25">
      <c r="B12"/>
      <c r="D12" s="25"/>
    </row>
    <row r="13" spans="1:7" x14ac:dyDescent="0.25">
      <c r="B13"/>
      <c r="D13" s="25"/>
    </row>
    <row r="14" spans="1:7" x14ac:dyDescent="0.25">
      <c r="B14"/>
      <c r="D14" s="25"/>
    </row>
    <row r="15" spans="1:7" x14ac:dyDescent="0.25">
      <c r="B15"/>
      <c r="D15" s="25"/>
    </row>
    <row r="16" spans="1:7" x14ac:dyDescent="0.25">
      <c r="D16" s="25"/>
    </row>
    <row r="17" spans="4:4" x14ac:dyDescent="0.25">
      <c r="D17" s="25"/>
    </row>
    <row r="18" spans="4:4" x14ac:dyDescent="0.25">
      <c r="D18" s="25"/>
    </row>
    <row r="19" spans="4:4" x14ac:dyDescent="0.25">
      <c r="D19" s="25"/>
    </row>
    <row r="20" spans="4:4" x14ac:dyDescent="0.25">
      <c r="D20" s="25"/>
    </row>
    <row r="21" spans="4:4" x14ac:dyDescent="0.25">
      <c r="D21" s="25"/>
    </row>
  </sheetData>
  <dataValidations count="1">
    <dataValidation type="list" allowBlank="1" showInputMessage="1" showErrorMessage="1" sqref="F2" xr:uid="{8883946D-66EF-41C5-95E1-C641E33E566B}">
      <formula1>nom_exploitation</formula1>
    </dataValidation>
  </dataValidations>
  <pageMargins left="0.7" right="0.7" top="0.75" bottom="0.75" header="0.3" footer="0.3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5E5E7-19EC-4B19-A628-402A76AF33F2}">
  <sheetPr codeName="Feuil25"/>
  <dimension ref="A1:I2"/>
  <sheetViews>
    <sheetView workbookViewId="0">
      <selection activeCell="E11" sqref="E11"/>
    </sheetView>
  </sheetViews>
  <sheetFormatPr baseColWidth="10" defaultRowHeight="15" x14ac:dyDescent="0.25"/>
  <cols>
    <col min="1" max="1" width="23.28515625" bestFit="1" customWidth="1"/>
  </cols>
  <sheetData>
    <row r="1" spans="1:9" ht="45" x14ac:dyDescent="0.25">
      <c r="A1" s="122"/>
      <c r="B1" s="123" t="s">
        <v>165</v>
      </c>
      <c r="C1" s="123" t="s">
        <v>89</v>
      </c>
      <c r="D1" s="123" t="s">
        <v>270</v>
      </c>
      <c r="E1" s="123" t="s">
        <v>322</v>
      </c>
      <c r="F1" s="123" t="s">
        <v>284</v>
      </c>
      <c r="G1" s="123" t="s">
        <v>271</v>
      </c>
      <c r="H1" s="123" t="s">
        <v>272</v>
      </c>
      <c r="I1" s="121" t="s">
        <v>283</v>
      </c>
    </row>
    <row r="2" spans="1:9" x14ac:dyDescent="0.25">
      <c r="A2" s="117" t="s">
        <v>274</v>
      </c>
      <c r="B2" s="118" t="s">
        <v>27</v>
      </c>
      <c r="C2" s="118" t="s">
        <v>102</v>
      </c>
      <c r="D2" s="118" t="s">
        <v>105</v>
      </c>
      <c r="E2" s="118"/>
      <c r="F2" s="118"/>
      <c r="G2" s="119">
        <v>10</v>
      </c>
      <c r="H2" s="120">
        <v>12</v>
      </c>
      <c r="I2" s="124">
        <f>IFERROR(INDEX('BDD FROMAGES_CONSOMMABLES'!$C:$D,MATCH(CONCATENATE(C2,D2),concat_type_affinage,0),MATCH(Tableau5[[#Headers],[Prix HT au kg]],Tableau5[[#Headers],[Type fromage-affinage]:[Prix HT au kg]],0)),"")</f>
        <v>15</v>
      </c>
    </row>
  </sheetData>
  <conditionalFormatting sqref="B2:H2">
    <cfRule type="expression" dxfId="4" priority="2">
      <formula>B2=""</formula>
    </cfRule>
  </conditionalFormatting>
  <conditionalFormatting sqref="I2">
    <cfRule type="expression" dxfId="3" priority="1">
      <formula>I2=""</formula>
    </cfRule>
  </conditionalFormatting>
  <dataValidations count="3">
    <dataValidation type="list" allowBlank="1" showInputMessage="1" showErrorMessage="1" sqref="D2:F2" xr:uid="{D9B2CAD3-7465-4CA2-908B-7B84F5AFCE5D}">
      <formula1>affinage</formula1>
    </dataValidation>
    <dataValidation type="list" allowBlank="1" showInputMessage="1" showErrorMessage="1" sqref="C2" xr:uid="{A9D3F1BC-C69E-4BFD-B8FF-3BB9FE4C8655}">
      <formula1>type_de_fromage</formula1>
    </dataValidation>
    <dataValidation type="list" allowBlank="1" showInputMessage="1" showErrorMessage="1" sqref="B2" xr:uid="{A19027D3-741D-4EB1-8F75-660287FBB272}">
      <formula1>nom_exploitation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B206A-2B20-40D1-81C4-17A5056B72E0}">
  <sheetPr codeName="Feuil14"/>
  <dimension ref="A1:C11"/>
  <sheetViews>
    <sheetView workbookViewId="0"/>
  </sheetViews>
  <sheetFormatPr baseColWidth="10" defaultRowHeight="15" x14ac:dyDescent="0.25"/>
  <sheetData>
    <row r="1" spans="1:3" x14ac:dyDescent="0.25">
      <c r="A1" t="s">
        <v>84</v>
      </c>
      <c r="B1" t="s">
        <v>85</v>
      </c>
      <c r="C1" t="s">
        <v>86</v>
      </c>
    </row>
    <row r="2" spans="1:3" x14ac:dyDescent="0.25">
      <c r="A2" t="s">
        <v>87</v>
      </c>
      <c r="B2" t="s">
        <v>88</v>
      </c>
      <c r="C2" t="s">
        <v>128</v>
      </c>
    </row>
    <row r="3" spans="1:3" x14ac:dyDescent="0.25">
      <c r="A3" t="s">
        <v>91</v>
      </c>
      <c r="B3" t="s">
        <v>92</v>
      </c>
      <c r="C3" t="s">
        <v>93</v>
      </c>
    </row>
    <row r="4" spans="1:3" x14ac:dyDescent="0.25">
      <c r="A4" t="s">
        <v>109</v>
      </c>
      <c r="B4" t="s">
        <v>110</v>
      </c>
      <c r="C4" t="s">
        <v>111</v>
      </c>
    </row>
    <row r="5" spans="1:3" x14ac:dyDescent="0.25">
      <c r="B5" t="s">
        <v>110</v>
      </c>
      <c r="C5" t="s">
        <v>119</v>
      </c>
    </row>
    <row r="6" spans="1:3" x14ac:dyDescent="0.25">
      <c r="A6" t="s">
        <v>123</v>
      </c>
      <c r="B6" t="s">
        <v>110</v>
      </c>
      <c r="C6" t="s">
        <v>124</v>
      </c>
    </row>
    <row r="7" spans="1:3" x14ac:dyDescent="0.25">
      <c r="A7" t="s">
        <v>134</v>
      </c>
      <c r="B7" t="s">
        <v>135</v>
      </c>
      <c r="C7" t="s">
        <v>136</v>
      </c>
    </row>
    <row r="8" spans="1:3" x14ac:dyDescent="0.25">
      <c r="A8" t="s">
        <v>183</v>
      </c>
      <c r="B8" t="s">
        <v>184</v>
      </c>
      <c r="C8" t="s">
        <v>185</v>
      </c>
    </row>
    <row r="9" spans="1:3" x14ac:dyDescent="0.25">
      <c r="A9" t="s">
        <v>205</v>
      </c>
      <c r="B9" t="s">
        <v>206</v>
      </c>
      <c r="C9" t="s">
        <v>207</v>
      </c>
    </row>
    <row r="10" spans="1:3" x14ac:dyDescent="0.25">
      <c r="A10" t="s">
        <v>261</v>
      </c>
      <c r="B10" t="s">
        <v>262</v>
      </c>
      <c r="C10" t="s">
        <v>263</v>
      </c>
    </row>
    <row r="11" spans="1:3" x14ac:dyDescent="0.25">
      <c r="A11" t="s">
        <v>183</v>
      </c>
      <c r="B11" t="s">
        <v>262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9A419-43AD-4EB6-BD57-4255C504005C}">
  <sheetPr codeName="Feuil15"/>
  <dimension ref="A1:C20"/>
  <sheetViews>
    <sheetView workbookViewId="0"/>
  </sheetViews>
  <sheetFormatPr baseColWidth="10" defaultRowHeight="15" x14ac:dyDescent="0.25"/>
  <sheetData>
    <row r="1" spans="1:3" x14ac:dyDescent="0.25">
      <c r="A1" t="s">
        <v>24</v>
      </c>
      <c r="B1" t="s">
        <v>25</v>
      </c>
      <c r="C1" t="s">
        <v>26</v>
      </c>
    </row>
    <row r="2" spans="1:3" x14ac:dyDescent="0.25">
      <c r="A2" t="s">
        <v>27</v>
      </c>
      <c r="B2" t="s">
        <v>28</v>
      </c>
      <c r="C2" t="s">
        <v>29</v>
      </c>
    </row>
    <row r="3" spans="1:3" x14ac:dyDescent="0.25">
      <c r="A3" t="s">
        <v>30</v>
      </c>
      <c r="C3" t="s">
        <v>31</v>
      </c>
    </row>
    <row r="4" spans="1:3" x14ac:dyDescent="0.25">
      <c r="A4" t="s">
        <v>32</v>
      </c>
      <c r="C4" t="s">
        <v>33</v>
      </c>
    </row>
    <row r="5" spans="1:3" x14ac:dyDescent="0.25">
      <c r="A5" t="s">
        <v>34</v>
      </c>
      <c r="B5" t="s">
        <v>35</v>
      </c>
      <c r="C5" t="s">
        <v>29</v>
      </c>
    </row>
    <row r="6" spans="1:3" x14ac:dyDescent="0.25">
      <c r="A6" t="s">
        <v>36</v>
      </c>
      <c r="C6" t="s">
        <v>37</v>
      </c>
    </row>
    <row r="7" spans="1:3" x14ac:dyDescent="0.25">
      <c r="A7" t="s">
        <v>38</v>
      </c>
      <c r="B7" t="s">
        <v>39</v>
      </c>
      <c r="C7" t="s">
        <v>40</v>
      </c>
    </row>
    <row r="8" spans="1:3" x14ac:dyDescent="0.25">
      <c r="A8" t="s">
        <v>41</v>
      </c>
      <c r="C8" t="s">
        <v>42</v>
      </c>
    </row>
    <row r="9" spans="1:3" x14ac:dyDescent="0.25">
      <c r="A9" t="s">
        <v>43</v>
      </c>
      <c r="B9" t="s">
        <v>44</v>
      </c>
      <c r="C9" t="s">
        <v>33</v>
      </c>
    </row>
    <row r="10" spans="1:3" x14ac:dyDescent="0.25">
      <c r="A10" t="s">
        <v>45</v>
      </c>
      <c r="B10" t="s">
        <v>46</v>
      </c>
      <c r="C10" t="s">
        <v>29</v>
      </c>
    </row>
    <row r="11" spans="1:3" x14ac:dyDescent="0.25">
      <c r="A11" t="s">
        <v>47</v>
      </c>
      <c r="C11" t="s">
        <v>48</v>
      </c>
    </row>
    <row r="12" spans="1:3" x14ac:dyDescent="0.25">
      <c r="A12" t="s">
        <v>49</v>
      </c>
      <c r="B12" t="s">
        <v>50</v>
      </c>
      <c r="C12" t="s">
        <v>51</v>
      </c>
    </row>
    <row r="13" spans="1:3" x14ac:dyDescent="0.25">
      <c r="A13" t="s">
        <v>52</v>
      </c>
      <c r="B13" t="s">
        <v>53</v>
      </c>
      <c r="C13" t="s">
        <v>51</v>
      </c>
    </row>
    <row r="14" spans="1:3" x14ac:dyDescent="0.25">
      <c r="A14" t="s">
        <v>54</v>
      </c>
      <c r="B14" t="s">
        <v>55</v>
      </c>
      <c r="C14" t="s">
        <v>56</v>
      </c>
    </row>
    <row r="15" spans="1:3" x14ac:dyDescent="0.25">
      <c r="A15" t="s">
        <v>57</v>
      </c>
      <c r="C15" t="s">
        <v>58</v>
      </c>
    </row>
    <row r="16" spans="1:3" x14ac:dyDescent="0.25">
      <c r="A16" t="s">
        <v>59</v>
      </c>
      <c r="C16" t="s">
        <v>60</v>
      </c>
    </row>
    <row r="17" spans="1:3" x14ac:dyDescent="0.25">
      <c r="A17" t="s">
        <v>61</v>
      </c>
      <c r="B17" t="s">
        <v>62</v>
      </c>
      <c r="C17" t="s">
        <v>63</v>
      </c>
    </row>
    <row r="18" spans="1:3" x14ac:dyDescent="0.25">
      <c r="A18" t="s">
        <v>64</v>
      </c>
      <c r="B18" t="s">
        <v>65</v>
      </c>
      <c r="C18" t="s">
        <v>66</v>
      </c>
    </row>
    <row r="19" spans="1:3" x14ac:dyDescent="0.25">
      <c r="A19" t="s">
        <v>67</v>
      </c>
      <c r="B19" t="s">
        <v>68</v>
      </c>
      <c r="C19" t="s">
        <v>69</v>
      </c>
    </row>
    <row r="20" spans="1:3" x14ac:dyDescent="0.25">
      <c r="A20" t="s">
        <v>70</v>
      </c>
      <c r="C20" t="s">
        <v>71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7103E-1495-4FFE-8A2A-BC86A5D8E8C1}">
  <sheetPr codeName="Feuil11">
    <pageSetUpPr fitToPage="1"/>
  </sheetPr>
  <dimension ref="A1:J27"/>
  <sheetViews>
    <sheetView zoomScale="69" zoomScaleNormal="69" workbookViewId="0">
      <selection sqref="A1:J1"/>
    </sheetView>
  </sheetViews>
  <sheetFormatPr baseColWidth="10" defaultRowHeight="15" x14ac:dyDescent="0.25"/>
  <cols>
    <col min="1" max="1" width="15.85546875" bestFit="1" customWidth="1"/>
    <col min="2" max="9" width="20" customWidth="1"/>
  </cols>
  <sheetData>
    <row r="1" spans="1:10" ht="36.75" thickBot="1" x14ac:dyDescent="0.6">
      <c r="A1" s="515" t="s">
        <v>162</v>
      </c>
      <c r="B1" s="516"/>
      <c r="C1" s="516"/>
      <c r="D1" s="516"/>
      <c r="E1" s="516"/>
      <c r="F1" s="516"/>
      <c r="G1" s="516"/>
      <c r="H1" s="516"/>
      <c r="I1" s="516"/>
      <c r="J1" s="517"/>
    </row>
    <row r="2" spans="1:10" ht="38.25" customHeight="1" x14ac:dyDescent="0.5">
      <c r="A2" s="60" t="s">
        <v>148</v>
      </c>
      <c r="B2" s="61"/>
      <c r="C2" s="61"/>
      <c r="D2" s="62"/>
      <c r="E2" s="60" t="s">
        <v>149</v>
      </c>
      <c r="F2" s="61"/>
      <c r="G2" s="61"/>
      <c r="H2" s="63"/>
      <c r="I2" s="56"/>
    </row>
    <row r="3" spans="1:10" ht="8.25" customHeight="1" x14ac:dyDescent="0.5">
      <c r="A3" s="60"/>
      <c r="B3" s="63"/>
      <c r="C3" s="63"/>
      <c r="D3" s="63"/>
      <c r="E3" s="60"/>
      <c r="F3" s="63"/>
      <c r="G3" s="63"/>
      <c r="H3" s="63"/>
      <c r="I3" s="56"/>
    </row>
    <row r="4" spans="1:10" ht="31.5" x14ac:dyDescent="0.5">
      <c r="A4" s="60" t="s">
        <v>150</v>
      </c>
      <c r="B4" s="61"/>
      <c r="C4" s="61"/>
      <c r="D4" s="62"/>
      <c r="E4" s="60" t="s">
        <v>151</v>
      </c>
      <c r="F4" s="61"/>
      <c r="G4" s="61"/>
      <c r="H4" s="60" t="s">
        <v>152</v>
      </c>
      <c r="I4" s="55"/>
      <c r="J4" s="49"/>
    </row>
    <row r="5" spans="1:10" ht="17.25" customHeight="1" x14ac:dyDescent="0.5">
      <c r="A5" s="63"/>
      <c r="B5" s="63"/>
      <c r="C5" s="63"/>
      <c r="D5" s="63"/>
      <c r="E5" s="63"/>
      <c r="F5" s="62"/>
      <c r="G5" s="62"/>
      <c r="H5" s="63"/>
      <c r="I5" s="56"/>
    </row>
    <row r="6" spans="1:10" ht="31.5" x14ac:dyDescent="0.5">
      <c r="A6" s="60" t="s">
        <v>156</v>
      </c>
      <c r="B6" s="61"/>
      <c r="C6" s="61"/>
      <c r="D6" s="62"/>
      <c r="E6" s="60" t="s">
        <v>157</v>
      </c>
      <c r="F6" s="61"/>
      <c r="G6" s="61"/>
      <c r="H6" s="64" t="s">
        <v>158</v>
      </c>
      <c r="I6" s="55"/>
      <c r="J6" s="49"/>
    </row>
    <row r="7" spans="1:10" ht="19.5" customHeight="1" thickBot="1" x14ac:dyDescent="0.55000000000000004">
      <c r="A7" s="63"/>
      <c r="B7" s="63"/>
      <c r="C7" s="63"/>
      <c r="D7" s="63"/>
      <c r="E7" s="63"/>
      <c r="F7" s="62"/>
      <c r="G7" s="62"/>
      <c r="H7" s="60"/>
      <c r="I7" s="25"/>
      <c r="J7" s="25"/>
    </row>
    <row r="8" spans="1:10" s="53" customFormat="1" ht="31.5" customHeight="1" thickBot="1" x14ac:dyDescent="0.3">
      <c r="B8" s="512" t="s">
        <v>159</v>
      </c>
      <c r="C8" s="513"/>
      <c r="D8" s="513"/>
      <c r="E8" s="513"/>
      <c r="F8" s="514"/>
      <c r="G8" s="512" t="s">
        <v>160</v>
      </c>
      <c r="H8" s="513"/>
      <c r="I8" s="514"/>
      <c r="J8" s="54"/>
    </row>
    <row r="9" spans="1:10" ht="45" customHeight="1" thickBot="1" x14ac:dyDescent="0.3">
      <c r="B9" s="57" t="s">
        <v>153</v>
      </c>
      <c r="C9" s="58" t="s">
        <v>73</v>
      </c>
      <c r="D9" s="58" t="s">
        <v>154</v>
      </c>
      <c r="E9" s="58" t="s">
        <v>161</v>
      </c>
      <c r="F9" s="59" t="s">
        <v>155</v>
      </c>
      <c r="G9" s="57" t="s">
        <v>73</v>
      </c>
      <c r="H9" s="58" t="s">
        <v>161</v>
      </c>
      <c r="I9" s="59" t="s">
        <v>153</v>
      </c>
      <c r="J9" s="25"/>
    </row>
    <row r="10" spans="1:10" ht="66.75" customHeight="1" thickBot="1" x14ac:dyDescent="0.3">
      <c r="B10" s="50"/>
      <c r="C10" s="51"/>
      <c r="D10" s="51"/>
      <c r="E10" s="51"/>
      <c r="F10" s="52"/>
      <c r="G10" s="50"/>
      <c r="H10" s="51"/>
      <c r="I10" s="52"/>
      <c r="J10" s="25"/>
    </row>
    <row r="11" spans="1:10" ht="66.75" customHeight="1" thickBot="1" x14ac:dyDescent="0.3">
      <c r="B11" s="50"/>
      <c r="C11" s="51"/>
      <c r="D11" s="51"/>
      <c r="E11" s="51"/>
      <c r="F11" s="52"/>
      <c r="G11" s="50"/>
      <c r="H11" s="51"/>
      <c r="I11" s="52"/>
      <c r="J11" s="25"/>
    </row>
    <row r="12" spans="1:10" ht="66.75" customHeight="1" thickBot="1" x14ac:dyDescent="0.3">
      <c r="B12" s="50"/>
      <c r="C12" s="51"/>
      <c r="D12" s="51"/>
      <c r="E12" s="51"/>
      <c r="F12" s="52"/>
      <c r="G12" s="50"/>
      <c r="H12" s="51"/>
      <c r="I12" s="52"/>
      <c r="J12" s="25"/>
    </row>
    <row r="13" spans="1:10" ht="66.75" customHeight="1" thickBot="1" x14ac:dyDescent="0.3">
      <c r="B13" s="50"/>
      <c r="C13" s="51"/>
      <c r="D13" s="51"/>
      <c r="E13" s="51"/>
      <c r="F13" s="52"/>
      <c r="G13" s="50"/>
      <c r="H13" s="51"/>
      <c r="I13" s="52"/>
      <c r="J13" s="25"/>
    </row>
    <row r="14" spans="1:10" ht="66.75" customHeight="1" thickBot="1" x14ac:dyDescent="0.3">
      <c r="B14" s="50"/>
      <c r="C14" s="51"/>
      <c r="D14" s="51"/>
      <c r="E14" s="51"/>
      <c r="F14" s="52"/>
      <c r="G14" s="50"/>
      <c r="H14" s="51"/>
      <c r="I14" s="52"/>
      <c r="J14" s="25"/>
    </row>
    <row r="15" spans="1:10" ht="66.75" customHeight="1" thickBot="1" x14ac:dyDescent="0.3">
      <c r="B15" s="50"/>
      <c r="C15" s="51"/>
      <c r="D15" s="51"/>
      <c r="E15" s="51"/>
      <c r="F15" s="52"/>
      <c r="G15" s="50"/>
      <c r="H15" s="51"/>
      <c r="I15" s="52"/>
      <c r="J15" s="25"/>
    </row>
    <row r="16" spans="1:10" ht="66.75" customHeight="1" thickBot="1" x14ac:dyDescent="0.3">
      <c r="B16" s="50"/>
      <c r="C16" s="51"/>
      <c r="D16" s="51"/>
      <c r="E16" s="51"/>
      <c r="F16" s="52"/>
      <c r="G16" s="50"/>
      <c r="H16" s="51"/>
      <c r="I16" s="52"/>
      <c r="J16" s="25"/>
    </row>
    <row r="17" spans="2:10" ht="66.75" customHeight="1" thickBot="1" x14ac:dyDescent="0.3">
      <c r="B17" s="50"/>
      <c r="C17" s="51"/>
      <c r="D17" s="51"/>
      <c r="E17" s="51"/>
      <c r="F17" s="52"/>
      <c r="G17" s="50"/>
      <c r="H17" s="51"/>
      <c r="I17" s="52"/>
      <c r="J17" s="25"/>
    </row>
    <row r="18" spans="2:10" ht="66.75" customHeight="1" thickBot="1" x14ac:dyDescent="0.3">
      <c r="B18" s="50"/>
      <c r="C18" s="51"/>
      <c r="D18" s="51"/>
      <c r="E18" s="51"/>
      <c r="F18" s="52"/>
      <c r="G18" s="50"/>
      <c r="H18" s="51"/>
      <c r="I18" s="52"/>
      <c r="J18" s="25"/>
    </row>
    <row r="19" spans="2:10" ht="66.75" customHeight="1" thickBot="1" x14ac:dyDescent="0.3">
      <c r="B19" s="50"/>
      <c r="C19" s="51"/>
      <c r="D19" s="51"/>
      <c r="E19" s="51"/>
      <c r="F19" s="52"/>
      <c r="G19" s="50"/>
      <c r="H19" s="51"/>
      <c r="I19" s="52"/>
      <c r="J19" s="25"/>
    </row>
    <row r="20" spans="2:10" ht="66.75" customHeight="1" thickBot="1" x14ac:dyDescent="0.3">
      <c r="B20" s="50"/>
      <c r="C20" s="51"/>
      <c r="D20" s="51"/>
      <c r="E20" s="51"/>
      <c r="F20" s="52"/>
      <c r="G20" s="50"/>
      <c r="H20" s="51"/>
      <c r="I20" s="52"/>
      <c r="J20" s="25"/>
    </row>
    <row r="21" spans="2:10" ht="66.75" customHeight="1" thickBot="1" x14ac:dyDescent="0.3">
      <c r="B21" s="50"/>
      <c r="C21" s="51"/>
      <c r="D21" s="51"/>
      <c r="E21" s="51"/>
      <c r="F21" s="52"/>
      <c r="G21" s="50"/>
      <c r="H21" s="51"/>
      <c r="I21" s="52"/>
      <c r="J21" s="25"/>
    </row>
    <row r="22" spans="2:10" ht="66.75" customHeight="1" thickBot="1" x14ac:dyDescent="0.3">
      <c r="B22" s="50"/>
      <c r="C22" s="51"/>
      <c r="D22" s="51"/>
      <c r="E22" s="51"/>
      <c r="F22" s="52"/>
      <c r="G22" s="50"/>
      <c r="H22" s="51"/>
      <c r="I22" s="52"/>
      <c r="J22" s="25"/>
    </row>
    <row r="23" spans="2:10" ht="66.75" customHeight="1" thickBot="1" x14ac:dyDescent="0.3">
      <c r="B23" s="50"/>
      <c r="C23" s="51"/>
      <c r="D23" s="51"/>
      <c r="E23" s="51"/>
      <c r="F23" s="52"/>
      <c r="G23" s="50"/>
      <c r="H23" s="51"/>
      <c r="I23" s="52"/>
      <c r="J23" s="25"/>
    </row>
    <row r="24" spans="2:10" ht="66.75" customHeight="1" thickBot="1" x14ac:dyDescent="0.3">
      <c r="B24" s="50"/>
      <c r="C24" s="51"/>
      <c r="D24" s="51"/>
      <c r="E24" s="51"/>
      <c r="F24" s="52"/>
      <c r="G24" s="50"/>
      <c r="H24" s="51"/>
      <c r="I24" s="52"/>
      <c r="J24" s="25"/>
    </row>
    <row r="25" spans="2:10" ht="66.75" customHeight="1" thickBot="1" x14ac:dyDescent="0.3">
      <c r="B25" s="50"/>
      <c r="C25" s="51"/>
      <c r="D25" s="51"/>
      <c r="E25" s="51"/>
      <c r="F25" s="52"/>
      <c r="G25" s="50"/>
      <c r="H25" s="51"/>
      <c r="I25" s="52"/>
      <c r="J25" s="25"/>
    </row>
    <row r="26" spans="2:10" ht="66.75" customHeight="1" thickBot="1" x14ac:dyDescent="0.3">
      <c r="B26" s="50"/>
      <c r="C26" s="51"/>
      <c r="D26" s="51"/>
      <c r="E26" s="51"/>
      <c r="F26" s="52"/>
      <c r="G26" s="50"/>
      <c r="H26" s="51"/>
      <c r="I26" s="52"/>
      <c r="J26" s="25"/>
    </row>
    <row r="27" spans="2:10" ht="66.75" customHeight="1" thickBot="1" x14ac:dyDescent="0.3">
      <c r="B27" s="50"/>
      <c r="C27" s="51"/>
      <c r="D27" s="51"/>
      <c r="E27" s="51"/>
      <c r="F27" s="52"/>
      <c r="G27" s="50"/>
      <c r="H27" s="51"/>
      <c r="I27" s="52"/>
      <c r="J27" s="25"/>
    </row>
  </sheetData>
  <mergeCells count="3">
    <mergeCell ref="B8:F8"/>
    <mergeCell ref="G8:I8"/>
    <mergeCell ref="A1:J1"/>
  </mergeCells>
  <printOptions horizontalCentered="1" verticalCentered="1"/>
  <pageMargins left="0.31496062992125984" right="0.31496062992125984" top="0.35433070866141736" bottom="0.35433070866141736" header="0.11811023622047245" footer="0.11811023622047245"/>
  <pageSetup paperSize="9" scale="52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Q9"/>
  <sheetViews>
    <sheetView workbookViewId="0">
      <selection activeCell="B8" sqref="B5:B8"/>
    </sheetView>
  </sheetViews>
  <sheetFormatPr baseColWidth="10" defaultColWidth="9.140625" defaultRowHeight="15" x14ac:dyDescent="0.25"/>
  <cols>
    <col min="1" max="1" width="25.85546875" style="5" customWidth="1"/>
    <col min="2" max="2" width="20.7109375" style="5" bestFit="1" customWidth="1"/>
    <col min="3" max="3" width="12.5703125" bestFit="1" customWidth="1"/>
    <col min="4" max="4" width="13.7109375" style="5" customWidth="1"/>
    <col min="5" max="5" width="11" customWidth="1"/>
    <col min="6" max="6" width="9.7109375" customWidth="1"/>
    <col min="8" max="8" width="14.7109375" customWidth="1"/>
    <col min="9" max="9" width="15.140625" customWidth="1"/>
    <col min="10" max="10" width="12.85546875" customWidth="1"/>
    <col min="12" max="12" width="13.28515625" customWidth="1"/>
    <col min="14" max="14" width="17.5703125" customWidth="1"/>
    <col min="15" max="15" width="10.42578125" customWidth="1"/>
    <col min="16" max="16" width="9.28515625" customWidth="1"/>
    <col min="17" max="17" width="10.85546875" customWidth="1"/>
  </cols>
  <sheetData>
    <row r="1" spans="1:17" s="8" customFormat="1" ht="82.5" customHeight="1" x14ac:dyDescent="0.25">
      <c r="A1" s="7" t="s">
        <v>0</v>
      </c>
      <c r="B1" s="7" t="s">
        <v>75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13</v>
      </c>
      <c r="P1" s="7" t="s">
        <v>14</v>
      </c>
      <c r="Q1" s="7" t="s">
        <v>15</v>
      </c>
    </row>
    <row r="2" spans="1:17" ht="30" x14ac:dyDescent="0.25">
      <c r="A2" s="1">
        <f>ROW()-1</f>
        <v>1</v>
      </c>
      <c r="B2" s="1" t="s">
        <v>76</v>
      </c>
      <c r="C2" s="1" t="s">
        <v>266</v>
      </c>
      <c r="D2" s="1" t="s">
        <v>83</v>
      </c>
      <c r="E2" s="1" t="s">
        <v>16</v>
      </c>
      <c r="F2" s="1" t="s">
        <v>17</v>
      </c>
      <c r="G2" s="1">
        <v>5</v>
      </c>
      <c r="H2" s="1" t="s">
        <v>18</v>
      </c>
      <c r="I2" s="1">
        <v>78290</v>
      </c>
      <c r="J2" s="1" t="s">
        <v>19</v>
      </c>
      <c r="K2" s="2"/>
      <c r="L2" s="1"/>
      <c r="M2" s="1"/>
      <c r="N2" s="1"/>
      <c r="O2" s="1"/>
      <c r="P2" s="1"/>
      <c r="Q2" s="1"/>
    </row>
    <row r="3" spans="1:17" x14ac:dyDescent="0.25">
      <c r="A3" s="1">
        <f t="shared" ref="A3:A6" si="0">ROW()-1</f>
        <v>2</v>
      </c>
      <c r="B3" s="5" t="s">
        <v>77</v>
      </c>
      <c r="C3" s="1"/>
      <c r="D3" s="5" t="s">
        <v>90</v>
      </c>
      <c r="G3">
        <v>19</v>
      </c>
      <c r="H3" t="s">
        <v>177</v>
      </c>
      <c r="I3">
        <v>56000</v>
      </c>
      <c r="J3" t="s">
        <v>180</v>
      </c>
    </row>
    <row r="4" spans="1:17" x14ac:dyDescent="0.25">
      <c r="A4" s="1">
        <f t="shared" si="0"/>
        <v>3</v>
      </c>
      <c r="B4" s="5" t="s">
        <v>78</v>
      </c>
      <c r="C4" s="1" t="s">
        <v>94</v>
      </c>
      <c r="D4" s="5" t="s">
        <v>78</v>
      </c>
      <c r="G4">
        <v>3</v>
      </c>
      <c r="H4" t="s">
        <v>178</v>
      </c>
      <c r="I4">
        <v>64500</v>
      </c>
      <c r="J4" t="s">
        <v>95</v>
      </c>
    </row>
    <row r="5" spans="1:17" x14ac:dyDescent="0.25">
      <c r="A5" s="1">
        <f t="shared" si="0"/>
        <v>4</v>
      </c>
      <c r="B5" s="5" t="s">
        <v>96</v>
      </c>
      <c r="C5" t="s">
        <v>94</v>
      </c>
      <c r="D5" s="5" t="s">
        <v>97</v>
      </c>
      <c r="E5" t="s">
        <v>98</v>
      </c>
      <c r="G5">
        <v>5</v>
      </c>
      <c r="H5" t="s">
        <v>179</v>
      </c>
      <c r="I5">
        <v>23560</v>
      </c>
      <c r="J5" t="s">
        <v>99</v>
      </c>
    </row>
    <row r="6" spans="1:17" x14ac:dyDescent="0.25">
      <c r="A6" s="1">
        <f t="shared" si="0"/>
        <v>5</v>
      </c>
      <c r="B6" s="5" t="s">
        <v>186</v>
      </c>
      <c r="C6" t="s">
        <v>94</v>
      </c>
      <c r="D6" s="5" t="s">
        <v>187</v>
      </c>
      <c r="E6" t="s">
        <v>188</v>
      </c>
      <c r="G6">
        <v>6</v>
      </c>
      <c r="H6" t="s">
        <v>189</v>
      </c>
      <c r="I6">
        <v>78000</v>
      </c>
      <c r="J6" t="s">
        <v>190</v>
      </c>
    </row>
    <row r="7" spans="1:17" x14ac:dyDescent="0.25">
      <c r="A7" s="5">
        <v>6</v>
      </c>
      <c r="B7" s="5" t="s">
        <v>195</v>
      </c>
      <c r="C7" t="s">
        <v>94</v>
      </c>
      <c r="D7" s="5" t="s">
        <v>196</v>
      </c>
      <c r="E7" t="s">
        <v>197</v>
      </c>
      <c r="F7" t="s">
        <v>198</v>
      </c>
      <c r="G7" s="70">
        <v>45</v>
      </c>
      <c r="H7" t="s">
        <v>199</v>
      </c>
      <c r="I7">
        <v>64000</v>
      </c>
      <c r="J7" t="s">
        <v>200</v>
      </c>
    </row>
    <row r="8" spans="1:17" x14ac:dyDescent="0.25">
      <c r="A8" s="5">
        <v>7</v>
      </c>
      <c r="B8" s="5" t="s">
        <v>265</v>
      </c>
      <c r="C8" t="s">
        <v>266</v>
      </c>
      <c r="D8" s="104"/>
      <c r="E8" t="s">
        <v>267</v>
      </c>
      <c r="G8">
        <v>4</v>
      </c>
      <c r="I8">
        <v>74500</v>
      </c>
      <c r="J8" t="s">
        <v>268</v>
      </c>
    </row>
    <row r="9" spans="1:17" x14ac:dyDescent="0.25">
      <c r="A9" s="5">
        <v>8</v>
      </c>
      <c r="D9" s="104"/>
    </row>
  </sheetData>
  <dataValidations count="2">
    <dataValidation type="list" allowBlank="1" showInputMessage="1" showErrorMessage="1" sqref="F1:F2" xr:uid="{FE5420DA-DFA1-413E-B736-77A0FB264892}">
      <formula1>"PARTICULIER,PROFESSIONNEL"</formula1>
    </dataValidation>
    <dataValidation type="list" allowBlank="1" showInputMessage="1" showErrorMessage="1" sqref="C2:C9" xr:uid="{BEFCC7B0-9999-464F-B38E-711F0424258F}">
      <formula1>"Mr, Mme"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0D6B1-8BF2-4F29-BBF6-109622F34198}">
  <sheetPr codeName="Feuil4"/>
  <dimension ref="A1:BD21"/>
  <sheetViews>
    <sheetView workbookViewId="0"/>
  </sheetViews>
  <sheetFormatPr baseColWidth="10" defaultColWidth="12.7109375" defaultRowHeight="15" x14ac:dyDescent="0.25"/>
  <cols>
    <col min="1" max="1" width="5.85546875" style="75" customWidth="1"/>
    <col min="2" max="2" width="25.85546875" style="72" bestFit="1" customWidth="1"/>
    <col min="3" max="3" width="16.7109375" style="76" customWidth="1"/>
    <col min="4" max="4" width="16.7109375" style="106" customWidth="1"/>
    <col min="5" max="5" width="16.7109375" style="77" customWidth="1"/>
    <col min="6" max="8" width="12.7109375" style="75"/>
    <col min="9" max="11" width="12.7109375" style="72"/>
    <col min="12" max="12" width="12.7109375" style="75"/>
    <col min="13" max="13" width="12.7109375" style="72"/>
    <col min="14" max="14" width="12.7109375" style="75"/>
    <col min="15" max="16" width="12.7109375" style="73"/>
    <col min="17" max="19" width="12.7109375" style="72"/>
    <col min="20" max="20" width="12.7109375" style="75"/>
    <col min="21" max="21" width="12.7109375" style="72"/>
    <col min="22" max="22" width="12.7109375" style="75"/>
    <col min="23" max="24" width="12.7109375" style="73"/>
    <col min="25" max="25" width="12.7109375" style="72"/>
    <col min="26" max="26" width="12.7109375" style="76"/>
    <col min="27" max="27" width="12.7109375" style="72"/>
    <col min="28" max="28" width="12.7109375" style="75"/>
    <col min="29" max="29" width="12.7109375" style="72"/>
    <col min="30" max="30" width="12.7109375" style="75"/>
    <col min="31" max="32" width="12.7109375" style="73"/>
    <col min="33" max="33" width="12.7109375" style="72"/>
    <col min="34" max="34" width="12.7109375" style="76"/>
    <col min="35" max="35" width="12.7109375" style="72"/>
    <col min="36" max="36" width="12.7109375" style="75"/>
    <col min="37" max="37" width="12.7109375" style="72"/>
    <col min="38" max="38" width="12.7109375" style="75"/>
    <col min="39" max="40" width="12.7109375" style="73"/>
    <col min="41" max="16384" width="12.7109375" style="72"/>
  </cols>
  <sheetData>
    <row r="1" spans="1:56" s="102" customFormat="1" ht="89.25" customHeight="1" x14ac:dyDescent="0.25">
      <c r="A1" s="90" t="s">
        <v>72</v>
      </c>
      <c r="B1" s="89" t="s">
        <v>165</v>
      </c>
      <c r="C1" s="89" t="s">
        <v>225</v>
      </c>
      <c r="D1" s="89" t="s">
        <v>204</v>
      </c>
      <c r="E1" s="100" t="s">
        <v>182</v>
      </c>
      <c r="F1" s="89" t="s">
        <v>181</v>
      </c>
      <c r="G1" s="89" t="s">
        <v>257</v>
      </c>
      <c r="H1" s="89" t="s">
        <v>176</v>
      </c>
      <c r="I1" s="101" t="s">
        <v>209</v>
      </c>
      <c r="J1" s="89" t="s">
        <v>208</v>
      </c>
      <c r="K1" s="90" t="s">
        <v>211</v>
      </c>
      <c r="L1" s="89" t="s">
        <v>217</v>
      </c>
      <c r="M1" s="90" t="s">
        <v>258</v>
      </c>
      <c r="N1" s="89" t="s">
        <v>218</v>
      </c>
      <c r="O1" s="89" t="s">
        <v>245</v>
      </c>
      <c r="P1" s="89" t="s">
        <v>247</v>
      </c>
      <c r="Q1" s="101" t="s">
        <v>212</v>
      </c>
      <c r="R1" s="89" t="s">
        <v>210</v>
      </c>
      <c r="S1" s="90" t="s">
        <v>213</v>
      </c>
      <c r="T1" s="89" t="s">
        <v>224</v>
      </c>
      <c r="U1" s="90" t="s">
        <v>219</v>
      </c>
      <c r="V1" s="89" t="s">
        <v>220</v>
      </c>
      <c r="W1" s="89" t="s">
        <v>246</v>
      </c>
      <c r="X1" s="89" t="s">
        <v>248</v>
      </c>
      <c r="Y1" s="101" t="s">
        <v>214</v>
      </c>
      <c r="Z1" s="89" t="s">
        <v>215</v>
      </c>
      <c r="AA1" s="90" t="s">
        <v>216</v>
      </c>
      <c r="AB1" s="89" t="s">
        <v>221</v>
      </c>
      <c r="AC1" s="90" t="s">
        <v>222</v>
      </c>
      <c r="AD1" s="89" t="s">
        <v>223</v>
      </c>
      <c r="AE1" s="89" t="s">
        <v>249</v>
      </c>
      <c r="AF1" s="89" t="s">
        <v>250</v>
      </c>
      <c r="AG1" s="101" t="s">
        <v>226</v>
      </c>
      <c r="AH1" s="89" t="s">
        <v>227</v>
      </c>
      <c r="AI1" s="90" t="s">
        <v>228</v>
      </c>
      <c r="AJ1" s="89" t="s">
        <v>229</v>
      </c>
      <c r="AK1" s="90" t="s">
        <v>230</v>
      </c>
      <c r="AL1" s="89" t="s">
        <v>231</v>
      </c>
      <c r="AM1" s="89" t="s">
        <v>251</v>
      </c>
      <c r="AN1" s="89" t="s">
        <v>252</v>
      </c>
      <c r="AO1" s="101" t="s">
        <v>232</v>
      </c>
      <c r="AP1" s="89" t="s">
        <v>233</v>
      </c>
      <c r="AQ1" s="90" t="s">
        <v>234</v>
      </c>
      <c r="AR1" s="89" t="s">
        <v>235</v>
      </c>
      <c r="AS1" s="90" t="s">
        <v>236</v>
      </c>
      <c r="AT1" s="89" t="s">
        <v>237</v>
      </c>
      <c r="AU1" s="89" t="s">
        <v>253</v>
      </c>
      <c r="AV1" s="89" t="s">
        <v>254</v>
      </c>
      <c r="AW1" s="101" t="s">
        <v>238</v>
      </c>
      <c r="AX1" s="89" t="s">
        <v>239</v>
      </c>
      <c r="AY1" s="90" t="s">
        <v>240</v>
      </c>
      <c r="AZ1" s="89" t="s">
        <v>241</v>
      </c>
      <c r="BA1" s="90" t="s">
        <v>242</v>
      </c>
      <c r="BB1" s="89" t="s">
        <v>243</v>
      </c>
      <c r="BC1" s="89" t="s">
        <v>255</v>
      </c>
      <c r="BD1" s="89" t="s">
        <v>256</v>
      </c>
    </row>
    <row r="2" spans="1:56" x14ac:dyDescent="0.25">
      <c r="A2" s="105">
        <f>ROW()-1</f>
        <v>1</v>
      </c>
      <c r="B2" s="79" t="s">
        <v>27</v>
      </c>
      <c r="C2" s="80" t="s">
        <v>203</v>
      </c>
      <c r="D2" s="106">
        <v>2018</v>
      </c>
      <c r="E2" s="81">
        <v>43105</v>
      </c>
      <c r="F2" s="85">
        <f>IF(Tableau8[[#This Row],[N° de facture annuelle]]="","",SUM(Tableau8[[#This Row],[Total 1 TTC]],Tableau8[[#This Row],[Total 2 TTC]],Tableau8[[#This Row],[Total 3 TTC]],Tableau8[[#This Row],[Total 4 TTC]],Tableau8[[#This Row],[Total 5 TTC]],Tableau8[[#This Row],[Total 6 TTC]]))</f>
        <v>902.39999999999986</v>
      </c>
      <c r="G2" s="85">
        <f>IF(Tableau8[[#This Row],[Total TTC]]="","",Tableau8[[#This Row],[Total TTC]]-Tableau8[[#This Row],[Total HT]])</f>
        <v>150.39999999999986</v>
      </c>
      <c r="H2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752</v>
      </c>
      <c r="I2" s="82">
        <v>43048</v>
      </c>
      <c r="J2" s="83" t="s">
        <v>139</v>
      </c>
      <c r="K2" s="84">
        <v>50</v>
      </c>
      <c r="L2" s="85">
        <f>IF('SAISIE ACHATS CONSOMMABLES'!$K2="","",VLOOKUP('SAISIE ACHATS CONSOMMABLES'!$J2,'BDD FROMAGES_CONSOMMABLES'!$H:$I,2,FALSE))</f>
        <v>12</v>
      </c>
      <c r="M2" s="86"/>
      <c r="N2" s="87">
        <f>IF('SAISIE ACHATS CONSOMMABLES'!$K2="","",IF('SAISIE ACHATS CONSOMMABLES'!$M2="",'SAISIE ACHATS CONSOMMABLES'!$L2*'SAISIE ACHATS CONSOMMABLES'!$K2,'SAISIE ACHATS CONSOMMABLES'!$M2*'SAISIE ACHATS CONSOMMABLES'!$K2))</f>
        <v>600</v>
      </c>
      <c r="O2" s="85">
        <f>IF('SAISIE ACHATS CONSOMMABLES'!$J2="","",(VLOOKUP('SAISIE ACHATS CONSOMMABLES'!$J2,'BDD FROMAGES_CONSOMMABLES'!$H:$J,3,FALSE))*'SAISIE ACHATS CONSOMMABLES'!$N2)</f>
        <v>120</v>
      </c>
      <c r="P2" s="85">
        <f>IFERROR('SAISIE ACHATS CONSOMMABLES'!$N2+'SAISIE ACHATS CONSOMMABLES'!$O2,"")</f>
        <v>720</v>
      </c>
      <c r="Q2" s="82">
        <v>43019</v>
      </c>
      <c r="R2" s="83" t="s">
        <v>20</v>
      </c>
      <c r="S2" s="84">
        <v>6</v>
      </c>
      <c r="T2" s="85">
        <f>IF('SAISIE ACHATS CONSOMMABLES'!$Q2="","",VLOOKUP('SAISIE ACHATS CONSOMMABLES'!$R2,'BDD FROMAGES_CONSOMMABLES'!$H:$I,2,FALSE))</f>
        <v>2</v>
      </c>
      <c r="U2" s="86"/>
      <c r="V2" s="87">
        <f>IF('SAISIE ACHATS CONSOMMABLES'!$S2="","",IF('SAISIE ACHATS CONSOMMABLES'!$U2="",'SAISIE ACHATS CONSOMMABLES'!$T2*'SAISIE ACHATS CONSOMMABLES'!$S2,'SAISIE ACHATS CONSOMMABLES'!$U2*'SAISIE ACHATS CONSOMMABLES'!$S2))</f>
        <v>12</v>
      </c>
      <c r="W2" s="85">
        <f>IF('SAISIE ACHATS CONSOMMABLES'!$R2="","",(VLOOKUP('SAISIE ACHATS CONSOMMABLES'!$R2,'BDD FROMAGES_CONSOMMABLES'!$H:$J,3,FALSE))*'SAISIE ACHATS CONSOMMABLES'!$V2)</f>
        <v>2.4000000000000004</v>
      </c>
      <c r="X2" s="85">
        <f>IFERROR('SAISIE ACHATS CONSOMMABLES'!$V2+'SAISIE ACHATS CONSOMMABLES'!$W2,"")</f>
        <v>14.4</v>
      </c>
      <c r="Y2" s="82">
        <v>43105</v>
      </c>
      <c r="Z2" s="88" t="s">
        <v>138</v>
      </c>
      <c r="AA2" s="84">
        <v>12</v>
      </c>
      <c r="AB2" s="85">
        <f>IF('SAISIE ACHATS CONSOMMABLES'!$Y2="","",VLOOKUP('SAISIE ACHATS CONSOMMABLES'!$Z2,'BDD FROMAGES_CONSOMMABLES'!$H:$I,2,FALSE))</f>
        <v>1</v>
      </c>
      <c r="AC2" s="86"/>
      <c r="AD2" s="87">
        <f>IF('SAISIE ACHATS CONSOMMABLES'!$AA2="","",IF('SAISIE ACHATS CONSOMMABLES'!$AC2="",'SAISIE ACHATS CONSOMMABLES'!$AB2*'SAISIE ACHATS CONSOMMABLES'!$AA2,'SAISIE ACHATS CONSOMMABLES'!$AC2*'SAISIE ACHATS CONSOMMABLES'!$AA2))</f>
        <v>12</v>
      </c>
      <c r="AE2" s="85">
        <f>IF('SAISIE ACHATS CONSOMMABLES'!$Z2="","",(VLOOKUP('SAISIE ACHATS CONSOMMABLES'!$Z2,'BDD FROMAGES_CONSOMMABLES'!$H:$J,3,FALSE))*'SAISIE ACHATS CONSOMMABLES'!$AD2)</f>
        <v>2.4000000000000004</v>
      </c>
      <c r="AF2" s="85">
        <f>IFERROR('SAISIE ACHATS CONSOMMABLES'!$AD2+'SAISIE ACHATS CONSOMMABLES'!$AE2,"")</f>
        <v>14.4</v>
      </c>
      <c r="AG2" s="82">
        <v>43138</v>
      </c>
      <c r="AH2" s="88" t="s">
        <v>140</v>
      </c>
      <c r="AI2" s="84">
        <v>13</v>
      </c>
      <c r="AJ2" s="85">
        <f>IF('SAISIE ACHATS CONSOMMABLES'!AG2="","",VLOOKUP('SAISIE ACHATS CONSOMMABLES'!AH2,'BDD FROMAGES_CONSOMMABLES'!$H:$I,2,FALSE))</f>
        <v>0</v>
      </c>
      <c r="AK2" s="86">
        <v>8</v>
      </c>
      <c r="AL2" s="87">
        <f>IF('SAISIE ACHATS CONSOMMABLES'!AI2="","",IF('SAISIE ACHATS CONSOMMABLES'!AK2="",'SAISIE ACHATS CONSOMMABLES'!AJ2*'SAISIE ACHATS CONSOMMABLES'!AI2,'SAISIE ACHATS CONSOMMABLES'!AK2*'SAISIE ACHATS CONSOMMABLES'!AI2))</f>
        <v>104</v>
      </c>
      <c r="AM2" s="85">
        <f>IF('SAISIE ACHATS CONSOMMABLES'!AH2="","",(VLOOKUP('SAISIE ACHATS CONSOMMABLES'!AH2,'BDD FROMAGES_CONSOMMABLES'!$H:$J,3,FALSE))*'SAISIE ACHATS CONSOMMABLES'!AL2)</f>
        <v>20.8</v>
      </c>
      <c r="AN2" s="85">
        <f>IFERROR('SAISIE ACHATS CONSOMMABLES'!AL2+'SAISIE ACHATS CONSOMMABLES'!AM2,"")</f>
        <v>124.8</v>
      </c>
      <c r="AO2" s="82">
        <v>43050</v>
      </c>
      <c r="AP2" s="88" t="s">
        <v>20</v>
      </c>
      <c r="AQ2" s="84">
        <v>6</v>
      </c>
      <c r="AR2" s="85">
        <f>IF('SAISIE ACHATS CONSOMMABLES'!AO2="","",VLOOKUP('SAISIE ACHATS CONSOMMABLES'!AP2,'BDD FROMAGES_CONSOMMABLES'!$H:$I,2,FALSE))</f>
        <v>2</v>
      </c>
      <c r="AS2" s="86"/>
      <c r="AT2" s="87">
        <f>IF('SAISIE ACHATS CONSOMMABLES'!AQ2="","",IF('SAISIE ACHATS CONSOMMABLES'!AS2="",'SAISIE ACHATS CONSOMMABLES'!AR2*'SAISIE ACHATS CONSOMMABLES'!AQ2,'SAISIE ACHATS CONSOMMABLES'!AS2*'SAISIE ACHATS CONSOMMABLES'!AQ2))</f>
        <v>12</v>
      </c>
      <c r="AU2" s="85">
        <f>IF('SAISIE ACHATS CONSOMMABLES'!AP2="","",(VLOOKUP('SAISIE ACHATS CONSOMMABLES'!AP2,'BDD FROMAGES_CONSOMMABLES'!$H:$J,3,FALSE))*'SAISIE ACHATS CONSOMMABLES'!AT2)</f>
        <v>2.4000000000000004</v>
      </c>
      <c r="AV2" s="85">
        <f>IFERROR('SAISIE ACHATS CONSOMMABLES'!AT2+'SAISIE ACHATS CONSOMMABLES'!AU2,"")</f>
        <v>14.4</v>
      </c>
      <c r="AW2" s="82">
        <v>43050</v>
      </c>
      <c r="AX2" s="88" t="s">
        <v>20</v>
      </c>
      <c r="AY2" s="84">
        <v>6</v>
      </c>
      <c r="AZ2" s="85">
        <f>IF('SAISIE ACHATS CONSOMMABLES'!AW2="","",VLOOKUP('SAISIE ACHATS CONSOMMABLES'!AX2,'BDD FROMAGES_CONSOMMABLES'!$H:$I,2,FALSE))</f>
        <v>2</v>
      </c>
      <c r="BA2" s="86"/>
      <c r="BB2" s="87">
        <f>IF('SAISIE ACHATS CONSOMMABLES'!AY2="","",IF('SAISIE ACHATS CONSOMMABLES'!BA2="",'SAISIE ACHATS CONSOMMABLES'!AZ2*'SAISIE ACHATS CONSOMMABLES'!AY2,'SAISIE ACHATS CONSOMMABLES'!BA2*'SAISIE ACHATS CONSOMMABLES'!AY2))</f>
        <v>12</v>
      </c>
      <c r="BC2" s="85">
        <f>IF('SAISIE ACHATS CONSOMMABLES'!AX2="","",(VLOOKUP('SAISIE ACHATS CONSOMMABLES'!AX2,'BDD FROMAGES_CONSOMMABLES'!$H:$J,3,FALSE))*'SAISIE ACHATS CONSOMMABLES'!BB2)</f>
        <v>2.4000000000000004</v>
      </c>
      <c r="BD2" s="85">
        <f>IFERROR('SAISIE ACHATS CONSOMMABLES'!BB2+'SAISIE ACHATS CONSOMMABLES'!BC2,"")</f>
        <v>14.4</v>
      </c>
    </row>
    <row r="3" spans="1:56" x14ac:dyDescent="0.25">
      <c r="A3" s="105">
        <f t="shared" ref="A3:A20" si="0">ROW()-1</f>
        <v>2</v>
      </c>
      <c r="B3" s="91" t="s">
        <v>30</v>
      </c>
      <c r="C3" s="80" t="s">
        <v>244</v>
      </c>
      <c r="D3" s="106">
        <v>2018</v>
      </c>
      <c r="E3" s="81">
        <v>43106</v>
      </c>
      <c r="F3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80.400000000000006</v>
      </c>
      <c r="G3" s="85">
        <f>IF(Tableau8[[#This Row],[Total TTC]]="","",Tableau8[[#This Row],[Total TTC]]-Tableau8[[#This Row],[Total HT]])</f>
        <v>13.400000000000006</v>
      </c>
      <c r="H3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67</v>
      </c>
      <c r="I3" s="82">
        <v>43049</v>
      </c>
      <c r="J3" s="83" t="s">
        <v>138</v>
      </c>
      <c r="K3" s="84">
        <v>67</v>
      </c>
      <c r="L3" s="85">
        <f>IF('SAISIE ACHATS CONSOMMABLES'!$K3="","",VLOOKUP('SAISIE ACHATS CONSOMMABLES'!$J3,'BDD FROMAGES_CONSOMMABLES'!$H:$I,2,FALSE))</f>
        <v>1</v>
      </c>
      <c r="M3" s="86"/>
      <c r="N3" s="87">
        <f>IF('SAISIE ACHATS CONSOMMABLES'!$K3="","",IF('SAISIE ACHATS CONSOMMABLES'!$M3="",'SAISIE ACHATS CONSOMMABLES'!$L3*'SAISIE ACHATS CONSOMMABLES'!$K3,'SAISIE ACHATS CONSOMMABLES'!$M3*'SAISIE ACHATS CONSOMMABLES'!$K3))</f>
        <v>67</v>
      </c>
      <c r="O3" s="85">
        <f>IF('SAISIE ACHATS CONSOMMABLES'!$J3="","",(VLOOKUP('SAISIE ACHATS CONSOMMABLES'!$J3,'BDD FROMAGES_CONSOMMABLES'!$H:$J,3,FALSE))*'SAISIE ACHATS CONSOMMABLES'!$N3)</f>
        <v>13.4</v>
      </c>
      <c r="P3" s="85">
        <f>IFERROR('SAISIE ACHATS CONSOMMABLES'!$N3+'SAISIE ACHATS CONSOMMABLES'!$O3,"")</f>
        <v>80.400000000000006</v>
      </c>
      <c r="Q3" s="82"/>
      <c r="R3" s="83"/>
      <c r="S3" s="84"/>
      <c r="T3" s="85" t="str">
        <f>IF('SAISIE ACHATS CONSOMMABLES'!$Q3="","",VLOOKUP('SAISIE ACHATS CONSOMMABLES'!$R3,'BDD FROMAGES_CONSOMMABLES'!$H:$I,2,FALSE))</f>
        <v/>
      </c>
      <c r="U3" s="86"/>
      <c r="V3" s="87" t="str">
        <f>IF('SAISIE ACHATS CONSOMMABLES'!$S3="","",IF('SAISIE ACHATS CONSOMMABLES'!$U3="",'SAISIE ACHATS CONSOMMABLES'!$T3*'SAISIE ACHATS CONSOMMABLES'!$S3,'SAISIE ACHATS CONSOMMABLES'!$U3*'SAISIE ACHATS CONSOMMABLES'!$S3))</f>
        <v/>
      </c>
      <c r="W3" s="85" t="str">
        <f>IF('SAISIE ACHATS CONSOMMABLES'!$R3="","",(VLOOKUP('SAISIE ACHATS CONSOMMABLES'!$R3,'BDD FROMAGES_CONSOMMABLES'!$H:$J,3,FALSE))*'SAISIE ACHATS CONSOMMABLES'!$V3)</f>
        <v/>
      </c>
      <c r="X3" s="85" t="str">
        <f>IFERROR('SAISIE ACHATS CONSOMMABLES'!$V3+'SAISIE ACHATS CONSOMMABLES'!$W3,"")</f>
        <v/>
      </c>
      <c r="Y3" s="82"/>
      <c r="Z3" s="88"/>
      <c r="AA3" s="84"/>
      <c r="AB3" s="85" t="str">
        <f>IF('SAISIE ACHATS CONSOMMABLES'!$Y3="","",VLOOKUP('SAISIE ACHATS CONSOMMABLES'!$Z3,'BDD FROMAGES_CONSOMMABLES'!$H:$I,2,FALSE))</f>
        <v/>
      </c>
      <c r="AC3" s="86"/>
      <c r="AD3" s="87" t="str">
        <f>IF('SAISIE ACHATS CONSOMMABLES'!$AA3="","",IF('SAISIE ACHATS CONSOMMABLES'!$AC3="",'SAISIE ACHATS CONSOMMABLES'!$AB3*'SAISIE ACHATS CONSOMMABLES'!$AA3,'SAISIE ACHATS CONSOMMABLES'!$AC3*'SAISIE ACHATS CONSOMMABLES'!$AA3))</f>
        <v/>
      </c>
      <c r="AE3" s="85" t="str">
        <f>IF('SAISIE ACHATS CONSOMMABLES'!$Z3="","",(VLOOKUP('SAISIE ACHATS CONSOMMABLES'!$Z3,'BDD FROMAGES_CONSOMMABLES'!$H:$J,3,FALSE))*'SAISIE ACHATS CONSOMMABLES'!$AD3)</f>
        <v/>
      </c>
      <c r="AF3" s="85" t="str">
        <f>IFERROR('SAISIE ACHATS CONSOMMABLES'!$AD3+'SAISIE ACHATS CONSOMMABLES'!$AE3,"")</f>
        <v/>
      </c>
      <c r="AG3" s="82"/>
      <c r="AH3" s="88"/>
      <c r="AI3" s="84"/>
      <c r="AJ3" s="85" t="str">
        <f>IF('SAISIE ACHATS CONSOMMABLES'!AG3="","",VLOOKUP('SAISIE ACHATS CONSOMMABLES'!AH3,'BDD FROMAGES_CONSOMMABLES'!$H:$I,2,FALSE))</f>
        <v/>
      </c>
      <c r="AK3" s="86"/>
      <c r="AL3" s="87" t="str">
        <f>IF('SAISIE ACHATS CONSOMMABLES'!AI3="","",IF('SAISIE ACHATS CONSOMMABLES'!AK3="",'SAISIE ACHATS CONSOMMABLES'!AJ3*'SAISIE ACHATS CONSOMMABLES'!AI3,'SAISIE ACHATS CONSOMMABLES'!AK3*'SAISIE ACHATS CONSOMMABLES'!AI3))</f>
        <v/>
      </c>
      <c r="AM3" s="85" t="str">
        <f>IF('SAISIE ACHATS CONSOMMABLES'!AH3="","",(VLOOKUP('SAISIE ACHATS CONSOMMABLES'!AH3,'BDD FROMAGES_CONSOMMABLES'!$H:$J,3,FALSE))*'SAISIE ACHATS CONSOMMABLES'!AL3)</f>
        <v/>
      </c>
      <c r="AN3" s="85" t="str">
        <f>IFERROR('SAISIE ACHATS CONSOMMABLES'!AL3+'SAISIE ACHATS CONSOMMABLES'!AM3,"")</f>
        <v/>
      </c>
      <c r="AO3" s="82"/>
      <c r="AP3" s="88"/>
      <c r="AQ3" s="84"/>
      <c r="AR3" s="85" t="str">
        <f>IF('SAISIE ACHATS CONSOMMABLES'!AO3="","",VLOOKUP('SAISIE ACHATS CONSOMMABLES'!AP3,'BDD FROMAGES_CONSOMMABLES'!$H:$I,2,FALSE))</f>
        <v/>
      </c>
      <c r="AS3" s="86"/>
      <c r="AT3" s="87" t="str">
        <f>IF('SAISIE ACHATS CONSOMMABLES'!AQ3="","",IF('SAISIE ACHATS CONSOMMABLES'!AS3="",'SAISIE ACHATS CONSOMMABLES'!AR3*'SAISIE ACHATS CONSOMMABLES'!AQ3,'SAISIE ACHATS CONSOMMABLES'!AS3*'SAISIE ACHATS CONSOMMABLES'!AQ3))</f>
        <v/>
      </c>
      <c r="AU3" s="85" t="str">
        <f>IF('SAISIE ACHATS CONSOMMABLES'!AP3="","",(VLOOKUP('SAISIE ACHATS CONSOMMABLES'!AP3,'BDD FROMAGES_CONSOMMABLES'!$H:$J,3,FALSE))*'SAISIE ACHATS CONSOMMABLES'!AT3)</f>
        <v/>
      </c>
      <c r="AV3" s="85" t="str">
        <f>IFERROR('SAISIE ACHATS CONSOMMABLES'!AT3+'SAISIE ACHATS CONSOMMABLES'!AU3,"")</f>
        <v/>
      </c>
      <c r="AW3" s="82"/>
      <c r="AX3" s="88"/>
      <c r="AY3" s="84"/>
      <c r="AZ3" s="85" t="str">
        <f>IF('SAISIE ACHATS CONSOMMABLES'!AW3="","",VLOOKUP('SAISIE ACHATS CONSOMMABLES'!AX3,'BDD FROMAGES_CONSOMMABLES'!$H:$I,2,FALSE))</f>
        <v/>
      </c>
      <c r="BA3" s="86"/>
      <c r="BB3" s="87" t="str">
        <f>IF('SAISIE ACHATS CONSOMMABLES'!AY3="","",IF('SAISIE ACHATS CONSOMMABLES'!BA3="",'SAISIE ACHATS CONSOMMABLES'!AZ3*'SAISIE ACHATS CONSOMMABLES'!AY3,'SAISIE ACHATS CONSOMMABLES'!BA3*'SAISIE ACHATS CONSOMMABLES'!AY3))</f>
        <v/>
      </c>
      <c r="BC3" s="85" t="str">
        <f>IF('SAISIE ACHATS CONSOMMABLES'!AX3="","",(VLOOKUP('SAISIE ACHATS CONSOMMABLES'!AX3,'BDD FROMAGES_CONSOMMABLES'!$H:$J,3,FALSE))*'SAISIE ACHATS CONSOMMABLES'!BB3)</f>
        <v/>
      </c>
      <c r="BD3" s="85" t="str">
        <f>IFERROR('SAISIE ACHATS CONSOMMABLES'!BB3+'SAISIE ACHATS CONSOMMABLES'!BC3,"")</f>
        <v/>
      </c>
    </row>
    <row r="4" spans="1:56" x14ac:dyDescent="0.25">
      <c r="A4" s="105">
        <f t="shared" si="0"/>
        <v>3</v>
      </c>
      <c r="B4" s="92" t="s">
        <v>32</v>
      </c>
      <c r="C4" s="94" t="s">
        <v>244</v>
      </c>
      <c r="D4" s="106">
        <v>2018</v>
      </c>
      <c r="E4" s="95">
        <v>43123</v>
      </c>
      <c r="F4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4" s="85">
        <f>IF(Tableau8[[#This Row],[Total TTC]]="","",Tableau8[[#This Row],[Total TTC]]-Tableau8[[#This Row],[Total HT]])</f>
        <v>0</v>
      </c>
      <c r="H4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4" s="96"/>
      <c r="J4" s="71"/>
      <c r="K4" s="97"/>
      <c r="L4" s="85" t="str">
        <f>IF('SAISIE ACHATS CONSOMMABLES'!$K4="","",VLOOKUP('SAISIE ACHATS CONSOMMABLES'!$J4,'BDD FROMAGES_CONSOMMABLES'!$H:$I,2,FALSE))</f>
        <v/>
      </c>
      <c r="M4" s="98"/>
      <c r="N4" s="78" t="str">
        <f>IF('SAISIE ACHATS CONSOMMABLES'!$K4="","",IF('SAISIE ACHATS CONSOMMABLES'!$M4="",'SAISIE ACHATS CONSOMMABLES'!$L4*'SAISIE ACHATS CONSOMMABLES'!$K4,'SAISIE ACHATS CONSOMMABLES'!$M4*'SAISIE ACHATS CONSOMMABLES'!$K4))</f>
        <v/>
      </c>
      <c r="O4" s="74" t="str">
        <f>IF('SAISIE ACHATS CONSOMMABLES'!$J4="","",(VLOOKUP('SAISIE ACHATS CONSOMMABLES'!$J4,'BDD FROMAGES_CONSOMMABLES'!$H:$J,3,FALSE))*'SAISIE ACHATS CONSOMMABLES'!$N4)</f>
        <v/>
      </c>
      <c r="P4" s="85" t="str">
        <f>IFERROR('SAISIE ACHATS CONSOMMABLES'!$N4+'SAISIE ACHATS CONSOMMABLES'!$O4,"")</f>
        <v/>
      </c>
      <c r="Q4" s="96"/>
      <c r="R4" s="71"/>
      <c r="S4" s="97"/>
      <c r="T4" s="74" t="str">
        <f>IF('SAISIE ACHATS CONSOMMABLES'!$Q4="","",VLOOKUP('SAISIE ACHATS CONSOMMABLES'!$R4,'BDD FROMAGES_CONSOMMABLES'!$H:$I,2,FALSE))</f>
        <v/>
      </c>
      <c r="U4" s="98"/>
      <c r="V4" s="78" t="str">
        <f>IF('SAISIE ACHATS CONSOMMABLES'!$S4="","",IF('SAISIE ACHATS CONSOMMABLES'!$U4="",'SAISIE ACHATS CONSOMMABLES'!$T4*'SAISIE ACHATS CONSOMMABLES'!$S4,'SAISIE ACHATS CONSOMMABLES'!$U4*'SAISIE ACHATS CONSOMMABLES'!$S4))</f>
        <v/>
      </c>
      <c r="W4" s="74" t="str">
        <f>IF('SAISIE ACHATS CONSOMMABLES'!$R4="","",(VLOOKUP('SAISIE ACHATS CONSOMMABLES'!$R4,'BDD FROMAGES_CONSOMMABLES'!$H:$J,3,FALSE))*'SAISIE ACHATS CONSOMMABLES'!$V4)</f>
        <v/>
      </c>
      <c r="X4" s="85" t="str">
        <f>IFERROR('SAISIE ACHATS CONSOMMABLES'!$V4+'SAISIE ACHATS CONSOMMABLES'!$W4,"")</f>
        <v/>
      </c>
      <c r="Y4" s="96"/>
      <c r="Z4" s="99"/>
      <c r="AA4" s="97"/>
      <c r="AB4" s="74" t="str">
        <f>IF('SAISIE ACHATS CONSOMMABLES'!$Y4="","",VLOOKUP('SAISIE ACHATS CONSOMMABLES'!$Z4,'BDD FROMAGES_CONSOMMABLES'!$H:$I,2,FALSE))</f>
        <v/>
      </c>
      <c r="AC4" s="98"/>
      <c r="AD4" s="78" t="str">
        <f>IF('SAISIE ACHATS CONSOMMABLES'!$AA4="","",IF('SAISIE ACHATS CONSOMMABLES'!$AC4="",'SAISIE ACHATS CONSOMMABLES'!$AB4*'SAISIE ACHATS CONSOMMABLES'!$AA4,'SAISIE ACHATS CONSOMMABLES'!$AC4*'SAISIE ACHATS CONSOMMABLES'!$AA4))</f>
        <v/>
      </c>
      <c r="AE4" s="74" t="str">
        <f>IF('SAISIE ACHATS CONSOMMABLES'!$Z4="","",(VLOOKUP('SAISIE ACHATS CONSOMMABLES'!$Z4,'BDD FROMAGES_CONSOMMABLES'!$H:$J,3,FALSE))*'SAISIE ACHATS CONSOMMABLES'!$AD4)</f>
        <v/>
      </c>
      <c r="AF4" s="85" t="str">
        <f>IFERROR('SAISIE ACHATS CONSOMMABLES'!$AD4+'SAISIE ACHATS CONSOMMABLES'!$AE4,"")</f>
        <v/>
      </c>
      <c r="AG4" s="96"/>
      <c r="AH4" s="99"/>
      <c r="AI4" s="97"/>
      <c r="AJ4" s="74" t="str">
        <f>IF('SAISIE ACHATS CONSOMMABLES'!AG4="","",VLOOKUP('SAISIE ACHATS CONSOMMABLES'!AH4,'BDD FROMAGES_CONSOMMABLES'!$H:$I,2,FALSE))</f>
        <v/>
      </c>
      <c r="AK4" s="98"/>
      <c r="AL4" s="78" t="str">
        <f>IF('SAISIE ACHATS CONSOMMABLES'!AI4="","",IF('SAISIE ACHATS CONSOMMABLES'!AK4="",'SAISIE ACHATS CONSOMMABLES'!AJ4*'SAISIE ACHATS CONSOMMABLES'!AI4,'SAISIE ACHATS CONSOMMABLES'!AK4*'SAISIE ACHATS CONSOMMABLES'!AI4))</f>
        <v/>
      </c>
      <c r="AM4" s="74" t="str">
        <f>IF('SAISIE ACHATS CONSOMMABLES'!AH4="","",(VLOOKUP('SAISIE ACHATS CONSOMMABLES'!AH4,'BDD FROMAGES_CONSOMMABLES'!$H:$J,3,FALSE))*'SAISIE ACHATS CONSOMMABLES'!AL4)</f>
        <v/>
      </c>
      <c r="AN4" s="85" t="str">
        <f>IFERROR('SAISIE ACHATS CONSOMMABLES'!AL4+'SAISIE ACHATS CONSOMMABLES'!AM4,"")</f>
        <v/>
      </c>
      <c r="AO4" s="96"/>
      <c r="AP4" s="99"/>
      <c r="AQ4" s="97"/>
      <c r="AR4" s="74" t="str">
        <f>IF('SAISIE ACHATS CONSOMMABLES'!AO4="","",VLOOKUP('SAISIE ACHATS CONSOMMABLES'!AP4,'BDD FROMAGES_CONSOMMABLES'!$H:$I,2,FALSE))</f>
        <v/>
      </c>
      <c r="AS4" s="98"/>
      <c r="AT4" s="78" t="str">
        <f>IF('SAISIE ACHATS CONSOMMABLES'!AQ4="","",IF('SAISIE ACHATS CONSOMMABLES'!AS4="",'SAISIE ACHATS CONSOMMABLES'!AR4*'SAISIE ACHATS CONSOMMABLES'!AQ4,'SAISIE ACHATS CONSOMMABLES'!AS4*'SAISIE ACHATS CONSOMMABLES'!AQ4))</f>
        <v/>
      </c>
      <c r="AU4" s="74" t="str">
        <f>IF('SAISIE ACHATS CONSOMMABLES'!AP4="","",(VLOOKUP('SAISIE ACHATS CONSOMMABLES'!AP4,'BDD FROMAGES_CONSOMMABLES'!$H:$J,3,FALSE))*'SAISIE ACHATS CONSOMMABLES'!AT4)</f>
        <v/>
      </c>
      <c r="AV4" s="85" t="str">
        <f>IFERROR('SAISIE ACHATS CONSOMMABLES'!AT4+'SAISIE ACHATS CONSOMMABLES'!AU4,"")</f>
        <v/>
      </c>
      <c r="AW4" s="96"/>
      <c r="AX4" s="99"/>
      <c r="AY4" s="97"/>
      <c r="AZ4" s="74" t="str">
        <f>IF('SAISIE ACHATS CONSOMMABLES'!AW4="","",VLOOKUP('SAISIE ACHATS CONSOMMABLES'!AX4,'BDD FROMAGES_CONSOMMABLES'!$H:$I,2,FALSE))</f>
        <v/>
      </c>
      <c r="BA4" s="98"/>
      <c r="BB4" s="78" t="str">
        <f>IF('SAISIE ACHATS CONSOMMABLES'!AY4="","",IF('SAISIE ACHATS CONSOMMABLES'!BA4="",'SAISIE ACHATS CONSOMMABLES'!AZ4*'SAISIE ACHATS CONSOMMABLES'!AY4,'SAISIE ACHATS CONSOMMABLES'!BA4*'SAISIE ACHATS CONSOMMABLES'!AY4))</f>
        <v/>
      </c>
      <c r="BC4" s="74" t="str">
        <f>IF('SAISIE ACHATS CONSOMMABLES'!AX4="","",(VLOOKUP('SAISIE ACHATS CONSOMMABLES'!AX4,'BDD FROMAGES_CONSOMMABLES'!$H:$J,3,FALSE))*'SAISIE ACHATS CONSOMMABLES'!BB4)</f>
        <v/>
      </c>
      <c r="BD4" s="85" t="str">
        <f>IFERROR('SAISIE ACHATS CONSOMMABLES'!BB4+'SAISIE ACHATS CONSOMMABLES'!BC4,"")</f>
        <v/>
      </c>
    </row>
    <row r="5" spans="1:56" x14ac:dyDescent="0.25">
      <c r="A5" s="105">
        <f t="shared" si="0"/>
        <v>4</v>
      </c>
      <c r="B5" s="93" t="s">
        <v>34</v>
      </c>
      <c r="C5" s="94"/>
      <c r="E5" s="95"/>
      <c r="F5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5" s="85">
        <f>IF(Tableau8[[#This Row],[Total TTC]]="","",Tableau8[[#This Row],[Total TTC]]-Tableau8[[#This Row],[Total HT]])</f>
        <v>0</v>
      </c>
      <c r="H5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5" s="96"/>
      <c r="J5" s="71"/>
      <c r="K5" s="97"/>
      <c r="L5" s="85" t="str">
        <f>IF('SAISIE ACHATS CONSOMMABLES'!$K5="","",VLOOKUP('SAISIE ACHATS CONSOMMABLES'!$J5,'BDD FROMAGES_CONSOMMABLES'!$H:$I,2,FALSE))</f>
        <v/>
      </c>
      <c r="M5" s="98"/>
      <c r="N5" s="78" t="str">
        <f>IF('SAISIE ACHATS CONSOMMABLES'!$K5="","",IF('SAISIE ACHATS CONSOMMABLES'!$M5="",'SAISIE ACHATS CONSOMMABLES'!$L5*'SAISIE ACHATS CONSOMMABLES'!$K5,'SAISIE ACHATS CONSOMMABLES'!$M5*'SAISIE ACHATS CONSOMMABLES'!$K5))</f>
        <v/>
      </c>
      <c r="O5" s="74" t="str">
        <f>IF('SAISIE ACHATS CONSOMMABLES'!$J5="","",(VLOOKUP('SAISIE ACHATS CONSOMMABLES'!$J5,'BDD FROMAGES_CONSOMMABLES'!$H:$J,3,FALSE))*'SAISIE ACHATS CONSOMMABLES'!$N5)</f>
        <v/>
      </c>
      <c r="P5" s="85" t="str">
        <f>IFERROR('SAISIE ACHATS CONSOMMABLES'!$N5+'SAISIE ACHATS CONSOMMABLES'!$O5,"")</f>
        <v/>
      </c>
      <c r="Q5" s="96"/>
      <c r="R5" s="71"/>
      <c r="S5" s="97"/>
      <c r="T5" s="74" t="str">
        <f>IF('SAISIE ACHATS CONSOMMABLES'!$Q5="","",VLOOKUP('SAISIE ACHATS CONSOMMABLES'!$R5,'BDD FROMAGES_CONSOMMABLES'!$H:$I,2,FALSE))</f>
        <v/>
      </c>
      <c r="U5" s="98"/>
      <c r="V5" s="78" t="str">
        <f>IF('SAISIE ACHATS CONSOMMABLES'!$S5="","",IF('SAISIE ACHATS CONSOMMABLES'!$U5="",'SAISIE ACHATS CONSOMMABLES'!$T5*'SAISIE ACHATS CONSOMMABLES'!$S5,'SAISIE ACHATS CONSOMMABLES'!$U5*'SAISIE ACHATS CONSOMMABLES'!$S5))</f>
        <v/>
      </c>
      <c r="W5" s="74" t="str">
        <f>IF('SAISIE ACHATS CONSOMMABLES'!$R5="","",(VLOOKUP('SAISIE ACHATS CONSOMMABLES'!$R5,'BDD FROMAGES_CONSOMMABLES'!$H:$J,3,FALSE))*'SAISIE ACHATS CONSOMMABLES'!$V5)</f>
        <v/>
      </c>
      <c r="X5" s="85" t="str">
        <f>IFERROR('SAISIE ACHATS CONSOMMABLES'!$V5+'SAISIE ACHATS CONSOMMABLES'!$W5,"")</f>
        <v/>
      </c>
      <c r="Y5" s="96"/>
      <c r="Z5" s="99"/>
      <c r="AA5" s="97"/>
      <c r="AB5" s="74" t="str">
        <f>IF('SAISIE ACHATS CONSOMMABLES'!$Y5="","",VLOOKUP('SAISIE ACHATS CONSOMMABLES'!$Z5,'BDD FROMAGES_CONSOMMABLES'!$H:$I,2,FALSE))</f>
        <v/>
      </c>
      <c r="AC5" s="98"/>
      <c r="AD5" s="78" t="str">
        <f>IF('SAISIE ACHATS CONSOMMABLES'!$AA5="","",IF('SAISIE ACHATS CONSOMMABLES'!$AC5="",'SAISIE ACHATS CONSOMMABLES'!$AB5*'SAISIE ACHATS CONSOMMABLES'!$AA5,'SAISIE ACHATS CONSOMMABLES'!$AC5*'SAISIE ACHATS CONSOMMABLES'!$AA5))</f>
        <v/>
      </c>
      <c r="AE5" s="74" t="str">
        <f>IF('SAISIE ACHATS CONSOMMABLES'!$Z5="","",(VLOOKUP('SAISIE ACHATS CONSOMMABLES'!$Z5,'BDD FROMAGES_CONSOMMABLES'!$H:$J,3,FALSE))*'SAISIE ACHATS CONSOMMABLES'!$AD5)</f>
        <v/>
      </c>
      <c r="AF5" s="85" t="str">
        <f>IFERROR('SAISIE ACHATS CONSOMMABLES'!$AD5+'SAISIE ACHATS CONSOMMABLES'!$AE5,"")</f>
        <v/>
      </c>
      <c r="AG5" s="96"/>
      <c r="AH5" s="99"/>
      <c r="AI5" s="97"/>
      <c r="AJ5" s="74" t="str">
        <f>IF('SAISIE ACHATS CONSOMMABLES'!AG5="","",VLOOKUP('SAISIE ACHATS CONSOMMABLES'!AH5,'BDD FROMAGES_CONSOMMABLES'!$H:$I,2,FALSE))</f>
        <v/>
      </c>
      <c r="AK5" s="98"/>
      <c r="AL5" s="78" t="str">
        <f>IF('SAISIE ACHATS CONSOMMABLES'!AI5="","",IF('SAISIE ACHATS CONSOMMABLES'!AK5="",'SAISIE ACHATS CONSOMMABLES'!AJ5*'SAISIE ACHATS CONSOMMABLES'!AI5,'SAISIE ACHATS CONSOMMABLES'!AK5*'SAISIE ACHATS CONSOMMABLES'!AI5))</f>
        <v/>
      </c>
      <c r="AM5" s="74" t="str">
        <f>IF('SAISIE ACHATS CONSOMMABLES'!AH5="","",(VLOOKUP('SAISIE ACHATS CONSOMMABLES'!AH5,'BDD FROMAGES_CONSOMMABLES'!$H:$J,3,FALSE))*'SAISIE ACHATS CONSOMMABLES'!AL5)</f>
        <v/>
      </c>
      <c r="AN5" s="85" t="str">
        <f>IFERROR('SAISIE ACHATS CONSOMMABLES'!AL5+'SAISIE ACHATS CONSOMMABLES'!AM5,"")</f>
        <v/>
      </c>
      <c r="AO5" s="96"/>
      <c r="AP5" s="99"/>
      <c r="AQ5" s="97"/>
      <c r="AR5" s="74" t="str">
        <f>IF('SAISIE ACHATS CONSOMMABLES'!AO5="","",VLOOKUP('SAISIE ACHATS CONSOMMABLES'!AP5,'BDD FROMAGES_CONSOMMABLES'!$H:$I,2,FALSE))</f>
        <v/>
      </c>
      <c r="AS5" s="98"/>
      <c r="AT5" s="78" t="str">
        <f>IF('SAISIE ACHATS CONSOMMABLES'!AQ5="","",IF('SAISIE ACHATS CONSOMMABLES'!AS5="",'SAISIE ACHATS CONSOMMABLES'!AR5*'SAISIE ACHATS CONSOMMABLES'!AQ5,'SAISIE ACHATS CONSOMMABLES'!AS5*'SAISIE ACHATS CONSOMMABLES'!AQ5))</f>
        <v/>
      </c>
      <c r="AU5" s="74" t="str">
        <f>IF('SAISIE ACHATS CONSOMMABLES'!AP5="","",(VLOOKUP('SAISIE ACHATS CONSOMMABLES'!AP5,'BDD FROMAGES_CONSOMMABLES'!$H:$J,3,FALSE))*'SAISIE ACHATS CONSOMMABLES'!AT5)</f>
        <v/>
      </c>
      <c r="AV5" s="85" t="str">
        <f>IFERROR('SAISIE ACHATS CONSOMMABLES'!AT5+'SAISIE ACHATS CONSOMMABLES'!AU5,"")</f>
        <v/>
      </c>
      <c r="AW5" s="96"/>
      <c r="AX5" s="99"/>
      <c r="AY5" s="97"/>
      <c r="AZ5" s="74" t="str">
        <f>IF('SAISIE ACHATS CONSOMMABLES'!AW5="","",VLOOKUP('SAISIE ACHATS CONSOMMABLES'!AX5,'BDD FROMAGES_CONSOMMABLES'!$H:$I,2,FALSE))</f>
        <v/>
      </c>
      <c r="BA5" s="98"/>
      <c r="BB5" s="78" t="str">
        <f>IF('SAISIE ACHATS CONSOMMABLES'!AY5="","",IF('SAISIE ACHATS CONSOMMABLES'!BA5="",'SAISIE ACHATS CONSOMMABLES'!AZ5*'SAISIE ACHATS CONSOMMABLES'!AY5,'SAISIE ACHATS CONSOMMABLES'!BA5*'SAISIE ACHATS CONSOMMABLES'!AY5))</f>
        <v/>
      </c>
      <c r="BC5" s="74" t="str">
        <f>IF('SAISIE ACHATS CONSOMMABLES'!AX5="","",(VLOOKUP('SAISIE ACHATS CONSOMMABLES'!AX5,'BDD FROMAGES_CONSOMMABLES'!$H:$J,3,FALSE))*'SAISIE ACHATS CONSOMMABLES'!BB5)</f>
        <v/>
      </c>
      <c r="BD5" s="85" t="str">
        <f>IFERROR('SAISIE ACHATS CONSOMMABLES'!BB5+'SAISIE ACHATS CONSOMMABLES'!BC5,"")</f>
        <v/>
      </c>
    </row>
    <row r="6" spans="1:56" x14ac:dyDescent="0.25">
      <c r="A6" s="105">
        <f t="shared" si="0"/>
        <v>5</v>
      </c>
      <c r="B6" s="92" t="s">
        <v>36</v>
      </c>
      <c r="C6" s="94"/>
      <c r="E6" s="95"/>
      <c r="F6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6" s="85">
        <f>IF(Tableau8[[#This Row],[Total TTC]]="","",Tableau8[[#This Row],[Total TTC]]-Tableau8[[#This Row],[Total HT]])</f>
        <v>0</v>
      </c>
      <c r="H6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6" s="96"/>
      <c r="J6" s="71"/>
      <c r="K6" s="97"/>
      <c r="L6" s="85" t="str">
        <f>IF('SAISIE ACHATS CONSOMMABLES'!$K6="","",VLOOKUP('SAISIE ACHATS CONSOMMABLES'!$J6,'BDD FROMAGES_CONSOMMABLES'!$H:$I,2,FALSE))</f>
        <v/>
      </c>
      <c r="M6" s="98"/>
      <c r="N6" s="78" t="str">
        <f>IF('SAISIE ACHATS CONSOMMABLES'!$K6="","",IF('SAISIE ACHATS CONSOMMABLES'!$M6="",'SAISIE ACHATS CONSOMMABLES'!$L6*'SAISIE ACHATS CONSOMMABLES'!$K6,'SAISIE ACHATS CONSOMMABLES'!$M6*'SAISIE ACHATS CONSOMMABLES'!$K6))</f>
        <v/>
      </c>
      <c r="O6" s="74" t="str">
        <f>IF('SAISIE ACHATS CONSOMMABLES'!$J6="","",(VLOOKUP('SAISIE ACHATS CONSOMMABLES'!$J6,'BDD FROMAGES_CONSOMMABLES'!$H:$J,3,FALSE))*'SAISIE ACHATS CONSOMMABLES'!$N6)</f>
        <v/>
      </c>
      <c r="P6" s="85" t="str">
        <f>IFERROR('SAISIE ACHATS CONSOMMABLES'!$N6+'SAISIE ACHATS CONSOMMABLES'!$O6,"")</f>
        <v/>
      </c>
      <c r="Q6" s="96"/>
      <c r="R6" s="71"/>
      <c r="S6" s="97"/>
      <c r="T6" s="74" t="str">
        <f>IF('SAISIE ACHATS CONSOMMABLES'!$Q6="","",VLOOKUP('SAISIE ACHATS CONSOMMABLES'!$R6,'BDD FROMAGES_CONSOMMABLES'!$H:$I,2,FALSE))</f>
        <v/>
      </c>
      <c r="U6" s="98"/>
      <c r="V6" s="78" t="str">
        <f>IF('SAISIE ACHATS CONSOMMABLES'!$S6="","",IF('SAISIE ACHATS CONSOMMABLES'!$U6="",'SAISIE ACHATS CONSOMMABLES'!$T6*'SAISIE ACHATS CONSOMMABLES'!$S6,'SAISIE ACHATS CONSOMMABLES'!$U6*'SAISIE ACHATS CONSOMMABLES'!$S6))</f>
        <v/>
      </c>
      <c r="W6" s="74" t="str">
        <f>IF('SAISIE ACHATS CONSOMMABLES'!$R6="","",(VLOOKUP('SAISIE ACHATS CONSOMMABLES'!$R6,'BDD FROMAGES_CONSOMMABLES'!$H:$J,3,FALSE))*'SAISIE ACHATS CONSOMMABLES'!$V6)</f>
        <v/>
      </c>
      <c r="X6" s="85" t="str">
        <f>IFERROR('SAISIE ACHATS CONSOMMABLES'!$V6+'SAISIE ACHATS CONSOMMABLES'!$W6,"")</f>
        <v/>
      </c>
      <c r="Y6" s="96"/>
      <c r="Z6" s="99"/>
      <c r="AA6" s="97"/>
      <c r="AB6" s="74" t="str">
        <f>IF('SAISIE ACHATS CONSOMMABLES'!$Y6="","",VLOOKUP('SAISIE ACHATS CONSOMMABLES'!$Z6,'BDD FROMAGES_CONSOMMABLES'!$H:$I,2,FALSE))</f>
        <v/>
      </c>
      <c r="AC6" s="98"/>
      <c r="AD6" s="78" t="str">
        <f>IF('SAISIE ACHATS CONSOMMABLES'!$AA6="","",IF('SAISIE ACHATS CONSOMMABLES'!$AC6="",'SAISIE ACHATS CONSOMMABLES'!$AB6*'SAISIE ACHATS CONSOMMABLES'!$AA6,'SAISIE ACHATS CONSOMMABLES'!$AC6*'SAISIE ACHATS CONSOMMABLES'!$AA6))</f>
        <v/>
      </c>
      <c r="AE6" s="74" t="str">
        <f>IF('SAISIE ACHATS CONSOMMABLES'!$Z6="","",(VLOOKUP('SAISIE ACHATS CONSOMMABLES'!$Z6,'BDD FROMAGES_CONSOMMABLES'!$H:$J,3,FALSE))*'SAISIE ACHATS CONSOMMABLES'!$AD6)</f>
        <v/>
      </c>
      <c r="AF6" s="85" t="str">
        <f>IFERROR('SAISIE ACHATS CONSOMMABLES'!$AD6+'SAISIE ACHATS CONSOMMABLES'!$AE6,"")</f>
        <v/>
      </c>
      <c r="AG6" s="96"/>
      <c r="AH6" s="99"/>
      <c r="AI6" s="97"/>
      <c r="AJ6" s="74" t="str">
        <f>IF('SAISIE ACHATS CONSOMMABLES'!AG6="","",VLOOKUP('SAISIE ACHATS CONSOMMABLES'!AH6,'BDD FROMAGES_CONSOMMABLES'!$H:$I,2,FALSE))</f>
        <v/>
      </c>
      <c r="AK6" s="98"/>
      <c r="AL6" s="78" t="str">
        <f>IF('SAISIE ACHATS CONSOMMABLES'!AI6="","",IF('SAISIE ACHATS CONSOMMABLES'!AK6="",'SAISIE ACHATS CONSOMMABLES'!AJ6*'SAISIE ACHATS CONSOMMABLES'!AI6,'SAISIE ACHATS CONSOMMABLES'!AK6*'SAISIE ACHATS CONSOMMABLES'!AI6))</f>
        <v/>
      </c>
      <c r="AM6" s="74" t="str">
        <f>IF('SAISIE ACHATS CONSOMMABLES'!AH6="","",(VLOOKUP('SAISIE ACHATS CONSOMMABLES'!AH6,'BDD FROMAGES_CONSOMMABLES'!$H:$J,3,FALSE))*'SAISIE ACHATS CONSOMMABLES'!AL6)</f>
        <v/>
      </c>
      <c r="AN6" s="85" t="str">
        <f>IFERROR('SAISIE ACHATS CONSOMMABLES'!AL6+'SAISIE ACHATS CONSOMMABLES'!AM6,"")</f>
        <v/>
      </c>
      <c r="AO6" s="96"/>
      <c r="AP6" s="99"/>
      <c r="AQ6" s="97"/>
      <c r="AR6" s="74" t="str">
        <f>IF('SAISIE ACHATS CONSOMMABLES'!AO6="","",VLOOKUP('SAISIE ACHATS CONSOMMABLES'!AP6,'BDD FROMAGES_CONSOMMABLES'!$H:$I,2,FALSE))</f>
        <v/>
      </c>
      <c r="AS6" s="98"/>
      <c r="AT6" s="78" t="str">
        <f>IF('SAISIE ACHATS CONSOMMABLES'!AQ6="","",IF('SAISIE ACHATS CONSOMMABLES'!AS6="",'SAISIE ACHATS CONSOMMABLES'!AR6*'SAISIE ACHATS CONSOMMABLES'!AQ6,'SAISIE ACHATS CONSOMMABLES'!AS6*'SAISIE ACHATS CONSOMMABLES'!AQ6))</f>
        <v/>
      </c>
      <c r="AU6" s="74" t="str">
        <f>IF('SAISIE ACHATS CONSOMMABLES'!AP6="","",(VLOOKUP('SAISIE ACHATS CONSOMMABLES'!AP6,'BDD FROMAGES_CONSOMMABLES'!$H:$J,3,FALSE))*'SAISIE ACHATS CONSOMMABLES'!AT6)</f>
        <v/>
      </c>
      <c r="AV6" s="85" t="str">
        <f>IFERROR('SAISIE ACHATS CONSOMMABLES'!AT6+'SAISIE ACHATS CONSOMMABLES'!AU6,"")</f>
        <v/>
      </c>
      <c r="AW6" s="96"/>
      <c r="AX6" s="99"/>
      <c r="AY6" s="97"/>
      <c r="AZ6" s="74" t="str">
        <f>IF('SAISIE ACHATS CONSOMMABLES'!AW6="","",VLOOKUP('SAISIE ACHATS CONSOMMABLES'!AX6,'BDD FROMAGES_CONSOMMABLES'!$H:$I,2,FALSE))</f>
        <v/>
      </c>
      <c r="BA6" s="98"/>
      <c r="BB6" s="78" t="str">
        <f>IF('SAISIE ACHATS CONSOMMABLES'!AY6="","",IF('SAISIE ACHATS CONSOMMABLES'!BA6="",'SAISIE ACHATS CONSOMMABLES'!AZ6*'SAISIE ACHATS CONSOMMABLES'!AY6,'SAISIE ACHATS CONSOMMABLES'!BA6*'SAISIE ACHATS CONSOMMABLES'!AY6))</f>
        <v/>
      </c>
      <c r="BC6" s="74" t="str">
        <f>IF('SAISIE ACHATS CONSOMMABLES'!AX6="","",(VLOOKUP('SAISIE ACHATS CONSOMMABLES'!AX6,'BDD FROMAGES_CONSOMMABLES'!$H:$J,3,FALSE))*'SAISIE ACHATS CONSOMMABLES'!BB6)</f>
        <v/>
      </c>
      <c r="BD6" s="85" t="str">
        <f>IFERROR('SAISIE ACHATS CONSOMMABLES'!BB6+'SAISIE ACHATS CONSOMMABLES'!BC6,"")</f>
        <v/>
      </c>
    </row>
    <row r="7" spans="1:56" x14ac:dyDescent="0.25">
      <c r="A7" s="105">
        <f t="shared" si="0"/>
        <v>6</v>
      </c>
      <c r="B7" s="92" t="s">
        <v>38</v>
      </c>
      <c r="C7" s="94"/>
      <c r="E7" s="95"/>
      <c r="F7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7" s="85">
        <f>IF(Tableau8[[#This Row],[Total TTC]]="","",Tableau8[[#This Row],[Total TTC]]-Tableau8[[#This Row],[Total HT]])</f>
        <v>0</v>
      </c>
      <c r="H7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7" s="96"/>
      <c r="J7" s="71"/>
      <c r="K7" s="97"/>
      <c r="L7" s="85" t="str">
        <f>IF('SAISIE ACHATS CONSOMMABLES'!$K7="","",VLOOKUP('SAISIE ACHATS CONSOMMABLES'!$J7,'BDD FROMAGES_CONSOMMABLES'!$H:$I,2,FALSE))</f>
        <v/>
      </c>
      <c r="M7" s="98"/>
      <c r="N7" s="78" t="str">
        <f>IF('SAISIE ACHATS CONSOMMABLES'!$K7="","",IF('SAISIE ACHATS CONSOMMABLES'!$M7="",'SAISIE ACHATS CONSOMMABLES'!$L7*'SAISIE ACHATS CONSOMMABLES'!$K7,'SAISIE ACHATS CONSOMMABLES'!$M7*'SAISIE ACHATS CONSOMMABLES'!$K7))</f>
        <v/>
      </c>
      <c r="O7" s="74" t="str">
        <f>IF('SAISIE ACHATS CONSOMMABLES'!$J7="","",(VLOOKUP('SAISIE ACHATS CONSOMMABLES'!$J7,'BDD FROMAGES_CONSOMMABLES'!$H:$J,3,FALSE))*'SAISIE ACHATS CONSOMMABLES'!$N7)</f>
        <v/>
      </c>
      <c r="P7" s="85" t="str">
        <f>IFERROR('SAISIE ACHATS CONSOMMABLES'!$N7+'SAISIE ACHATS CONSOMMABLES'!$O7,"")</f>
        <v/>
      </c>
      <c r="Q7" s="96"/>
      <c r="R7" s="71"/>
      <c r="S7" s="97"/>
      <c r="T7" s="74" t="str">
        <f>IF('SAISIE ACHATS CONSOMMABLES'!$Q7="","",VLOOKUP('SAISIE ACHATS CONSOMMABLES'!$R7,'BDD FROMAGES_CONSOMMABLES'!$H:$I,2,FALSE))</f>
        <v/>
      </c>
      <c r="U7" s="98"/>
      <c r="V7" s="78" t="str">
        <f>IF('SAISIE ACHATS CONSOMMABLES'!$S7="","",IF('SAISIE ACHATS CONSOMMABLES'!$U7="",'SAISIE ACHATS CONSOMMABLES'!$T7*'SAISIE ACHATS CONSOMMABLES'!$S7,'SAISIE ACHATS CONSOMMABLES'!$U7*'SAISIE ACHATS CONSOMMABLES'!$S7))</f>
        <v/>
      </c>
      <c r="W7" s="74" t="str">
        <f>IF('SAISIE ACHATS CONSOMMABLES'!$R7="","",(VLOOKUP('SAISIE ACHATS CONSOMMABLES'!$R7,'BDD FROMAGES_CONSOMMABLES'!$H:$J,3,FALSE))*'SAISIE ACHATS CONSOMMABLES'!$V7)</f>
        <v/>
      </c>
      <c r="X7" s="85" t="str">
        <f>IFERROR('SAISIE ACHATS CONSOMMABLES'!$V7+'SAISIE ACHATS CONSOMMABLES'!$W7,"")</f>
        <v/>
      </c>
      <c r="Y7" s="96"/>
      <c r="Z7" s="99"/>
      <c r="AA7" s="97"/>
      <c r="AB7" s="74" t="str">
        <f>IF('SAISIE ACHATS CONSOMMABLES'!$Y7="","",VLOOKUP('SAISIE ACHATS CONSOMMABLES'!$Z7,'BDD FROMAGES_CONSOMMABLES'!$H:$I,2,FALSE))</f>
        <v/>
      </c>
      <c r="AC7" s="98"/>
      <c r="AD7" s="78" t="str">
        <f>IF('SAISIE ACHATS CONSOMMABLES'!$AA7="","",IF('SAISIE ACHATS CONSOMMABLES'!$AC7="",'SAISIE ACHATS CONSOMMABLES'!$AB7*'SAISIE ACHATS CONSOMMABLES'!$AA7,'SAISIE ACHATS CONSOMMABLES'!$AC7*'SAISIE ACHATS CONSOMMABLES'!$AA7))</f>
        <v/>
      </c>
      <c r="AE7" s="74" t="str">
        <f>IF('SAISIE ACHATS CONSOMMABLES'!$Z7="","",(VLOOKUP('SAISIE ACHATS CONSOMMABLES'!$Z7,'BDD FROMAGES_CONSOMMABLES'!$H:$J,3,FALSE))*'SAISIE ACHATS CONSOMMABLES'!$AD7)</f>
        <v/>
      </c>
      <c r="AF7" s="85" t="str">
        <f>IFERROR('SAISIE ACHATS CONSOMMABLES'!$AD7+'SAISIE ACHATS CONSOMMABLES'!$AE7,"")</f>
        <v/>
      </c>
      <c r="AG7" s="96"/>
      <c r="AH7" s="99"/>
      <c r="AI7" s="97"/>
      <c r="AJ7" s="74" t="str">
        <f>IF('SAISIE ACHATS CONSOMMABLES'!AG7="","",VLOOKUP('SAISIE ACHATS CONSOMMABLES'!AH7,'BDD FROMAGES_CONSOMMABLES'!$H:$I,2,FALSE))</f>
        <v/>
      </c>
      <c r="AK7" s="98"/>
      <c r="AL7" s="78" t="str">
        <f>IF('SAISIE ACHATS CONSOMMABLES'!AI7="","",IF('SAISIE ACHATS CONSOMMABLES'!AK7="",'SAISIE ACHATS CONSOMMABLES'!AJ7*'SAISIE ACHATS CONSOMMABLES'!AI7,'SAISIE ACHATS CONSOMMABLES'!AK7*'SAISIE ACHATS CONSOMMABLES'!AI7))</f>
        <v/>
      </c>
      <c r="AM7" s="74" t="str">
        <f>IF('SAISIE ACHATS CONSOMMABLES'!AH7="","",(VLOOKUP('SAISIE ACHATS CONSOMMABLES'!AH7,'BDD FROMAGES_CONSOMMABLES'!$H:$J,3,FALSE))*'SAISIE ACHATS CONSOMMABLES'!AL7)</f>
        <v/>
      </c>
      <c r="AN7" s="85" t="str">
        <f>IFERROR('SAISIE ACHATS CONSOMMABLES'!AL7+'SAISIE ACHATS CONSOMMABLES'!AM7,"")</f>
        <v/>
      </c>
      <c r="AO7" s="96"/>
      <c r="AP7" s="99"/>
      <c r="AQ7" s="97"/>
      <c r="AR7" s="74" t="str">
        <f>IF('SAISIE ACHATS CONSOMMABLES'!AO7="","",VLOOKUP('SAISIE ACHATS CONSOMMABLES'!AP7,'BDD FROMAGES_CONSOMMABLES'!$H:$I,2,FALSE))</f>
        <v/>
      </c>
      <c r="AS7" s="98"/>
      <c r="AT7" s="78" t="str">
        <f>IF('SAISIE ACHATS CONSOMMABLES'!AQ7="","",IF('SAISIE ACHATS CONSOMMABLES'!AS7="",'SAISIE ACHATS CONSOMMABLES'!AR7*'SAISIE ACHATS CONSOMMABLES'!AQ7,'SAISIE ACHATS CONSOMMABLES'!AS7*'SAISIE ACHATS CONSOMMABLES'!AQ7))</f>
        <v/>
      </c>
      <c r="AU7" s="74" t="str">
        <f>IF('SAISIE ACHATS CONSOMMABLES'!AP7="","",(VLOOKUP('SAISIE ACHATS CONSOMMABLES'!AP7,'BDD FROMAGES_CONSOMMABLES'!$H:$J,3,FALSE))*'SAISIE ACHATS CONSOMMABLES'!AT7)</f>
        <v/>
      </c>
      <c r="AV7" s="85" t="str">
        <f>IFERROR('SAISIE ACHATS CONSOMMABLES'!AT7+'SAISIE ACHATS CONSOMMABLES'!AU7,"")</f>
        <v/>
      </c>
      <c r="AW7" s="96"/>
      <c r="AX7" s="99"/>
      <c r="AY7" s="97"/>
      <c r="AZ7" s="74" t="str">
        <f>IF('SAISIE ACHATS CONSOMMABLES'!AW7="","",VLOOKUP('SAISIE ACHATS CONSOMMABLES'!AX7,'BDD FROMAGES_CONSOMMABLES'!$H:$I,2,FALSE))</f>
        <v/>
      </c>
      <c r="BA7" s="98"/>
      <c r="BB7" s="78" t="str">
        <f>IF('SAISIE ACHATS CONSOMMABLES'!AY7="","",IF('SAISIE ACHATS CONSOMMABLES'!BA7="",'SAISIE ACHATS CONSOMMABLES'!AZ7*'SAISIE ACHATS CONSOMMABLES'!AY7,'SAISIE ACHATS CONSOMMABLES'!BA7*'SAISIE ACHATS CONSOMMABLES'!AY7))</f>
        <v/>
      </c>
      <c r="BC7" s="74" t="str">
        <f>IF('SAISIE ACHATS CONSOMMABLES'!AX7="","",(VLOOKUP('SAISIE ACHATS CONSOMMABLES'!AX7,'BDD FROMAGES_CONSOMMABLES'!$H:$J,3,FALSE))*'SAISIE ACHATS CONSOMMABLES'!BB7)</f>
        <v/>
      </c>
      <c r="BD7" s="85" t="str">
        <f>IFERROR('SAISIE ACHATS CONSOMMABLES'!BB7+'SAISIE ACHATS CONSOMMABLES'!BC7,"")</f>
        <v/>
      </c>
    </row>
    <row r="8" spans="1:56" x14ac:dyDescent="0.25">
      <c r="A8" s="105">
        <f t="shared" si="0"/>
        <v>7</v>
      </c>
      <c r="B8" s="93" t="s">
        <v>41</v>
      </c>
      <c r="C8" s="94"/>
      <c r="E8" s="95"/>
      <c r="F8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8" s="85">
        <f>IF(Tableau8[[#This Row],[Total TTC]]="","",Tableau8[[#This Row],[Total TTC]]-Tableau8[[#This Row],[Total HT]])</f>
        <v>0</v>
      </c>
      <c r="H8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8" s="96"/>
      <c r="J8" s="71"/>
      <c r="K8" s="97"/>
      <c r="L8" s="85" t="str">
        <f>IF('SAISIE ACHATS CONSOMMABLES'!$K8="","",VLOOKUP('SAISIE ACHATS CONSOMMABLES'!$J8,'BDD FROMAGES_CONSOMMABLES'!$H:$I,2,FALSE))</f>
        <v/>
      </c>
      <c r="M8" s="98"/>
      <c r="N8" s="78" t="str">
        <f>IF('SAISIE ACHATS CONSOMMABLES'!$K8="","",IF('SAISIE ACHATS CONSOMMABLES'!$M8="",'SAISIE ACHATS CONSOMMABLES'!$L8*'SAISIE ACHATS CONSOMMABLES'!$K8,'SAISIE ACHATS CONSOMMABLES'!$M8*'SAISIE ACHATS CONSOMMABLES'!$K8))</f>
        <v/>
      </c>
      <c r="O8" s="74" t="str">
        <f>IF('SAISIE ACHATS CONSOMMABLES'!$J8="","",(VLOOKUP('SAISIE ACHATS CONSOMMABLES'!$J8,'BDD FROMAGES_CONSOMMABLES'!$H:$J,3,FALSE))*'SAISIE ACHATS CONSOMMABLES'!$N8)</f>
        <v/>
      </c>
      <c r="P8" s="85" t="str">
        <f>IFERROR('SAISIE ACHATS CONSOMMABLES'!$N8+'SAISIE ACHATS CONSOMMABLES'!$O8,"")</f>
        <v/>
      </c>
      <c r="Q8" s="96"/>
      <c r="R8" s="71"/>
      <c r="S8" s="97"/>
      <c r="T8" s="74" t="str">
        <f>IF('SAISIE ACHATS CONSOMMABLES'!$Q8="","",VLOOKUP('SAISIE ACHATS CONSOMMABLES'!$R8,'BDD FROMAGES_CONSOMMABLES'!$H:$I,2,FALSE))</f>
        <v/>
      </c>
      <c r="U8" s="98"/>
      <c r="V8" s="78" t="str">
        <f>IF('SAISIE ACHATS CONSOMMABLES'!$S8="","",IF('SAISIE ACHATS CONSOMMABLES'!$U8="",'SAISIE ACHATS CONSOMMABLES'!$T8*'SAISIE ACHATS CONSOMMABLES'!$S8,'SAISIE ACHATS CONSOMMABLES'!$U8*'SAISIE ACHATS CONSOMMABLES'!$S8))</f>
        <v/>
      </c>
      <c r="W8" s="74" t="str">
        <f>IF('SAISIE ACHATS CONSOMMABLES'!$R8="","",(VLOOKUP('SAISIE ACHATS CONSOMMABLES'!$R8,'BDD FROMAGES_CONSOMMABLES'!$H:$J,3,FALSE))*'SAISIE ACHATS CONSOMMABLES'!$V8)</f>
        <v/>
      </c>
      <c r="X8" s="85" t="str">
        <f>IFERROR('SAISIE ACHATS CONSOMMABLES'!$V8+'SAISIE ACHATS CONSOMMABLES'!$W8,"")</f>
        <v/>
      </c>
      <c r="Y8" s="96"/>
      <c r="Z8" s="99"/>
      <c r="AA8" s="97"/>
      <c r="AB8" s="74" t="str">
        <f>IF('SAISIE ACHATS CONSOMMABLES'!$Y8="","",VLOOKUP('SAISIE ACHATS CONSOMMABLES'!$Z8,'BDD FROMAGES_CONSOMMABLES'!$H:$I,2,FALSE))</f>
        <v/>
      </c>
      <c r="AC8" s="98"/>
      <c r="AD8" s="78" t="str">
        <f>IF('SAISIE ACHATS CONSOMMABLES'!$AA8="","",IF('SAISIE ACHATS CONSOMMABLES'!$AC8="",'SAISIE ACHATS CONSOMMABLES'!$AB8*'SAISIE ACHATS CONSOMMABLES'!$AA8,'SAISIE ACHATS CONSOMMABLES'!$AC8*'SAISIE ACHATS CONSOMMABLES'!$AA8))</f>
        <v/>
      </c>
      <c r="AE8" s="74" t="str">
        <f>IF('SAISIE ACHATS CONSOMMABLES'!$Z8="","",(VLOOKUP('SAISIE ACHATS CONSOMMABLES'!$Z8,'BDD FROMAGES_CONSOMMABLES'!$H:$J,3,FALSE))*'SAISIE ACHATS CONSOMMABLES'!$AD8)</f>
        <v/>
      </c>
      <c r="AF8" s="85" t="str">
        <f>IFERROR('SAISIE ACHATS CONSOMMABLES'!$AD8+'SAISIE ACHATS CONSOMMABLES'!$AE8,"")</f>
        <v/>
      </c>
      <c r="AG8" s="96"/>
      <c r="AH8" s="99"/>
      <c r="AI8" s="97"/>
      <c r="AJ8" s="74" t="str">
        <f>IF('SAISIE ACHATS CONSOMMABLES'!AG8="","",VLOOKUP('SAISIE ACHATS CONSOMMABLES'!AH8,'BDD FROMAGES_CONSOMMABLES'!$H:$I,2,FALSE))</f>
        <v/>
      </c>
      <c r="AK8" s="98"/>
      <c r="AL8" s="78" t="str">
        <f>IF('SAISIE ACHATS CONSOMMABLES'!AI8="","",IF('SAISIE ACHATS CONSOMMABLES'!AK8="",'SAISIE ACHATS CONSOMMABLES'!AJ8*'SAISIE ACHATS CONSOMMABLES'!AI8,'SAISIE ACHATS CONSOMMABLES'!AK8*'SAISIE ACHATS CONSOMMABLES'!AI8))</f>
        <v/>
      </c>
      <c r="AM8" s="74" t="str">
        <f>IF('SAISIE ACHATS CONSOMMABLES'!AH8="","",(VLOOKUP('SAISIE ACHATS CONSOMMABLES'!AH8,'BDD FROMAGES_CONSOMMABLES'!$H:$J,3,FALSE))*'SAISIE ACHATS CONSOMMABLES'!AL8)</f>
        <v/>
      </c>
      <c r="AN8" s="85" t="str">
        <f>IFERROR('SAISIE ACHATS CONSOMMABLES'!AL8+'SAISIE ACHATS CONSOMMABLES'!AM8,"")</f>
        <v/>
      </c>
      <c r="AO8" s="96"/>
      <c r="AP8" s="99"/>
      <c r="AQ8" s="97"/>
      <c r="AR8" s="74" t="str">
        <f>IF('SAISIE ACHATS CONSOMMABLES'!AO8="","",VLOOKUP('SAISIE ACHATS CONSOMMABLES'!AP8,'BDD FROMAGES_CONSOMMABLES'!$H:$I,2,FALSE))</f>
        <v/>
      </c>
      <c r="AS8" s="98"/>
      <c r="AT8" s="78" t="str">
        <f>IF('SAISIE ACHATS CONSOMMABLES'!AQ8="","",IF('SAISIE ACHATS CONSOMMABLES'!AS8="",'SAISIE ACHATS CONSOMMABLES'!AR8*'SAISIE ACHATS CONSOMMABLES'!AQ8,'SAISIE ACHATS CONSOMMABLES'!AS8*'SAISIE ACHATS CONSOMMABLES'!AQ8))</f>
        <v/>
      </c>
      <c r="AU8" s="74" t="str">
        <f>IF('SAISIE ACHATS CONSOMMABLES'!AP8="","",(VLOOKUP('SAISIE ACHATS CONSOMMABLES'!AP8,'BDD FROMAGES_CONSOMMABLES'!$H:$J,3,FALSE))*'SAISIE ACHATS CONSOMMABLES'!AT8)</f>
        <v/>
      </c>
      <c r="AV8" s="85" t="str">
        <f>IFERROR('SAISIE ACHATS CONSOMMABLES'!AT8+'SAISIE ACHATS CONSOMMABLES'!AU8,"")</f>
        <v/>
      </c>
      <c r="AW8" s="96"/>
      <c r="AX8" s="99"/>
      <c r="AY8" s="97"/>
      <c r="AZ8" s="74" t="str">
        <f>IF('SAISIE ACHATS CONSOMMABLES'!AW8="","",VLOOKUP('SAISIE ACHATS CONSOMMABLES'!AX8,'BDD FROMAGES_CONSOMMABLES'!$H:$I,2,FALSE))</f>
        <v/>
      </c>
      <c r="BA8" s="98"/>
      <c r="BB8" s="78" t="str">
        <f>IF('SAISIE ACHATS CONSOMMABLES'!AY8="","",IF('SAISIE ACHATS CONSOMMABLES'!BA8="",'SAISIE ACHATS CONSOMMABLES'!AZ8*'SAISIE ACHATS CONSOMMABLES'!AY8,'SAISIE ACHATS CONSOMMABLES'!BA8*'SAISIE ACHATS CONSOMMABLES'!AY8))</f>
        <v/>
      </c>
      <c r="BC8" s="74" t="str">
        <f>IF('SAISIE ACHATS CONSOMMABLES'!AX8="","",(VLOOKUP('SAISIE ACHATS CONSOMMABLES'!AX8,'BDD FROMAGES_CONSOMMABLES'!$H:$J,3,FALSE))*'SAISIE ACHATS CONSOMMABLES'!BB8)</f>
        <v/>
      </c>
      <c r="BD8" s="85" t="str">
        <f>IFERROR('SAISIE ACHATS CONSOMMABLES'!BB8+'SAISIE ACHATS CONSOMMABLES'!BC8,"")</f>
        <v/>
      </c>
    </row>
    <row r="9" spans="1:56" x14ac:dyDescent="0.25">
      <c r="A9" s="105">
        <f t="shared" si="0"/>
        <v>8</v>
      </c>
      <c r="B9" s="93" t="s">
        <v>43</v>
      </c>
      <c r="C9" s="94"/>
      <c r="E9" s="95"/>
      <c r="F9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9" s="85">
        <f>IF(Tableau8[[#This Row],[Total TTC]]="","",Tableau8[[#This Row],[Total TTC]]-Tableau8[[#This Row],[Total HT]])</f>
        <v>0</v>
      </c>
      <c r="H9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9" s="96"/>
      <c r="J9" s="71"/>
      <c r="K9" s="97"/>
      <c r="L9" s="85" t="str">
        <f>IF('SAISIE ACHATS CONSOMMABLES'!$K9="","",VLOOKUP('SAISIE ACHATS CONSOMMABLES'!$J9,'BDD FROMAGES_CONSOMMABLES'!$H:$I,2,FALSE))</f>
        <v/>
      </c>
      <c r="M9" s="98"/>
      <c r="N9" s="78" t="str">
        <f>IF('SAISIE ACHATS CONSOMMABLES'!$K9="","",IF('SAISIE ACHATS CONSOMMABLES'!$M9="",'SAISIE ACHATS CONSOMMABLES'!$L9*'SAISIE ACHATS CONSOMMABLES'!$K9,'SAISIE ACHATS CONSOMMABLES'!$M9*'SAISIE ACHATS CONSOMMABLES'!$K9))</f>
        <v/>
      </c>
      <c r="O9" s="74" t="str">
        <f>IF('SAISIE ACHATS CONSOMMABLES'!$J9="","",(VLOOKUP('SAISIE ACHATS CONSOMMABLES'!$J9,'BDD FROMAGES_CONSOMMABLES'!$H:$J,3,FALSE))*'SAISIE ACHATS CONSOMMABLES'!$N9)</f>
        <v/>
      </c>
      <c r="P9" s="85" t="str">
        <f>IFERROR('SAISIE ACHATS CONSOMMABLES'!$N9+'SAISIE ACHATS CONSOMMABLES'!$O9,"")</f>
        <v/>
      </c>
      <c r="Q9" s="96"/>
      <c r="R9" s="71"/>
      <c r="S9" s="97"/>
      <c r="T9" s="74" t="str">
        <f>IF('SAISIE ACHATS CONSOMMABLES'!$Q9="","",VLOOKUP('SAISIE ACHATS CONSOMMABLES'!$R9,'BDD FROMAGES_CONSOMMABLES'!$H:$I,2,FALSE))</f>
        <v/>
      </c>
      <c r="U9" s="98"/>
      <c r="V9" s="78" t="str">
        <f>IF('SAISIE ACHATS CONSOMMABLES'!$S9="","",IF('SAISIE ACHATS CONSOMMABLES'!$U9="",'SAISIE ACHATS CONSOMMABLES'!$T9*'SAISIE ACHATS CONSOMMABLES'!$S9,'SAISIE ACHATS CONSOMMABLES'!$U9*'SAISIE ACHATS CONSOMMABLES'!$S9))</f>
        <v/>
      </c>
      <c r="W9" s="74" t="str">
        <f>IF('SAISIE ACHATS CONSOMMABLES'!$R9="","",(VLOOKUP('SAISIE ACHATS CONSOMMABLES'!$R9,'BDD FROMAGES_CONSOMMABLES'!$H:$J,3,FALSE))*'SAISIE ACHATS CONSOMMABLES'!$V9)</f>
        <v/>
      </c>
      <c r="X9" s="85" t="str">
        <f>IFERROR('SAISIE ACHATS CONSOMMABLES'!$V9+'SAISIE ACHATS CONSOMMABLES'!$W9,"")</f>
        <v/>
      </c>
      <c r="Y9" s="96"/>
      <c r="Z9" s="99"/>
      <c r="AA9" s="97"/>
      <c r="AB9" s="74" t="str">
        <f>IF('SAISIE ACHATS CONSOMMABLES'!$Y9="","",VLOOKUP('SAISIE ACHATS CONSOMMABLES'!$Z9,'BDD FROMAGES_CONSOMMABLES'!$H:$I,2,FALSE))</f>
        <v/>
      </c>
      <c r="AC9" s="98"/>
      <c r="AD9" s="78" t="str">
        <f>IF('SAISIE ACHATS CONSOMMABLES'!$AA9="","",IF('SAISIE ACHATS CONSOMMABLES'!$AC9="",'SAISIE ACHATS CONSOMMABLES'!$AB9*'SAISIE ACHATS CONSOMMABLES'!$AA9,'SAISIE ACHATS CONSOMMABLES'!$AC9*'SAISIE ACHATS CONSOMMABLES'!$AA9))</f>
        <v/>
      </c>
      <c r="AE9" s="74" t="str">
        <f>IF('SAISIE ACHATS CONSOMMABLES'!$Z9="","",(VLOOKUP('SAISIE ACHATS CONSOMMABLES'!$Z9,'BDD FROMAGES_CONSOMMABLES'!$H:$J,3,FALSE))*'SAISIE ACHATS CONSOMMABLES'!$AD9)</f>
        <v/>
      </c>
      <c r="AF9" s="85" t="str">
        <f>IFERROR('SAISIE ACHATS CONSOMMABLES'!$AD9+'SAISIE ACHATS CONSOMMABLES'!$AE9,"")</f>
        <v/>
      </c>
      <c r="AG9" s="96"/>
      <c r="AH9" s="99"/>
      <c r="AI9" s="97"/>
      <c r="AJ9" s="74" t="str">
        <f>IF('SAISIE ACHATS CONSOMMABLES'!AG9="","",VLOOKUP('SAISIE ACHATS CONSOMMABLES'!AH9,'BDD FROMAGES_CONSOMMABLES'!$H:$I,2,FALSE))</f>
        <v/>
      </c>
      <c r="AK9" s="98"/>
      <c r="AL9" s="78" t="str">
        <f>IF('SAISIE ACHATS CONSOMMABLES'!AI9="","",IF('SAISIE ACHATS CONSOMMABLES'!AK9="",'SAISIE ACHATS CONSOMMABLES'!AJ9*'SAISIE ACHATS CONSOMMABLES'!AI9,'SAISIE ACHATS CONSOMMABLES'!AK9*'SAISIE ACHATS CONSOMMABLES'!AI9))</f>
        <v/>
      </c>
      <c r="AM9" s="74" t="str">
        <f>IF('SAISIE ACHATS CONSOMMABLES'!AH9="","",(VLOOKUP('SAISIE ACHATS CONSOMMABLES'!AH9,'BDD FROMAGES_CONSOMMABLES'!$H:$J,3,FALSE))*'SAISIE ACHATS CONSOMMABLES'!AL9)</f>
        <v/>
      </c>
      <c r="AN9" s="85" t="str">
        <f>IFERROR('SAISIE ACHATS CONSOMMABLES'!AL9+'SAISIE ACHATS CONSOMMABLES'!AM9,"")</f>
        <v/>
      </c>
      <c r="AO9" s="96"/>
      <c r="AP9" s="99"/>
      <c r="AQ9" s="97"/>
      <c r="AR9" s="74" t="str">
        <f>IF('SAISIE ACHATS CONSOMMABLES'!AO9="","",VLOOKUP('SAISIE ACHATS CONSOMMABLES'!AP9,'BDD FROMAGES_CONSOMMABLES'!$H:$I,2,FALSE))</f>
        <v/>
      </c>
      <c r="AS9" s="98"/>
      <c r="AT9" s="78" t="str">
        <f>IF('SAISIE ACHATS CONSOMMABLES'!AQ9="","",IF('SAISIE ACHATS CONSOMMABLES'!AS9="",'SAISIE ACHATS CONSOMMABLES'!AR9*'SAISIE ACHATS CONSOMMABLES'!AQ9,'SAISIE ACHATS CONSOMMABLES'!AS9*'SAISIE ACHATS CONSOMMABLES'!AQ9))</f>
        <v/>
      </c>
      <c r="AU9" s="74" t="str">
        <f>IF('SAISIE ACHATS CONSOMMABLES'!AP9="","",(VLOOKUP('SAISIE ACHATS CONSOMMABLES'!AP9,'BDD FROMAGES_CONSOMMABLES'!$H:$J,3,FALSE))*'SAISIE ACHATS CONSOMMABLES'!AT9)</f>
        <v/>
      </c>
      <c r="AV9" s="85" t="str">
        <f>IFERROR('SAISIE ACHATS CONSOMMABLES'!AT9+'SAISIE ACHATS CONSOMMABLES'!AU9,"")</f>
        <v/>
      </c>
      <c r="AW9" s="96"/>
      <c r="AX9" s="99"/>
      <c r="AY9" s="97"/>
      <c r="AZ9" s="74" t="str">
        <f>IF('SAISIE ACHATS CONSOMMABLES'!AW9="","",VLOOKUP('SAISIE ACHATS CONSOMMABLES'!AX9,'BDD FROMAGES_CONSOMMABLES'!$H:$I,2,FALSE))</f>
        <v/>
      </c>
      <c r="BA9" s="98"/>
      <c r="BB9" s="78" t="str">
        <f>IF('SAISIE ACHATS CONSOMMABLES'!AY9="","",IF('SAISIE ACHATS CONSOMMABLES'!BA9="",'SAISIE ACHATS CONSOMMABLES'!AZ9*'SAISIE ACHATS CONSOMMABLES'!AY9,'SAISIE ACHATS CONSOMMABLES'!BA9*'SAISIE ACHATS CONSOMMABLES'!AY9))</f>
        <v/>
      </c>
      <c r="BC9" s="74" t="str">
        <f>IF('SAISIE ACHATS CONSOMMABLES'!AX9="","",(VLOOKUP('SAISIE ACHATS CONSOMMABLES'!AX9,'BDD FROMAGES_CONSOMMABLES'!$H:$J,3,FALSE))*'SAISIE ACHATS CONSOMMABLES'!BB9)</f>
        <v/>
      </c>
      <c r="BD9" s="85" t="str">
        <f>IFERROR('SAISIE ACHATS CONSOMMABLES'!BB9+'SAISIE ACHATS CONSOMMABLES'!BC9,"")</f>
        <v/>
      </c>
    </row>
    <row r="10" spans="1:56" x14ac:dyDescent="0.25">
      <c r="A10" s="105">
        <f t="shared" si="0"/>
        <v>9</v>
      </c>
      <c r="B10" s="92" t="s">
        <v>57</v>
      </c>
      <c r="C10" s="94"/>
      <c r="E10" s="95"/>
      <c r="F10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0" s="85">
        <f>IF(Tableau8[[#This Row],[Total TTC]]="","",Tableau8[[#This Row],[Total TTC]]-Tableau8[[#This Row],[Total HT]])</f>
        <v>0</v>
      </c>
      <c r="H10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0" s="96"/>
      <c r="J10" s="71"/>
      <c r="K10" s="97"/>
      <c r="L10" s="85" t="str">
        <f>IF('SAISIE ACHATS CONSOMMABLES'!$K10="","",VLOOKUP('SAISIE ACHATS CONSOMMABLES'!$J10,'BDD FROMAGES_CONSOMMABLES'!$H:$I,2,FALSE))</f>
        <v/>
      </c>
      <c r="M10" s="98"/>
      <c r="N10" s="78" t="str">
        <f>IF('SAISIE ACHATS CONSOMMABLES'!$K10="","",IF('SAISIE ACHATS CONSOMMABLES'!$M10="",'SAISIE ACHATS CONSOMMABLES'!$L10*'SAISIE ACHATS CONSOMMABLES'!$K10,'SAISIE ACHATS CONSOMMABLES'!$M10*'SAISIE ACHATS CONSOMMABLES'!$K10))</f>
        <v/>
      </c>
      <c r="O10" s="74" t="str">
        <f>IF('SAISIE ACHATS CONSOMMABLES'!$J10="","",(VLOOKUP('SAISIE ACHATS CONSOMMABLES'!$J10,'BDD FROMAGES_CONSOMMABLES'!$H:$J,3,FALSE))*'SAISIE ACHATS CONSOMMABLES'!$N10)</f>
        <v/>
      </c>
      <c r="P10" s="85" t="str">
        <f>IFERROR('SAISIE ACHATS CONSOMMABLES'!$N10+'SAISIE ACHATS CONSOMMABLES'!$O10,"")</f>
        <v/>
      </c>
      <c r="Q10" s="96"/>
      <c r="R10" s="71"/>
      <c r="S10" s="97"/>
      <c r="T10" s="74" t="str">
        <f>IF('SAISIE ACHATS CONSOMMABLES'!$Q10="","",VLOOKUP('SAISIE ACHATS CONSOMMABLES'!$R10,'BDD FROMAGES_CONSOMMABLES'!$H:$I,2,FALSE))</f>
        <v/>
      </c>
      <c r="U10" s="98"/>
      <c r="V10" s="78" t="str">
        <f>IF('SAISIE ACHATS CONSOMMABLES'!$S10="","",IF('SAISIE ACHATS CONSOMMABLES'!$U10="",'SAISIE ACHATS CONSOMMABLES'!$T10*'SAISIE ACHATS CONSOMMABLES'!$S10,'SAISIE ACHATS CONSOMMABLES'!$U10*'SAISIE ACHATS CONSOMMABLES'!$S10))</f>
        <v/>
      </c>
      <c r="W10" s="74" t="str">
        <f>IF('SAISIE ACHATS CONSOMMABLES'!$R10="","",(VLOOKUP('SAISIE ACHATS CONSOMMABLES'!$R10,'BDD FROMAGES_CONSOMMABLES'!$H:$J,3,FALSE))*'SAISIE ACHATS CONSOMMABLES'!$V10)</f>
        <v/>
      </c>
      <c r="X10" s="85" t="str">
        <f>IFERROR('SAISIE ACHATS CONSOMMABLES'!$V10+'SAISIE ACHATS CONSOMMABLES'!$W10,"")</f>
        <v/>
      </c>
      <c r="Y10" s="96"/>
      <c r="Z10" s="99"/>
      <c r="AA10" s="97"/>
      <c r="AB10" s="74" t="str">
        <f>IF('SAISIE ACHATS CONSOMMABLES'!$Y10="","",VLOOKUP('SAISIE ACHATS CONSOMMABLES'!$Z10,'BDD FROMAGES_CONSOMMABLES'!$H:$I,2,FALSE))</f>
        <v/>
      </c>
      <c r="AC10" s="98"/>
      <c r="AD10" s="78" t="str">
        <f>IF('SAISIE ACHATS CONSOMMABLES'!$AA10="","",IF('SAISIE ACHATS CONSOMMABLES'!$AC10="",'SAISIE ACHATS CONSOMMABLES'!$AB10*'SAISIE ACHATS CONSOMMABLES'!$AA10,'SAISIE ACHATS CONSOMMABLES'!$AC10*'SAISIE ACHATS CONSOMMABLES'!$AA10))</f>
        <v/>
      </c>
      <c r="AE10" s="74" t="str">
        <f>IF('SAISIE ACHATS CONSOMMABLES'!$Z10="","",(VLOOKUP('SAISIE ACHATS CONSOMMABLES'!$Z10,'BDD FROMAGES_CONSOMMABLES'!$H:$J,3,FALSE))*'SAISIE ACHATS CONSOMMABLES'!$AD10)</f>
        <v/>
      </c>
      <c r="AF10" s="85" t="str">
        <f>IFERROR('SAISIE ACHATS CONSOMMABLES'!$AD10+'SAISIE ACHATS CONSOMMABLES'!$AE10,"")</f>
        <v/>
      </c>
      <c r="AG10" s="96"/>
      <c r="AH10" s="99"/>
      <c r="AI10" s="97"/>
      <c r="AJ10" s="74" t="str">
        <f>IF('SAISIE ACHATS CONSOMMABLES'!AG10="","",VLOOKUP('SAISIE ACHATS CONSOMMABLES'!AH10,'BDD FROMAGES_CONSOMMABLES'!$H:$I,2,FALSE))</f>
        <v/>
      </c>
      <c r="AK10" s="98"/>
      <c r="AL10" s="78" t="str">
        <f>IF('SAISIE ACHATS CONSOMMABLES'!AI10="","",IF('SAISIE ACHATS CONSOMMABLES'!AK10="",'SAISIE ACHATS CONSOMMABLES'!AJ10*'SAISIE ACHATS CONSOMMABLES'!AI10,'SAISIE ACHATS CONSOMMABLES'!AK10*'SAISIE ACHATS CONSOMMABLES'!AI10))</f>
        <v/>
      </c>
      <c r="AM10" s="74" t="str">
        <f>IF('SAISIE ACHATS CONSOMMABLES'!AH10="","",(VLOOKUP('SAISIE ACHATS CONSOMMABLES'!AH10,'BDD FROMAGES_CONSOMMABLES'!$H:$J,3,FALSE))*'SAISIE ACHATS CONSOMMABLES'!AL10)</f>
        <v/>
      </c>
      <c r="AN10" s="85" t="str">
        <f>IFERROR('SAISIE ACHATS CONSOMMABLES'!AL10+'SAISIE ACHATS CONSOMMABLES'!AM10,"")</f>
        <v/>
      </c>
      <c r="AO10" s="96"/>
      <c r="AP10" s="99"/>
      <c r="AQ10" s="97"/>
      <c r="AR10" s="74" t="str">
        <f>IF('SAISIE ACHATS CONSOMMABLES'!AO10="","",VLOOKUP('SAISIE ACHATS CONSOMMABLES'!AP10,'BDD FROMAGES_CONSOMMABLES'!$H:$I,2,FALSE))</f>
        <v/>
      </c>
      <c r="AS10" s="98"/>
      <c r="AT10" s="78" t="str">
        <f>IF('SAISIE ACHATS CONSOMMABLES'!AQ10="","",IF('SAISIE ACHATS CONSOMMABLES'!AS10="",'SAISIE ACHATS CONSOMMABLES'!AR10*'SAISIE ACHATS CONSOMMABLES'!AQ10,'SAISIE ACHATS CONSOMMABLES'!AS10*'SAISIE ACHATS CONSOMMABLES'!AQ10))</f>
        <v/>
      </c>
      <c r="AU10" s="74" t="str">
        <f>IF('SAISIE ACHATS CONSOMMABLES'!AP10="","",(VLOOKUP('SAISIE ACHATS CONSOMMABLES'!AP10,'BDD FROMAGES_CONSOMMABLES'!$H:$J,3,FALSE))*'SAISIE ACHATS CONSOMMABLES'!AT10)</f>
        <v/>
      </c>
      <c r="AV10" s="85" t="str">
        <f>IFERROR('SAISIE ACHATS CONSOMMABLES'!AT10+'SAISIE ACHATS CONSOMMABLES'!AU10,"")</f>
        <v/>
      </c>
      <c r="AW10" s="96"/>
      <c r="AX10" s="99"/>
      <c r="AY10" s="97"/>
      <c r="AZ10" s="74" t="str">
        <f>IF('SAISIE ACHATS CONSOMMABLES'!AW10="","",VLOOKUP('SAISIE ACHATS CONSOMMABLES'!AX10,'BDD FROMAGES_CONSOMMABLES'!$H:$I,2,FALSE))</f>
        <v/>
      </c>
      <c r="BA10" s="98"/>
      <c r="BB10" s="78" t="str">
        <f>IF('SAISIE ACHATS CONSOMMABLES'!AY10="","",IF('SAISIE ACHATS CONSOMMABLES'!BA10="",'SAISIE ACHATS CONSOMMABLES'!AZ10*'SAISIE ACHATS CONSOMMABLES'!AY10,'SAISIE ACHATS CONSOMMABLES'!BA10*'SAISIE ACHATS CONSOMMABLES'!AY10))</f>
        <v/>
      </c>
      <c r="BC10" s="74" t="str">
        <f>IF('SAISIE ACHATS CONSOMMABLES'!AX10="","",(VLOOKUP('SAISIE ACHATS CONSOMMABLES'!AX10,'BDD FROMAGES_CONSOMMABLES'!$H:$J,3,FALSE))*'SAISIE ACHATS CONSOMMABLES'!BB10)</f>
        <v/>
      </c>
      <c r="BD10" s="85" t="str">
        <f>IFERROR('SAISIE ACHATS CONSOMMABLES'!BB10+'SAISIE ACHATS CONSOMMABLES'!BC10,"")</f>
        <v/>
      </c>
    </row>
    <row r="11" spans="1:56" x14ac:dyDescent="0.25">
      <c r="A11" s="105">
        <f t="shared" si="0"/>
        <v>10</v>
      </c>
      <c r="B11" s="93" t="s">
        <v>47</v>
      </c>
      <c r="C11" s="94"/>
      <c r="E11" s="95"/>
      <c r="F11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1" s="85">
        <f>IF(Tableau8[[#This Row],[Total TTC]]="","",Tableau8[[#This Row],[Total TTC]]-Tableau8[[#This Row],[Total HT]])</f>
        <v>0</v>
      </c>
      <c r="H11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1" s="96"/>
      <c r="J11" s="71"/>
      <c r="K11" s="97"/>
      <c r="L11" s="85" t="str">
        <f>IF('SAISIE ACHATS CONSOMMABLES'!$K11="","",VLOOKUP('SAISIE ACHATS CONSOMMABLES'!$J11,'BDD FROMAGES_CONSOMMABLES'!$H:$I,2,FALSE))</f>
        <v/>
      </c>
      <c r="M11" s="98"/>
      <c r="N11" s="78" t="str">
        <f>IF('SAISIE ACHATS CONSOMMABLES'!$K11="","",IF('SAISIE ACHATS CONSOMMABLES'!$M11="",'SAISIE ACHATS CONSOMMABLES'!$L11*'SAISIE ACHATS CONSOMMABLES'!$K11,'SAISIE ACHATS CONSOMMABLES'!$M11*'SAISIE ACHATS CONSOMMABLES'!$K11))</f>
        <v/>
      </c>
      <c r="O11" s="74" t="str">
        <f>IF('SAISIE ACHATS CONSOMMABLES'!$J11="","",(VLOOKUP('SAISIE ACHATS CONSOMMABLES'!$J11,'BDD FROMAGES_CONSOMMABLES'!$H:$J,3,FALSE))*'SAISIE ACHATS CONSOMMABLES'!$N11)</f>
        <v/>
      </c>
      <c r="P11" s="85" t="str">
        <f>IFERROR('SAISIE ACHATS CONSOMMABLES'!$N11+'SAISIE ACHATS CONSOMMABLES'!$O11,"")</f>
        <v/>
      </c>
      <c r="Q11" s="96"/>
      <c r="R11" s="71"/>
      <c r="S11" s="97"/>
      <c r="T11" s="74" t="str">
        <f>IF('SAISIE ACHATS CONSOMMABLES'!$Q11="","",VLOOKUP('SAISIE ACHATS CONSOMMABLES'!$R11,'BDD FROMAGES_CONSOMMABLES'!$H:$I,2,FALSE))</f>
        <v/>
      </c>
      <c r="U11" s="98"/>
      <c r="V11" s="78" t="str">
        <f>IF('SAISIE ACHATS CONSOMMABLES'!$S11="","",IF('SAISIE ACHATS CONSOMMABLES'!$U11="",'SAISIE ACHATS CONSOMMABLES'!$T11*'SAISIE ACHATS CONSOMMABLES'!$S11,'SAISIE ACHATS CONSOMMABLES'!$U11*'SAISIE ACHATS CONSOMMABLES'!$S11))</f>
        <v/>
      </c>
      <c r="W11" s="74" t="str">
        <f>IF('SAISIE ACHATS CONSOMMABLES'!$R11="","",(VLOOKUP('SAISIE ACHATS CONSOMMABLES'!$R11,'BDD FROMAGES_CONSOMMABLES'!$H:$J,3,FALSE))*'SAISIE ACHATS CONSOMMABLES'!$V11)</f>
        <v/>
      </c>
      <c r="X11" s="85" t="str">
        <f>IFERROR('SAISIE ACHATS CONSOMMABLES'!$V11+'SAISIE ACHATS CONSOMMABLES'!$W11,"")</f>
        <v/>
      </c>
      <c r="Y11" s="96"/>
      <c r="Z11" s="99"/>
      <c r="AA11" s="97"/>
      <c r="AB11" s="74" t="str">
        <f>IF('SAISIE ACHATS CONSOMMABLES'!$Y11="","",VLOOKUP('SAISIE ACHATS CONSOMMABLES'!$Z11,'BDD FROMAGES_CONSOMMABLES'!$H:$I,2,FALSE))</f>
        <v/>
      </c>
      <c r="AC11" s="98"/>
      <c r="AD11" s="78" t="str">
        <f>IF('SAISIE ACHATS CONSOMMABLES'!$AA11="","",IF('SAISIE ACHATS CONSOMMABLES'!$AC11="",'SAISIE ACHATS CONSOMMABLES'!$AB11*'SAISIE ACHATS CONSOMMABLES'!$AA11,'SAISIE ACHATS CONSOMMABLES'!$AC11*'SAISIE ACHATS CONSOMMABLES'!$AA11))</f>
        <v/>
      </c>
      <c r="AE11" s="74" t="str">
        <f>IF('SAISIE ACHATS CONSOMMABLES'!$Z11="","",(VLOOKUP('SAISIE ACHATS CONSOMMABLES'!$Z11,'BDD FROMAGES_CONSOMMABLES'!$H:$J,3,FALSE))*'SAISIE ACHATS CONSOMMABLES'!$AD11)</f>
        <v/>
      </c>
      <c r="AF11" s="85" t="str">
        <f>IFERROR('SAISIE ACHATS CONSOMMABLES'!$AD11+'SAISIE ACHATS CONSOMMABLES'!$AE11,"")</f>
        <v/>
      </c>
      <c r="AG11" s="96"/>
      <c r="AH11" s="99"/>
      <c r="AI11" s="97"/>
      <c r="AJ11" s="74" t="str">
        <f>IF('SAISIE ACHATS CONSOMMABLES'!AG11="","",VLOOKUP('SAISIE ACHATS CONSOMMABLES'!AH11,'BDD FROMAGES_CONSOMMABLES'!$H:$I,2,FALSE))</f>
        <v/>
      </c>
      <c r="AK11" s="98"/>
      <c r="AL11" s="78" t="str">
        <f>IF('SAISIE ACHATS CONSOMMABLES'!AI11="","",IF('SAISIE ACHATS CONSOMMABLES'!AK11="",'SAISIE ACHATS CONSOMMABLES'!AJ11*'SAISIE ACHATS CONSOMMABLES'!AI11,'SAISIE ACHATS CONSOMMABLES'!AK11*'SAISIE ACHATS CONSOMMABLES'!AI11))</f>
        <v/>
      </c>
      <c r="AM11" s="74" t="str">
        <f>IF('SAISIE ACHATS CONSOMMABLES'!AH11="","",(VLOOKUP('SAISIE ACHATS CONSOMMABLES'!AH11,'BDD FROMAGES_CONSOMMABLES'!$H:$J,3,FALSE))*'SAISIE ACHATS CONSOMMABLES'!AL11)</f>
        <v/>
      </c>
      <c r="AN11" s="85" t="str">
        <f>IFERROR('SAISIE ACHATS CONSOMMABLES'!AL11+'SAISIE ACHATS CONSOMMABLES'!AM11,"")</f>
        <v/>
      </c>
      <c r="AO11" s="96"/>
      <c r="AP11" s="99"/>
      <c r="AQ11" s="97"/>
      <c r="AR11" s="74" t="str">
        <f>IF('SAISIE ACHATS CONSOMMABLES'!AO11="","",VLOOKUP('SAISIE ACHATS CONSOMMABLES'!AP11,'BDD FROMAGES_CONSOMMABLES'!$H:$I,2,FALSE))</f>
        <v/>
      </c>
      <c r="AS11" s="98"/>
      <c r="AT11" s="78" t="str">
        <f>IF('SAISIE ACHATS CONSOMMABLES'!AQ11="","",IF('SAISIE ACHATS CONSOMMABLES'!AS11="",'SAISIE ACHATS CONSOMMABLES'!AR11*'SAISIE ACHATS CONSOMMABLES'!AQ11,'SAISIE ACHATS CONSOMMABLES'!AS11*'SAISIE ACHATS CONSOMMABLES'!AQ11))</f>
        <v/>
      </c>
      <c r="AU11" s="74" t="str">
        <f>IF('SAISIE ACHATS CONSOMMABLES'!AP11="","",(VLOOKUP('SAISIE ACHATS CONSOMMABLES'!AP11,'BDD FROMAGES_CONSOMMABLES'!$H:$J,3,FALSE))*'SAISIE ACHATS CONSOMMABLES'!AT11)</f>
        <v/>
      </c>
      <c r="AV11" s="85" t="str">
        <f>IFERROR('SAISIE ACHATS CONSOMMABLES'!AT11+'SAISIE ACHATS CONSOMMABLES'!AU11,"")</f>
        <v/>
      </c>
      <c r="AW11" s="96"/>
      <c r="AX11" s="99"/>
      <c r="AY11" s="97"/>
      <c r="AZ11" s="74" t="str">
        <f>IF('SAISIE ACHATS CONSOMMABLES'!AW11="","",VLOOKUP('SAISIE ACHATS CONSOMMABLES'!AX11,'BDD FROMAGES_CONSOMMABLES'!$H:$I,2,FALSE))</f>
        <v/>
      </c>
      <c r="BA11" s="98"/>
      <c r="BB11" s="78" t="str">
        <f>IF('SAISIE ACHATS CONSOMMABLES'!AY11="","",IF('SAISIE ACHATS CONSOMMABLES'!BA11="",'SAISIE ACHATS CONSOMMABLES'!AZ11*'SAISIE ACHATS CONSOMMABLES'!AY11,'SAISIE ACHATS CONSOMMABLES'!BA11*'SAISIE ACHATS CONSOMMABLES'!AY11))</f>
        <v/>
      </c>
      <c r="BC11" s="74" t="str">
        <f>IF('SAISIE ACHATS CONSOMMABLES'!AX11="","",(VLOOKUP('SAISIE ACHATS CONSOMMABLES'!AX11,'BDD FROMAGES_CONSOMMABLES'!$H:$J,3,FALSE))*'SAISIE ACHATS CONSOMMABLES'!BB11)</f>
        <v/>
      </c>
      <c r="BD11" s="85" t="str">
        <f>IFERROR('SAISIE ACHATS CONSOMMABLES'!BB11+'SAISIE ACHATS CONSOMMABLES'!BC11,"")</f>
        <v/>
      </c>
    </row>
    <row r="12" spans="1:56" x14ac:dyDescent="0.25">
      <c r="A12" s="105">
        <f t="shared" si="0"/>
        <v>11</v>
      </c>
      <c r="B12" s="92" t="s">
        <v>49</v>
      </c>
      <c r="C12" s="94"/>
      <c r="E12" s="95"/>
      <c r="F12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2" s="85">
        <f>IF(Tableau8[[#This Row],[Total TTC]]="","",Tableau8[[#This Row],[Total TTC]]-Tableau8[[#This Row],[Total HT]])</f>
        <v>0</v>
      </c>
      <c r="H12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2" s="96"/>
      <c r="J12" s="71"/>
      <c r="K12" s="97"/>
      <c r="L12" s="85" t="str">
        <f>IF('SAISIE ACHATS CONSOMMABLES'!$K12="","",VLOOKUP('SAISIE ACHATS CONSOMMABLES'!$J12,'BDD FROMAGES_CONSOMMABLES'!$H:$I,2,FALSE))</f>
        <v/>
      </c>
      <c r="M12" s="98"/>
      <c r="N12" s="78" t="str">
        <f>IF('SAISIE ACHATS CONSOMMABLES'!$K12="","",IF('SAISIE ACHATS CONSOMMABLES'!$M12="",'SAISIE ACHATS CONSOMMABLES'!$L12*'SAISIE ACHATS CONSOMMABLES'!$K12,'SAISIE ACHATS CONSOMMABLES'!$M12*'SAISIE ACHATS CONSOMMABLES'!$K12))</f>
        <v/>
      </c>
      <c r="O12" s="74" t="str">
        <f>IF('SAISIE ACHATS CONSOMMABLES'!$J12="","",(VLOOKUP('SAISIE ACHATS CONSOMMABLES'!$J12,'BDD FROMAGES_CONSOMMABLES'!$H:$J,3,FALSE))*'SAISIE ACHATS CONSOMMABLES'!$N12)</f>
        <v/>
      </c>
      <c r="P12" s="85" t="str">
        <f>IFERROR('SAISIE ACHATS CONSOMMABLES'!$N12+'SAISIE ACHATS CONSOMMABLES'!$O12,"")</f>
        <v/>
      </c>
      <c r="Q12" s="96"/>
      <c r="R12" s="71"/>
      <c r="S12" s="97"/>
      <c r="T12" s="74" t="str">
        <f>IF('SAISIE ACHATS CONSOMMABLES'!$Q12="","",VLOOKUP('SAISIE ACHATS CONSOMMABLES'!$R12,'BDD FROMAGES_CONSOMMABLES'!$H:$I,2,FALSE))</f>
        <v/>
      </c>
      <c r="U12" s="98"/>
      <c r="V12" s="78" t="str">
        <f>IF('SAISIE ACHATS CONSOMMABLES'!$S12="","",IF('SAISIE ACHATS CONSOMMABLES'!$U12="",'SAISIE ACHATS CONSOMMABLES'!$T12*'SAISIE ACHATS CONSOMMABLES'!$S12,'SAISIE ACHATS CONSOMMABLES'!$U12*'SAISIE ACHATS CONSOMMABLES'!$S12))</f>
        <v/>
      </c>
      <c r="W12" s="74" t="str">
        <f>IF('SAISIE ACHATS CONSOMMABLES'!$R12="","",(VLOOKUP('SAISIE ACHATS CONSOMMABLES'!$R12,'BDD FROMAGES_CONSOMMABLES'!$H:$J,3,FALSE))*'SAISIE ACHATS CONSOMMABLES'!$V12)</f>
        <v/>
      </c>
      <c r="X12" s="85" t="str">
        <f>IFERROR('SAISIE ACHATS CONSOMMABLES'!$V12+'SAISIE ACHATS CONSOMMABLES'!$W12,"")</f>
        <v/>
      </c>
      <c r="Y12" s="96"/>
      <c r="Z12" s="99"/>
      <c r="AA12" s="97"/>
      <c r="AB12" s="74" t="str">
        <f>IF('SAISIE ACHATS CONSOMMABLES'!$Y12="","",VLOOKUP('SAISIE ACHATS CONSOMMABLES'!$Z12,'BDD FROMAGES_CONSOMMABLES'!$H:$I,2,FALSE))</f>
        <v/>
      </c>
      <c r="AC12" s="98"/>
      <c r="AD12" s="78" t="str">
        <f>IF('SAISIE ACHATS CONSOMMABLES'!$AA12="","",IF('SAISIE ACHATS CONSOMMABLES'!$AC12="",'SAISIE ACHATS CONSOMMABLES'!$AB12*'SAISIE ACHATS CONSOMMABLES'!$AA12,'SAISIE ACHATS CONSOMMABLES'!$AC12*'SAISIE ACHATS CONSOMMABLES'!$AA12))</f>
        <v/>
      </c>
      <c r="AE12" s="74" t="str">
        <f>IF('SAISIE ACHATS CONSOMMABLES'!$Z12="","",(VLOOKUP('SAISIE ACHATS CONSOMMABLES'!$Z12,'BDD FROMAGES_CONSOMMABLES'!$H:$J,3,FALSE))*'SAISIE ACHATS CONSOMMABLES'!$AD12)</f>
        <v/>
      </c>
      <c r="AF12" s="85" t="str">
        <f>IFERROR('SAISIE ACHATS CONSOMMABLES'!$AD12+'SAISIE ACHATS CONSOMMABLES'!$AE12,"")</f>
        <v/>
      </c>
      <c r="AG12" s="96"/>
      <c r="AH12" s="99"/>
      <c r="AI12" s="97"/>
      <c r="AJ12" s="74" t="str">
        <f>IF('SAISIE ACHATS CONSOMMABLES'!AG12="","",VLOOKUP('SAISIE ACHATS CONSOMMABLES'!AH12,'BDD FROMAGES_CONSOMMABLES'!$H:$I,2,FALSE))</f>
        <v/>
      </c>
      <c r="AK12" s="98"/>
      <c r="AL12" s="78" t="str">
        <f>IF('SAISIE ACHATS CONSOMMABLES'!AI12="","",IF('SAISIE ACHATS CONSOMMABLES'!AK12="",'SAISIE ACHATS CONSOMMABLES'!AJ12*'SAISIE ACHATS CONSOMMABLES'!AI12,'SAISIE ACHATS CONSOMMABLES'!AK12*'SAISIE ACHATS CONSOMMABLES'!AI12))</f>
        <v/>
      </c>
      <c r="AM12" s="74" t="str">
        <f>IF('SAISIE ACHATS CONSOMMABLES'!AH12="","",(VLOOKUP('SAISIE ACHATS CONSOMMABLES'!AH12,'BDD FROMAGES_CONSOMMABLES'!$H:$J,3,FALSE))*'SAISIE ACHATS CONSOMMABLES'!AL12)</f>
        <v/>
      </c>
      <c r="AN12" s="85" t="str">
        <f>IFERROR('SAISIE ACHATS CONSOMMABLES'!AL12+'SAISIE ACHATS CONSOMMABLES'!AM12,"")</f>
        <v/>
      </c>
      <c r="AO12" s="96"/>
      <c r="AP12" s="99"/>
      <c r="AQ12" s="97"/>
      <c r="AR12" s="74" t="str">
        <f>IF('SAISIE ACHATS CONSOMMABLES'!AO12="","",VLOOKUP('SAISIE ACHATS CONSOMMABLES'!AP12,'BDD FROMAGES_CONSOMMABLES'!$H:$I,2,FALSE))</f>
        <v/>
      </c>
      <c r="AS12" s="98"/>
      <c r="AT12" s="78" t="str">
        <f>IF('SAISIE ACHATS CONSOMMABLES'!AQ12="","",IF('SAISIE ACHATS CONSOMMABLES'!AS12="",'SAISIE ACHATS CONSOMMABLES'!AR12*'SAISIE ACHATS CONSOMMABLES'!AQ12,'SAISIE ACHATS CONSOMMABLES'!AS12*'SAISIE ACHATS CONSOMMABLES'!AQ12))</f>
        <v/>
      </c>
      <c r="AU12" s="74" t="str">
        <f>IF('SAISIE ACHATS CONSOMMABLES'!AP12="","",(VLOOKUP('SAISIE ACHATS CONSOMMABLES'!AP12,'BDD FROMAGES_CONSOMMABLES'!$H:$J,3,FALSE))*'SAISIE ACHATS CONSOMMABLES'!AT12)</f>
        <v/>
      </c>
      <c r="AV12" s="85" t="str">
        <f>IFERROR('SAISIE ACHATS CONSOMMABLES'!AT12+'SAISIE ACHATS CONSOMMABLES'!AU12,"")</f>
        <v/>
      </c>
      <c r="AW12" s="96"/>
      <c r="AX12" s="99"/>
      <c r="AY12" s="97"/>
      <c r="AZ12" s="74" t="str">
        <f>IF('SAISIE ACHATS CONSOMMABLES'!AW12="","",VLOOKUP('SAISIE ACHATS CONSOMMABLES'!AX12,'BDD FROMAGES_CONSOMMABLES'!$H:$I,2,FALSE))</f>
        <v/>
      </c>
      <c r="BA12" s="98"/>
      <c r="BB12" s="78" t="str">
        <f>IF('SAISIE ACHATS CONSOMMABLES'!AY12="","",IF('SAISIE ACHATS CONSOMMABLES'!BA12="",'SAISIE ACHATS CONSOMMABLES'!AZ12*'SAISIE ACHATS CONSOMMABLES'!AY12,'SAISIE ACHATS CONSOMMABLES'!BA12*'SAISIE ACHATS CONSOMMABLES'!AY12))</f>
        <v/>
      </c>
      <c r="BC12" s="74" t="str">
        <f>IF('SAISIE ACHATS CONSOMMABLES'!AX12="","",(VLOOKUP('SAISIE ACHATS CONSOMMABLES'!AX12,'BDD FROMAGES_CONSOMMABLES'!$H:$J,3,FALSE))*'SAISIE ACHATS CONSOMMABLES'!BB12)</f>
        <v/>
      </c>
      <c r="BD12" s="85" t="str">
        <f>IFERROR('SAISIE ACHATS CONSOMMABLES'!BB12+'SAISIE ACHATS CONSOMMABLES'!BC12,"")</f>
        <v/>
      </c>
    </row>
    <row r="13" spans="1:56" x14ac:dyDescent="0.25">
      <c r="A13" s="105">
        <f t="shared" si="0"/>
        <v>12</v>
      </c>
      <c r="B13" s="93" t="s">
        <v>52</v>
      </c>
      <c r="C13" s="94"/>
      <c r="E13" s="95"/>
      <c r="F13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3" s="85">
        <f>IF(Tableau8[[#This Row],[Total TTC]]="","",Tableau8[[#This Row],[Total TTC]]-Tableau8[[#This Row],[Total HT]])</f>
        <v>0</v>
      </c>
      <c r="H13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3" s="96"/>
      <c r="J13" s="71"/>
      <c r="K13" s="97"/>
      <c r="L13" s="85" t="str">
        <f>IF('SAISIE ACHATS CONSOMMABLES'!$K13="","",VLOOKUP('SAISIE ACHATS CONSOMMABLES'!$J13,'BDD FROMAGES_CONSOMMABLES'!$H:$I,2,FALSE))</f>
        <v/>
      </c>
      <c r="M13" s="98"/>
      <c r="N13" s="78" t="str">
        <f>IF('SAISIE ACHATS CONSOMMABLES'!$K13="","",IF('SAISIE ACHATS CONSOMMABLES'!$M13="",'SAISIE ACHATS CONSOMMABLES'!$L13*'SAISIE ACHATS CONSOMMABLES'!$K13,'SAISIE ACHATS CONSOMMABLES'!$M13*'SAISIE ACHATS CONSOMMABLES'!$K13))</f>
        <v/>
      </c>
      <c r="O13" s="74" t="str">
        <f>IF('SAISIE ACHATS CONSOMMABLES'!$J13="","",(VLOOKUP('SAISIE ACHATS CONSOMMABLES'!$J13,'BDD FROMAGES_CONSOMMABLES'!$H:$J,3,FALSE))*'SAISIE ACHATS CONSOMMABLES'!$N13)</f>
        <v/>
      </c>
      <c r="P13" s="85" t="str">
        <f>IFERROR('SAISIE ACHATS CONSOMMABLES'!$N13+'SAISIE ACHATS CONSOMMABLES'!$O13,"")</f>
        <v/>
      </c>
      <c r="Q13" s="96"/>
      <c r="R13" s="71"/>
      <c r="S13" s="97"/>
      <c r="T13" s="74" t="str">
        <f>IF('SAISIE ACHATS CONSOMMABLES'!$Q13="","",VLOOKUP('SAISIE ACHATS CONSOMMABLES'!$R13,'BDD FROMAGES_CONSOMMABLES'!$H:$I,2,FALSE))</f>
        <v/>
      </c>
      <c r="U13" s="98"/>
      <c r="V13" s="78" t="str">
        <f>IF('SAISIE ACHATS CONSOMMABLES'!$S13="","",IF('SAISIE ACHATS CONSOMMABLES'!$U13="",'SAISIE ACHATS CONSOMMABLES'!$T13*'SAISIE ACHATS CONSOMMABLES'!$S13,'SAISIE ACHATS CONSOMMABLES'!$U13*'SAISIE ACHATS CONSOMMABLES'!$S13))</f>
        <v/>
      </c>
      <c r="W13" s="74" t="str">
        <f>IF('SAISIE ACHATS CONSOMMABLES'!$R13="","",(VLOOKUP('SAISIE ACHATS CONSOMMABLES'!$R13,'BDD FROMAGES_CONSOMMABLES'!$H:$J,3,FALSE))*'SAISIE ACHATS CONSOMMABLES'!$V13)</f>
        <v/>
      </c>
      <c r="X13" s="85" t="str">
        <f>IFERROR('SAISIE ACHATS CONSOMMABLES'!$V13+'SAISIE ACHATS CONSOMMABLES'!$W13,"")</f>
        <v/>
      </c>
      <c r="Y13" s="96"/>
      <c r="Z13" s="99"/>
      <c r="AA13" s="97"/>
      <c r="AB13" s="74" t="str">
        <f>IF('SAISIE ACHATS CONSOMMABLES'!$Y13="","",VLOOKUP('SAISIE ACHATS CONSOMMABLES'!$Z13,'BDD FROMAGES_CONSOMMABLES'!$H:$I,2,FALSE))</f>
        <v/>
      </c>
      <c r="AC13" s="98"/>
      <c r="AD13" s="78" t="str">
        <f>IF('SAISIE ACHATS CONSOMMABLES'!$AA13="","",IF('SAISIE ACHATS CONSOMMABLES'!$AC13="",'SAISIE ACHATS CONSOMMABLES'!$AB13*'SAISIE ACHATS CONSOMMABLES'!$AA13,'SAISIE ACHATS CONSOMMABLES'!$AC13*'SAISIE ACHATS CONSOMMABLES'!$AA13))</f>
        <v/>
      </c>
      <c r="AE13" s="74" t="str">
        <f>IF('SAISIE ACHATS CONSOMMABLES'!$Z13="","",(VLOOKUP('SAISIE ACHATS CONSOMMABLES'!$Z13,'BDD FROMAGES_CONSOMMABLES'!$H:$J,3,FALSE))*'SAISIE ACHATS CONSOMMABLES'!$AD13)</f>
        <v/>
      </c>
      <c r="AF13" s="85" t="str">
        <f>IFERROR('SAISIE ACHATS CONSOMMABLES'!$AD13+'SAISIE ACHATS CONSOMMABLES'!$AE13,"")</f>
        <v/>
      </c>
      <c r="AG13" s="96"/>
      <c r="AH13" s="99"/>
      <c r="AI13" s="97"/>
      <c r="AJ13" s="74" t="str">
        <f>IF('SAISIE ACHATS CONSOMMABLES'!AG13="","",VLOOKUP('SAISIE ACHATS CONSOMMABLES'!AH13,'BDD FROMAGES_CONSOMMABLES'!$H:$I,2,FALSE))</f>
        <v/>
      </c>
      <c r="AK13" s="98"/>
      <c r="AL13" s="78" t="str">
        <f>IF('SAISIE ACHATS CONSOMMABLES'!AI13="","",IF('SAISIE ACHATS CONSOMMABLES'!AK13="",'SAISIE ACHATS CONSOMMABLES'!AJ13*'SAISIE ACHATS CONSOMMABLES'!AI13,'SAISIE ACHATS CONSOMMABLES'!AK13*'SAISIE ACHATS CONSOMMABLES'!AI13))</f>
        <v/>
      </c>
      <c r="AM13" s="74" t="str">
        <f>IF('SAISIE ACHATS CONSOMMABLES'!AH13="","",(VLOOKUP('SAISIE ACHATS CONSOMMABLES'!AH13,'BDD FROMAGES_CONSOMMABLES'!$H:$J,3,FALSE))*'SAISIE ACHATS CONSOMMABLES'!AL13)</f>
        <v/>
      </c>
      <c r="AN13" s="85" t="str">
        <f>IFERROR('SAISIE ACHATS CONSOMMABLES'!AL13+'SAISIE ACHATS CONSOMMABLES'!AM13,"")</f>
        <v/>
      </c>
      <c r="AO13" s="96"/>
      <c r="AP13" s="99"/>
      <c r="AQ13" s="97"/>
      <c r="AR13" s="74" t="str">
        <f>IF('SAISIE ACHATS CONSOMMABLES'!AO13="","",VLOOKUP('SAISIE ACHATS CONSOMMABLES'!AP13,'BDD FROMAGES_CONSOMMABLES'!$H:$I,2,FALSE))</f>
        <v/>
      </c>
      <c r="AS13" s="98"/>
      <c r="AT13" s="78" t="str">
        <f>IF('SAISIE ACHATS CONSOMMABLES'!AQ13="","",IF('SAISIE ACHATS CONSOMMABLES'!AS13="",'SAISIE ACHATS CONSOMMABLES'!AR13*'SAISIE ACHATS CONSOMMABLES'!AQ13,'SAISIE ACHATS CONSOMMABLES'!AS13*'SAISIE ACHATS CONSOMMABLES'!AQ13))</f>
        <v/>
      </c>
      <c r="AU13" s="74" t="str">
        <f>IF('SAISIE ACHATS CONSOMMABLES'!AP13="","",(VLOOKUP('SAISIE ACHATS CONSOMMABLES'!AP13,'BDD FROMAGES_CONSOMMABLES'!$H:$J,3,FALSE))*'SAISIE ACHATS CONSOMMABLES'!AT13)</f>
        <v/>
      </c>
      <c r="AV13" s="85" t="str">
        <f>IFERROR('SAISIE ACHATS CONSOMMABLES'!AT13+'SAISIE ACHATS CONSOMMABLES'!AU13,"")</f>
        <v/>
      </c>
      <c r="AW13" s="96"/>
      <c r="AX13" s="99"/>
      <c r="AY13" s="97"/>
      <c r="AZ13" s="74" t="str">
        <f>IF('SAISIE ACHATS CONSOMMABLES'!AW13="","",VLOOKUP('SAISIE ACHATS CONSOMMABLES'!AX13,'BDD FROMAGES_CONSOMMABLES'!$H:$I,2,FALSE))</f>
        <v/>
      </c>
      <c r="BA13" s="98"/>
      <c r="BB13" s="78" t="str">
        <f>IF('SAISIE ACHATS CONSOMMABLES'!AY13="","",IF('SAISIE ACHATS CONSOMMABLES'!BA13="",'SAISIE ACHATS CONSOMMABLES'!AZ13*'SAISIE ACHATS CONSOMMABLES'!AY13,'SAISIE ACHATS CONSOMMABLES'!BA13*'SAISIE ACHATS CONSOMMABLES'!AY13))</f>
        <v/>
      </c>
      <c r="BC13" s="74" t="str">
        <f>IF('SAISIE ACHATS CONSOMMABLES'!AX13="","",(VLOOKUP('SAISIE ACHATS CONSOMMABLES'!AX13,'BDD FROMAGES_CONSOMMABLES'!$H:$J,3,FALSE))*'SAISIE ACHATS CONSOMMABLES'!BB13)</f>
        <v/>
      </c>
      <c r="BD13" s="85" t="str">
        <f>IFERROR('SAISIE ACHATS CONSOMMABLES'!BB13+'SAISIE ACHATS CONSOMMABLES'!BC13,"")</f>
        <v/>
      </c>
    </row>
    <row r="14" spans="1:56" x14ac:dyDescent="0.25">
      <c r="A14" s="105">
        <f t="shared" si="0"/>
        <v>13</v>
      </c>
      <c r="B14" s="92" t="s">
        <v>54</v>
      </c>
      <c r="C14" s="94"/>
      <c r="E14" s="95"/>
      <c r="F14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4" s="85">
        <f>IF(Tableau8[[#This Row],[Total TTC]]="","",Tableau8[[#This Row],[Total TTC]]-Tableau8[[#This Row],[Total HT]])</f>
        <v>0</v>
      </c>
      <c r="H14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4" s="96"/>
      <c r="J14" s="71"/>
      <c r="K14" s="97"/>
      <c r="L14" s="85" t="str">
        <f>IF('SAISIE ACHATS CONSOMMABLES'!$K14="","",VLOOKUP('SAISIE ACHATS CONSOMMABLES'!$J14,'BDD FROMAGES_CONSOMMABLES'!$H:$I,2,FALSE))</f>
        <v/>
      </c>
      <c r="M14" s="98"/>
      <c r="N14" s="78" t="str">
        <f>IF('SAISIE ACHATS CONSOMMABLES'!$K14="","",IF('SAISIE ACHATS CONSOMMABLES'!$M14="",'SAISIE ACHATS CONSOMMABLES'!$L14*'SAISIE ACHATS CONSOMMABLES'!$K14,'SAISIE ACHATS CONSOMMABLES'!$M14*'SAISIE ACHATS CONSOMMABLES'!$K14))</f>
        <v/>
      </c>
      <c r="O14" s="74" t="str">
        <f>IF('SAISIE ACHATS CONSOMMABLES'!$J14="","",(VLOOKUP('SAISIE ACHATS CONSOMMABLES'!$J14,'BDD FROMAGES_CONSOMMABLES'!$H:$J,3,FALSE))*'SAISIE ACHATS CONSOMMABLES'!$N14)</f>
        <v/>
      </c>
      <c r="P14" s="85" t="str">
        <f>IFERROR('SAISIE ACHATS CONSOMMABLES'!$N14+'SAISIE ACHATS CONSOMMABLES'!$O14,"")</f>
        <v/>
      </c>
      <c r="Q14" s="96"/>
      <c r="R14" s="71"/>
      <c r="S14" s="97"/>
      <c r="T14" s="74" t="str">
        <f>IF('SAISIE ACHATS CONSOMMABLES'!$Q14="","",VLOOKUP('SAISIE ACHATS CONSOMMABLES'!$R14,'BDD FROMAGES_CONSOMMABLES'!$H:$I,2,FALSE))</f>
        <v/>
      </c>
      <c r="U14" s="98"/>
      <c r="V14" s="78" t="str">
        <f>IF('SAISIE ACHATS CONSOMMABLES'!$S14="","",IF('SAISIE ACHATS CONSOMMABLES'!$U14="",'SAISIE ACHATS CONSOMMABLES'!$T14*'SAISIE ACHATS CONSOMMABLES'!$S14,'SAISIE ACHATS CONSOMMABLES'!$U14*'SAISIE ACHATS CONSOMMABLES'!$S14))</f>
        <v/>
      </c>
      <c r="W14" s="74" t="str">
        <f>IF('SAISIE ACHATS CONSOMMABLES'!$R14="","",(VLOOKUP('SAISIE ACHATS CONSOMMABLES'!$R14,'BDD FROMAGES_CONSOMMABLES'!$H:$J,3,FALSE))*'SAISIE ACHATS CONSOMMABLES'!$V14)</f>
        <v/>
      </c>
      <c r="X14" s="85" t="str">
        <f>IFERROR('SAISIE ACHATS CONSOMMABLES'!$V14+'SAISIE ACHATS CONSOMMABLES'!$W14,"")</f>
        <v/>
      </c>
      <c r="Y14" s="96"/>
      <c r="Z14" s="99"/>
      <c r="AA14" s="97"/>
      <c r="AB14" s="74" t="str">
        <f>IF('SAISIE ACHATS CONSOMMABLES'!$Y14="","",VLOOKUP('SAISIE ACHATS CONSOMMABLES'!$Z14,'BDD FROMAGES_CONSOMMABLES'!$H:$I,2,FALSE))</f>
        <v/>
      </c>
      <c r="AC14" s="98"/>
      <c r="AD14" s="78" t="str">
        <f>IF('SAISIE ACHATS CONSOMMABLES'!$AA14="","",IF('SAISIE ACHATS CONSOMMABLES'!$AC14="",'SAISIE ACHATS CONSOMMABLES'!$AB14*'SAISIE ACHATS CONSOMMABLES'!$AA14,'SAISIE ACHATS CONSOMMABLES'!$AC14*'SAISIE ACHATS CONSOMMABLES'!$AA14))</f>
        <v/>
      </c>
      <c r="AE14" s="74" t="str">
        <f>IF('SAISIE ACHATS CONSOMMABLES'!$Z14="","",(VLOOKUP('SAISIE ACHATS CONSOMMABLES'!$Z14,'BDD FROMAGES_CONSOMMABLES'!$H:$J,3,FALSE))*'SAISIE ACHATS CONSOMMABLES'!$AD14)</f>
        <v/>
      </c>
      <c r="AF14" s="85" t="str">
        <f>IFERROR('SAISIE ACHATS CONSOMMABLES'!$AD14+'SAISIE ACHATS CONSOMMABLES'!$AE14,"")</f>
        <v/>
      </c>
      <c r="AG14" s="96"/>
      <c r="AH14" s="99"/>
      <c r="AI14" s="97"/>
      <c r="AJ14" s="74" t="str">
        <f>IF('SAISIE ACHATS CONSOMMABLES'!AG14="","",VLOOKUP('SAISIE ACHATS CONSOMMABLES'!AH14,'BDD FROMAGES_CONSOMMABLES'!$H:$I,2,FALSE))</f>
        <v/>
      </c>
      <c r="AK14" s="98"/>
      <c r="AL14" s="78" t="str">
        <f>IF('SAISIE ACHATS CONSOMMABLES'!AI14="","",IF('SAISIE ACHATS CONSOMMABLES'!AK14="",'SAISIE ACHATS CONSOMMABLES'!AJ14*'SAISIE ACHATS CONSOMMABLES'!AI14,'SAISIE ACHATS CONSOMMABLES'!AK14*'SAISIE ACHATS CONSOMMABLES'!AI14))</f>
        <v/>
      </c>
      <c r="AM14" s="74" t="str">
        <f>IF('SAISIE ACHATS CONSOMMABLES'!AH14="","",(VLOOKUP('SAISIE ACHATS CONSOMMABLES'!AH14,'BDD FROMAGES_CONSOMMABLES'!$H:$J,3,FALSE))*'SAISIE ACHATS CONSOMMABLES'!AL14)</f>
        <v/>
      </c>
      <c r="AN14" s="85" t="str">
        <f>IFERROR('SAISIE ACHATS CONSOMMABLES'!AL14+'SAISIE ACHATS CONSOMMABLES'!AM14,"")</f>
        <v/>
      </c>
      <c r="AO14" s="96"/>
      <c r="AP14" s="99"/>
      <c r="AQ14" s="97"/>
      <c r="AR14" s="74" t="str">
        <f>IF('SAISIE ACHATS CONSOMMABLES'!AO14="","",VLOOKUP('SAISIE ACHATS CONSOMMABLES'!AP14,'BDD FROMAGES_CONSOMMABLES'!$H:$I,2,FALSE))</f>
        <v/>
      </c>
      <c r="AS14" s="98"/>
      <c r="AT14" s="78" t="str">
        <f>IF('SAISIE ACHATS CONSOMMABLES'!AQ14="","",IF('SAISIE ACHATS CONSOMMABLES'!AS14="",'SAISIE ACHATS CONSOMMABLES'!AR14*'SAISIE ACHATS CONSOMMABLES'!AQ14,'SAISIE ACHATS CONSOMMABLES'!AS14*'SAISIE ACHATS CONSOMMABLES'!AQ14))</f>
        <v/>
      </c>
      <c r="AU14" s="74" t="str">
        <f>IF('SAISIE ACHATS CONSOMMABLES'!AP14="","",(VLOOKUP('SAISIE ACHATS CONSOMMABLES'!AP14,'BDD FROMAGES_CONSOMMABLES'!$H:$J,3,FALSE))*'SAISIE ACHATS CONSOMMABLES'!AT14)</f>
        <v/>
      </c>
      <c r="AV14" s="85" t="str">
        <f>IFERROR('SAISIE ACHATS CONSOMMABLES'!AT14+'SAISIE ACHATS CONSOMMABLES'!AU14,"")</f>
        <v/>
      </c>
      <c r="AW14" s="96"/>
      <c r="AX14" s="99"/>
      <c r="AY14" s="97"/>
      <c r="AZ14" s="74" t="str">
        <f>IF('SAISIE ACHATS CONSOMMABLES'!AW14="","",VLOOKUP('SAISIE ACHATS CONSOMMABLES'!AX14,'BDD FROMAGES_CONSOMMABLES'!$H:$I,2,FALSE))</f>
        <v/>
      </c>
      <c r="BA14" s="98"/>
      <c r="BB14" s="78" t="str">
        <f>IF('SAISIE ACHATS CONSOMMABLES'!AY14="","",IF('SAISIE ACHATS CONSOMMABLES'!BA14="",'SAISIE ACHATS CONSOMMABLES'!AZ14*'SAISIE ACHATS CONSOMMABLES'!AY14,'SAISIE ACHATS CONSOMMABLES'!BA14*'SAISIE ACHATS CONSOMMABLES'!AY14))</f>
        <v/>
      </c>
      <c r="BC14" s="74" t="str">
        <f>IF('SAISIE ACHATS CONSOMMABLES'!AX14="","",(VLOOKUP('SAISIE ACHATS CONSOMMABLES'!AX14,'BDD FROMAGES_CONSOMMABLES'!$H:$J,3,FALSE))*'SAISIE ACHATS CONSOMMABLES'!BB14)</f>
        <v/>
      </c>
      <c r="BD14" s="85" t="str">
        <f>IFERROR('SAISIE ACHATS CONSOMMABLES'!BB14+'SAISIE ACHATS CONSOMMABLES'!BC14,"")</f>
        <v/>
      </c>
    </row>
    <row r="15" spans="1:56" x14ac:dyDescent="0.25">
      <c r="A15" s="105">
        <f t="shared" si="0"/>
        <v>14</v>
      </c>
      <c r="B15" s="92" t="s">
        <v>57</v>
      </c>
      <c r="C15" s="94"/>
      <c r="E15" s="95"/>
      <c r="F15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5" s="85">
        <f>IF(Tableau8[[#This Row],[Total TTC]]="","",Tableau8[[#This Row],[Total TTC]]-Tableau8[[#This Row],[Total HT]])</f>
        <v>0</v>
      </c>
      <c r="H15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5" s="96"/>
      <c r="J15" s="71"/>
      <c r="K15" s="97"/>
      <c r="L15" s="85" t="str">
        <f>IF('SAISIE ACHATS CONSOMMABLES'!$K15="","",VLOOKUP('SAISIE ACHATS CONSOMMABLES'!$J15,'BDD FROMAGES_CONSOMMABLES'!$H:$I,2,FALSE))</f>
        <v/>
      </c>
      <c r="M15" s="98"/>
      <c r="N15" s="78" t="str">
        <f>IF('SAISIE ACHATS CONSOMMABLES'!$K15="","",IF('SAISIE ACHATS CONSOMMABLES'!$M15="",'SAISIE ACHATS CONSOMMABLES'!$L15*'SAISIE ACHATS CONSOMMABLES'!$K15,'SAISIE ACHATS CONSOMMABLES'!$M15*'SAISIE ACHATS CONSOMMABLES'!$K15))</f>
        <v/>
      </c>
      <c r="O15" s="74" t="str">
        <f>IF('SAISIE ACHATS CONSOMMABLES'!$J15="","",(VLOOKUP('SAISIE ACHATS CONSOMMABLES'!$J15,'BDD FROMAGES_CONSOMMABLES'!$H:$J,3,FALSE))*'SAISIE ACHATS CONSOMMABLES'!$N15)</f>
        <v/>
      </c>
      <c r="P15" s="85" t="str">
        <f>IFERROR('SAISIE ACHATS CONSOMMABLES'!$N15+'SAISIE ACHATS CONSOMMABLES'!$O15,"")</f>
        <v/>
      </c>
      <c r="Q15" s="96"/>
      <c r="R15" s="71"/>
      <c r="S15" s="97"/>
      <c r="T15" s="74" t="str">
        <f>IF('SAISIE ACHATS CONSOMMABLES'!$Q15="","",VLOOKUP('SAISIE ACHATS CONSOMMABLES'!$R15,'BDD FROMAGES_CONSOMMABLES'!$H:$I,2,FALSE))</f>
        <v/>
      </c>
      <c r="U15" s="98"/>
      <c r="V15" s="78" t="str">
        <f>IF('SAISIE ACHATS CONSOMMABLES'!$S15="","",IF('SAISIE ACHATS CONSOMMABLES'!$U15="",'SAISIE ACHATS CONSOMMABLES'!$T15*'SAISIE ACHATS CONSOMMABLES'!$S15,'SAISIE ACHATS CONSOMMABLES'!$U15*'SAISIE ACHATS CONSOMMABLES'!$S15))</f>
        <v/>
      </c>
      <c r="W15" s="74" t="str">
        <f>IF('SAISIE ACHATS CONSOMMABLES'!$R15="","",(VLOOKUP('SAISIE ACHATS CONSOMMABLES'!$R15,'BDD FROMAGES_CONSOMMABLES'!$H:$J,3,FALSE))*'SAISIE ACHATS CONSOMMABLES'!$V15)</f>
        <v/>
      </c>
      <c r="X15" s="85" t="str">
        <f>IFERROR('SAISIE ACHATS CONSOMMABLES'!$V15+'SAISIE ACHATS CONSOMMABLES'!$W15,"")</f>
        <v/>
      </c>
      <c r="Y15" s="96"/>
      <c r="Z15" s="99"/>
      <c r="AA15" s="97"/>
      <c r="AB15" s="74" t="str">
        <f>IF('SAISIE ACHATS CONSOMMABLES'!$Y15="","",VLOOKUP('SAISIE ACHATS CONSOMMABLES'!$Z15,'BDD FROMAGES_CONSOMMABLES'!$H:$I,2,FALSE))</f>
        <v/>
      </c>
      <c r="AC15" s="98"/>
      <c r="AD15" s="78" t="str">
        <f>IF('SAISIE ACHATS CONSOMMABLES'!$AA15="","",IF('SAISIE ACHATS CONSOMMABLES'!$AC15="",'SAISIE ACHATS CONSOMMABLES'!$AB15*'SAISIE ACHATS CONSOMMABLES'!$AA15,'SAISIE ACHATS CONSOMMABLES'!$AC15*'SAISIE ACHATS CONSOMMABLES'!$AA15))</f>
        <v/>
      </c>
      <c r="AE15" s="74" t="str">
        <f>IF('SAISIE ACHATS CONSOMMABLES'!$Z15="","",(VLOOKUP('SAISIE ACHATS CONSOMMABLES'!$Z15,'BDD FROMAGES_CONSOMMABLES'!$H:$J,3,FALSE))*'SAISIE ACHATS CONSOMMABLES'!$AD15)</f>
        <v/>
      </c>
      <c r="AF15" s="85" t="str">
        <f>IFERROR('SAISIE ACHATS CONSOMMABLES'!$AD15+'SAISIE ACHATS CONSOMMABLES'!$AE15,"")</f>
        <v/>
      </c>
      <c r="AG15" s="96"/>
      <c r="AH15" s="99"/>
      <c r="AI15" s="97"/>
      <c r="AJ15" s="74" t="str">
        <f>IF('SAISIE ACHATS CONSOMMABLES'!AG15="","",VLOOKUP('SAISIE ACHATS CONSOMMABLES'!AH15,'BDD FROMAGES_CONSOMMABLES'!$H:$I,2,FALSE))</f>
        <v/>
      </c>
      <c r="AK15" s="98"/>
      <c r="AL15" s="78" t="str">
        <f>IF('SAISIE ACHATS CONSOMMABLES'!AI15="","",IF('SAISIE ACHATS CONSOMMABLES'!AK15="",'SAISIE ACHATS CONSOMMABLES'!AJ15*'SAISIE ACHATS CONSOMMABLES'!AI15,'SAISIE ACHATS CONSOMMABLES'!AK15*'SAISIE ACHATS CONSOMMABLES'!AI15))</f>
        <v/>
      </c>
      <c r="AM15" s="74" t="str">
        <f>IF('SAISIE ACHATS CONSOMMABLES'!AH15="","",(VLOOKUP('SAISIE ACHATS CONSOMMABLES'!AH15,'BDD FROMAGES_CONSOMMABLES'!$H:$J,3,FALSE))*'SAISIE ACHATS CONSOMMABLES'!AL15)</f>
        <v/>
      </c>
      <c r="AN15" s="85" t="str">
        <f>IFERROR('SAISIE ACHATS CONSOMMABLES'!AL15+'SAISIE ACHATS CONSOMMABLES'!AM15,"")</f>
        <v/>
      </c>
      <c r="AO15" s="96"/>
      <c r="AP15" s="99"/>
      <c r="AQ15" s="97"/>
      <c r="AR15" s="74" t="str">
        <f>IF('SAISIE ACHATS CONSOMMABLES'!AO15="","",VLOOKUP('SAISIE ACHATS CONSOMMABLES'!AP15,'BDD FROMAGES_CONSOMMABLES'!$H:$I,2,FALSE))</f>
        <v/>
      </c>
      <c r="AS15" s="98"/>
      <c r="AT15" s="78" t="str">
        <f>IF('SAISIE ACHATS CONSOMMABLES'!AQ15="","",IF('SAISIE ACHATS CONSOMMABLES'!AS15="",'SAISIE ACHATS CONSOMMABLES'!AR15*'SAISIE ACHATS CONSOMMABLES'!AQ15,'SAISIE ACHATS CONSOMMABLES'!AS15*'SAISIE ACHATS CONSOMMABLES'!AQ15))</f>
        <v/>
      </c>
      <c r="AU15" s="74" t="str">
        <f>IF('SAISIE ACHATS CONSOMMABLES'!AP15="","",(VLOOKUP('SAISIE ACHATS CONSOMMABLES'!AP15,'BDD FROMAGES_CONSOMMABLES'!$H:$J,3,FALSE))*'SAISIE ACHATS CONSOMMABLES'!AT15)</f>
        <v/>
      </c>
      <c r="AV15" s="85" t="str">
        <f>IFERROR('SAISIE ACHATS CONSOMMABLES'!AT15+'SAISIE ACHATS CONSOMMABLES'!AU15,"")</f>
        <v/>
      </c>
      <c r="AW15" s="96"/>
      <c r="AX15" s="99"/>
      <c r="AY15" s="97"/>
      <c r="AZ15" s="74" t="str">
        <f>IF('SAISIE ACHATS CONSOMMABLES'!AW15="","",VLOOKUP('SAISIE ACHATS CONSOMMABLES'!AX15,'BDD FROMAGES_CONSOMMABLES'!$H:$I,2,FALSE))</f>
        <v/>
      </c>
      <c r="BA15" s="98"/>
      <c r="BB15" s="78" t="str">
        <f>IF('SAISIE ACHATS CONSOMMABLES'!AY15="","",IF('SAISIE ACHATS CONSOMMABLES'!BA15="",'SAISIE ACHATS CONSOMMABLES'!AZ15*'SAISIE ACHATS CONSOMMABLES'!AY15,'SAISIE ACHATS CONSOMMABLES'!BA15*'SAISIE ACHATS CONSOMMABLES'!AY15))</f>
        <v/>
      </c>
      <c r="BC15" s="74" t="str">
        <f>IF('SAISIE ACHATS CONSOMMABLES'!AX15="","",(VLOOKUP('SAISIE ACHATS CONSOMMABLES'!AX15,'BDD FROMAGES_CONSOMMABLES'!$H:$J,3,FALSE))*'SAISIE ACHATS CONSOMMABLES'!BB15)</f>
        <v/>
      </c>
      <c r="BD15" s="85" t="str">
        <f>IFERROR('SAISIE ACHATS CONSOMMABLES'!BB15+'SAISIE ACHATS CONSOMMABLES'!BC15,"")</f>
        <v/>
      </c>
    </row>
    <row r="16" spans="1:56" x14ac:dyDescent="0.25">
      <c r="A16" s="105">
        <f t="shared" si="0"/>
        <v>15</v>
      </c>
      <c r="B16" s="93" t="s">
        <v>59</v>
      </c>
      <c r="C16" s="94"/>
      <c r="E16" s="95"/>
      <c r="F16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6" s="85">
        <f>IF(Tableau8[[#This Row],[Total TTC]]="","",Tableau8[[#This Row],[Total TTC]]-Tableau8[[#This Row],[Total HT]])</f>
        <v>0</v>
      </c>
      <c r="H16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6" s="96"/>
      <c r="J16" s="71"/>
      <c r="K16" s="97"/>
      <c r="L16" s="85" t="str">
        <f>IF('SAISIE ACHATS CONSOMMABLES'!$K16="","",VLOOKUP('SAISIE ACHATS CONSOMMABLES'!$J16,'BDD FROMAGES_CONSOMMABLES'!$H:$I,2,FALSE))</f>
        <v/>
      </c>
      <c r="M16" s="98"/>
      <c r="N16" s="78" t="str">
        <f>IF('SAISIE ACHATS CONSOMMABLES'!$K16="","",IF('SAISIE ACHATS CONSOMMABLES'!$M16="",'SAISIE ACHATS CONSOMMABLES'!$L16*'SAISIE ACHATS CONSOMMABLES'!$K16,'SAISIE ACHATS CONSOMMABLES'!$M16*'SAISIE ACHATS CONSOMMABLES'!$K16))</f>
        <v/>
      </c>
      <c r="O16" s="74" t="str">
        <f>IF('SAISIE ACHATS CONSOMMABLES'!$J16="","",(VLOOKUP('SAISIE ACHATS CONSOMMABLES'!$J16,'BDD FROMAGES_CONSOMMABLES'!$H:$J,3,FALSE))*'SAISIE ACHATS CONSOMMABLES'!$N16)</f>
        <v/>
      </c>
      <c r="P16" s="85" t="str">
        <f>IFERROR('SAISIE ACHATS CONSOMMABLES'!$N16+'SAISIE ACHATS CONSOMMABLES'!$O16,"")</f>
        <v/>
      </c>
      <c r="Q16" s="96"/>
      <c r="R16" s="71"/>
      <c r="S16" s="97"/>
      <c r="T16" s="74" t="str">
        <f>IF('SAISIE ACHATS CONSOMMABLES'!$Q16="","",VLOOKUP('SAISIE ACHATS CONSOMMABLES'!$R16,'BDD FROMAGES_CONSOMMABLES'!$H:$I,2,FALSE))</f>
        <v/>
      </c>
      <c r="U16" s="98"/>
      <c r="V16" s="78" t="str">
        <f>IF('SAISIE ACHATS CONSOMMABLES'!$S16="","",IF('SAISIE ACHATS CONSOMMABLES'!$U16="",'SAISIE ACHATS CONSOMMABLES'!$T16*'SAISIE ACHATS CONSOMMABLES'!$S16,'SAISIE ACHATS CONSOMMABLES'!$U16*'SAISIE ACHATS CONSOMMABLES'!$S16))</f>
        <v/>
      </c>
      <c r="W16" s="74" t="str">
        <f>IF('SAISIE ACHATS CONSOMMABLES'!$R16="","",(VLOOKUP('SAISIE ACHATS CONSOMMABLES'!$R16,'BDD FROMAGES_CONSOMMABLES'!$H:$J,3,FALSE))*'SAISIE ACHATS CONSOMMABLES'!$V16)</f>
        <v/>
      </c>
      <c r="X16" s="85" t="str">
        <f>IFERROR('SAISIE ACHATS CONSOMMABLES'!$V16+'SAISIE ACHATS CONSOMMABLES'!$W16,"")</f>
        <v/>
      </c>
      <c r="Y16" s="96"/>
      <c r="Z16" s="99"/>
      <c r="AA16" s="97"/>
      <c r="AB16" s="74" t="str">
        <f>IF('SAISIE ACHATS CONSOMMABLES'!$Y16="","",VLOOKUP('SAISIE ACHATS CONSOMMABLES'!$Z16,'BDD FROMAGES_CONSOMMABLES'!$H:$I,2,FALSE))</f>
        <v/>
      </c>
      <c r="AC16" s="98"/>
      <c r="AD16" s="78" t="str">
        <f>IF('SAISIE ACHATS CONSOMMABLES'!$AA16="","",IF('SAISIE ACHATS CONSOMMABLES'!$AC16="",'SAISIE ACHATS CONSOMMABLES'!$AB16*'SAISIE ACHATS CONSOMMABLES'!$AA16,'SAISIE ACHATS CONSOMMABLES'!$AC16*'SAISIE ACHATS CONSOMMABLES'!$AA16))</f>
        <v/>
      </c>
      <c r="AE16" s="74" t="str">
        <f>IF('SAISIE ACHATS CONSOMMABLES'!$Z16="","",(VLOOKUP('SAISIE ACHATS CONSOMMABLES'!$Z16,'BDD FROMAGES_CONSOMMABLES'!$H:$J,3,FALSE))*'SAISIE ACHATS CONSOMMABLES'!$AD16)</f>
        <v/>
      </c>
      <c r="AF16" s="85" t="str">
        <f>IFERROR('SAISIE ACHATS CONSOMMABLES'!$AD16+'SAISIE ACHATS CONSOMMABLES'!$AE16,"")</f>
        <v/>
      </c>
      <c r="AG16" s="96"/>
      <c r="AH16" s="99"/>
      <c r="AI16" s="97"/>
      <c r="AJ16" s="74" t="str">
        <f>IF('SAISIE ACHATS CONSOMMABLES'!AG16="","",VLOOKUP('SAISIE ACHATS CONSOMMABLES'!AH16,'BDD FROMAGES_CONSOMMABLES'!$H:$I,2,FALSE))</f>
        <v/>
      </c>
      <c r="AK16" s="98"/>
      <c r="AL16" s="78" t="str">
        <f>IF('SAISIE ACHATS CONSOMMABLES'!AI16="","",IF('SAISIE ACHATS CONSOMMABLES'!AK16="",'SAISIE ACHATS CONSOMMABLES'!AJ16*'SAISIE ACHATS CONSOMMABLES'!AI16,'SAISIE ACHATS CONSOMMABLES'!AK16*'SAISIE ACHATS CONSOMMABLES'!AI16))</f>
        <v/>
      </c>
      <c r="AM16" s="74" t="str">
        <f>IF('SAISIE ACHATS CONSOMMABLES'!AH16="","",(VLOOKUP('SAISIE ACHATS CONSOMMABLES'!AH16,'BDD FROMAGES_CONSOMMABLES'!$H:$J,3,FALSE))*'SAISIE ACHATS CONSOMMABLES'!AL16)</f>
        <v/>
      </c>
      <c r="AN16" s="85" t="str">
        <f>IFERROR('SAISIE ACHATS CONSOMMABLES'!AL16+'SAISIE ACHATS CONSOMMABLES'!AM16,"")</f>
        <v/>
      </c>
      <c r="AO16" s="96"/>
      <c r="AP16" s="99"/>
      <c r="AQ16" s="97"/>
      <c r="AR16" s="74" t="str">
        <f>IF('SAISIE ACHATS CONSOMMABLES'!AO16="","",VLOOKUP('SAISIE ACHATS CONSOMMABLES'!AP16,'BDD FROMAGES_CONSOMMABLES'!$H:$I,2,FALSE))</f>
        <v/>
      </c>
      <c r="AS16" s="98"/>
      <c r="AT16" s="78" t="str">
        <f>IF('SAISIE ACHATS CONSOMMABLES'!AQ16="","",IF('SAISIE ACHATS CONSOMMABLES'!AS16="",'SAISIE ACHATS CONSOMMABLES'!AR16*'SAISIE ACHATS CONSOMMABLES'!AQ16,'SAISIE ACHATS CONSOMMABLES'!AS16*'SAISIE ACHATS CONSOMMABLES'!AQ16))</f>
        <v/>
      </c>
      <c r="AU16" s="74" t="str">
        <f>IF('SAISIE ACHATS CONSOMMABLES'!AP16="","",(VLOOKUP('SAISIE ACHATS CONSOMMABLES'!AP16,'BDD FROMAGES_CONSOMMABLES'!$H:$J,3,FALSE))*'SAISIE ACHATS CONSOMMABLES'!AT16)</f>
        <v/>
      </c>
      <c r="AV16" s="85" t="str">
        <f>IFERROR('SAISIE ACHATS CONSOMMABLES'!AT16+'SAISIE ACHATS CONSOMMABLES'!AU16,"")</f>
        <v/>
      </c>
      <c r="AW16" s="96"/>
      <c r="AX16" s="99"/>
      <c r="AY16" s="97"/>
      <c r="AZ16" s="74" t="str">
        <f>IF('SAISIE ACHATS CONSOMMABLES'!AW16="","",VLOOKUP('SAISIE ACHATS CONSOMMABLES'!AX16,'BDD FROMAGES_CONSOMMABLES'!$H:$I,2,FALSE))</f>
        <v/>
      </c>
      <c r="BA16" s="98"/>
      <c r="BB16" s="78" t="str">
        <f>IF('SAISIE ACHATS CONSOMMABLES'!AY16="","",IF('SAISIE ACHATS CONSOMMABLES'!BA16="",'SAISIE ACHATS CONSOMMABLES'!AZ16*'SAISIE ACHATS CONSOMMABLES'!AY16,'SAISIE ACHATS CONSOMMABLES'!BA16*'SAISIE ACHATS CONSOMMABLES'!AY16))</f>
        <v/>
      </c>
      <c r="BC16" s="74" t="str">
        <f>IF('SAISIE ACHATS CONSOMMABLES'!AX16="","",(VLOOKUP('SAISIE ACHATS CONSOMMABLES'!AX16,'BDD FROMAGES_CONSOMMABLES'!$H:$J,3,FALSE))*'SAISIE ACHATS CONSOMMABLES'!BB16)</f>
        <v/>
      </c>
      <c r="BD16" s="85" t="str">
        <f>IFERROR('SAISIE ACHATS CONSOMMABLES'!BB16+'SAISIE ACHATS CONSOMMABLES'!BC16,"")</f>
        <v/>
      </c>
    </row>
    <row r="17" spans="1:56" x14ac:dyDescent="0.25">
      <c r="A17" s="105">
        <f t="shared" si="0"/>
        <v>16</v>
      </c>
      <c r="B17" s="93" t="s">
        <v>61</v>
      </c>
      <c r="C17" s="94"/>
      <c r="E17" s="95"/>
      <c r="F17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7" s="85">
        <f>IF(Tableau8[[#This Row],[Total TTC]]="","",Tableau8[[#This Row],[Total TTC]]-Tableau8[[#This Row],[Total HT]])</f>
        <v>0</v>
      </c>
      <c r="H17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7" s="96"/>
      <c r="J17" s="71"/>
      <c r="K17" s="97"/>
      <c r="L17" s="85" t="str">
        <f>IF('SAISIE ACHATS CONSOMMABLES'!$K17="","",VLOOKUP('SAISIE ACHATS CONSOMMABLES'!$J17,'BDD FROMAGES_CONSOMMABLES'!$H:$I,2,FALSE))</f>
        <v/>
      </c>
      <c r="M17" s="98"/>
      <c r="N17" s="78" t="str">
        <f>IF('SAISIE ACHATS CONSOMMABLES'!$K17="","",IF('SAISIE ACHATS CONSOMMABLES'!$M17="",'SAISIE ACHATS CONSOMMABLES'!$L17*'SAISIE ACHATS CONSOMMABLES'!$K17,'SAISIE ACHATS CONSOMMABLES'!$M17*'SAISIE ACHATS CONSOMMABLES'!$K17))</f>
        <v/>
      </c>
      <c r="O17" s="74" t="str">
        <f>IF('SAISIE ACHATS CONSOMMABLES'!$J17="","",(VLOOKUP('SAISIE ACHATS CONSOMMABLES'!$J17,'BDD FROMAGES_CONSOMMABLES'!$H:$J,3,FALSE))*'SAISIE ACHATS CONSOMMABLES'!$N17)</f>
        <v/>
      </c>
      <c r="P17" s="85" t="str">
        <f>IFERROR('SAISIE ACHATS CONSOMMABLES'!$N17+'SAISIE ACHATS CONSOMMABLES'!$O17,"")</f>
        <v/>
      </c>
      <c r="Q17" s="96"/>
      <c r="R17" s="71"/>
      <c r="S17" s="97"/>
      <c r="T17" s="74" t="str">
        <f>IF('SAISIE ACHATS CONSOMMABLES'!$Q17="","",VLOOKUP('SAISIE ACHATS CONSOMMABLES'!$R17,'BDD FROMAGES_CONSOMMABLES'!$H:$I,2,FALSE))</f>
        <v/>
      </c>
      <c r="U17" s="98"/>
      <c r="V17" s="78" t="str">
        <f>IF('SAISIE ACHATS CONSOMMABLES'!$S17="","",IF('SAISIE ACHATS CONSOMMABLES'!$U17="",'SAISIE ACHATS CONSOMMABLES'!$T17*'SAISIE ACHATS CONSOMMABLES'!$S17,'SAISIE ACHATS CONSOMMABLES'!$U17*'SAISIE ACHATS CONSOMMABLES'!$S17))</f>
        <v/>
      </c>
      <c r="W17" s="74" t="str">
        <f>IF('SAISIE ACHATS CONSOMMABLES'!$R17="","",(VLOOKUP('SAISIE ACHATS CONSOMMABLES'!$R17,'BDD FROMAGES_CONSOMMABLES'!$H:$J,3,FALSE))*'SAISIE ACHATS CONSOMMABLES'!$V17)</f>
        <v/>
      </c>
      <c r="X17" s="85" t="str">
        <f>IFERROR('SAISIE ACHATS CONSOMMABLES'!$V17+'SAISIE ACHATS CONSOMMABLES'!$W17,"")</f>
        <v/>
      </c>
      <c r="Y17" s="96"/>
      <c r="Z17" s="99"/>
      <c r="AA17" s="97"/>
      <c r="AB17" s="74" t="str">
        <f>IF('SAISIE ACHATS CONSOMMABLES'!$Y17="","",VLOOKUP('SAISIE ACHATS CONSOMMABLES'!$Z17,'BDD FROMAGES_CONSOMMABLES'!$H:$I,2,FALSE))</f>
        <v/>
      </c>
      <c r="AC17" s="98"/>
      <c r="AD17" s="78" t="str">
        <f>IF('SAISIE ACHATS CONSOMMABLES'!$AA17="","",IF('SAISIE ACHATS CONSOMMABLES'!$AC17="",'SAISIE ACHATS CONSOMMABLES'!$AB17*'SAISIE ACHATS CONSOMMABLES'!$AA17,'SAISIE ACHATS CONSOMMABLES'!$AC17*'SAISIE ACHATS CONSOMMABLES'!$AA17))</f>
        <v/>
      </c>
      <c r="AE17" s="74" t="str">
        <f>IF('SAISIE ACHATS CONSOMMABLES'!$Z17="","",(VLOOKUP('SAISIE ACHATS CONSOMMABLES'!$Z17,'BDD FROMAGES_CONSOMMABLES'!$H:$J,3,FALSE))*'SAISIE ACHATS CONSOMMABLES'!$AD17)</f>
        <v/>
      </c>
      <c r="AF17" s="85" t="str">
        <f>IFERROR('SAISIE ACHATS CONSOMMABLES'!$AD17+'SAISIE ACHATS CONSOMMABLES'!$AE17,"")</f>
        <v/>
      </c>
      <c r="AG17" s="96"/>
      <c r="AH17" s="99"/>
      <c r="AI17" s="97"/>
      <c r="AJ17" s="74" t="str">
        <f>IF('SAISIE ACHATS CONSOMMABLES'!AG17="","",VLOOKUP('SAISIE ACHATS CONSOMMABLES'!AH17,'BDD FROMAGES_CONSOMMABLES'!$H:$I,2,FALSE))</f>
        <v/>
      </c>
      <c r="AK17" s="98"/>
      <c r="AL17" s="78" t="str">
        <f>IF('SAISIE ACHATS CONSOMMABLES'!AI17="","",IF('SAISIE ACHATS CONSOMMABLES'!AK17="",'SAISIE ACHATS CONSOMMABLES'!AJ17*'SAISIE ACHATS CONSOMMABLES'!AI17,'SAISIE ACHATS CONSOMMABLES'!AK17*'SAISIE ACHATS CONSOMMABLES'!AI17))</f>
        <v/>
      </c>
      <c r="AM17" s="74" t="str">
        <f>IF('SAISIE ACHATS CONSOMMABLES'!AH17="","",(VLOOKUP('SAISIE ACHATS CONSOMMABLES'!AH17,'BDD FROMAGES_CONSOMMABLES'!$H:$J,3,FALSE))*'SAISIE ACHATS CONSOMMABLES'!AL17)</f>
        <v/>
      </c>
      <c r="AN17" s="85" t="str">
        <f>IFERROR('SAISIE ACHATS CONSOMMABLES'!AL17+'SAISIE ACHATS CONSOMMABLES'!AM17,"")</f>
        <v/>
      </c>
      <c r="AO17" s="96"/>
      <c r="AP17" s="99"/>
      <c r="AQ17" s="97"/>
      <c r="AR17" s="74" t="str">
        <f>IF('SAISIE ACHATS CONSOMMABLES'!AO17="","",VLOOKUP('SAISIE ACHATS CONSOMMABLES'!AP17,'BDD FROMAGES_CONSOMMABLES'!$H:$I,2,FALSE))</f>
        <v/>
      </c>
      <c r="AS17" s="98"/>
      <c r="AT17" s="78" t="str">
        <f>IF('SAISIE ACHATS CONSOMMABLES'!AQ17="","",IF('SAISIE ACHATS CONSOMMABLES'!AS17="",'SAISIE ACHATS CONSOMMABLES'!AR17*'SAISIE ACHATS CONSOMMABLES'!AQ17,'SAISIE ACHATS CONSOMMABLES'!AS17*'SAISIE ACHATS CONSOMMABLES'!AQ17))</f>
        <v/>
      </c>
      <c r="AU17" s="74" t="str">
        <f>IF('SAISIE ACHATS CONSOMMABLES'!AP17="","",(VLOOKUP('SAISIE ACHATS CONSOMMABLES'!AP17,'BDD FROMAGES_CONSOMMABLES'!$H:$J,3,FALSE))*'SAISIE ACHATS CONSOMMABLES'!AT17)</f>
        <v/>
      </c>
      <c r="AV17" s="85" t="str">
        <f>IFERROR('SAISIE ACHATS CONSOMMABLES'!AT17+'SAISIE ACHATS CONSOMMABLES'!AU17,"")</f>
        <v/>
      </c>
      <c r="AW17" s="96"/>
      <c r="AX17" s="99"/>
      <c r="AY17" s="97"/>
      <c r="AZ17" s="74" t="str">
        <f>IF('SAISIE ACHATS CONSOMMABLES'!AW17="","",VLOOKUP('SAISIE ACHATS CONSOMMABLES'!AX17,'BDD FROMAGES_CONSOMMABLES'!$H:$I,2,FALSE))</f>
        <v/>
      </c>
      <c r="BA17" s="98"/>
      <c r="BB17" s="78" t="str">
        <f>IF('SAISIE ACHATS CONSOMMABLES'!AY17="","",IF('SAISIE ACHATS CONSOMMABLES'!BA17="",'SAISIE ACHATS CONSOMMABLES'!AZ17*'SAISIE ACHATS CONSOMMABLES'!AY17,'SAISIE ACHATS CONSOMMABLES'!BA17*'SAISIE ACHATS CONSOMMABLES'!AY17))</f>
        <v/>
      </c>
      <c r="BC17" s="74" t="str">
        <f>IF('SAISIE ACHATS CONSOMMABLES'!AX17="","",(VLOOKUP('SAISIE ACHATS CONSOMMABLES'!AX17,'BDD FROMAGES_CONSOMMABLES'!$H:$J,3,FALSE))*'SAISIE ACHATS CONSOMMABLES'!BB17)</f>
        <v/>
      </c>
      <c r="BD17" s="85" t="str">
        <f>IFERROR('SAISIE ACHATS CONSOMMABLES'!BB17+'SAISIE ACHATS CONSOMMABLES'!BC17,"")</f>
        <v/>
      </c>
    </row>
    <row r="18" spans="1:56" x14ac:dyDescent="0.25">
      <c r="A18" s="105">
        <f t="shared" si="0"/>
        <v>17</v>
      </c>
      <c r="B18" s="92" t="s">
        <v>64</v>
      </c>
      <c r="C18" s="94"/>
      <c r="E18" s="95"/>
      <c r="F18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8" s="85">
        <f>IF(Tableau8[[#This Row],[Total TTC]]="","",Tableau8[[#This Row],[Total TTC]]-Tableau8[[#This Row],[Total HT]])</f>
        <v>0</v>
      </c>
      <c r="H18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8" s="96"/>
      <c r="J18" s="71"/>
      <c r="K18" s="97"/>
      <c r="L18" s="85" t="str">
        <f>IF('SAISIE ACHATS CONSOMMABLES'!$K18="","",VLOOKUP('SAISIE ACHATS CONSOMMABLES'!$J18,'BDD FROMAGES_CONSOMMABLES'!$H:$I,2,FALSE))</f>
        <v/>
      </c>
      <c r="M18" s="98"/>
      <c r="N18" s="78" t="str">
        <f>IF('SAISIE ACHATS CONSOMMABLES'!$K18="","",IF('SAISIE ACHATS CONSOMMABLES'!$M18="",'SAISIE ACHATS CONSOMMABLES'!$L18*'SAISIE ACHATS CONSOMMABLES'!$K18,'SAISIE ACHATS CONSOMMABLES'!$M18*'SAISIE ACHATS CONSOMMABLES'!$K18))</f>
        <v/>
      </c>
      <c r="O18" s="74" t="str">
        <f>IF('SAISIE ACHATS CONSOMMABLES'!$J18="","",(VLOOKUP('SAISIE ACHATS CONSOMMABLES'!$J18,'BDD FROMAGES_CONSOMMABLES'!$H:$J,3,FALSE))*'SAISIE ACHATS CONSOMMABLES'!$N18)</f>
        <v/>
      </c>
      <c r="P18" s="85" t="str">
        <f>IFERROR('SAISIE ACHATS CONSOMMABLES'!$N18+'SAISIE ACHATS CONSOMMABLES'!$O18,"")</f>
        <v/>
      </c>
      <c r="Q18" s="96"/>
      <c r="R18" s="71"/>
      <c r="S18" s="97"/>
      <c r="T18" s="74" t="str">
        <f>IF('SAISIE ACHATS CONSOMMABLES'!$Q18="","",VLOOKUP('SAISIE ACHATS CONSOMMABLES'!$R18,'BDD FROMAGES_CONSOMMABLES'!$H:$I,2,FALSE))</f>
        <v/>
      </c>
      <c r="U18" s="98"/>
      <c r="V18" s="78" t="str">
        <f>IF('SAISIE ACHATS CONSOMMABLES'!$S18="","",IF('SAISIE ACHATS CONSOMMABLES'!$U18="",'SAISIE ACHATS CONSOMMABLES'!$T18*'SAISIE ACHATS CONSOMMABLES'!$S18,'SAISIE ACHATS CONSOMMABLES'!$U18*'SAISIE ACHATS CONSOMMABLES'!$S18))</f>
        <v/>
      </c>
      <c r="W18" s="74" t="str">
        <f>IF('SAISIE ACHATS CONSOMMABLES'!$R18="","",(VLOOKUP('SAISIE ACHATS CONSOMMABLES'!$R18,'BDD FROMAGES_CONSOMMABLES'!$H:$J,3,FALSE))*'SAISIE ACHATS CONSOMMABLES'!$V18)</f>
        <v/>
      </c>
      <c r="X18" s="85" t="str">
        <f>IFERROR('SAISIE ACHATS CONSOMMABLES'!$V18+'SAISIE ACHATS CONSOMMABLES'!$W18,"")</f>
        <v/>
      </c>
      <c r="Y18" s="96"/>
      <c r="Z18" s="99"/>
      <c r="AA18" s="97"/>
      <c r="AB18" s="74" t="str">
        <f>IF('SAISIE ACHATS CONSOMMABLES'!$Y18="","",VLOOKUP('SAISIE ACHATS CONSOMMABLES'!$Z18,'BDD FROMAGES_CONSOMMABLES'!$H:$I,2,FALSE))</f>
        <v/>
      </c>
      <c r="AC18" s="98"/>
      <c r="AD18" s="78" t="str">
        <f>IF('SAISIE ACHATS CONSOMMABLES'!$AA18="","",IF('SAISIE ACHATS CONSOMMABLES'!$AC18="",'SAISIE ACHATS CONSOMMABLES'!$AB18*'SAISIE ACHATS CONSOMMABLES'!$AA18,'SAISIE ACHATS CONSOMMABLES'!$AC18*'SAISIE ACHATS CONSOMMABLES'!$AA18))</f>
        <v/>
      </c>
      <c r="AE18" s="74" t="str">
        <f>IF('SAISIE ACHATS CONSOMMABLES'!$Z18="","",(VLOOKUP('SAISIE ACHATS CONSOMMABLES'!$Z18,'BDD FROMAGES_CONSOMMABLES'!$H:$J,3,FALSE))*'SAISIE ACHATS CONSOMMABLES'!$AD18)</f>
        <v/>
      </c>
      <c r="AF18" s="85" t="str">
        <f>IFERROR('SAISIE ACHATS CONSOMMABLES'!$AD18+'SAISIE ACHATS CONSOMMABLES'!$AE18,"")</f>
        <v/>
      </c>
      <c r="AG18" s="96"/>
      <c r="AH18" s="99"/>
      <c r="AI18" s="97"/>
      <c r="AJ18" s="74" t="str">
        <f>IF('SAISIE ACHATS CONSOMMABLES'!AG18="","",VLOOKUP('SAISIE ACHATS CONSOMMABLES'!AH18,'BDD FROMAGES_CONSOMMABLES'!$H:$I,2,FALSE))</f>
        <v/>
      </c>
      <c r="AK18" s="98"/>
      <c r="AL18" s="78" t="str">
        <f>IF('SAISIE ACHATS CONSOMMABLES'!AI18="","",IF('SAISIE ACHATS CONSOMMABLES'!AK18="",'SAISIE ACHATS CONSOMMABLES'!AJ18*'SAISIE ACHATS CONSOMMABLES'!AI18,'SAISIE ACHATS CONSOMMABLES'!AK18*'SAISIE ACHATS CONSOMMABLES'!AI18))</f>
        <v/>
      </c>
      <c r="AM18" s="74" t="str">
        <f>IF('SAISIE ACHATS CONSOMMABLES'!AH18="","",(VLOOKUP('SAISIE ACHATS CONSOMMABLES'!AH18,'BDD FROMAGES_CONSOMMABLES'!$H:$J,3,FALSE))*'SAISIE ACHATS CONSOMMABLES'!AL18)</f>
        <v/>
      </c>
      <c r="AN18" s="85" t="str">
        <f>IFERROR('SAISIE ACHATS CONSOMMABLES'!AL18+'SAISIE ACHATS CONSOMMABLES'!AM18,"")</f>
        <v/>
      </c>
      <c r="AO18" s="96"/>
      <c r="AP18" s="99"/>
      <c r="AQ18" s="97"/>
      <c r="AR18" s="74" t="str">
        <f>IF('SAISIE ACHATS CONSOMMABLES'!AO18="","",VLOOKUP('SAISIE ACHATS CONSOMMABLES'!AP18,'BDD FROMAGES_CONSOMMABLES'!$H:$I,2,FALSE))</f>
        <v/>
      </c>
      <c r="AS18" s="98"/>
      <c r="AT18" s="78" t="str">
        <f>IF('SAISIE ACHATS CONSOMMABLES'!AQ18="","",IF('SAISIE ACHATS CONSOMMABLES'!AS18="",'SAISIE ACHATS CONSOMMABLES'!AR18*'SAISIE ACHATS CONSOMMABLES'!AQ18,'SAISIE ACHATS CONSOMMABLES'!AS18*'SAISIE ACHATS CONSOMMABLES'!AQ18))</f>
        <v/>
      </c>
      <c r="AU18" s="74" t="str">
        <f>IF('SAISIE ACHATS CONSOMMABLES'!AP18="","",(VLOOKUP('SAISIE ACHATS CONSOMMABLES'!AP18,'BDD FROMAGES_CONSOMMABLES'!$H:$J,3,FALSE))*'SAISIE ACHATS CONSOMMABLES'!AT18)</f>
        <v/>
      </c>
      <c r="AV18" s="85" t="str">
        <f>IFERROR('SAISIE ACHATS CONSOMMABLES'!AT18+'SAISIE ACHATS CONSOMMABLES'!AU18,"")</f>
        <v/>
      </c>
      <c r="AW18" s="96"/>
      <c r="AX18" s="99"/>
      <c r="AY18" s="97"/>
      <c r="AZ18" s="74" t="str">
        <f>IF('SAISIE ACHATS CONSOMMABLES'!AW18="","",VLOOKUP('SAISIE ACHATS CONSOMMABLES'!AX18,'BDD FROMAGES_CONSOMMABLES'!$H:$I,2,FALSE))</f>
        <v/>
      </c>
      <c r="BA18" s="98"/>
      <c r="BB18" s="78" t="str">
        <f>IF('SAISIE ACHATS CONSOMMABLES'!AY18="","",IF('SAISIE ACHATS CONSOMMABLES'!BA18="",'SAISIE ACHATS CONSOMMABLES'!AZ18*'SAISIE ACHATS CONSOMMABLES'!AY18,'SAISIE ACHATS CONSOMMABLES'!BA18*'SAISIE ACHATS CONSOMMABLES'!AY18))</f>
        <v/>
      </c>
      <c r="BC18" s="74" t="str">
        <f>IF('SAISIE ACHATS CONSOMMABLES'!AX18="","",(VLOOKUP('SAISIE ACHATS CONSOMMABLES'!AX18,'BDD FROMAGES_CONSOMMABLES'!$H:$J,3,FALSE))*'SAISIE ACHATS CONSOMMABLES'!BB18)</f>
        <v/>
      </c>
      <c r="BD18" s="85" t="str">
        <f>IFERROR('SAISIE ACHATS CONSOMMABLES'!BB18+'SAISIE ACHATS CONSOMMABLES'!BC18,"")</f>
        <v/>
      </c>
    </row>
    <row r="19" spans="1:56" x14ac:dyDescent="0.25">
      <c r="A19" s="105">
        <f t="shared" si="0"/>
        <v>18</v>
      </c>
      <c r="B19" s="92" t="s">
        <v>67</v>
      </c>
      <c r="C19" s="94"/>
      <c r="E19" s="95"/>
      <c r="F19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19" s="85">
        <f>IF(Tableau8[[#This Row],[Total TTC]]="","",Tableau8[[#This Row],[Total TTC]]-Tableau8[[#This Row],[Total HT]])</f>
        <v>0</v>
      </c>
      <c r="H19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19" s="96"/>
      <c r="J19" s="71"/>
      <c r="K19" s="97"/>
      <c r="L19" s="85" t="str">
        <f>IF('SAISIE ACHATS CONSOMMABLES'!$K19="","",VLOOKUP('SAISIE ACHATS CONSOMMABLES'!$J19,'BDD FROMAGES_CONSOMMABLES'!$H:$I,2,FALSE))</f>
        <v/>
      </c>
      <c r="M19" s="98"/>
      <c r="N19" s="78" t="str">
        <f>IF('SAISIE ACHATS CONSOMMABLES'!$K19="","",IF('SAISIE ACHATS CONSOMMABLES'!$M19="",'SAISIE ACHATS CONSOMMABLES'!$L19*'SAISIE ACHATS CONSOMMABLES'!$K19,'SAISIE ACHATS CONSOMMABLES'!$M19*'SAISIE ACHATS CONSOMMABLES'!$K19))</f>
        <v/>
      </c>
      <c r="O19" s="74" t="str">
        <f>IF('SAISIE ACHATS CONSOMMABLES'!$J19="","",(VLOOKUP('SAISIE ACHATS CONSOMMABLES'!$J19,'BDD FROMAGES_CONSOMMABLES'!$H:$J,3,FALSE))*'SAISIE ACHATS CONSOMMABLES'!$N19)</f>
        <v/>
      </c>
      <c r="P19" s="85" t="str">
        <f>IFERROR('SAISIE ACHATS CONSOMMABLES'!$N19+'SAISIE ACHATS CONSOMMABLES'!$O19,"")</f>
        <v/>
      </c>
      <c r="Q19" s="96"/>
      <c r="R19" s="71"/>
      <c r="S19" s="97"/>
      <c r="T19" s="74" t="str">
        <f>IF('SAISIE ACHATS CONSOMMABLES'!$Q19="","",VLOOKUP('SAISIE ACHATS CONSOMMABLES'!$R19,'BDD FROMAGES_CONSOMMABLES'!$H:$I,2,FALSE))</f>
        <v/>
      </c>
      <c r="U19" s="98"/>
      <c r="V19" s="78" t="str">
        <f>IF('SAISIE ACHATS CONSOMMABLES'!$S19="","",IF('SAISIE ACHATS CONSOMMABLES'!$U19="",'SAISIE ACHATS CONSOMMABLES'!$T19*'SAISIE ACHATS CONSOMMABLES'!$S19,'SAISIE ACHATS CONSOMMABLES'!$U19*'SAISIE ACHATS CONSOMMABLES'!$S19))</f>
        <v/>
      </c>
      <c r="W19" s="74" t="str">
        <f>IF('SAISIE ACHATS CONSOMMABLES'!$R19="","",(VLOOKUP('SAISIE ACHATS CONSOMMABLES'!$R19,'BDD FROMAGES_CONSOMMABLES'!$H:$J,3,FALSE))*'SAISIE ACHATS CONSOMMABLES'!$V19)</f>
        <v/>
      </c>
      <c r="X19" s="85" t="str">
        <f>IFERROR('SAISIE ACHATS CONSOMMABLES'!$V19+'SAISIE ACHATS CONSOMMABLES'!$W19,"")</f>
        <v/>
      </c>
      <c r="Y19" s="96"/>
      <c r="Z19" s="99"/>
      <c r="AA19" s="97"/>
      <c r="AB19" s="74" t="str">
        <f>IF('SAISIE ACHATS CONSOMMABLES'!$Y19="","",VLOOKUP('SAISIE ACHATS CONSOMMABLES'!$Z19,'BDD FROMAGES_CONSOMMABLES'!$H:$I,2,FALSE))</f>
        <v/>
      </c>
      <c r="AC19" s="98"/>
      <c r="AD19" s="78" t="str">
        <f>IF('SAISIE ACHATS CONSOMMABLES'!$AA19="","",IF('SAISIE ACHATS CONSOMMABLES'!$AC19="",'SAISIE ACHATS CONSOMMABLES'!$AB19*'SAISIE ACHATS CONSOMMABLES'!$AA19,'SAISIE ACHATS CONSOMMABLES'!$AC19*'SAISIE ACHATS CONSOMMABLES'!$AA19))</f>
        <v/>
      </c>
      <c r="AE19" s="74" t="str">
        <f>IF('SAISIE ACHATS CONSOMMABLES'!$Z19="","",(VLOOKUP('SAISIE ACHATS CONSOMMABLES'!$Z19,'BDD FROMAGES_CONSOMMABLES'!$H:$J,3,FALSE))*'SAISIE ACHATS CONSOMMABLES'!$AD19)</f>
        <v/>
      </c>
      <c r="AF19" s="85" t="str">
        <f>IFERROR('SAISIE ACHATS CONSOMMABLES'!$AD19+'SAISIE ACHATS CONSOMMABLES'!$AE19,"")</f>
        <v/>
      </c>
      <c r="AG19" s="96"/>
      <c r="AH19" s="99"/>
      <c r="AI19" s="97"/>
      <c r="AJ19" s="74" t="str">
        <f>IF('SAISIE ACHATS CONSOMMABLES'!AG19="","",VLOOKUP('SAISIE ACHATS CONSOMMABLES'!AH19,'BDD FROMAGES_CONSOMMABLES'!$H:$I,2,FALSE))</f>
        <v/>
      </c>
      <c r="AK19" s="98"/>
      <c r="AL19" s="78" t="str">
        <f>IF('SAISIE ACHATS CONSOMMABLES'!AI19="","",IF('SAISIE ACHATS CONSOMMABLES'!AK19="",'SAISIE ACHATS CONSOMMABLES'!AJ19*'SAISIE ACHATS CONSOMMABLES'!AI19,'SAISIE ACHATS CONSOMMABLES'!AK19*'SAISIE ACHATS CONSOMMABLES'!AI19))</f>
        <v/>
      </c>
      <c r="AM19" s="74" t="str">
        <f>IF('SAISIE ACHATS CONSOMMABLES'!AH19="","",(VLOOKUP('SAISIE ACHATS CONSOMMABLES'!AH19,'BDD FROMAGES_CONSOMMABLES'!$H:$J,3,FALSE))*'SAISIE ACHATS CONSOMMABLES'!AL19)</f>
        <v/>
      </c>
      <c r="AN19" s="85" t="str">
        <f>IFERROR('SAISIE ACHATS CONSOMMABLES'!AL19+'SAISIE ACHATS CONSOMMABLES'!AM19,"")</f>
        <v/>
      </c>
      <c r="AO19" s="96"/>
      <c r="AP19" s="99"/>
      <c r="AQ19" s="97"/>
      <c r="AR19" s="74" t="str">
        <f>IF('SAISIE ACHATS CONSOMMABLES'!AO19="","",VLOOKUP('SAISIE ACHATS CONSOMMABLES'!AP19,'BDD FROMAGES_CONSOMMABLES'!$H:$I,2,FALSE))</f>
        <v/>
      </c>
      <c r="AS19" s="98"/>
      <c r="AT19" s="78" t="str">
        <f>IF('SAISIE ACHATS CONSOMMABLES'!AQ19="","",IF('SAISIE ACHATS CONSOMMABLES'!AS19="",'SAISIE ACHATS CONSOMMABLES'!AR19*'SAISIE ACHATS CONSOMMABLES'!AQ19,'SAISIE ACHATS CONSOMMABLES'!AS19*'SAISIE ACHATS CONSOMMABLES'!AQ19))</f>
        <v/>
      </c>
      <c r="AU19" s="74" t="str">
        <f>IF('SAISIE ACHATS CONSOMMABLES'!AP19="","",(VLOOKUP('SAISIE ACHATS CONSOMMABLES'!AP19,'BDD FROMAGES_CONSOMMABLES'!$H:$J,3,FALSE))*'SAISIE ACHATS CONSOMMABLES'!AT19)</f>
        <v/>
      </c>
      <c r="AV19" s="85" t="str">
        <f>IFERROR('SAISIE ACHATS CONSOMMABLES'!AT19+'SAISIE ACHATS CONSOMMABLES'!AU19,"")</f>
        <v/>
      </c>
      <c r="AW19" s="96"/>
      <c r="AX19" s="99"/>
      <c r="AY19" s="97"/>
      <c r="AZ19" s="74" t="str">
        <f>IF('SAISIE ACHATS CONSOMMABLES'!AW19="","",VLOOKUP('SAISIE ACHATS CONSOMMABLES'!AX19,'BDD FROMAGES_CONSOMMABLES'!$H:$I,2,FALSE))</f>
        <v/>
      </c>
      <c r="BA19" s="98"/>
      <c r="BB19" s="78" t="str">
        <f>IF('SAISIE ACHATS CONSOMMABLES'!AY19="","",IF('SAISIE ACHATS CONSOMMABLES'!BA19="",'SAISIE ACHATS CONSOMMABLES'!AZ19*'SAISIE ACHATS CONSOMMABLES'!AY19,'SAISIE ACHATS CONSOMMABLES'!BA19*'SAISIE ACHATS CONSOMMABLES'!AY19))</f>
        <v/>
      </c>
      <c r="BC19" s="74" t="str">
        <f>IF('SAISIE ACHATS CONSOMMABLES'!AX19="","",(VLOOKUP('SAISIE ACHATS CONSOMMABLES'!AX19,'BDD FROMAGES_CONSOMMABLES'!$H:$J,3,FALSE))*'SAISIE ACHATS CONSOMMABLES'!BB19)</f>
        <v/>
      </c>
      <c r="BD19" s="85" t="str">
        <f>IFERROR('SAISIE ACHATS CONSOMMABLES'!BB19+'SAISIE ACHATS CONSOMMABLES'!BC19,"")</f>
        <v/>
      </c>
    </row>
    <row r="20" spans="1:56" x14ac:dyDescent="0.25">
      <c r="A20" s="105">
        <f t="shared" si="0"/>
        <v>19</v>
      </c>
      <c r="B20" s="92" t="s">
        <v>70</v>
      </c>
      <c r="C20" s="94"/>
      <c r="E20" s="95"/>
      <c r="F20" s="85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0</v>
      </c>
      <c r="G20" s="85">
        <f>IF(Tableau8[[#This Row],[Total TTC]]="","",Tableau8[[#This Row],[Total TTC]]-Tableau8[[#This Row],[Total HT]])</f>
        <v>0</v>
      </c>
      <c r="H20" s="85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0</v>
      </c>
      <c r="I20" s="96"/>
      <c r="J20" s="71"/>
      <c r="K20" s="97"/>
      <c r="L20" s="85" t="str">
        <f>IF('SAISIE ACHATS CONSOMMABLES'!$K20="","",VLOOKUP('SAISIE ACHATS CONSOMMABLES'!$J20,'BDD FROMAGES_CONSOMMABLES'!$H:$I,2,FALSE))</f>
        <v/>
      </c>
      <c r="M20" s="98"/>
      <c r="N20" s="78" t="str">
        <f>IF('SAISIE ACHATS CONSOMMABLES'!$K20="","",IF('SAISIE ACHATS CONSOMMABLES'!$M20="",'SAISIE ACHATS CONSOMMABLES'!$L20*'SAISIE ACHATS CONSOMMABLES'!$K20,'SAISIE ACHATS CONSOMMABLES'!$M20*'SAISIE ACHATS CONSOMMABLES'!$K20))</f>
        <v/>
      </c>
      <c r="O20" s="74" t="str">
        <f>IF('SAISIE ACHATS CONSOMMABLES'!$J20="","",(VLOOKUP('SAISIE ACHATS CONSOMMABLES'!$J20,'BDD FROMAGES_CONSOMMABLES'!$H:$J,3,FALSE))*'SAISIE ACHATS CONSOMMABLES'!$N20)</f>
        <v/>
      </c>
      <c r="P20" s="85" t="str">
        <f>IFERROR('SAISIE ACHATS CONSOMMABLES'!$N20+'SAISIE ACHATS CONSOMMABLES'!$O20,"")</f>
        <v/>
      </c>
      <c r="Q20" s="96"/>
      <c r="R20" s="71"/>
      <c r="S20" s="97"/>
      <c r="T20" s="74" t="str">
        <f>IF('SAISIE ACHATS CONSOMMABLES'!$Q20="","",VLOOKUP('SAISIE ACHATS CONSOMMABLES'!$R20,'BDD FROMAGES_CONSOMMABLES'!$H:$I,2,FALSE))</f>
        <v/>
      </c>
      <c r="U20" s="98"/>
      <c r="V20" s="78" t="str">
        <f>IF('SAISIE ACHATS CONSOMMABLES'!$S20="","",IF('SAISIE ACHATS CONSOMMABLES'!$U20="",'SAISIE ACHATS CONSOMMABLES'!$T20*'SAISIE ACHATS CONSOMMABLES'!$S20,'SAISIE ACHATS CONSOMMABLES'!$U20*'SAISIE ACHATS CONSOMMABLES'!$S20))</f>
        <v/>
      </c>
      <c r="W20" s="74" t="str">
        <f>IF('SAISIE ACHATS CONSOMMABLES'!$R20="","",(VLOOKUP('SAISIE ACHATS CONSOMMABLES'!$R20,'BDD FROMAGES_CONSOMMABLES'!$H:$J,3,FALSE))*'SAISIE ACHATS CONSOMMABLES'!$V20)</f>
        <v/>
      </c>
      <c r="X20" s="85" t="str">
        <f>IFERROR('SAISIE ACHATS CONSOMMABLES'!$V20+'SAISIE ACHATS CONSOMMABLES'!$W20,"")</f>
        <v/>
      </c>
      <c r="Y20" s="96"/>
      <c r="Z20" s="99"/>
      <c r="AA20" s="97"/>
      <c r="AB20" s="74" t="str">
        <f>IF('SAISIE ACHATS CONSOMMABLES'!$Y20="","",VLOOKUP('SAISIE ACHATS CONSOMMABLES'!$Z20,'BDD FROMAGES_CONSOMMABLES'!$H:$I,2,FALSE))</f>
        <v/>
      </c>
      <c r="AC20" s="98"/>
      <c r="AD20" s="78" t="str">
        <f>IF('SAISIE ACHATS CONSOMMABLES'!$AA20="","",IF('SAISIE ACHATS CONSOMMABLES'!$AC20="",'SAISIE ACHATS CONSOMMABLES'!$AB20*'SAISIE ACHATS CONSOMMABLES'!$AA20,'SAISIE ACHATS CONSOMMABLES'!$AC20*'SAISIE ACHATS CONSOMMABLES'!$AA20))</f>
        <v/>
      </c>
      <c r="AE20" s="74" t="str">
        <f>IF('SAISIE ACHATS CONSOMMABLES'!$Z20="","",(VLOOKUP('SAISIE ACHATS CONSOMMABLES'!$Z20,'BDD FROMAGES_CONSOMMABLES'!$H:$J,3,FALSE))*'SAISIE ACHATS CONSOMMABLES'!$AD20)</f>
        <v/>
      </c>
      <c r="AF20" s="85" t="str">
        <f>IFERROR('SAISIE ACHATS CONSOMMABLES'!$AD20+'SAISIE ACHATS CONSOMMABLES'!$AE20,"")</f>
        <v/>
      </c>
      <c r="AG20" s="96"/>
      <c r="AH20" s="99"/>
      <c r="AI20" s="97"/>
      <c r="AJ20" s="74" t="str">
        <f>IF('SAISIE ACHATS CONSOMMABLES'!AG20="","",VLOOKUP('SAISIE ACHATS CONSOMMABLES'!AH20,'BDD FROMAGES_CONSOMMABLES'!$H:$I,2,FALSE))</f>
        <v/>
      </c>
      <c r="AK20" s="98"/>
      <c r="AL20" s="78" t="str">
        <f>IF('SAISIE ACHATS CONSOMMABLES'!AI20="","",IF('SAISIE ACHATS CONSOMMABLES'!AK20="",'SAISIE ACHATS CONSOMMABLES'!AJ20*'SAISIE ACHATS CONSOMMABLES'!AI20,'SAISIE ACHATS CONSOMMABLES'!AK20*'SAISIE ACHATS CONSOMMABLES'!AI20))</f>
        <v/>
      </c>
      <c r="AM20" s="74" t="str">
        <f>IF('SAISIE ACHATS CONSOMMABLES'!AH20="","",(VLOOKUP('SAISIE ACHATS CONSOMMABLES'!AH20,'BDD FROMAGES_CONSOMMABLES'!$H:$J,3,FALSE))*'SAISIE ACHATS CONSOMMABLES'!AL20)</f>
        <v/>
      </c>
      <c r="AN20" s="85" t="str">
        <f>IFERROR('SAISIE ACHATS CONSOMMABLES'!AL20+'SAISIE ACHATS CONSOMMABLES'!AM20,"")</f>
        <v/>
      </c>
      <c r="AO20" s="96"/>
      <c r="AP20" s="99"/>
      <c r="AQ20" s="97"/>
      <c r="AR20" s="74" t="str">
        <f>IF('SAISIE ACHATS CONSOMMABLES'!AO20="","",VLOOKUP('SAISIE ACHATS CONSOMMABLES'!AP20,'BDD FROMAGES_CONSOMMABLES'!$H:$I,2,FALSE))</f>
        <v/>
      </c>
      <c r="AS20" s="98"/>
      <c r="AT20" s="78" t="str">
        <f>IF('SAISIE ACHATS CONSOMMABLES'!AQ20="","",IF('SAISIE ACHATS CONSOMMABLES'!AS20="",'SAISIE ACHATS CONSOMMABLES'!AR20*'SAISIE ACHATS CONSOMMABLES'!AQ20,'SAISIE ACHATS CONSOMMABLES'!AS20*'SAISIE ACHATS CONSOMMABLES'!AQ20))</f>
        <v/>
      </c>
      <c r="AU20" s="74" t="str">
        <f>IF('SAISIE ACHATS CONSOMMABLES'!AP20="","",(VLOOKUP('SAISIE ACHATS CONSOMMABLES'!AP20,'BDD FROMAGES_CONSOMMABLES'!$H:$J,3,FALSE))*'SAISIE ACHATS CONSOMMABLES'!AT20)</f>
        <v/>
      </c>
      <c r="AV20" s="85" t="str">
        <f>IFERROR('SAISIE ACHATS CONSOMMABLES'!AT20+'SAISIE ACHATS CONSOMMABLES'!AU20,"")</f>
        <v/>
      </c>
      <c r="AW20" s="96"/>
      <c r="AX20" s="99"/>
      <c r="AY20" s="97"/>
      <c r="AZ20" s="74" t="str">
        <f>IF('SAISIE ACHATS CONSOMMABLES'!AW20="","",VLOOKUP('SAISIE ACHATS CONSOMMABLES'!AX20,'BDD FROMAGES_CONSOMMABLES'!$H:$I,2,FALSE))</f>
        <v/>
      </c>
      <c r="BA20" s="98"/>
      <c r="BB20" s="78" t="str">
        <f>IF('SAISIE ACHATS CONSOMMABLES'!AY20="","",IF('SAISIE ACHATS CONSOMMABLES'!BA20="",'SAISIE ACHATS CONSOMMABLES'!AZ20*'SAISIE ACHATS CONSOMMABLES'!AY20,'SAISIE ACHATS CONSOMMABLES'!BA20*'SAISIE ACHATS CONSOMMABLES'!AY20))</f>
        <v/>
      </c>
      <c r="BC20" s="74" t="str">
        <f>IF('SAISIE ACHATS CONSOMMABLES'!AX20="","",(VLOOKUP('SAISIE ACHATS CONSOMMABLES'!AX20,'BDD FROMAGES_CONSOMMABLES'!$H:$J,3,FALSE))*'SAISIE ACHATS CONSOMMABLES'!BB20)</f>
        <v/>
      </c>
      <c r="BD20" s="85" t="str">
        <f>IFERROR('SAISIE ACHATS CONSOMMABLES'!BB20+'SAISIE ACHATS CONSOMMABLES'!BC20,"")</f>
        <v/>
      </c>
    </row>
    <row r="21" spans="1:56" x14ac:dyDescent="0.25">
      <c r="A21" s="105">
        <f>ROW()-1</f>
        <v>20</v>
      </c>
      <c r="B21" s="107" t="s">
        <v>38</v>
      </c>
      <c r="C21" s="80" t="s">
        <v>264</v>
      </c>
      <c r="D21" s="106">
        <v>2017</v>
      </c>
      <c r="E21" s="81">
        <v>43102</v>
      </c>
      <c r="F21" s="74">
        <f>IF(Tableau8[[#This Row],[clé]]="","",SUM(Tableau8[[#This Row],[Total 1 TTC]],Tableau8[[#This Row],[Total 2 TTC]],Tableau8[[#This Row],[Total 3 TTC]],Tableau8[[#This Row],[Total 4 TTC]],Tableau8[[#This Row],[Total 5 TTC]],Tableau8[[#This Row],[Total 6 TTC]]))</f>
        <v>82.8</v>
      </c>
      <c r="G21" s="74">
        <f>IF(Tableau8[[#This Row],[Total TTC]]="","",Tableau8[[#This Row],[Total TTC]]-Tableau8[[#This Row],[Total HT]])</f>
        <v>13.799999999999997</v>
      </c>
      <c r="H21" s="74">
        <f>IF(Tableau8[[#This Row],[clé]]="","",SUM(Tableau8[[#This Row],[Total 1 HT]],Tableau8[[#This Row],[Total 2 HT]],Tableau8[[#This Row],[Total 3 HT]],Tableau8[[#This Row],[Total 4 HT]],Tableau8[[#This Row],[Total 5 HT]],Tableau8[[#This Row],[Total 6 HT]]))</f>
        <v>69</v>
      </c>
      <c r="I21" s="82">
        <v>42736</v>
      </c>
      <c r="J21" s="83" t="s">
        <v>20</v>
      </c>
      <c r="K21" s="84">
        <v>23</v>
      </c>
      <c r="L21" s="85">
        <f>IF('SAISIE ACHATS CONSOMMABLES'!$K21="","",VLOOKUP('SAISIE ACHATS CONSOMMABLES'!$J21,'BDD FROMAGES_CONSOMMABLES'!$H:$I,2,FALSE))</f>
        <v>2</v>
      </c>
      <c r="M21" s="86">
        <v>3</v>
      </c>
      <c r="N21" s="87">
        <f>IF('SAISIE ACHATS CONSOMMABLES'!$K21="","",IF('SAISIE ACHATS CONSOMMABLES'!$M21="",'SAISIE ACHATS CONSOMMABLES'!$L21*'SAISIE ACHATS CONSOMMABLES'!$K21,'SAISIE ACHATS CONSOMMABLES'!$M21*'SAISIE ACHATS CONSOMMABLES'!$K21))</f>
        <v>69</v>
      </c>
      <c r="O21" s="85">
        <f>IF('SAISIE ACHATS CONSOMMABLES'!$J21="","",(VLOOKUP('SAISIE ACHATS CONSOMMABLES'!$J21,'BDD FROMAGES_CONSOMMABLES'!$H:$J,3,FALSE))*'SAISIE ACHATS CONSOMMABLES'!$N21)</f>
        <v>13.8</v>
      </c>
      <c r="P21" s="85">
        <f>IFERROR('SAISIE ACHATS CONSOMMABLES'!$N21+'SAISIE ACHATS CONSOMMABLES'!$O21,"")</f>
        <v>82.8</v>
      </c>
      <c r="Q21" s="82"/>
      <c r="R21" s="83"/>
      <c r="S21" s="84"/>
      <c r="T21" s="85" t="str">
        <f>IF('SAISIE ACHATS CONSOMMABLES'!$Q21="","",VLOOKUP('SAISIE ACHATS CONSOMMABLES'!$R21,'BDD FROMAGES_CONSOMMABLES'!$H:$I,2,FALSE))</f>
        <v/>
      </c>
      <c r="U21" s="86"/>
      <c r="V21" s="87" t="str">
        <f>IF('SAISIE ACHATS CONSOMMABLES'!$S21="","",IF('SAISIE ACHATS CONSOMMABLES'!$U21="",'SAISIE ACHATS CONSOMMABLES'!$T21*'SAISIE ACHATS CONSOMMABLES'!$S21,'SAISIE ACHATS CONSOMMABLES'!$U21*'SAISIE ACHATS CONSOMMABLES'!$S21))</f>
        <v/>
      </c>
      <c r="W21" s="85" t="str">
        <f>IF('SAISIE ACHATS CONSOMMABLES'!$R21="","",(VLOOKUP('SAISIE ACHATS CONSOMMABLES'!$R21,'BDD FROMAGES_CONSOMMABLES'!$H:$J,3,FALSE))*'SAISIE ACHATS CONSOMMABLES'!$V21)</f>
        <v/>
      </c>
      <c r="X21" s="85" t="str">
        <f>IFERROR('SAISIE ACHATS CONSOMMABLES'!$V21+'SAISIE ACHATS CONSOMMABLES'!$W21,"")</f>
        <v/>
      </c>
      <c r="Y21" s="82"/>
      <c r="Z21" s="88"/>
      <c r="AA21" s="84"/>
      <c r="AB21" s="85" t="str">
        <f>IF('SAISIE ACHATS CONSOMMABLES'!$Y21="","",VLOOKUP('SAISIE ACHATS CONSOMMABLES'!$Z21,'BDD FROMAGES_CONSOMMABLES'!$H:$I,2,FALSE))</f>
        <v/>
      </c>
      <c r="AC21" s="86"/>
      <c r="AD21" s="87" t="str">
        <f>IF('SAISIE ACHATS CONSOMMABLES'!$AA21="","",IF('SAISIE ACHATS CONSOMMABLES'!$AC21="",'SAISIE ACHATS CONSOMMABLES'!$AB21*'SAISIE ACHATS CONSOMMABLES'!$AA21,'SAISIE ACHATS CONSOMMABLES'!$AC21*'SAISIE ACHATS CONSOMMABLES'!$AA21))</f>
        <v/>
      </c>
      <c r="AE21" s="85" t="str">
        <f>IF('SAISIE ACHATS CONSOMMABLES'!$Z21="","",(VLOOKUP('SAISIE ACHATS CONSOMMABLES'!$Z21,'BDD FROMAGES_CONSOMMABLES'!$H:$J,3,FALSE))*'SAISIE ACHATS CONSOMMABLES'!$AD21)</f>
        <v/>
      </c>
      <c r="AF21" s="85" t="str">
        <f>IFERROR('SAISIE ACHATS CONSOMMABLES'!$AD21+'SAISIE ACHATS CONSOMMABLES'!$AE21,"")</f>
        <v/>
      </c>
      <c r="AG21" s="82"/>
      <c r="AH21" s="88"/>
      <c r="AI21" s="84"/>
      <c r="AJ21" s="85" t="str">
        <f>IF('SAISIE ACHATS CONSOMMABLES'!AG21="","",VLOOKUP('SAISIE ACHATS CONSOMMABLES'!AH21,'BDD FROMAGES_CONSOMMABLES'!$H:$I,2,FALSE))</f>
        <v/>
      </c>
      <c r="AK21" s="86"/>
      <c r="AL21" s="87" t="str">
        <f>IF('SAISIE ACHATS CONSOMMABLES'!AI21="","",IF('SAISIE ACHATS CONSOMMABLES'!AK21="",'SAISIE ACHATS CONSOMMABLES'!AJ21*'SAISIE ACHATS CONSOMMABLES'!AI21,'SAISIE ACHATS CONSOMMABLES'!AK21*'SAISIE ACHATS CONSOMMABLES'!AI21))</f>
        <v/>
      </c>
      <c r="AM21" s="85" t="str">
        <f>IF('SAISIE ACHATS CONSOMMABLES'!AH21="","",(VLOOKUP('SAISIE ACHATS CONSOMMABLES'!AH21,'BDD FROMAGES_CONSOMMABLES'!$H:$J,3,FALSE))*'SAISIE ACHATS CONSOMMABLES'!AL21)</f>
        <v/>
      </c>
      <c r="AN21" s="85" t="str">
        <f>IFERROR('SAISIE ACHATS CONSOMMABLES'!AL21+'SAISIE ACHATS CONSOMMABLES'!AM21,"")</f>
        <v/>
      </c>
      <c r="AO21" s="82"/>
      <c r="AP21" s="88"/>
      <c r="AQ21" s="84"/>
      <c r="AR21" s="85" t="str">
        <f>IF('SAISIE ACHATS CONSOMMABLES'!AO21="","",VLOOKUP('SAISIE ACHATS CONSOMMABLES'!AP21,'BDD FROMAGES_CONSOMMABLES'!$H:$I,2,FALSE))</f>
        <v/>
      </c>
      <c r="AS21" s="86"/>
      <c r="AT21" s="87" t="str">
        <f>IF('SAISIE ACHATS CONSOMMABLES'!AQ21="","",IF('SAISIE ACHATS CONSOMMABLES'!AS21="",'SAISIE ACHATS CONSOMMABLES'!AR21*'SAISIE ACHATS CONSOMMABLES'!AQ21,'SAISIE ACHATS CONSOMMABLES'!AS21*'SAISIE ACHATS CONSOMMABLES'!AQ21))</f>
        <v/>
      </c>
      <c r="AU21" s="85" t="str">
        <f>IF('SAISIE ACHATS CONSOMMABLES'!AP21="","",(VLOOKUP('SAISIE ACHATS CONSOMMABLES'!AP21,'BDD FROMAGES_CONSOMMABLES'!$H:$J,3,FALSE))*'SAISIE ACHATS CONSOMMABLES'!AT21)</f>
        <v/>
      </c>
      <c r="AV21" s="85" t="str">
        <f>IFERROR('SAISIE ACHATS CONSOMMABLES'!AT21+'SAISIE ACHATS CONSOMMABLES'!AU21,"")</f>
        <v/>
      </c>
      <c r="AW21" s="82"/>
      <c r="AX21" s="88"/>
      <c r="AY21" s="84"/>
      <c r="AZ21" s="85" t="str">
        <f>IF('SAISIE ACHATS CONSOMMABLES'!AW21="","",VLOOKUP('SAISIE ACHATS CONSOMMABLES'!AX21,'BDD FROMAGES_CONSOMMABLES'!$H:$I,2,FALSE))</f>
        <v/>
      </c>
      <c r="BA21" s="86"/>
      <c r="BB21" s="87" t="str">
        <f>IF('SAISIE ACHATS CONSOMMABLES'!AY21="","",IF('SAISIE ACHATS CONSOMMABLES'!BA21="",'SAISIE ACHATS CONSOMMABLES'!AZ21*'SAISIE ACHATS CONSOMMABLES'!AY21,'SAISIE ACHATS CONSOMMABLES'!BA21*'SAISIE ACHATS CONSOMMABLES'!AY21))</f>
        <v/>
      </c>
      <c r="BC21" s="85" t="str">
        <f>IF('SAISIE ACHATS CONSOMMABLES'!AX21="","",(VLOOKUP('SAISIE ACHATS CONSOMMABLES'!AX21,'BDD FROMAGES_CONSOMMABLES'!$H:$J,3,FALSE))*'SAISIE ACHATS CONSOMMABLES'!BB21)</f>
        <v/>
      </c>
      <c r="BD21" s="85" t="str">
        <f>IFERROR('SAISIE ACHATS CONSOMMABLES'!BB21+'SAISIE ACHATS CONSOMMABLES'!BC21,"")</f>
        <v/>
      </c>
    </row>
  </sheetData>
  <conditionalFormatting sqref="F3:H21 A21">
    <cfRule type="cellIs" dxfId="2" priority="2" operator="equal">
      <formula>0</formula>
    </cfRule>
  </conditionalFormatting>
  <conditionalFormatting sqref="A3:A20">
    <cfRule type="cellIs" dxfId="1" priority="1" operator="equal">
      <formula>0</formula>
    </cfRule>
  </conditionalFormatting>
  <dataValidations count="2">
    <dataValidation type="list" allowBlank="1" showInputMessage="1" showErrorMessage="1" sqref="AH2 AP2 J2:J21 R2:R21 Z2:Z21" xr:uid="{F6686514-21DB-44E4-B343-59DD043D1706}">
      <formula1>LISTE_CONSOMMABLES</formula1>
    </dataValidation>
    <dataValidation type="list" allowBlank="1" showInputMessage="1" showErrorMessage="1" sqref="B2:B21" xr:uid="{07F2CE8B-618E-43DA-A0BC-834B5D6C605E}">
      <formula1>nom_exploitation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DD7ED-87A6-4957-A652-B66DA002CD40}">
  <sheetPr codeName="Feuil8"/>
  <dimension ref="B1:J4"/>
  <sheetViews>
    <sheetView workbookViewId="0"/>
  </sheetViews>
  <sheetFormatPr baseColWidth="10" defaultColWidth="26" defaultRowHeight="15" x14ac:dyDescent="0.25"/>
  <cols>
    <col min="1" max="1" width="17.140625" style="4" customWidth="1"/>
    <col min="2" max="2" width="44.7109375" style="4" bestFit="1" customWidth="1"/>
    <col min="3" max="3" width="1.85546875" style="4" customWidth="1"/>
    <col min="4" max="4" width="44.7109375" style="4" bestFit="1" customWidth="1"/>
    <col min="5" max="5" width="34.85546875" style="4" customWidth="1"/>
    <col min="6" max="6" width="3.140625" style="4" customWidth="1"/>
    <col min="7" max="7" width="26" style="4"/>
    <col min="8" max="8" width="3.28515625" style="4" customWidth="1"/>
    <col min="9" max="16384" width="26" style="4"/>
  </cols>
  <sheetData>
    <row r="1" spans="2:10" x14ac:dyDescent="0.25">
      <c r="B1" s="40" t="s">
        <v>173</v>
      </c>
      <c r="D1" s="4" t="s">
        <v>21</v>
      </c>
      <c r="E1" s="4" t="s">
        <v>22</v>
      </c>
      <c r="G1" s="40" t="s">
        <v>142</v>
      </c>
      <c r="I1" s="40" t="s">
        <v>163</v>
      </c>
      <c r="J1" s="4" t="s">
        <v>22</v>
      </c>
    </row>
    <row r="2" spans="2:10" ht="75" x14ac:dyDescent="0.25">
      <c r="B2" s="39" t="s">
        <v>174</v>
      </c>
      <c r="D2" s="4" t="s">
        <v>23</v>
      </c>
      <c r="G2" s="39" t="s">
        <v>143</v>
      </c>
      <c r="I2" s="66" t="s">
        <v>164</v>
      </c>
      <c r="J2" s="67" t="s">
        <v>191</v>
      </c>
    </row>
    <row r="3" spans="2:10" ht="30" x14ac:dyDescent="0.25">
      <c r="B3" s="41"/>
      <c r="D3" s="4" t="s">
        <v>116</v>
      </c>
      <c r="G3" s="41" t="s">
        <v>144</v>
      </c>
      <c r="I3" s="41"/>
    </row>
    <row r="4" spans="2:10" ht="30" x14ac:dyDescent="0.25">
      <c r="G4" s="4" t="s">
        <v>145</v>
      </c>
    </row>
  </sheetData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9D5623-54FD-4215-8AC9-78DD3E0C8E66}">
  <sheetPr codeName="Feuil9">
    <pageSetUpPr fitToPage="1"/>
  </sheetPr>
  <dimension ref="A1"/>
  <sheetViews>
    <sheetView workbookViewId="0"/>
  </sheetViews>
  <sheetFormatPr baseColWidth="10" defaultColWidth="2.85546875" defaultRowHeight="15" x14ac:dyDescent="0.25"/>
  <cols>
    <col min="1" max="16384" width="2.85546875" style="3"/>
  </cols>
  <sheetData/>
  <pageMargins left="0.70866141732283472" right="0.70866141732283472" top="0.74803149606299213" bottom="0.74803149606299213" header="0.31496062992125984" footer="0.31496062992125984"/>
  <pageSetup paperSize="9" scale="65" orientation="landscape" horizontalDpi="0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22A3CB-D9B5-4D79-A152-1CD53B1E8C8C}">
  <sheetPr codeName="Feuil6"/>
  <dimension ref="A1:G8"/>
  <sheetViews>
    <sheetView workbookViewId="0">
      <selection activeCell="E16" sqref="E16"/>
    </sheetView>
  </sheetViews>
  <sheetFormatPr baseColWidth="10" defaultRowHeight="15" x14ac:dyDescent="0.25"/>
  <cols>
    <col min="2" max="2" width="14.42578125" bestFit="1" customWidth="1"/>
    <col min="3" max="3" width="11.5703125" bestFit="1" customWidth="1"/>
  </cols>
  <sheetData>
    <row r="1" spans="1:7" x14ac:dyDescent="0.25">
      <c r="A1" t="s">
        <v>73</v>
      </c>
      <c r="B1" t="s">
        <v>80</v>
      </c>
      <c r="C1" t="s">
        <v>81</v>
      </c>
      <c r="D1" t="s">
        <v>79</v>
      </c>
      <c r="F1">
        <v>60</v>
      </c>
      <c r="G1">
        <f>SUM(Tableau7[Heures])*F1</f>
        <v>3000</v>
      </c>
    </row>
    <row r="2" spans="1:7" x14ac:dyDescent="0.25">
      <c r="A2" s="6">
        <v>43103</v>
      </c>
      <c r="B2" s="6"/>
      <c r="C2" s="6"/>
      <c r="D2">
        <v>2</v>
      </c>
    </row>
    <row r="3" spans="1:7" x14ac:dyDescent="0.25">
      <c r="A3" s="6">
        <v>43104</v>
      </c>
      <c r="B3" s="6" t="s">
        <v>82</v>
      </c>
      <c r="C3" s="6"/>
      <c r="D3">
        <v>8</v>
      </c>
    </row>
    <row r="4" spans="1:7" x14ac:dyDescent="0.25">
      <c r="A4" s="6">
        <v>43105</v>
      </c>
      <c r="D4">
        <v>8</v>
      </c>
    </row>
    <row r="5" spans="1:7" x14ac:dyDescent="0.25">
      <c r="A5" s="6">
        <v>43108</v>
      </c>
      <c r="D5">
        <v>8</v>
      </c>
    </row>
    <row r="6" spans="1:7" x14ac:dyDescent="0.25">
      <c r="A6" s="6">
        <v>43109</v>
      </c>
      <c r="D6">
        <v>8</v>
      </c>
    </row>
    <row r="7" spans="1:7" x14ac:dyDescent="0.25">
      <c r="A7" s="6">
        <v>43110</v>
      </c>
      <c r="D7">
        <v>8</v>
      </c>
    </row>
    <row r="8" spans="1:7" x14ac:dyDescent="0.25">
      <c r="A8" s="6">
        <v>43111</v>
      </c>
      <c r="D8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226</vt:i4>
      </vt:variant>
    </vt:vector>
  </HeadingPairs>
  <TitlesOfParts>
    <vt:vector size="251" baseType="lpstr">
      <vt:lpstr>MENU</vt:lpstr>
      <vt:lpstr>TESTS</vt:lpstr>
      <vt:lpstr>BON DE LIVRAISON</vt:lpstr>
      <vt:lpstr>FACTURE CLIENT</vt:lpstr>
      <vt:lpstr>BDD VENTES</vt:lpstr>
      <vt:lpstr>BDD FACTURES CLIENTS</vt:lpstr>
      <vt:lpstr>NOUVELLE VENTE</vt:lpstr>
      <vt:lpstr>BDD BL CLIENTS</vt:lpstr>
      <vt:lpstr>BDD FACTURES TRANSPORTEURS</vt:lpstr>
      <vt:lpstr>RESERVATION</vt:lpstr>
      <vt:lpstr>BDD FROMAGES_CONSOMMABLES</vt:lpstr>
      <vt:lpstr>FACTURE</vt:lpstr>
      <vt:lpstr>BDD FACTURE PRO_SALOIR</vt:lpstr>
      <vt:lpstr>BDD PAYSANS</vt:lpstr>
      <vt:lpstr>ENTREES DE STOCK</vt:lpstr>
      <vt:lpstr>SUIVI STOCKS PAR PAYSAN</vt:lpstr>
      <vt:lpstr>BDD RESERVATIONS</vt:lpstr>
      <vt:lpstr>NOUVELLE FACTURE_AVOIR</vt:lpstr>
      <vt:lpstr>BDD FONCTIONS</vt:lpstr>
      <vt:lpstr>TRAME RECEPTION DE FROMAGE</vt:lpstr>
      <vt:lpstr>BDD CLIENTS</vt:lpstr>
      <vt:lpstr>SAISIE ACHATS CONSOMMABLES</vt:lpstr>
      <vt:lpstr>QUESTIONS</vt:lpstr>
      <vt:lpstr>Fonctionnement fichiers</vt:lpstr>
      <vt:lpstr>relevé heuresd</vt:lpstr>
      <vt:lpstr>affinage</vt:lpstr>
      <vt:lpstr>ancre_concatener</vt:lpstr>
      <vt:lpstr>balise_bas</vt:lpstr>
      <vt:lpstr>balise_bas_n°factureclient</vt:lpstr>
      <vt:lpstr>bbdp_taille</vt:lpstr>
      <vt:lpstr>bdd_fac_mois</vt:lpstr>
      <vt:lpstr>BDD_VENTE_concatener_année_mois_client</vt:lpstr>
      <vt:lpstr>bddbl_client</vt:lpstr>
      <vt:lpstr>bddbl_date</vt:lpstr>
      <vt:lpstr>bddbl_N°</vt:lpstr>
      <vt:lpstr>bddbl_path</vt:lpstr>
      <vt:lpstr>bddbl_poids_livraison</vt:lpstr>
      <vt:lpstr>bddbl_totalHT</vt:lpstr>
      <vt:lpstr>bddblc_frais_charge_client</vt:lpstr>
      <vt:lpstr>bddblclients_cout_transport</vt:lpstr>
      <vt:lpstr>bddfac_bal_bas</vt:lpstr>
      <vt:lpstr>bddfac_date</vt:lpstr>
      <vt:lpstr>bddfac_lien_facture_papier</vt:lpstr>
      <vt:lpstr>bddfac_montantHT</vt:lpstr>
      <vt:lpstr>bddfac_producteur</vt:lpstr>
      <vt:lpstr>bddfacclient_N°facture</vt:lpstr>
      <vt:lpstr>bddfacclients_annee_facturation</vt:lpstr>
      <vt:lpstr>bddfacclients_date_facturation</vt:lpstr>
      <vt:lpstr>bddfacture_bt_N°facture</vt:lpstr>
      <vt:lpstr>bddfacturesclient_n°facture</vt:lpstr>
      <vt:lpstr>bddfacturesclients_annee</vt:lpstr>
      <vt:lpstr>bddfacturesclients_client</vt:lpstr>
      <vt:lpstr>bddfacturesclients_concat_annee_mois</vt:lpstr>
      <vt:lpstr>bddfacturesclients_date_facture</vt:lpstr>
      <vt:lpstr>bddfacturesclients_mois</vt:lpstr>
      <vt:lpstr>bddfacturesclients_montantht</vt:lpstr>
      <vt:lpstr>bddfacturesclients_montantttc</vt:lpstr>
      <vt:lpstr>bddfacturesclients_transport_HT</vt:lpstr>
      <vt:lpstr>bddres_affinage</vt:lpstr>
      <vt:lpstr>bddres_balise_bas</vt:lpstr>
      <vt:lpstr>bddres_c_prod_type_aff</vt:lpstr>
      <vt:lpstr>bddres_c_qte</vt:lpstr>
      <vt:lpstr>bddres_client</vt:lpstr>
      <vt:lpstr>bddres_date</vt:lpstr>
      <vt:lpstr>bddres_date_exp</vt:lpstr>
      <vt:lpstr>bddres_N°</vt:lpstr>
      <vt:lpstr>bddres_N°lot</vt:lpstr>
      <vt:lpstr>bddres_nombre</vt:lpstr>
      <vt:lpstr>bddres_pieces</vt:lpstr>
      <vt:lpstr>bddres_prix_propose</vt:lpstr>
      <vt:lpstr>bddres_producteur</vt:lpstr>
      <vt:lpstr>bddres_quantite</vt:lpstr>
      <vt:lpstr>bddres_taille</vt:lpstr>
      <vt:lpstr>bddres_type</vt:lpstr>
      <vt:lpstr>bddventes_annee</vt:lpstr>
      <vt:lpstr>bddventes_année_bl</vt:lpstr>
      <vt:lpstr>bddventes_mois</vt:lpstr>
      <vt:lpstr>bddventes_N°_facture_client</vt:lpstr>
      <vt:lpstr>bddventes_N°facture_client</vt:lpstr>
      <vt:lpstr>bdl_client</vt:lpstr>
      <vt:lpstr>bdl_Date</vt:lpstr>
      <vt:lpstr>bdl_N°BL</vt:lpstr>
      <vt:lpstr>FACTURE!bl_balise_date_exp</vt:lpstr>
      <vt:lpstr>bl_balise_date_exp</vt:lpstr>
      <vt:lpstr>bl_c_date_exp</vt:lpstr>
      <vt:lpstr>bl_date_expedition</vt:lpstr>
      <vt:lpstr>bl_designation</vt:lpstr>
      <vt:lpstr>FACTURE!bl_espace_saisie</vt:lpstr>
      <vt:lpstr>bl_espace_saisie</vt:lpstr>
      <vt:lpstr>BL_plage_cid</vt:lpstr>
      <vt:lpstr>BL_plage_csg</vt:lpstr>
      <vt:lpstr>bl_prix_total</vt:lpstr>
      <vt:lpstr>bl_prix_unitaire</vt:lpstr>
      <vt:lpstr>bl_quantite</vt:lpstr>
      <vt:lpstr>bl_taille</vt:lpstr>
      <vt:lpstr>c_bddres_N°</vt:lpstr>
      <vt:lpstr>RESERVATION!cdi_plage_vente</vt:lpstr>
      <vt:lpstr>cdi_plage_vente</vt:lpstr>
      <vt:lpstr>RESERVATION!cgs_plage_reservation</vt:lpstr>
      <vt:lpstr>cgs_plage_vente</vt:lpstr>
      <vt:lpstr>cid_plage_reservation</vt:lpstr>
      <vt:lpstr>RESERVATION!colonneentiereproducteur</vt:lpstr>
      <vt:lpstr>colonneentiereproducteur</vt:lpstr>
      <vt:lpstr>Concat_année_mois</vt:lpstr>
      <vt:lpstr>Concat_année_mois_n°facture</vt:lpstr>
      <vt:lpstr>concat_type_affinage</vt:lpstr>
      <vt:lpstr>Concatener_Eligibilite_à_la_facturation_en_cours_client</vt:lpstr>
      <vt:lpstr>Cout_transport</vt:lpstr>
      <vt:lpstr>date_inventaire</vt:lpstr>
      <vt:lpstr>eligibilite</vt:lpstr>
      <vt:lpstr>Eligibilite_à_la_facturation_en_cours</vt:lpstr>
      <vt:lpstr>es_date_entree</vt:lpstr>
      <vt:lpstr>es_pieces</vt:lpstr>
      <vt:lpstr>es_poids</vt:lpstr>
      <vt:lpstr>es_prod_type_affinage</vt:lpstr>
      <vt:lpstr>es_taille</vt:lpstr>
      <vt:lpstr>FACTURE!fac_c_date_exp</vt:lpstr>
      <vt:lpstr>fac_c_taille</vt:lpstr>
      <vt:lpstr>FACTURE!fac_Date</vt:lpstr>
      <vt:lpstr>FACTURE!fac_date_expedition</vt:lpstr>
      <vt:lpstr>FACTURE!fac_designation</vt:lpstr>
      <vt:lpstr>FACTURE!fac_N°FACTURE</vt:lpstr>
      <vt:lpstr>fac_pl_produc</vt:lpstr>
      <vt:lpstr>FACTURE!fac_prix_total</vt:lpstr>
      <vt:lpstr>FACTURE!fac_prix_unitaire</vt:lpstr>
      <vt:lpstr>FACTURE!fac_quantite</vt:lpstr>
      <vt:lpstr>fac_taille</vt:lpstr>
      <vt:lpstr>facclient_date</vt:lpstr>
      <vt:lpstr>facclient_nom_du_client</vt:lpstr>
      <vt:lpstr>facclient_papier_N°</vt:lpstr>
      <vt:lpstr>facture_client_affinage</vt:lpstr>
      <vt:lpstr>facture_client_balisebas_saisie</vt:lpstr>
      <vt:lpstr>facture_client_cid</vt:lpstr>
      <vt:lpstr>facture_client_csg</vt:lpstr>
      <vt:lpstr>facture_client_date_exp</vt:lpstr>
      <vt:lpstr>facture_client_PUHT</vt:lpstr>
      <vt:lpstr>facture_client_quantite</vt:lpstr>
      <vt:lpstr>facture_client_type</vt:lpstr>
      <vt:lpstr>facture_montantHT</vt:lpstr>
      <vt:lpstr>facture_plage_cid</vt:lpstr>
      <vt:lpstr>facture_plage_csg</vt:lpstr>
      <vt:lpstr>factures_clients_baliseconcatener</vt:lpstr>
      <vt:lpstr>fermier</vt:lpstr>
      <vt:lpstr>formule_Propo_prix</vt:lpstr>
      <vt:lpstr>'BON DE LIVRAISON'!Gestion_des_stocks</vt:lpstr>
      <vt:lpstr>FACTURE!Gestion_des_stocks</vt:lpstr>
      <vt:lpstr>RESERVATION!Gestion_des_stocks</vt:lpstr>
      <vt:lpstr>Gestion_des_stocks</vt:lpstr>
      <vt:lpstr>LISTE_CONSOMMABLES</vt:lpstr>
      <vt:lpstr>RESERVATION!nb_Tableauventes</vt:lpstr>
      <vt:lpstr>nb_Tableauventes</vt:lpstr>
      <vt:lpstr>nfa_aujourdhui</vt:lpstr>
      <vt:lpstr>nfa_Producteur</vt:lpstr>
      <vt:lpstr>NOM_CLIENT</vt:lpstr>
      <vt:lpstr>nom_exploitation</vt:lpstr>
      <vt:lpstr>RESERVATION!nouveau_num_BL</vt:lpstr>
      <vt:lpstr>nouveau_num_BL</vt:lpstr>
      <vt:lpstr>RESERVATION!Numero_de_BL</vt:lpstr>
      <vt:lpstr>Numero_de_BL</vt:lpstr>
      <vt:lpstr>RESERVATION!nv_Affinage</vt:lpstr>
      <vt:lpstr>nv_Affinage</vt:lpstr>
      <vt:lpstr>RESERVATION!nv_Client</vt:lpstr>
      <vt:lpstr>nv_Client</vt:lpstr>
      <vt:lpstr>RESERVATION!nv_Date_commande</vt:lpstr>
      <vt:lpstr>nv_Date_commande</vt:lpstr>
      <vt:lpstr>RESERVATION!nv_Date_exp</vt:lpstr>
      <vt:lpstr>nv_Date_exp</vt:lpstr>
      <vt:lpstr>RESERVATION!nv_Lot</vt:lpstr>
      <vt:lpstr>nv_Lot</vt:lpstr>
      <vt:lpstr>RESERVATION!nv_Nombre</vt:lpstr>
      <vt:lpstr>nv_Nombre</vt:lpstr>
      <vt:lpstr>RESERVATION!nv_Producteur</vt:lpstr>
      <vt:lpstr>nv_Producteur</vt:lpstr>
      <vt:lpstr>RESERVATION!nv_Type_fromage</vt:lpstr>
      <vt:lpstr>nv_Type_fromage</vt:lpstr>
      <vt:lpstr>RESERVATION!nvbal_Affinage</vt:lpstr>
      <vt:lpstr>nvbal_Affinage</vt:lpstr>
      <vt:lpstr>RESERVATION!nvbal_Kg</vt:lpstr>
      <vt:lpstr>nvbal_Kg</vt:lpstr>
      <vt:lpstr>RESERVATION!nvbal_Lot</vt:lpstr>
      <vt:lpstr>nvbal_Lot</vt:lpstr>
      <vt:lpstr>nvbal_nombre</vt:lpstr>
      <vt:lpstr>RESERVATION!nvbal_Prix</vt:lpstr>
      <vt:lpstr>RESERVATION!nvbal_Producteur</vt:lpstr>
      <vt:lpstr>nvbal_Producteur</vt:lpstr>
      <vt:lpstr>RESERVATION!nvbal_Type_fromage</vt:lpstr>
      <vt:lpstr>nvbal_Type_fromage</vt:lpstr>
      <vt:lpstr>RESERVATION!nvf_nbval</vt:lpstr>
      <vt:lpstr>nvf_nbval</vt:lpstr>
      <vt:lpstr>RESERVATION!plage_Prix_proposés</vt:lpstr>
      <vt:lpstr>plage_Prix_proposés</vt:lpstr>
      <vt:lpstr>RESERVATION!plage_QuantitésKg</vt:lpstr>
      <vt:lpstr>plage_QuantitésKg</vt:lpstr>
      <vt:lpstr>RESERVATION!plage_Ventes</vt:lpstr>
      <vt:lpstr>plage_Ventes</vt:lpstr>
      <vt:lpstr>prix_vente_HT_par_defaut</vt:lpstr>
      <vt:lpstr>prix_vente_ttc_par_defaut</vt:lpstr>
      <vt:lpstr>RESERVATION!somme_nb_val</vt:lpstr>
      <vt:lpstr>somme_nb_val</vt:lpstr>
      <vt:lpstr>titre_facture</vt:lpstr>
      <vt:lpstr>total_HT_cumule</vt:lpstr>
      <vt:lpstr>total_TTC_cumule</vt:lpstr>
      <vt:lpstr>TVA_CONSOMMABLES</vt:lpstr>
      <vt:lpstr>TVA_FROMAGE</vt:lpstr>
      <vt:lpstr>TVA_TRANSPORT</vt:lpstr>
      <vt:lpstr>type_de_fromage</vt:lpstr>
      <vt:lpstr>v_Affinage</vt:lpstr>
      <vt:lpstr>RESERVATION!v_bal_Affinage</vt:lpstr>
      <vt:lpstr>v_bal_Affinage</vt:lpstr>
      <vt:lpstr>RESERVATION!v_bal_N°lot</vt:lpstr>
      <vt:lpstr>v_bal_N°lot</vt:lpstr>
      <vt:lpstr>RESERVATION!v_bal_Prix_proposé</vt:lpstr>
      <vt:lpstr>v_bal_Prix_proposé</vt:lpstr>
      <vt:lpstr>RESERVATION!v_bal_Producteur</vt:lpstr>
      <vt:lpstr>v_bal_Producteur</vt:lpstr>
      <vt:lpstr>RESERVATION!v_bal_Qtekg</vt:lpstr>
      <vt:lpstr>v_bal_Qtekg</vt:lpstr>
      <vt:lpstr>RESERVATION!v_bal_Qteunite</vt:lpstr>
      <vt:lpstr>v_bal_Qteunite</vt:lpstr>
      <vt:lpstr>RESERVATION!v_bal_taille</vt:lpstr>
      <vt:lpstr>v_bal_taille</vt:lpstr>
      <vt:lpstr>RESERVATION!v_bal_Typefromage</vt:lpstr>
      <vt:lpstr>v_bal_Typefromage</vt:lpstr>
      <vt:lpstr>v_Client</vt:lpstr>
      <vt:lpstr>v_conc_prod_tye_affinage</vt:lpstr>
      <vt:lpstr>v_Date_commande</vt:lpstr>
      <vt:lpstr>v_Date_expedition</vt:lpstr>
      <vt:lpstr>v_Facture</vt:lpstr>
      <vt:lpstr>v_N°_lot</vt:lpstr>
      <vt:lpstr>v_N°BL</vt:lpstr>
      <vt:lpstr>v_Pièces</vt:lpstr>
      <vt:lpstr>v_Poids</vt:lpstr>
      <vt:lpstr>v_Prix_confirmé</vt:lpstr>
      <vt:lpstr>v_Producteur</vt:lpstr>
      <vt:lpstr>v_Taille</vt:lpstr>
      <vt:lpstr>v_type_document</vt:lpstr>
      <vt:lpstr>v_Type_fromage</vt:lpstr>
      <vt:lpstr>RESERVATION!Vente1</vt:lpstr>
      <vt:lpstr>Vente1</vt:lpstr>
      <vt:lpstr>RESERVATION!Vente10</vt:lpstr>
      <vt:lpstr>Vente10</vt:lpstr>
      <vt:lpstr>vv_bal_bl</vt:lpstr>
      <vt:lpstr>vv_bal_producteur</vt:lpstr>
      <vt:lpstr>vv_type_fromage</vt:lpstr>
      <vt:lpstr>vvbal_Facture</vt:lpstr>
      <vt:lpstr>vvbal_producteur</vt:lpstr>
      <vt:lpstr>'BON DE LIVRAISON'!Zone_d_impression</vt:lpstr>
      <vt:lpstr>FACTURE!Zone_d_impression</vt:lpstr>
      <vt:lpstr>'FACTURE CLIENT'!Zone_d_impression</vt:lpstr>
      <vt:lpstr>'Fonctionnement fichiers'!Zone_d_impression</vt:lpstr>
      <vt:lpstr>'TRAME RECEPTION DE FROMAGE'!Zone_d_impression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2018-02-21T20:10:21Z</dcterms:modified>
</cp:coreProperties>
</file>