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tables/table7.xml" ContentType="application/vnd.openxmlformats-officedocument.spreadsheetml.table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tables/table11.xml" ContentType="application/vnd.openxmlformats-officedocument.spreadsheetml.table+xml"/>
  <Override PartName="/xl/drawings/drawing8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filterPrivacy="1" codeName="ThisWorkbook" hidePivotFieldList="1"/>
  <xr:revisionPtr revIDLastSave="0" documentId="13_ncr:1_{C47FB966-2C33-4559-BD65-E5DDCA14A2A1}" xr6:coauthVersionLast="32" xr6:coauthVersionMax="32" xr10:uidLastSave="{00000000-0000-0000-0000-000000000000}"/>
  <bookViews>
    <workbookView xWindow="0" yWindow="0" windowWidth="22260" windowHeight="12645" firstSheet="5" activeTab="7" xr2:uid="{00000000-000D-0000-FFFF-FFFF00000000}"/>
  </bookViews>
  <sheets>
    <sheet name="MENU" sheetId="7" r:id="rId1"/>
    <sheet name="SAISIE QUANTITES QUALITE LAIT" sheetId="1" r:id="rId2"/>
    <sheet name="BDD AUTRES" sheetId="6" r:id="rId3"/>
    <sheet name="BDD PRIX LAIT" sheetId="3" r:id="rId4"/>
    <sheet name="FICHE PRODUCTEUR" sheetId="12" r:id="rId5"/>
    <sheet name="TABLEAUX SOURCES" sheetId="18" r:id="rId6"/>
    <sheet name="TABLEAU_RECAPITULATIF" sheetId="10" r:id="rId7"/>
    <sheet name="RESULTATS ANALYSES" sheetId="2" r:id="rId8"/>
    <sheet name="données_rapatriées" sheetId="8" r:id="rId9"/>
  </sheets>
  <externalReferences>
    <externalReference r:id="rId10"/>
  </externalReferences>
  <definedNames>
    <definedName name="bal_bas_analyses">'RESULTATS ANALYSES'!$AF$1048007</definedName>
    <definedName name="bal_bas_BDD_prix_lait">'BDD PRIX LAIT'!$A$1048560</definedName>
    <definedName name="bal_bas_collecte">'SAISIE QUANTITES QUALITE LAIT'!$A$1048546</definedName>
    <definedName name="bal_bas_tab_recap">TABLEAU_RECAPITULATIF!$A$1048274</definedName>
    <definedName name="bal_bas_zone_1">Tableau12[[#Totals],[Mois]]</definedName>
    <definedName name="bal_bas_zone_2">Tableau1214[[#Totals],[Mois]]</definedName>
    <definedName name="bal_bas_zone_3">Tableau121415[[#Totals],[Mois]]</definedName>
    <definedName name="bal_gauche">données_rapatriées!$XFD$2</definedName>
    <definedName name="bal_haut_zone_1">'FICHE PRODUCTEUR'!$A$5</definedName>
    <definedName name="bal_haut_zone_2">'FICHE PRODUCTEUR'!$A$21</definedName>
    <definedName name="bal_haut_zone_3">'FICHE PRODUCTEUR'!$A$37</definedName>
    <definedName name="Base_après_acompte">'BDD PRIX LAIT'!$H$1</definedName>
    <definedName name="Base_avant_acompte">'BDD PRIX LAIT'!$G$1</definedName>
    <definedName name="BDD_EXPLOITATIONS" localSheetId="6">OFFSET(Tableau2[[#Headers],[NOM EXPLOITATION]],1,0,COUNTA('BDD AUTRES'!$M:$M)-1,1)</definedName>
    <definedName name="BDD_EXPLOITATIONS">OFFSET(Tableau2[[#Headers],[NOM EXPLOITATION]],1,0,COUNTA('BDD AUTRES'!$M:$M)-1,1)</definedName>
    <definedName name="BIO_CONVENTIONNEL">'RESULTATS ANALYSES'!$E$1</definedName>
    <definedName name="bottom_turn">[1]avec_INDIRECT!$A$2</definedName>
    <definedName name="BU_A">'BDD AUTRES'!$E$9</definedName>
    <definedName name="BU_A_PLUS">'BDD AUTRES'!$E$8</definedName>
    <definedName name="BU_B">'BDD AUTRES'!$E$10</definedName>
    <definedName name="BU_C">'BDD AUTRES'!$E$11</definedName>
    <definedName name="BU_C_PLUS">'BDD AUTRES'!$E$12</definedName>
    <definedName name="BU_spores_l">'RESULTATS ANALYSES'!$F$1</definedName>
    <definedName name="CE_A">'BDD AUTRES'!$E$2</definedName>
    <definedName name="CE_B">'BDD AUTRES'!$E$3</definedName>
    <definedName name="CE_C">'BDD AUTRES'!$E$4</definedName>
    <definedName name="CE_cellules_ml">'RESULTATS ANALYSES'!$H$1</definedName>
    <definedName name="cellule_pivot_tableaux">'TABLEAUX SOURCES'!$A$5</definedName>
    <definedName name="CO_A">'BDD AUTRES'!$E$5</definedName>
    <definedName name="CO_B">'BDD AUTRES'!$E$6</definedName>
    <definedName name="CO_C">'BDD AUTRES'!$E$7</definedName>
    <definedName name="CO_ufc_ml">'RESULTATS ANALYSES'!$J$1</definedName>
    <definedName name="Code_EDE">'RESULTATS ANALYSES'!$W$1</definedName>
    <definedName name="colonne_resultats_annee">'RESULTATS ANALYSES'!$AR:$AR</definedName>
    <definedName name="colonne_resultats_BIO_CONV">'RESULTATS ANALYSES'!$AC:$AC</definedName>
    <definedName name="colonne_resultats_BU">'RESULTATS ANALYSES'!$P:$P</definedName>
    <definedName name="colonne_resultats_CE">'RESULTATS ANALYSES'!$D:$D</definedName>
    <definedName name="colonne_resultats_CO">'RESULTATS ANALYSES'!$T:$T</definedName>
    <definedName name="colonne_resultats_CR">'RESULTATS ANALYSES'!$V:$V</definedName>
    <definedName name="colonne_resultats_IN">'RESULTATS ANALYSES'!$W:$W</definedName>
    <definedName name="colonne_resultats_MG">'RESULTATS ANALYSES'!$X:$X</definedName>
    <definedName name="colonne_resultats_mois">'RESULTATS ANALYSES'!$AS:$AS</definedName>
    <definedName name="colonne_resultats_MP">'RESULTATS ANALYSES'!$Y:$Y</definedName>
    <definedName name="colonne_resultats_NU">'RESULTATS ANALYSES'!$Z:$Z</definedName>
    <definedName name="colonne_resultats_producteur">'RESULTATS ANALYSES'!$C:$C</definedName>
    <definedName name="colonne_resultats_TR">'RESULTATS ANALYSES'!$AB:$AB</definedName>
    <definedName name="colonne_resultats_UR">'RESULTATS ANALYSES'!$AA:$AA</definedName>
    <definedName name="compta">#REF!</definedName>
    <definedName name="cProducteur">'FICHE PRODUCTEUR'!$B$1</definedName>
    <definedName name="CR_Degre_celcius">'RESULTATS ANALYSES'!$L$1</definedName>
    <definedName name="cSaison">'FICHE PRODUCTEUR'!$B$2</definedName>
    <definedName name="Date">'SAISIE QUANTITES QUALITE LAIT'!$A$1</definedName>
    <definedName name="Date_collecte">'RESULTATS ANALYSES'!$AD$1</definedName>
    <definedName name="Date_de_début_de_campagne">'BDD PRIX LAIT'!$A$1</definedName>
    <definedName name="Date_de_fin_de_campagne">'BDD PRIX LAIT'!$B$1</definedName>
    <definedName name="Date_de_référence">'RESULTATS ANALYSES'!$AA$1</definedName>
    <definedName name="entete_MG_S1">'TABLEAUX SOURCES'!$E$4</definedName>
    <definedName name="entete_MG_S2">'TABLEAUX SOURCES'!$F$4</definedName>
    <definedName name="entete_MG_S3">'TABLEAUX SOURCES'!$G$4</definedName>
    <definedName name="ESSAI">[1]avec_INDIRECT!$C$4</definedName>
    <definedName name="FIN">[1]avec_INDIRECT!$A$3</definedName>
    <definedName name="fonction_transfert_image">INDIRECT([1]avec_INDIRECT!$H$1,TRUE)</definedName>
    <definedName name="image_dynamique">INDIRECT([1]avec_INDIRECT!$K$1,TRUE)</definedName>
    <definedName name="IN">'RESULTATS ANALYSES'!$M$1</definedName>
    <definedName name="LB">#REF!</definedName>
    <definedName name="LISTE_TRAITEMENTS_THERMIQUES">'BDD AUTRES'!$B$2:$B$3</definedName>
    <definedName name="Litrage">'SAISIE QUANTITES QUALITE LAIT'!$F$1</definedName>
    <definedName name="litrage_qualité">'RESULTATS ANALYSES'!$R$1</definedName>
    <definedName name="Matricule_laiterie">'RESULTATS ANALYSES'!$X$1</definedName>
    <definedName name="MG">'BDD AUTRES'!$J$3</definedName>
    <definedName name="MG_g_l">'RESULTATS ANALYSES'!$N$1</definedName>
    <definedName name="Mois" localSheetId="6">TABLEAU_RECAPITULATIF!$D$1</definedName>
    <definedName name="Mois">#REF!</definedName>
    <definedName name="MP_g_l">'RESULTATS ANALYSES'!$O$1</definedName>
    <definedName name="MSU">'BDD AUTRES'!$J$2</definedName>
    <definedName name="NOM_DE_LA_MAISON">'BDD AUTRES'!$N$2:$N$37</definedName>
    <definedName name="NOM_EXPLOITATION">'BDD AUTRES'!$M$2:$M$37</definedName>
    <definedName name="nom_maison">'BDD AUTRES'!$N$1</definedName>
    <definedName name="NOM_PRODUCTEUR">'BDD AUTRES'!$O$2:$O$37</definedName>
    <definedName name="Nombre">'BDD AUTRES'!#REF!</definedName>
    <definedName name="Notation">'BDD AUTRES'!$F$2:$F$12</definedName>
    <definedName name="NU_ufc_ml">'RESULTATS ANALYSES'!$P$1</definedName>
    <definedName name="pas_deroulement_saisons">'FICHE PRODUCTEUR'!#REF!</definedName>
    <definedName name="Période">'RESULTATS ANALYSES'!$T$1</definedName>
    <definedName name="pivot_mois">'FICHE PRODUCTEUR'!$M$68</definedName>
    <definedName name="Portoir">'RESULTATS ANALYSES'!$AB$1</definedName>
    <definedName name="Position_portoir">'RESULTATS ANALYSES'!$AC$1</definedName>
    <definedName name="Producteur">'SAISIE QUANTITES QUALITE LAIT'!$B$1</definedName>
    <definedName name="producteur_qualité">'RESULTATS ANALYSES'!$C$1</definedName>
    <definedName name="production">#REF!</definedName>
    <definedName name="PROT">'BDD AUTRES'!$J$4</definedName>
    <definedName name="qualité">#REF!</definedName>
    <definedName name="QUALITE_DU_LAIT">'BDD AUTRES'!$A$2:$A$3</definedName>
    <definedName name="quintuplé_Année_Mois_Producteur_Type_lait_Traitement_thermique">'RESULTATS ANALYSES'!$AF$1</definedName>
    <definedName name="quintuple_tableau_recap">TABLEAU_RECAPITULATIF!$A$1</definedName>
    <definedName name="re_entry">[1]avec_INDIRECT!$A$1</definedName>
    <definedName name="Référence">'RESULTATS ANALYSES'!$S$1</definedName>
    <definedName name="Routage">'RESULTATS ANALYSES'!$U$1</definedName>
    <definedName name="SERVICE">#REF!</definedName>
    <definedName name="SEUIL">'BDD AUTRES'!$F$2:$F$12</definedName>
    <definedName name="Tableau4">Tableau47[]</definedName>
    <definedName name="TAUX_MODULATION_MG">'BDD AUTRES'!$K$3</definedName>
    <definedName name="TAUX_MODULATION_MSU">'BDD AUTRES'!$K$2</definedName>
    <definedName name="TAUX_MODULATION_PROT">'BDD AUTRES'!$K$4</definedName>
    <definedName name="total_1">Tableau12[[#Totals],[Total]]</definedName>
    <definedName name="total_2">Tableau1214[[#Totals],[Total]]</definedName>
    <definedName name="total_3">Tableau121415[[#Totals],[Total]]</definedName>
    <definedName name="Tour">'RESULTATS ANALYSES'!$Z$1</definedName>
    <definedName name="Tournée">'RESULTATS ANALYSES'!$Y$1</definedName>
    <definedName name="Traitement_thermique">'RESULTATS ANALYSES'!$D$1</definedName>
    <definedName name="traitement_thermique_collecte">'SAISIE QUANTITES QUALITE LAIT'!$H$1</definedName>
    <definedName name="Trio_Année_Mois_Producteur">'RESULTATS ANALYSES'!$AF$1</definedName>
    <definedName name="Type_de_lait">'SAISIE QUANTITES QUALITE LAIT'!$G$1</definedName>
    <definedName name="UR_mg_l">'RESULTATS ANALYSES'!$Q$1</definedName>
    <definedName name="Usine">'RESULTATS ANALYSES'!$V$1</definedName>
    <definedName name="valeur_variable">[1]avec_INDIRECT!$I$1</definedName>
    <definedName name="_xlnm.Print_Area" localSheetId="4">'FICHE PRODUCTEUR'!$A$1:$M$96</definedName>
    <definedName name="zone_tableau_1">'FICHE PRODUCTEUR'!$5:$19</definedName>
    <definedName name="zone_tableau_2">'FICHE PRODUCTEUR'!$21:$35</definedName>
    <definedName name="zone_tableau_3">'FICHE PRODUCTEUR'!$37:$51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Z5" i="18" l="1"/>
  <c r="AT2" i="18" s="1"/>
  <c r="AM5" i="18"/>
  <c r="N68" i="12"/>
  <c r="Z5" i="18"/>
  <c r="R2" i="18" s="1"/>
  <c r="A1" i="18"/>
  <c r="K2" i="18"/>
  <c r="D2" i="18"/>
  <c r="N55" i="12"/>
  <c r="N56" i="12"/>
  <c r="N54" i="12"/>
  <c r="AG2" i="18" l="1"/>
  <c r="B6" i="18"/>
  <c r="B7" i="18"/>
  <c r="B5" i="18"/>
  <c r="C5" i="10"/>
  <c r="D5" i="10"/>
  <c r="F5" i="10"/>
  <c r="G5" i="10"/>
  <c r="AD5" i="2"/>
  <c r="AE5" i="2" s="1"/>
  <c r="C4" i="10"/>
  <c r="D4" i="10"/>
  <c r="F4" i="10"/>
  <c r="G4" i="10"/>
  <c r="AD4" i="2"/>
  <c r="AE4" i="2" s="1"/>
  <c r="C3" i="10"/>
  <c r="D3" i="10"/>
  <c r="F3" i="10"/>
  <c r="G3" i="10"/>
  <c r="AD3" i="2"/>
  <c r="AE3" i="2" s="1"/>
  <c r="E7" i="3"/>
  <c r="F7" i="3" s="1"/>
  <c r="E6" i="3"/>
  <c r="F6" i="3" s="1"/>
  <c r="E5" i="3"/>
  <c r="F5" i="3" s="1"/>
  <c r="F4" i="1"/>
  <c r="E4" i="1"/>
  <c r="D4" i="1"/>
  <c r="M50" i="12"/>
  <c r="N50" i="12" s="1"/>
  <c r="K50" i="12" s="1"/>
  <c r="M49" i="12"/>
  <c r="N49" i="12" s="1"/>
  <c r="K49" i="12" s="1"/>
  <c r="M48" i="12"/>
  <c r="N48" i="12" s="1"/>
  <c r="K48" i="12" s="1"/>
  <c r="M47" i="12"/>
  <c r="N47" i="12" s="1"/>
  <c r="M46" i="12"/>
  <c r="N46" i="12" s="1"/>
  <c r="M45" i="12"/>
  <c r="N45" i="12" s="1"/>
  <c r="K45" i="12" s="1"/>
  <c r="M44" i="12"/>
  <c r="N44" i="12" s="1"/>
  <c r="K44" i="12" s="1"/>
  <c r="M43" i="12"/>
  <c r="N43" i="12" s="1"/>
  <c r="K43" i="12" s="1"/>
  <c r="M42" i="12"/>
  <c r="N42" i="12" s="1"/>
  <c r="K42" i="12" s="1"/>
  <c r="M41" i="12"/>
  <c r="N41" i="12" s="1"/>
  <c r="K41" i="12" s="1"/>
  <c r="M34" i="12"/>
  <c r="N34" i="12" s="1"/>
  <c r="K34" i="12" s="1"/>
  <c r="M33" i="12"/>
  <c r="N33" i="12" s="1"/>
  <c r="K33" i="12" s="1"/>
  <c r="M32" i="12"/>
  <c r="N32" i="12" s="1"/>
  <c r="K32" i="12" s="1"/>
  <c r="M31" i="12"/>
  <c r="N31" i="12" s="1"/>
  <c r="M30" i="12"/>
  <c r="N30" i="12" s="1"/>
  <c r="M29" i="12"/>
  <c r="N29" i="12" s="1"/>
  <c r="K29" i="12" s="1"/>
  <c r="M28" i="12"/>
  <c r="N28" i="12" s="1"/>
  <c r="K28" i="12" s="1"/>
  <c r="M27" i="12"/>
  <c r="N27" i="12" s="1"/>
  <c r="K27" i="12" s="1"/>
  <c r="M26" i="12"/>
  <c r="M25" i="12"/>
  <c r="B5" i="2" l="1"/>
  <c r="B4" i="2"/>
  <c r="A4" i="2" s="1"/>
  <c r="AH30" i="18"/>
  <c r="AM8" i="18" s="1"/>
  <c r="AU30" i="18"/>
  <c r="AH17" i="18"/>
  <c r="AU17" i="18"/>
  <c r="AH4" i="18"/>
  <c r="AU4" i="18"/>
  <c r="Z8" i="18"/>
  <c r="Z7" i="18"/>
  <c r="Z6" i="18"/>
  <c r="S30" i="18"/>
  <c r="S17" i="18"/>
  <c r="S4" i="18"/>
  <c r="G4" i="18"/>
  <c r="F4" i="18"/>
  <c r="E4" i="18"/>
  <c r="N4" i="18"/>
  <c r="M4" i="18"/>
  <c r="L4" i="18"/>
  <c r="B3" i="2"/>
  <c r="AF3" i="2" s="1"/>
  <c r="B5" i="10"/>
  <c r="X5" i="10" s="1"/>
  <c r="AA5" i="10" s="1"/>
  <c r="P5" i="10"/>
  <c r="B4" i="10"/>
  <c r="X4" i="10" s="1"/>
  <c r="Y4" i="10" s="1"/>
  <c r="B3" i="10"/>
  <c r="X3" i="10" s="1"/>
  <c r="P3" i="10"/>
  <c r="C4" i="1"/>
  <c r="G48" i="12"/>
  <c r="H48" i="12"/>
  <c r="D48" i="12"/>
  <c r="I45" i="12"/>
  <c r="F45" i="12"/>
  <c r="J45" i="12"/>
  <c r="L45" i="12" s="1"/>
  <c r="H44" i="12"/>
  <c r="G44" i="12"/>
  <c r="D44" i="12"/>
  <c r="G33" i="12"/>
  <c r="H33" i="12"/>
  <c r="F41" i="12"/>
  <c r="H41" i="12"/>
  <c r="B41" i="12"/>
  <c r="G41" i="12"/>
  <c r="N25" i="12"/>
  <c r="N26" i="12"/>
  <c r="J27" i="12"/>
  <c r="L27" i="12" s="1"/>
  <c r="E45" i="12"/>
  <c r="B45" i="12"/>
  <c r="H45" i="12"/>
  <c r="G45" i="12"/>
  <c r="D45" i="12"/>
  <c r="D41" i="12"/>
  <c r="I41" i="12"/>
  <c r="E41" i="12"/>
  <c r="J41" i="12"/>
  <c r="L41" i="12" s="1"/>
  <c r="I42" i="12"/>
  <c r="E42" i="12"/>
  <c r="H42" i="12"/>
  <c r="D42" i="12"/>
  <c r="G42" i="12"/>
  <c r="C42" i="12"/>
  <c r="J42" i="12"/>
  <c r="L42" i="12" s="1"/>
  <c r="F42" i="12"/>
  <c r="B42" i="12"/>
  <c r="C47" i="12"/>
  <c r="J43" i="12"/>
  <c r="L43" i="12" s="1"/>
  <c r="F43" i="12"/>
  <c r="B43" i="12"/>
  <c r="I43" i="12"/>
  <c r="E43" i="12"/>
  <c r="H43" i="12"/>
  <c r="D43" i="12"/>
  <c r="G43" i="12"/>
  <c r="C43" i="12"/>
  <c r="H49" i="12"/>
  <c r="D49" i="12"/>
  <c r="G49" i="12"/>
  <c r="C49" i="12"/>
  <c r="J49" i="12"/>
  <c r="L49" i="12" s="1"/>
  <c r="F49" i="12"/>
  <c r="B49" i="12"/>
  <c r="I49" i="12"/>
  <c r="E49" i="12"/>
  <c r="I46" i="12"/>
  <c r="C46" i="12"/>
  <c r="I50" i="12"/>
  <c r="E50" i="12"/>
  <c r="H50" i="12"/>
  <c r="D50" i="12"/>
  <c r="G50" i="12"/>
  <c r="C50" i="12"/>
  <c r="J50" i="12"/>
  <c r="L50" i="12" s="1"/>
  <c r="F50" i="12"/>
  <c r="B50" i="12"/>
  <c r="E44" i="12"/>
  <c r="I44" i="12"/>
  <c r="E48" i="12"/>
  <c r="I48" i="12"/>
  <c r="C41" i="12"/>
  <c r="B44" i="12"/>
  <c r="F44" i="12"/>
  <c r="J44" i="12"/>
  <c r="L44" i="12" s="1"/>
  <c r="C45" i="12"/>
  <c r="B48" i="12"/>
  <c r="F48" i="12"/>
  <c r="J48" i="12"/>
  <c r="L48" i="12" s="1"/>
  <c r="C44" i="12"/>
  <c r="C48" i="12"/>
  <c r="D33" i="12"/>
  <c r="J28" i="12"/>
  <c r="L28" i="12" s="1"/>
  <c r="F28" i="12"/>
  <c r="B28" i="12"/>
  <c r="I28" i="12"/>
  <c r="E28" i="12"/>
  <c r="H28" i="12"/>
  <c r="D28" i="12"/>
  <c r="G29" i="12"/>
  <c r="C29" i="12"/>
  <c r="J29" i="12"/>
  <c r="L29" i="12" s="1"/>
  <c r="F29" i="12"/>
  <c r="B29" i="12"/>
  <c r="I29" i="12"/>
  <c r="E29" i="12"/>
  <c r="H34" i="12"/>
  <c r="D34" i="12"/>
  <c r="G34" i="12"/>
  <c r="C34" i="12"/>
  <c r="J34" i="12"/>
  <c r="L34" i="12" s="1"/>
  <c r="F34" i="12"/>
  <c r="B34" i="12"/>
  <c r="I34" i="12"/>
  <c r="E34" i="12"/>
  <c r="I27" i="12"/>
  <c r="E27" i="12"/>
  <c r="H27" i="12"/>
  <c r="D27" i="12"/>
  <c r="G27" i="12"/>
  <c r="C27" i="12"/>
  <c r="D29" i="12"/>
  <c r="B27" i="12"/>
  <c r="C28" i="12"/>
  <c r="H29" i="12"/>
  <c r="F27" i="12"/>
  <c r="G28" i="12"/>
  <c r="J32" i="12"/>
  <c r="L32" i="12" s="1"/>
  <c r="F32" i="12"/>
  <c r="B32" i="12"/>
  <c r="I32" i="12"/>
  <c r="E32" i="12"/>
  <c r="H32" i="12"/>
  <c r="D32" i="12"/>
  <c r="G32" i="12"/>
  <c r="C32" i="12"/>
  <c r="E33" i="12"/>
  <c r="I33" i="12"/>
  <c r="B33" i="12"/>
  <c r="F33" i="12"/>
  <c r="J33" i="12"/>
  <c r="L33" i="12" s="1"/>
  <c r="C33" i="12"/>
  <c r="AD2" i="2"/>
  <c r="AF4" i="2" l="1"/>
  <c r="AZ7" i="18"/>
  <c r="AZ8" i="18"/>
  <c r="AZ6" i="18"/>
  <c r="AM7" i="18"/>
  <c r="AM6" i="18"/>
  <c r="B2" i="2"/>
  <c r="AE2" i="2"/>
  <c r="R3" i="10" s="1"/>
  <c r="AH3" i="10" s="1"/>
  <c r="A3" i="2"/>
  <c r="Y5" i="10"/>
  <c r="O5" i="10"/>
  <c r="A5" i="2"/>
  <c r="AF5" i="2"/>
  <c r="AA4" i="10"/>
  <c r="Y3" i="10"/>
  <c r="AA3" i="10"/>
  <c r="I26" i="12"/>
  <c r="K26" i="12"/>
  <c r="K25" i="12"/>
  <c r="J25" i="12"/>
  <c r="L25" i="12" s="1"/>
  <c r="G26" i="12"/>
  <c r="G25" i="12"/>
  <c r="E26" i="12"/>
  <c r="B26" i="12"/>
  <c r="D26" i="12"/>
  <c r="E25" i="12"/>
  <c r="F26" i="12"/>
  <c r="C26" i="12"/>
  <c r="F25" i="12"/>
  <c r="D25" i="12"/>
  <c r="J26" i="12"/>
  <c r="L26" i="12" s="1"/>
  <c r="H26" i="12"/>
  <c r="I25" i="12"/>
  <c r="C25" i="12"/>
  <c r="H25" i="12"/>
  <c r="B25" i="12"/>
  <c r="AH2" i="10"/>
  <c r="AG2" i="10"/>
  <c r="E12" i="18" l="1"/>
  <c r="R5" i="10"/>
  <c r="AH5" i="10" s="1"/>
  <c r="P4" i="10"/>
  <c r="F13" i="18"/>
  <c r="R4" i="10"/>
  <c r="AH4" i="10" s="1"/>
  <c r="I4" i="10"/>
  <c r="O3" i="10"/>
  <c r="T4" i="10"/>
  <c r="Q5" i="10"/>
  <c r="AG5" i="10" s="1"/>
  <c r="I3" i="10"/>
  <c r="M4" i="10"/>
  <c r="O4" i="10"/>
  <c r="T5" i="10"/>
  <c r="T3" i="10"/>
  <c r="K3" i="10"/>
  <c r="S4" i="10"/>
  <c r="K4" i="10"/>
  <c r="M12" i="18"/>
  <c r="F12" i="18"/>
  <c r="M10" i="18"/>
  <c r="E10" i="18"/>
  <c r="L8" i="18"/>
  <c r="G13" i="18"/>
  <c r="N8" i="18"/>
  <c r="L6" i="18"/>
  <c r="N11" i="18"/>
  <c r="G9" i="18"/>
  <c r="G11" i="18"/>
  <c r="F8" i="18"/>
  <c r="N6" i="18"/>
  <c r="M13" i="18"/>
  <c r="E5" i="18"/>
  <c r="F7" i="18"/>
  <c r="F5" i="18"/>
  <c r="M9" i="18"/>
  <c r="E8" i="18"/>
  <c r="L13" i="18"/>
  <c r="E11" i="18"/>
  <c r="N14" i="18"/>
  <c r="G6" i="18"/>
  <c r="N5" i="18"/>
  <c r="G5" i="18"/>
  <c r="E6" i="18"/>
  <c r="N13" i="18"/>
  <c r="G14" i="18"/>
  <c r="M5" i="18"/>
  <c r="E14" i="18"/>
  <c r="F10" i="18"/>
  <c r="M6" i="18"/>
  <c r="F6" i="18"/>
  <c r="N12" i="18"/>
  <c r="L5" i="18"/>
  <c r="L11" i="18"/>
  <c r="G8" i="18"/>
  <c r="L12" i="18"/>
  <c r="E7" i="18"/>
  <c r="M8" i="18"/>
  <c r="G7" i="18"/>
  <c r="M11" i="18"/>
  <c r="E13" i="18"/>
  <c r="M14" i="18"/>
  <c r="M7" i="18"/>
  <c r="F14" i="18"/>
  <c r="F9" i="18"/>
  <c r="N10" i="18"/>
  <c r="G12" i="18"/>
  <c r="N9" i="18"/>
  <c r="L7" i="18"/>
  <c r="G10" i="18"/>
  <c r="L14" i="18"/>
  <c r="N7" i="18"/>
  <c r="L10" i="18"/>
  <c r="E9" i="18"/>
  <c r="F11" i="18"/>
  <c r="L9" i="18"/>
  <c r="B46" i="12"/>
  <c r="D47" i="12"/>
  <c r="I5" i="10"/>
  <c r="M3" i="10"/>
  <c r="S3" i="10"/>
  <c r="Q3" i="10"/>
  <c r="AG3" i="10" s="1"/>
  <c r="Q4" i="10"/>
  <c r="AG4" i="10" s="1"/>
  <c r="M5" i="10"/>
  <c r="K5" i="10"/>
  <c r="S5" i="10"/>
  <c r="F46" i="12"/>
  <c r="E46" i="12"/>
  <c r="E31" i="12"/>
  <c r="B31" i="12"/>
  <c r="C31" i="12"/>
  <c r="C30" i="12"/>
  <c r="B30" i="12"/>
  <c r="I3" i="2"/>
  <c r="N3" i="10"/>
  <c r="L5" i="10"/>
  <c r="G5" i="2"/>
  <c r="K3" i="2"/>
  <c r="I5" i="2"/>
  <c r="I4" i="2"/>
  <c r="G2" i="2"/>
  <c r="L3" i="10"/>
  <c r="J4" i="10"/>
  <c r="G3" i="2"/>
  <c r="K2" i="2"/>
  <c r="J3" i="10"/>
  <c r="N4" i="10"/>
  <c r="J5" i="10"/>
  <c r="N5" i="10"/>
  <c r="G4" i="2"/>
  <c r="I2" i="2"/>
  <c r="L4" i="10"/>
  <c r="K4" i="2"/>
  <c r="K5" i="2"/>
  <c r="X39" i="18" l="1"/>
  <c r="W39" i="18" s="1"/>
  <c r="X26" i="18"/>
  <c r="W26" i="18" s="1"/>
  <c r="X37" i="18"/>
  <c r="W37" i="18" s="1"/>
  <c r="X21" i="18"/>
  <c r="W21" i="18" s="1"/>
  <c r="X36" i="18"/>
  <c r="W36" i="18" s="1"/>
  <c r="X23" i="18"/>
  <c r="W23" i="18" s="1"/>
  <c r="X33" i="18"/>
  <c r="W33" i="18" s="1"/>
  <c r="X8" i="18"/>
  <c r="S8" i="18" s="1"/>
  <c r="X40" i="18"/>
  <c r="W40" i="18" s="1"/>
  <c r="X7" i="18"/>
  <c r="S7" i="18" s="1"/>
  <c r="X34" i="18"/>
  <c r="W34" i="18" s="1"/>
  <c r="X11" i="18"/>
  <c r="S11" i="18" s="1"/>
  <c r="X35" i="18"/>
  <c r="U35" i="18" s="1"/>
  <c r="X15" i="18"/>
  <c r="S15" i="18" s="1"/>
  <c r="X25" i="18"/>
  <c r="W25" i="18" s="1"/>
  <c r="X10" i="18"/>
  <c r="S10" i="18" s="1"/>
  <c r="X38" i="18"/>
  <c r="W38" i="18" s="1"/>
  <c r="X12" i="18"/>
  <c r="S12" i="18" s="1"/>
  <c r="X32" i="18"/>
  <c r="W32" i="18" s="1"/>
  <c r="X9" i="18"/>
  <c r="S9" i="18" s="1"/>
  <c r="X20" i="18"/>
  <c r="W20" i="18" s="1"/>
  <c r="X13" i="18"/>
  <c r="S13" i="18" s="1"/>
  <c r="X28" i="18"/>
  <c r="U28" i="18" s="1"/>
  <c r="X14" i="18"/>
  <c r="S14" i="18" s="1"/>
  <c r="X41" i="18"/>
  <c r="W41" i="18" s="1"/>
  <c r="X24" i="18"/>
  <c r="W24" i="18" s="1"/>
  <c r="X19" i="18"/>
  <c r="W19" i="18" s="1"/>
  <c r="X22" i="18"/>
  <c r="W22" i="18" s="1"/>
  <c r="X6" i="18"/>
  <c r="S6" i="18" s="1"/>
  <c r="X27" i="18"/>
  <c r="W27" i="18" s="1"/>
  <c r="AK22" i="18"/>
  <c r="AW22" i="18" s="1"/>
  <c r="AK10" i="18"/>
  <c r="AW10" i="18" s="1"/>
  <c r="AK21" i="18"/>
  <c r="AW21" i="18" s="1"/>
  <c r="AK39" i="18"/>
  <c r="AW39" i="18" s="1"/>
  <c r="AK27" i="18"/>
  <c r="AW27" i="18" s="1"/>
  <c r="AK35" i="18"/>
  <c r="AW35" i="18" s="1"/>
  <c r="AK26" i="18"/>
  <c r="AW26" i="18" s="1"/>
  <c r="AK20" i="18"/>
  <c r="AW20" i="18" s="1"/>
  <c r="AK34" i="18"/>
  <c r="AW34" i="18" s="1"/>
  <c r="AK23" i="18"/>
  <c r="AW23" i="18" s="1"/>
  <c r="AK41" i="18"/>
  <c r="AW41" i="18" s="1"/>
  <c r="AK12" i="18"/>
  <c r="AW12" i="18" s="1"/>
  <c r="AK37" i="18"/>
  <c r="AW37" i="18" s="1"/>
  <c r="AK7" i="18"/>
  <c r="AW7" i="18" s="1"/>
  <c r="AK38" i="18"/>
  <c r="AW38" i="18" s="1"/>
  <c r="AK28" i="18"/>
  <c r="AW28" i="18" s="1"/>
  <c r="AK40" i="18"/>
  <c r="AW40" i="18" s="1"/>
  <c r="AK14" i="18"/>
  <c r="AW14" i="18" s="1"/>
  <c r="AK36" i="18"/>
  <c r="AW36" i="18" s="1"/>
  <c r="AK13" i="18"/>
  <c r="AW13" i="18" s="1"/>
  <c r="AK32" i="18"/>
  <c r="AW32" i="18" s="1"/>
  <c r="AK15" i="18"/>
  <c r="AW15" i="18" s="1"/>
  <c r="AK8" i="18"/>
  <c r="AW8" i="18" s="1"/>
  <c r="AK11" i="18"/>
  <c r="AW11" i="18" s="1"/>
  <c r="AK19" i="18"/>
  <c r="AW19" i="18" s="1"/>
  <c r="AK24" i="18"/>
  <c r="AW24" i="18" s="1"/>
  <c r="AK25" i="18"/>
  <c r="AW25" i="18" s="1"/>
  <c r="AK9" i="18"/>
  <c r="AW9" i="18" s="1"/>
  <c r="AK6" i="18"/>
  <c r="AW6" i="18" s="1"/>
  <c r="AK33" i="18"/>
  <c r="AW33" i="18" s="1"/>
  <c r="AX28" i="18"/>
  <c r="AU28" i="18" s="1"/>
  <c r="AX36" i="18"/>
  <c r="AU36" i="18" s="1"/>
  <c r="AX27" i="18"/>
  <c r="AU27" i="18" s="1"/>
  <c r="AX35" i="18"/>
  <c r="AV35" i="18" s="1"/>
  <c r="AX22" i="18"/>
  <c r="AU22" i="18" s="1"/>
  <c r="AX11" i="18"/>
  <c r="AU11" i="18" s="1"/>
  <c r="AX41" i="18"/>
  <c r="AU41" i="18" s="1"/>
  <c r="AX10" i="18"/>
  <c r="AV10" i="18" s="1"/>
  <c r="AX24" i="18"/>
  <c r="AU24" i="18" s="1"/>
  <c r="AX32" i="18"/>
  <c r="AU32" i="18" s="1"/>
  <c r="AX23" i="18"/>
  <c r="AU23" i="18" s="1"/>
  <c r="AX12" i="18"/>
  <c r="AU12" i="18" s="1"/>
  <c r="AX38" i="18"/>
  <c r="AV38" i="18" s="1"/>
  <c r="AX7" i="18"/>
  <c r="AU7" i="18" s="1"/>
  <c r="AX37" i="18"/>
  <c r="AU37" i="18" s="1"/>
  <c r="AX6" i="18"/>
  <c r="AV6" i="18" s="1"/>
  <c r="AX20" i="18"/>
  <c r="AU20" i="18" s="1"/>
  <c r="AX13" i="18"/>
  <c r="AV13" i="18" s="1"/>
  <c r="AX19" i="18"/>
  <c r="AU19" i="18" s="1"/>
  <c r="AX8" i="18"/>
  <c r="AU8" i="18" s="1"/>
  <c r="AX34" i="18"/>
  <c r="AU34" i="18" s="1"/>
  <c r="AX25" i="18"/>
  <c r="AU25" i="18" s="1"/>
  <c r="AX33" i="18"/>
  <c r="AU33" i="18" s="1"/>
  <c r="AX40" i="18"/>
  <c r="AU40" i="18" s="1"/>
  <c r="AX15" i="18"/>
  <c r="AU15" i="18" s="1"/>
  <c r="AX9" i="18"/>
  <c r="AV9" i="18" s="1"/>
  <c r="AX21" i="18"/>
  <c r="AV21" i="18" s="1"/>
  <c r="AX26" i="18"/>
  <c r="AU26" i="18" s="1"/>
  <c r="AX39" i="18"/>
  <c r="AU39" i="18" s="1"/>
  <c r="AX14" i="18"/>
  <c r="AV14" i="18" s="1"/>
  <c r="D31" i="12"/>
  <c r="F31" i="12"/>
  <c r="F47" i="12"/>
  <c r="F30" i="12"/>
  <c r="B47" i="12"/>
  <c r="E47" i="12"/>
  <c r="D46" i="12"/>
  <c r="D30" i="12"/>
  <c r="E30" i="12"/>
  <c r="U14" i="18" l="1"/>
  <c r="V8" i="18"/>
  <c r="V10" i="18"/>
  <c r="S21" i="18"/>
  <c r="U9" i="18"/>
  <c r="W9" i="18"/>
  <c r="V22" i="18"/>
  <c r="AH10" i="18"/>
  <c r="T10" i="18"/>
  <c r="W14" i="18"/>
  <c r="W8" i="18"/>
  <c r="AU10" i="18"/>
  <c r="AV28" i="18"/>
  <c r="T11" i="18"/>
  <c r="T22" i="18"/>
  <c r="T14" i="18"/>
  <c r="U8" i="18"/>
  <c r="V21" i="18"/>
  <c r="W10" i="18"/>
  <c r="U10" i="18"/>
  <c r="V14" i="18"/>
  <c r="W11" i="18"/>
  <c r="T9" i="18"/>
  <c r="T8" i="18"/>
  <c r="AH32" i="18"/>
  <c r="AI32" i="18"/>
  <c r="AJ22" i="18"/>
  <c r="AH22" i="18"/>
  <c r="AH37" i="18"/>
  <c r="AI34" i="18"/>
  <c r="AJ34" i="18"/>
  <c r="AH19" i="18"/>
  <c r="AH34" i="18"/>
  <c r="AJ40" i="18"/>
  <c r="AI37" i="18"/>
  <c r="AI27" i="18"/>
  <c r="AV20" i="18"/>
  <c r="AV39" i="18"/>
  <c r="AV22" i="18"/>
  <c r="AH40" i="18"/>
  <c r="AI40" i="18"/>
  <c r="AH6" i="18"/>
  <c r="AJ6" i="18"/>
  <c r="AH27" i="18"/>
  <c r="AI22" i="18"/>
  <c r="AV15" i="18"/>
  <c r="AJ36" i="18"/>
  <c r="AV34" i="18"/>
  <c r="AJ37" i="18"/>
  <c r="AU38" i="18"/>
  <c r="V9" i="18"/>
  <c r="AJ32" i="18"/>
  <c r="S22" i="18"/>
  <c r="U22" i="18"/>
  <c r="AJ19" i="18"/>
  <c r="AV24" i="18"/>
  <c r="U21" i="18"/>
  <c r="T21" i="18"/>
  <c r="V11" i="18"/>
  <c r="U11" i="18"/>
  <c r="AJ27" i="18"/>
  <c r="AH25" i="18"/>
  <c r="AI25" i="18"/>
  <c r="V35" i="18"/>
  <c r="AJ35" i="18"/>
  <c r="AI6" i="18"/>
  <c r="AI19" i="18"/>
  <c r="T38" i="18"/>
  <c r="AA6" i="18"/>
  <c r="T20" i="18"/>
  <c r="U41" i="18"/>
  <c r="AH21" i="18"/>
  <c r="V26" i="18"/>
  <c r="T40" i="18"/>
  <c r="AI38" i="18"/>
  <c r="AH24" i="18"/>
  <c r="AJ24" i="18"/>
  <c r="S41" i="18"/>
  <c r="V41" i="18"/>
  <c r="AV32" i="18"/>
  <c r="AI23" i="18"/>
  <c r="S36" i="18"/>
  <c r="U37" i="18"/>
  <c r="BC8" i="18"/>
  <c r="AI14" i="18"/>
  <c r="AH23" i="18"/>
  <c r="AJ14" i="18"/>
  <c r="T41" i="18"/>
  <c r="AJ33" i="18"/>
  <c r="AI35" i="18"/>
  <c r="AV36" i="18"/>
  <c r="V38" i="18"/>
  <c r="S38" i="18"/>
  <c r="T6" i="18"/>
  <c r="U39" i="18"/>
  <c r="T35" i="18"/>
  <c r="AH35" i="18"/>
  <c r="AH7" i="18"/>
  <c r="AV7" i="18"/>
  <c r="U38" i="18"/>
  <c r="S20" i="18"/>
  <c r="V6" i="18"/>
  <c r="AU14" i="18"/>
  <c r="W35" i="18"/>
  <c r="AE8" i="18" s="1"/>
  <c r="AI10" i="18"/>
  <c r="V39" i="18"/>
  <c r="BC6" i="18"/>
  <c r="AJ23" i="18"/>
  <c r="S35" i="18"/>
  <c r="AI15" i="18"/>
  <c r="AU13" i="18"/>
  <c r="AH15" i="18"/>
  <c r="AU9" i="18"/>
  <c r="BA6" i="18" s="1"/>
  <c r="AI24" i="18"/>
  <c r="AH14" i="18"/>
  <c r="U36" i="18"/>
  <c r="U40" i="18"/>
  <c r="V40" i="18"/>
  <c r="AJ10" i="18"/>
  <c r="AV11" i="18"/>
  <c r="S39" i="18"/>
  <c r="BC7" i="18"/>
  <c r="AJ15" i="18"/>
  <c r="U20" i="18"/>
  <c r="AJ7" i="18"/>
  <c r="V20" i="18"/>
  <c r="AI33" i="18"/>
  <c r="W6" i="18"/>
  <c r="U6" i="18"/>
  <c r="AH33" i="18"/>
  <c r="AI7" i="18"/>
  <c r="V36" i="18"/>
  <c r="T39" i="18"/>
  <c r="T36" i="18"/>
  <c r="S40" i="18"/>
  <c r="V15" i="18"/>
  <c r="AJ13" i="18"/>
  <c r="T27" i="18"/>
  <c r="U13" i="18"/>
  <c r="U12" i="18"/>
  <c r="V12" i="18"/>
  <c r="AV23" i="18"/>
  <c r="AJ12" i="18"/>
  <c r="U7" i="18"/>
  <c r="AH41" i="18"/>
  <c r="AI36" i="18"/>
  <c r="AJ25" i="18"/>
  <c r="T7" i="18"/>
  <c r="AU35" i="18"/>
  <c r="T12" i="18"/>
  <c r="W7" i="18"/>
  <c r="AH13" i="18"/>
  <c r="U24" i="18"/>
  <c r="V13" i="18"/>
  <c r="AH8" i="18"/>
  <c r="AV40" i="18"/>
  <c r="AJ41" i="18"/>
  <c r="T13" i="18"/>
  <c r="AV27" i="18"/>
  <c r="AH26" i="18"/>
  <c r="T23" i="18"/>
  <c r="AV12" i="18"/>
  <c r="S34" i="18"/>
  <c r="AV33" i="18"/>
  <c r="T24" i="18"/>
  <c r="S27" i="18"/>
  <c r="S19" i="18"/>
  <c r="AV37" i="18"/>
  <c r="AV41" i="18"/>
  <c r="AI12" i="18"/>
  <c r="T32" i="18"/>
  <c r="T19" i="18"/>
  <c r="AV26" i="18"/>
  <c r="AI28" i="18"/>
  <c r="AU6" i="18"/>
  <c r="AJ38" i="18"/>
  <c r="AH28" i="18"/>
  <c r="W28" i="18"/>
  <c r="AE7" i="18" s="1"/>
  <c r="T25" i="18"/>
  <c r="AH36" i="18"/>
  <c r="T28" i="18"/>
  <c r="AH9" i="18"/>
  <c r="AH11" i="18"/>
  <c r="U27" i="18"/>
  <c r="V24" i="18"/>
  <c r="AJ8" i="18"/>
  <c r="U23" i="18"/>
  <c r="U26" i="18"/>
  <c r="AI26" i="18"/>
  <c r="T26" i="18"/>
  <c r="U33" i="18"/>
  <c r="S33" i="18"/>
  <c r="AI21" i="18"/>
  <c r="AI20" i="18"/>
  <c r="AJ9" i="18"/>
  <c r="V37" i="18"/>
  <c r="AJ20" i="18"/>
  <c r="AH20" i="18"/>
  <c r="AV19" i="18"/>
  <c r="V28" i="18"/>
  <c r="W15" i="18"/>
  <c r="U15" i="18"/>
  <c r="T15" i="18"/>
  <c r="AJ28" i="18"/>
  <c r="U32" i="18"/>
  <c r="AI8" i="18"/>
  <c r="AH38" i="18"/>
  <c r="AI9" i="18"/>
  <c r="S24" i="18"/>
  <c r="W12" i="18"/>
  <c r="V27" i="18"/>
  <c r="AU21" i="18"/>
  <c r="BA7" i="18" s="1"/>
  <c r="W13" i="18"/>
  <c r="T37" i="18"/>
  <c r="S26" i="18"/>
  <c r="V7" i="18"/>
  <c r="V32" i="18"/>
  <c r="AI39" i="18"/>
  <c r="T33" i="18"/>
  <c r="V33" i="18"/>
  <c r="AJ21" i="18"/>
  <c r="V23" i="18"/>
  <c r="AI41" i="18"/>
  <c r="AO8" i="18" s="1"/>
  <c r="S37" i="18"/>
  <c r="AJ26" i="18"/>
  <c r="S23" i="18"/>
  <c r="S32" i="18"/>
  <c r="S28" i="18"/>
  <c r="AV25" i="18"/>
  <c r="AH12" i="18"/>
  <c r="AI13" i="18"/>
  <c r="V34" i="18"/>
  <c r="V25" i="18"/>
  <c r="U19" i="18"/>
  <c r="AI11" i="18"/>
  <c r="V19" i="18"/>
  <c r="AJ11" i="18"/>
  <c r="AV8" i="18"/>
  <c r="U25" i="18"/>
  <c r="S25" i="18"/>
  <c r="AJ39" i="18"/>
  <c r="U34" i="18"/>
  <c r="T34" i="18"/>
  <c r="AH39" i="18"/>
  <c r="BA8" i="18"/>
  <c r="K30" i="12"/>
  <c r="J46" i="12"/>
  <c r="G16" i="6"/>
  <c r="F15" i="6"/>
  <c r="G15" i="6"/>
  <c r="F16" i="6"/>
  <c r="F17" i="6"/>
  <c r="G17" i="6"/>
  <c r="F25" i="6"/>
  <c r="G25" i="6"/>
  <c r="F26" i="6"/>
  <c r="G26" i="6"/>
  <c r="F27" i="6"/>
  <c r="G27" i="6"/>
  <c r="F28" i="6"/>
  <c r="G28" i="6"/>
  <c r="F29" i="6"/>
  <c r="G29" i="6"/>
  <c r="F20" i="6"/>
  <c r="F21" i="6"/>
  <c r="F22" i="6"/>
  <c r="G20" i="6"/>
  <c r="G21" i="6"/>
  <c r="G22" i="6"/>
  <c r="M18" i="12"/>
  <c r="N18" i="12" s="1"/>
  <c r="K18" i="12" s="1"/>
  <c r="M10" i="12"/>
  <c r="N10" i="12" s="1"/>
  <c r="M11" i="12"/>
  <c r="N11" i="12" s="1"/>
  <c r="M12" i="12"/>
  <c r="N12" i="12" s="1"/>
  <c r="M13" i="12"/>
  <c r="N13" i="12" s="1"/>
  <c r="M14" i="12"/>
  <c r="N14" i="12" s="1"/>
  <c r="M15" i="12"/>
  <c r="N15" i="12" s="1"/>
  <c r="M16" i="12"/>
  <c r="N16" i="12" s="1"/>
  <c r="K16" i="12" s="1"/>
  <c r="M17" i="12"/>
  <c r="N17" i="12" s="1"/>
  <c r="K17" i="12" s="1"/>
  <c r="M9" i="12"/>
  <c r="N9" i="12" s="1"/>
  <c r="U10" i="6"/>
  <c r="U9" i="6"/>
  <c r="U8" i="6"/>
  <c r="U7" i="6"/>
  <c r="U6" i="6"/>
  <c r="U5" i="6"/>
  <c r="U4" i="6"/>
  <c r="U3" i="6"/>
  <c r="AP8" i="18" l="1"/>
  <c r="AE6" i="18"/>
  <c r="AN7" i="18"/>
  <c r="AC6" i="18"/>
  <c r="AN8" i="18"/>
  <c r="AB6" i="18"/>
  <c r="AO7" i="18"/>
  <c r="AD7" i="18"/>
  <c r="AA8" i="18"/>
  <c r="BB7" i="18"/>
  <c r="AD8" i="18"/>
  <c r="AD6" i="18"/>
  <c r="AC7" i="18"/>
  <c r="AB8" i="18"/>
  <c r="BB8" i="18"/>
  <c r="AC8" i="18"/>
  <c r="AP7" i="18"/>
  <c r="BB6" i="18"/>
  <c r="AP6" i="18"/>
  <c r="AB7" i="18"/>
  <c r="AA7" i="18"/>
  <c r="AO6" i="18"/>
  <c r="AN6" i="18"/>
  <c r="K31" i="12"/>
  <c r="K47" i="12"/>
  <c r="J47" i="12"/>
  <c r="K9" i="12"/>
  <c r="K10" i="12"/>
  <c r="K13" i="12"/>
  <c r="K12" i="12"/>
  <c r="K11" i="12"/>
  <c r="L46" i="12"/>
  <c r="G46" i="12"/>
  <c r="H9" i="12"/>
  <c r="H10" i="12"/>
  <c r="H11" i="12"/>
  <c r="G11" i="12"/>
  <c r="I11" i="12"/>
  <c r="J11" i="12"/>
  <c r="L11" i="12" s="1"/>
  <c r="F11" i="12"/>
  <c r="D11" i="12"/>
  <c r="J9" i="12"/>
  <c r="L9" i="12" s="1"/>
  <c r="F9" i="12"/>
  <c r="I9" i="12"/>
  <c r="G9" i="12"/>
  <c r="E9" i="12"/>
  <c r="D9" i="12"/>
  <c r="J10" i="12"/>
  <c r="L10" i="12" s="1"/>
  <c r="F10" i="12"/>
  <c r="G10" i="12"/>
  <c r="I10" i="12"/>
  <c r="E10" i="12"/>
  <c r="D10" i="12"/>
  <c r="C9" i="12"/>
  <c r="B9" i="12"/>
  <c r="B10" i="12"/>
  <c r="C10" i="12"/>
  <c r="C11" i="12"/>
  <c r="B11" i="12"/>
  <c r="V2" i="10"/>
  <c r="U2" i="10"/>
  <c r="AA2" i="10"/>
  <c r="Y2" i="10"/>
  <c r="X2" i="10"/>
  <c r="L47" i="12" l="1"/>
  <c r="J51" i="12"/>
  <c r="E13" i="12"/>
  <c r="J12" i="12"/>
  <c r="L12" i="12" s="1"/>
  <c r="E12" i="12"/>
  <c r="C12" i="12"/>
  <c r="D12" i="12"/>
  <c r="F12" i="12"/>
  <c r="H12" i="12"/>
  <c r="I12" i="12"/>
  <c r="G12" i="12"/>
  <c r="B12" i="12"/>
  <c r="G13" i="12"/>
  <c r="C13" i="12"/>
  <c r="E11" i="12"/>
  <c r="D13" i="12"/>
  <c r="H13" i="12"/>
  <c r="B13" i="12"/>
  <c r="I13" i="12"/>
  <c r="J13" i="12"/>
  <c r="L13" i="12" s="1"/>
  <c r="F13" i="12"/>
  <c r="E3" i="3"/>
  <c r="F3" i="3" s="1"/>
  <c r="E4" i="3"/>
  <c r="F4" i="3" s="1"/>
  <c r="E2" i="3"/>
  <c r="F2" i="3" s="1"/>
  <c r="T2" i="10"/>
  <c r="S2" i="10"/>
  <c r="R2" i="10"/>
  <c r="Q2" i="10"/>
  <c r="P2" i="10"/>
  <c r="O2" i="10"/>
  <c r="I2" i="10"/>
  <c r="J2" i="10" s="1"/>
  <c r="K2" i="10"/>
  <c r="L2" i="10" s="1"/>
  <c r="AC2" i="10" s="1"/>
  <c r="M2" i="10"/>
  <c r="N2" i="10" s="1"/>
  <c r="AD2" i="10" s="1"/>
  <c r="E21" i="12" l="1"/>
  <c r="E37" i="12"/>
  <c r="E5" i="12"/>
  <c r="H16" i="12"/>
  <c r="C14" i="12"/>
  <c r="B14" i="12"/>
  <c r="J16" i="12"/>
  <c r="L16" i="12" s="1"/>
  <c r="B16" i="12"/>
  <c r="D16" i="12"/>
  <c r="F16" i="12"/>
  <c r="C16" i="12"/>
  <c r="E16" i="12"/>
  <c r="E15" i="12"/>
  <c r="F15" i="12"/>
  <c r="B15" i="12"/>
  <c r="D15" i="12"/>
  <c r="C15" i="12"/>
  <c r="AE2" i="10"/>
  <c r="W2" i="10" s="1"/>
  <c r="D3" i="1"/>
  <c r="E3" i="1"/>
  <c r="I16" i="12" l="1"/>
  <c r="G16" i="12"/>
  <c r="E17" i="12"/>
  <c r="J17" i="12"/>
  <c r="L17" i="12" s="1"/>
  <c r="G17" i="12"/>
  <c r="H17" i="12"/>
  <c r="C17" i="12"/>
  <c r="D17" i="12"/>
  <c r="I17" i="12"/>
  <c r="B17" i="12"/>
  <c r="F17" i="12"/>
  <c r="G18" i="12"/>
  <c r="J18" i="12"/>
  <c r="L18" i="12" s="1"/>
  <c r="C18" i="12"/>
  <c r="H18" i="12"/>
  <c r="E18" i="12"/>
  <c r="D18" i="12"/>
  <c r="B18" i="12"/>
  <c r="F18" i="12"/>
  <c r="I18" i="12"/>
  <c r="C3" i="1"/>
  <c r="G2" i="10"/>
  <c r="F2" i="10"/>
  <c r="E2" i="10"/>
  <c r="D2" i="10"/>
  <c r="AF2" i="2" l="1"/>
  <c r="C2" i="10"/>
  <c r="B2" i="10" s="1"/>
  <c r="A2" i="2" l="1"/>
  <c r="E2" i="1"/>
  <c r="D2" i="1"/>
  <c r="H3" i="10" l="1"/>
  <c r="H5" i="10"/>
  <c r="H4" i="10"/>
  <c r="I31" i="12"/>
  <c r="I30" i="12"/>
  <c r="F14" i="12"/>
  <c r="E14" i="12"/>
  <c r="D14" i="12"/>
  <c r="C2" i="1"/>
  <c r="H2" i="10"/>
  <c r="AC5" i="10" l="1"/>
  <c r="AE5" i="10"/>
  <c r="AD5" i="10"/>
  <c r="AC3" i="10"/>
  <c r="AD3" i="10"/>
  <c r="AE3" i="10"/>
  <c r="AD4" i="10"/>
  <c r="AC4" i="10"/>
  <c r="AE4" i="10"/>
  <c r="I47" i="12"/>
  <c r="I14" i="12"/>
  <c r="I15" i="12"/>
  <c r="Z2" i="10"/>
  <c r="AB2" i="10"/>
  <c r="V3" i="10" l="1"/>
  <c r="AB3" i="10" s="1"/>
  <c r="V4" i="10"/>
  <c r="AB4" i="10" s="1"/>
  <c r="U5" i="10"/>
  <c r="Z5" i="10" s="1"/>
  <c r="H47" i="12"/>
  <c r="G47" i="12"/>
  <c r="U3" i="10"/>
  <c r="Z3" i="10" s="1"/>
  <c r="U4" i="10"/>
  <c r="Z4" i="10" s="1"/>
  <c r="V5" i="10"/>
  <c r="H31" i="12"/>
  <c r="W4" i="10" l="1"/>
  <c r="W3" i="10"/>
  <c r="K46" i="12"/>
  <c r="H46" i="12"/>
  <c r="AB5" i="10"/>
  <c r="H15" i="12" s="1"/>
  <c r="W5" i="10"/>
  <c r="G31" i="12"/>
  <c r="J31" i="12"/>
  <c r="L31" i="12" s="1"/>
  <c r="G30" i="12"/>
  <c r="J30" i="12"/>
  <c r="K15" i="12"/>
  <c r="K14" i="12"/>
  <c r="J14" i="12"/>
  <c r="G15" i="12"/>
  <c r="J15" i="12"/>
  <c r="H14" i="12"/>
  <c r="H30" i="12"/>
  <c r="G14" i="12"/>
  <c r="J19" i="12" l="1"/>
  <c r="L14" i="12"/>
  <c r="J35" i="12"/>
  <c r="L30" i="12"/>
  <c r="L15" i="12"/>
</calcChain>
</file>

<file path=xl/sharedStrings.xml><?xml version="1.0" encoding="utf-8"?>
<sst xmlns="http://schemas.openxmlformats.org/spreadsheetml/2006/main" count="508" uniqueCount="181">
  <si>
    <t>Année</t>
  </si>
  <si>
    <t>Mois</t>
  </si>
  <si>
    <t>Litrage</t>
  </si>
  <si>
    <t>Type de lait</t>
  </si>
  <si>
    <t>NOM EXPLOITATION</t>
  </si>
  <si>
    <t>NOM DE LA MAISON</t>
  </si>
  <si>
    <t>NOM PRODUCTEUR</t>
  </si>
  <si>
    <t>DAVANT</t>
  </si>
  <si>
    <t>ETCHECOPAR PIERRE</t>
  </si>
  <si>
    <t>JARAGOYHEN FABRICE</t>
  </si>
  <si>
    <t>HARISPURU</t>
  </si>
  <si>
    <t>ETCHEBEST</t>
  </si>
  <si>
    <t>PEIO OILLARBURU</t>
  </si>
  <si>
    <t>IRIGOYEN</t>
  </si>
  <si>
    <t>ETCHANDY GABY</t>
  </si>
  <si>
    <t>SCEA ETXART</t>
  </si>
  <si>
    <t>ANSOLABEHERE</t>
  </si>
  <si>
    <t>HAICAGUERRE</t>
  </si>
  <si>
    <t>FRACHOU</t>
  </si>
  <si>
    <t>SCEA LARRONDOA</t>
  </si>
  <si>
    <t>EARL LARRANDABERRIA</t>
  </si>
  <si>
    <t>EARL PASKOTEIA</t>
  </si>
  <si>
    <t>GAEC BIOLAGILE</t>
  </si>
  <si>
    <t>LABY JACQUES</t>
  </si>
  <si>
    <t>DUTREY</t>
  </si>
  <si>
    <t>EARL ARBELAINIA</t>
  </si>
  <si>
    <t>LAUTRE JEAN-PAUL</t>
  </si>
  <si>
    <t>GAEC IRULEIA</t>
  </si>
  <si>
    <t>MAITIA JEAN-BERNARD</t>
  </si>
  <si>
    <t>CASTAING MICHEL</t>
  </si>
  <si>
    <t>GAEC HUNTTO</t>
  </si>
  <si>
    <t>GAEC ELGARREKIN</t>
  </si>
  <si>
    <t>ETCHEVERRY XAVIER</t>
  </si>
  <si>
    <t>RAMUNTXO URRUTIA</t>
  </si>
  <si>
    <t>ETCHEVERRY</t>
  </si>
  <si>
    <t>EARL XERRIEKIN</t>
  </si>
  <si>
    <t>GAEC HAIZELEKU</t>
  </si>
  <si>
    <t>IRIARTE</t>
  </si>
  <si>
    <t>EMATEGUY CHRISTOPHE</t>
  </si>
  <si>
    <t>SUSPEREGUY DANIEL</t>
  </si>
  <si>
    <t>EARL TREFOILIA</t>
  </si>
  <si>
    <t>Usine</t>
  </si>
  <si>
    <t>Producteur</t>
  </si>
  <si>
    <t>BIO</t>
  </si>
  <si>
    <t>QUALITE DU LAIT</t>
  </si>
  <si>
    <t>Date de collecte</t>
  </si>
  <si>
    <t>Période</t>
  </si>
  <si>
    <t>Routage</t>
  </si>
  <si>
    <t>Code EDE</t>
  </si>
  <si>
    <t>Matricule laiterie</t>
  </si>
  <si>
    <t>Tournée</t>
  </si>
  <si>
    <t>Tour</t>
  </si>
  <si>
    <t>Date de référence</t>
  </si>
  <si>
    <t>Portoir</t>
  </si>
  <si>
    <t>Position portoir</t>
  </si>
  <si>
    <t>BU spores/l</t>
  </si>
  <si>
    <t>CE cellules/ml</t>
  </si>
  <si>
    <t>CO ufc/ml</t>
  </si>
  <si>
    <t>CR Degre celcius</t>
  </si>
  <si>
    <t xml:space="preserve">IN </t>
  </si>
  <si>
    <t>MG g/l</t>
  </si>
  <si>
    <t>MP g/l</t>
  </si>
  <si>
    <t>NU ufc/ml</t>
  </si>
  <si>
    <t>UR mg/l</t>
  </si>
  <si>
    <t>Référence</t>
  </si>
  <si>
    <t>Date collecte</t>
  </si>
  <si>
    <t>BU</t>
  </si>
  <si>
    <t>CE</t>
  </si>
  <si>
    <t>CO</t>
  </si>
  <si>
    <t>CR</t>
  </si>
  <si>
    <t>IN</t>
  </si>
  <si>
    <t>MG</t>
  </si>
  <si>
    <t>MP</t>
  </si>
  <si>
    <t>NU</t>
  </si>
  <si>
    <t>UR</t>
  </si>
  <si>
    <t>Traitement thermique</t>
  </si>
  <si>
    <t>BIO-CONVENTIONNEL</t>
  </si>
  <si>
    <t>B</t>
  </si>
  <si>
    <t>-</t>
  </si>
  <si>
    <t>A</t>
  </si>
  <si>
    <t>C</t>
  </si>
  <si>
    <t>Cru</t>
  </si>
  <si>
    <t>x</t>
  </si>
  <si>
    <t>EARL AINTZINIA GAMARTHE</t>
  </si>
  <si>
    <t>quintuplé Année-Mois-Producteur-Type lait_Traitement thermique</t>
  </si>
  <si>
    <t>Conventionnel</t>
  </si>
  <si>
    <t>Thermisé</t>
  </si>
  <si>
    <t>X</t>
  </si>
  <si>
    <t>Quintuplé Année-Mois-Producteur-Type lait_Traitement thermique</t>
  </si>
  <si>
    <t>avril</t>
  </si>
  <si>
    <t>Classe BU</t>
  </si>
  <si>
    <t>A+</t>
  </si>
  <si>
    <t>C+</t>
  </si>
  <si>
    <t>SEUIL</t>
  </si>
  <si>
    <t>Notation</t>
  </si>
  <si>
    <t>CE_A</t>
  </si>
  <si>
    <t>CE_B</t>
  </si>
  <si>
    <t>CE_C</t>
  </si>
  <si>
    <t>CO_A</t>
  </si>
  <si>
    <t>CO_B</t>
  </si>
  <si>
    <t>CO_C</t>
  </si>
  <si>
    <t>BU_A</t>
  </si>
  <si>
    <t>BU_B</t>
  </si>
  <si>
    <t>BU_C</t>
  </si>
  <si>
    <t>BU_C_PLUS</t>
  </si>
  <si>
    <t>BU_A_PLUS</t>
  </si>
  <si>
    <t>Classe CE</t>
  </si>
  <si>
    <t>Type analyse_seuil</t>
  </si>
  <si>
    <t>Classe CO</t>
  </si>
  <si>
    <t>Modulation CE</t>
  </si>
  <si>
    <t>Modulation CO</t>
  </si>
  <si>
    <t>Modulation BU</t>
  </si>
  <si>
    <t>Modulation</t>
  </si>
  <si>
    <t>Modulation MSU</t>
  </si>
  <si>
    <t>Modulation MG</t>
  </si>
  <si>
    <t>Modulation PRO</t>
  </si>
  <si>
    <t>Prix de base du lait pour acompte</t>
  </si>
  <si>
    <t>Prix de base du lait après acompte</t>
  </si>
  <si>
    <t>Montant pour acompte</t>
  </si>
  <si>
    <t>Date de début de campagne</t>
  </si>
  <si>
    <t>Date de fin de campagne</t>
  </si>
  <si>
    <t>Base avant acompte</t>
  </si>
  <si>
    <t>Base après acompte</t>
  </si>
  <si>
    <t>LISTE TRAITEMENTS THERMIQUES</t>
  </si>
  <si>
    <t>Saison</t>
  </si>
  <si>
    <t>Seuil</t>
  </si>
  <si>
    <t>MSU</t>
  </si>
  <si>
    <t>PROT</t>
  </si>
  <si>
    <t>Paramètre</t>
  </si>
  <si>
    <t>SAISON</t>
  </si>
  <si>
    <t>Trinômes saison_qualite_traitement thermique</t>
  </si>
  <si>
    <t>Trinome saison_type_tt</t>
  </si>
  <si>
    <t>Reste à verser après acompte</t>
  </si>
  <si>
    <t>Montant après acompte</t>
  </si>
  <si>
    <t>Prix au litre avant acompte modulé</t>
  </si>
  <si>
    <t>Prix au litre après acompte modulé</t>
  </si>
  <si>
    <t>Nom du producteur:</t>
  </si>
  <si>
    <t>janvier</t>
  </si>
  <si>
    <t>février</t>
  </si>
  <si>
    <t>mars</t>
  </si>
  <si>
    <t>mai</t>
  </si>
  <si>
    <t>juin</t>
  </si>
  <si>
    <t>juillet</t>
  </si>
  <si>
    <t>août</t>
  </si>
  <si>
    <t>novembre</t>
  </si>
  <si>
    <t>décembre</t>
  </si>
  <si>
    <t>2017-2018</t>
  </si>
  <si>
    <t>2018-2019</t>
  </si>
  <si>
    <t>2019-2020</t>
  </si>
  <si>
    <t>2020-2021</t>
  </si>
  <si>
    <t>2021-2022</t>
  </si>
  <si>
    <t>2022-2023</t>
  </si>
  <si>
    <t>2023-2024</t>
  </si>
  <si>
    <t>2024-2025</t>
  </si>
  <si>
    <t>Liste saisons</t>
  </si>
  <si>
    <t>Germes</t>
  </si>
  <si>
    <t>Butyriques</t>
  </si>
  <si>
    <t>Total</t>
  </si>
  <si>
    <t>quinte</t>
  </si>
  <si>
    <t>année</t>
  </si>
  <si>
    <t>Coliformes</t>
  </si>
  <si>
    <t>Campagne:</t>
  </si>
  <si>
    <t>Germes totaux</t>
  </si>
  <si>
    <t>Colonne1</t>
  </si>
  <si>
    <t>20180418/052/37</t>
  </si>
  <si>
    <t>Prix de base avant acompte</t>
  </si>
  <si>
    <t>Prix litre après acompte</t>
  </si>
  <si>
    <t>20170418/052/37</t>
  </si>
  <si>
    <t>20180518/052/37</t>
  </si>
  <si>
    <t>Total après acompte</t>
  </si>
  <si>
    <t>Reste à payer</t>
  </si>
  <si>
    <t>2016-2017</t>
  </si>
  <si>
    <t>Saisons a afficher</t>
  </si>
  <si>
    <t>Somme</t>
  </si>
  <si>
    <t>Mois à afficher</t>
  </si>
  <si>
    <t>Prix de base</t>
  </si>
  <si>
    <t>Prix litre</t>
  </si>
  <si>
    <t>ESSAI</t>
  </si>
  <si>
    <t>2017_avril-ESSAI/BIO+Cru</t>
  </si>
  <si>
    <t>2018_avril-ESSAI/BIO+Cru</t>
  </si>
  <si>
    <t>2018_mai-ESSAI/BIO+Cru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</si>
</sst>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0.0"/>
    <numFmt numFmtId="165" formatCode="0.000"/>
    <numFmt numFmtId="166" formatCode="dd/mm/yyyy;@"/>
    <numFmt numFmtId="167" formatCode="#,##0.000000\ &quot;€&quot;"/>
    <numFmt numFmtId="168" formatCode="#,##0.00\ &quot;€&quot;"/>
    <numFmt numFmtId="169" formatCode="#,##0.00000000\ &quot;€&quot;"/>
    <numFmt numFmtId="170" formatCode="#,##0.00000\ &quot;€&quot;"/>
    <numFmt numFmtId="171" formatCode="#,##0.00000&quot; €/L&quot;"/>
    <numFmt numFmtId="172" formatCode="#,##0.000000&quot; €/L&quot;"/>
    <numFmt numFmtId="173" formatCode="#,##0.00&quot; L&quot;"/>
    <numFmt numFmtId="174" formatCode="#,##0.00&quot; €/L&quot;"/>
    <numFmt numFmtId="175" formatCode="#,##0.00&quot; g/l&quot;"/>
    <numFmt numFmtId="176" formatCode="0.0%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1"/>
      <color theme="1"/>
      <name val="Century Gothic"/>
      <family val="2"/>
    </font>
    <font>
      <sz val="10"/>
      <color rgb="FF000000"/>
      <name val="Century Gothic"/>
      <family val="2"/>
    </font>
    <font>
      <sz val="10"/>
      <name val="Century Gothic"/>
      <family val="2"/>
    </font>
    <font>
      <sz val="10"/>
      <color theme="1"/>
      <name val="Century Gothic"/>
      <family val="2"/>
    </font>
    <font>
      <b/>
      <sz val="11"/>
      <color theme="0"/>
      <name val="Century Gothic"/>
      <family val="2"/>
    </font>
    <font>
      <b/>
      <sz val="11"/>
      <color theme="0"/>
      <name val="Calibri"/>
      <family val="2"/>
      <scheme val="minor"/>
    </font>
    <font>
      <sz val="9"/>
      <color theme="1"/>
      <name val="Century Gothic"/>
      <family val="2"/>
    </font>
    <font>
      <sz val="9"/>
      <color theme="1"/>
      <name val="Calibri"/>
      <family val="2"/>
      <scheme val="minor"/>
    </font>
    <font>
      <sz val="12"/>
      <color theme="1"/>
      <name val="Century Gothic"/>
      <family val="2"/>
    </font>
    <font>
      <sz val="14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color theme="0"/>
      <name val="Century Gothic"/>
      <family val="2"/>
    </font>
    <font>
      <b/>
      <sz val="11"/>
      <color theme="1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theme="1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theme="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/>
    <xf numFmtId="0" fontId="8" fillId="0" borderId="0" xfId="0" applyFont="1" applyAlignment="1">
      <alignment vertical="center"/>
    </xf>
    <xf numFmtId="0" fontId="5" fillId="0" borderId="0" xfId="0" applyFont="1" applyAlignment="1">
      <alignment horizontal="left" vertical="center" indent="2"/>
    </xf>
    <xf numFmtId="14" fontId="5" fillId="0" borderId="0" xfId="0" applyNumberFormat="1" applyFont="1" applyAlignment="1">
      <alignment horizontal="left" vertical="center" indent="2"/>
    </xf>
    <xf numFmtId="0" fontId="5" fillId="0" borderId="0" xfId="0" applyNumberFormat="1" applyFont="1" applyAlignment="1">
      <alignment horizontal="left" vertical="center" indent="2"/>
    </xf>
    <xf numFmtId="0" fontId="0" fillId="3" borderId="0" xfId="0" applyFill="1"/>
    <xf numFmtId="4" fontId="0" fillId="0" borderId="0" xfId="0" applyNumberFormat="1"/>
    <xf numFmtId="3" fontId="0" fillId="0" borderId="0" xfId="0" applyNumberFormat="1"/>
    <xf numFmtId="14" fontId="0" fillId="2" borderId="1" xfId="0" applyNumberFormat="1" applyFont="1" applyFill="1" applyBorder="1" applyAlignment="1">
      <alignment horizontal="left" vertical="center" indent="2"/>
    </xf>
    <xf numFmtId="0" fontId="0" fillId="2" borderId="1" xfId="0" applyFont="1" applyFill="1" applyBorder="1" applyAlignment="1">
      <alignment horizontal="left" vertical="center" wrapText="1" indent="2"/>
    </xf>
    <xf numFmtId="0" fontId="5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0" fontId="0" fillId="0" borderId="0" xfId="0" applyFont="1" applyFill="1"/>
    <xf numFmtId="167" fontId="0" fillId="0" borderId="0" xfId="0" applyNumberFormat="1" applyFont="1" applyFill="1"/>
    <xf numFmtId="0" fontId="0" fillId="0" borderId="0" xfId="0" applyFont="1" applyFill="1" applyBorder="1"/>
    <xf numFmtId="168" fontId="0" fillId="0" borderId="0" xfId="0" applyNumberFormat="1"/>
    <xf numFmtId="169" fontId="0" fillId="0" borderId="0" xfId="0" applyNumberFormat="1"/>
    <xf numFmtId="168" fontId="5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NumberFormat="1" applyFont="1" applyAlignment="1">
      <alignment horizontal="center"/>
    </xf>
    <xf numFmtId="0" fontId="12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0" fontId="5" fillId="0" borderId="0" xfId="0" applyFont="1" applyAlignment="1">
      <alignment horizontal="center" wrapText="1"/>
    </xf>
    <xf numFmtId="171" fontId="5" fillId="0" borderId="0" xfId="0" applyNumberFormat="1" applyFont="1" applyAlignment="1">
      <alignment horizontal="right"/>
    </xf>
    <xf numFmtId="171" fontId="5" fillId="0" borderId="0" xfId="0" applyNumberFormat="1" applyFont="1" applyAlignment="1">
      <alignment horizontal="center" wrapText="1"/>
    </xf>
    <xf numFmtId="172" fontId="5" fillId="0" borderId="0" xfId="0" applyNumberFormat="1" applyFont="1" applyAlignment="1">
      <alignment horizontal="center" wrapText="1"/>
    </xf>
    <xf numFmtId="167" fontId="0" fillId="4" borderId="5" xfId="0" applyNumberFormat="1" applyFont="1" applyFill="1" applyBorder="1"/>
    <xf numFmtId="0" fontId="10" fillId="0" borderId="2" xfId="0" applyFont="1" applyFill="1" applyBorder="1"/>
    <xf numFmtId="0" fontId="10" fillId="5" borderId="3" xfId="0" applyFont="1" applyFill="1" applyBorder="1"/>
    <xf numFmtId="0" fontId="10" fillId="5" borderId="6" xfId="0" applyFont="1" applyFill="1" applyBorder="1"/>
    <xf numFmtId="0" fontId="0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Fill="1" applyBorder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14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horizontal="left" wrapText="1"/>
    </xf>
    <xf numFmtId="0" fontId="5" fillId="0" borderId="0" xfId="0" applyFont="1" applyFill="1" applyAlignment="1"/>
    <xf numFmtId="0" fontId="7" fillId="0" borderId="1" xfId="0" applyFont="1" applyFill="1" applyBorder="1" applyAlignment="1">
      <alignment horizontal="left" vertical="center" wrapText="1" indent="2"/>
    </xf>
    <xf numFmtId="1" fontId="6" fillId="0" borderId="1" xfId="0" applyNumberFormat="1" applyFont="1" applyFill="1" applyBorder="1" applyAlignment="1">
      <alignment horizontal="left" vertical="center" indent="2" shrinkToFit="1"/>
    </xf>
    <xf numFmtId="0" fontId="6" fillId="0" borderId="1" xfId="0" applyNumberFormat="1" applyFont="1" applyFill="1" applyBorder="1" applyAlignment="1">
      <alignment horizontal="left" vertical="center" indent="2" shrinkToFit="1"/>
    </xf>
    <xf numFmtId="165" fontId="6" fillId="0" borderId="1" xfId="0" applyNumberFormat="1" applyFont="1" applyFill="1" applyBorder="1" applyAlignment="1">
      <alignment horizontal="left" vertical="center" indent="2" shrinkToFit="1"/>
    </xf>
    <xf numFmtId="0" fontId="7" fillId="0" borderId="1" xfId="0" applyNumberFormat="1" applyFont="1" applyFill="1" applyBorder="1" applyAlignment="1">
      <alignment horizontal="left" vertical="center" wrapText="1" indent="2"/>
    </xf>
    <xf numFmtId="164" fontId="6" fillId="0" borderId="1" xfId="0" applyNumberFormat="1" applyFont="1" applyFill="1" applyBorder="1" applyAlignment="1">
      <alignment horizontal="left" vertical="center" indent="2" shrinkToFit="1"/>
    </xf>
    <xf numFmtId="14" fontId="4" fillId="0" borderId="1" xfId="0" applyNumberFormat="1" applyFont="1" applyFill="1" applyBorder="1" applyAlignment="1">
      <alignment horizontal="left" vertical="center" wrapText="1" indent="2"/>
    </xf>
    <xf numFmtId="0" fontId="4" fillId="0" borderId="1" xfId="0" applyFont="1" applyFill="1" applyBorder="1" applyAlignment="1">
      <alignment horizontal="left" vertical="center" wrapText="1" indent="2"/>
    </xf>
    <xf numFmtId="0" fontId="5" fillId="7" borderId="0" xfId="0" applyFont="1" applyFill="1" applyAlignment="1">
      <alignment horizontal="center"/>
    </xf>
    <xf numFmtId="0" fontId="5" fillId="0" borderId="0" xfId="0" applyFont="1" applyAlignment="1">
      <alignment vertical="center" wrapText="1"/>
    </xf>
    <xf numFmtId="168" fontId="3" fillId="0" borderId="0" xfId="0" applyNumberFormat="1" applyFont="1" applyAlignment="1">
      <alignment horizontal="center"/>
    </xf>
    <xf numFmtId="0" fontId="0" fillId="3" borderId="0" xfId="0" applyFont="1" applyFill="1"/>
    <xf numFmtId="167" fontId="0" fillId="3" borderId="0" xfId="0" applyNumberFormat="1" applyFont="1" applyFill="1"/>
    <xf numFmtId="0" fontId="0" fillId="4" borderId="4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167" fontId="0" fillId="4" borderId="6" xfId="0" applyNumberFormat="1" applyFont="1" applyFill="1" applyBorder="1"/>
    <xf numFmtId="0" fontId="0" fillId="3" borderId="3" xfId="0" applyFont="1" applyFill="1" applyBorder="1" applyAlignment="1">
      <alignment horizontal="center"/>
    </xf>
    <xf numFmtId="167" fontId="0" fillId="3" borderId="6" xfId="0" applyNumberFormat="1" applyFont="1" applyFill="1" applyBorder="1"/>
    <xf numFmtId="0" fontId="10" fillId="5" borderId="3" xfId="0" applyFont="1" applyFill="1" applyBorder="1" applyAlignment="1">
      <alignment horizontal="center"/>
    </xf>
    <xf numFmtId="170" fontId="0" fillId="4" borderId="6" xfId="0" applyNumberFormat="1" applyFont="1" applyFill="1" applyBorder="1"/>
    <xf numFmtId="170" fontId="0" fillId="3" borderId="6" xfId="0" applyNumberFormat="1" applyFont="1" applyFill="1" applyBorder="1"/>
    <xf numFmtId="170" fontId="0" fillId="4" borderId="5" xfId="0" applyNumberFormat="1" applyFont="1" applyFill="1" applyBorder="1"/>
    <xf numFmtId="0" fontId="5" fillId="7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168" fontId="3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14" fontId="5" fillId="2" borderId="1" xfId="0" applyNumberFormat="1" applyFont="1" applyFill="1" applyBorder="1" applyAlignment="1">
      <alignment horizontal="left" vertical="center" indent="2"/>
    </xf>
    <xf numFmtId="14" fontId="7" fillId="0" borderId="1" xfId="0" applyNumberFormat="1" applyFont="1" applyFill="1" applyBorder="1" applyAlignment="1">
      <alignment horizontal="left" vertical="center" wrapText="1" indent="2"/>
    </xf>
    <xf numFmtId="0" fontId="5" fillId="2" borderId="0" xfId="0" applyFont="1" applyFill="1" applyAlignment="1">
      <alignment horizontal="left" vertical="center" wrapText="1"/>
    </xf>
    <xf numFmtId="170" fontId="5" fillId="0" borderId="0" xfId="0" applyNumberFormat="1" applyFont="1" applyAlignment="1">
      <alignment horizontal="right"/>
    </xf>
    <xf numFmtId="14" fontId="0" fillId="2" borderId="1" xfId="0" applyNumberFormat="1" applyFont="1" applyFill="1" applyBorder="1" applyAlignment="1">
      <alignment horizontal="left" vertical="center" wrapText="1" indent="2"/>
    </xf>
    <xf numFmtId="0" fontId="0" fillId="2" borderId="1" xfId="0" applyNumberFormat="1" applyFont="1" applyFill="1" applyBorder="1" applyAlignment="1">
      <alignment horizontal="left" vertical="center" wrapText="1" indent="2"/>
    </xf>
    <xf numFmtId="0" fontId="1" fillId="0" borderId="4" xfId="0" applyFont="1" applyBorder="1"/>
    <xf numFmtId="14" fontId="1" fillId="2" borderId="1" xfId="0" applyNumberFormat="1" applyFont="1" applyFill="1" applyBorder="1" applyAlignment="1">
      <alignment horizontal="left" vertical="center" indent="2"/>
    </xf>
    <xf numFmtId="173" fontId="1" fillId="0" borderId="0" xfId="0" applyNumberFormat="1" applyFont="1" applyAlignment="1">
      <alignment horizontal="center"/>
    </xf>
    <xf numFmtId="168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5" fillId="9" borderId="0" xfId="0" applyFont="1" applyFill="1" applyAlignment="1">
      <alignment horizontal="center"/>
    </xf>
    <xf numFmtId="0" fontId="5" fillId="9" borderId="0" xfId="0" applyFont="1" applyFill="1" applyAlignment="1">
      <alignment horizontal="left" vertical="center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0" fillId="5" borderId="13" xfId="0" applyFont="1" applyFill="1" applyBorder="1" applyAlignment="1">
      <alignment horizontal="right"/>
    </xf>
    <xf numFmtId="0" fontId="0" fillId="4" borderId="13" xfId="0" applyFont="1" applyFill="1" applyBorder="1" applyAlignment="1">
      <alignment horizontal="right"/>
    </xf>
    <xf numFmtId="0" fontId="1" fillId="0" borderId="3" xfId="0" applyFont="1" applyBorder="1"/>
    <xf numFmtId="0" fontId="10" fillId="5" borderId="3" xfId="0" applyFont="1" applyFill="1" applyBorder="1" applyAlignment="1">
      <alignment horizontal="right"/>
    </xf>
    <xf numFmtId="0" fontId="1" fillId="4" borderId="3" xfId="0" applyFont="1" applyFill="1" applyBorder="1"/>
    <xf numFmtId="0" fontId="10" fillId="10" borderId="0" xfId="0" applyFont="1" applyFill="1" applyBorder="1"/>
    <xf numFmtId="0" fontId="10" fillId="5" borderId="15" xfId="0" applyFont="1" applyFill="1" applyBorder="1" applyAlignment="1">
      <alignment horizontal="right"/>
    </xf>
    <xf numFmtId="0" fontId="1" fillId="4" borderId="16" xfId="0" applyFont="1" applyFill="1" applyBorder="1"/>
    <xf numFmtId="175" fontId="1" fillId="4" borderId="14" xfId="0" applyNumberFormat="1" applyFont="1" applyFill="1" applyBorder="1" applyAlignment="1">
      <alignment horizontal="center"/>
    </xf>
    <xf numFmtId="175" fontId="1" fillId="4" borderId="6" xfId="0" applyNumberFormat="1" applyFont="1" applyFill="1" applyBorder="1" applyAlignment="1">
      <alignment horizontal="center"/>
    </xf>
    <xf numFmtId="175" fontId="1" fillId="0" borderId="14" xfId="0" applyNumberFormat="1" applyFont="1" applyBorder="1" applyAlignment="1">
      <alignment horizontal="center"/>
    </xf>
    <xf numFmtId="175" fontId="1" fillId="0" borderId="6" xfId="0" applyNumberFormat="1" applyFont="1" applyBorder="1" applyAlignment="1">
      <alignment horizontal="center"/>
    </xf>
    <xf numFmtId="175" fontId="1" fillId="0" borderId="12" xfId="0" applyNumberFormat="1" applyFont="1" applyBorder="1" applyAlignment="1">
      <alignment horizontal="center"/>
    </xf>
    <xf numFmtId="175" fontId="1" fillId="0" borderId="5" xfId="0" applyNumberFormat="1" applyFont="1" applyBorder="1" applyAlignment="1">
      <alignment horizontal="center"/>
    </xf>
    <xf numFmtId="0" fontId="0" fillId="11" borderId="0" xfId="0" applyFill="1"/>
    <xf numFmtId="0" fontId="5" fillId="3" borderId="0" xfId="0" applyFont="1" applyFill="1" applyAlignment="1">
      <alignment vertical="center"/>
    </xf>
    <xf numFmtId="173" fontId="3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right"/>
    </xf>
    <xf numFmtId="0" fontId="0" fillId="6" borderId="13" xfId="0" applyFont="1" applyFill="1" applyBorder="1" applyAlignment="1">
      <alignment horizontal="right"/>
    </xf>
    <xf numFmtId="0" fontId="0" fillId="0" borderId="13" xfId="0" applyBorder="1" applyAlignment="1">
      <alignment horizontal="center" wrapText="1"/>
    </xf>
    <xf numFmtId="0" fontId="0" fillId="0" borderId="0" xfId="0" applyBorder="1"/>
    <xf numFmtId="0" fontId="0" fillId="0" borderId="13" xfId="0" applyFill="1" applyBorder="1" applyAlignment="1">
      <alignment horizontal="center" wrapText="1"/>
    </xf>
    <xf numFmtId="0" fontId="0" fillId="0" borderId="13" xfId="0" applyBorder="1"/>
    <xf numFmtId="176" fontId="0" fillId="0" borderId="13" xfId="0" applyNumberFormat="1" applyBorder="1"/>
    <xf numFmtId="0" fontId="0" fillId="7" borderId="0" xfId="0" applyFill="1"/>
    <xf numFmtId="0" fontId="0" fillId="0" borderId="7" xfId="0" applyBorder="1" applyAlignment="1">
      <alignment horizontal="center" wrapText="1"/>
    </xf>
    <xf numFmtId="0" fontId="0" fillId="0" borderId="17" xfId="0" applyBorder="1" applyAlignment="1">
      <alignment horizontal="right" vertical="center"/>
    </xf>
    <xf numFmtId="0" fontId="5" fillId="12" borderId="0" xfId="0" applyFont="1" applyFill="1" applyAlignment="1">
      <alignment vertical="center" wrapText="1"/>
    </xf>
    <xf numFmtId="0" fontId="5" fillId="12" borderId="0" xfId="0" applyFont="1" applyFill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171" fontId="13" fillId="0" borderId="0" xfId="0" applyNumberFormat="1" applyFont="1" applyAlignment="1">
      <alignment horizontal="center"/>
    </xf>
    <xf numFmtId="173" fontId="13" fillId="0" borderId="0" xfId="0" applyNumberFormat="1" applyFont="1" applyAlignment="1">
      <alignment horizontal="center"/>
    </xf>
    <xf numFmtId="168" fontId="13" fillId="0" borderId="0" xfId="0" applyNumberFormat="1" applyFont="1" applyAlignment="1">
      <alignment horizontal="center"/>
    </xf>
    <xf numFmtId="0" fontId="14" fillId="3" borderId="0" xfId="0" applyFont="1" applyFill="1"/>
    <xf numFmtId="0" fontId="14" fillId="0" borderId="0" xfId="0" applyFont="1"/>
    <xf numFmtId="0" fontId="14" fillId="0" borderId="0" xfId="0" applyFont="1" applyAlignment="1">
      <alignment horizontal="center"/>
    </xf>
    <xf numFmtId="168" fontId="14" fillId="0" borderId="0" xfId="0" applyNumberFormat="1" applyFont="1" applyAlignment="1">
      <alignment horizontal="center"/>
    </xf>
    <xf numFmtId="168" fontId="14" fillId="3" borderId="0" xfId="0" applyNumberFormat="1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6" fillId="8" borderId="10" xfId="0" applyFont="1" applyFill="1" applyBorder="1" applyAlignment="1">
      <alignment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3" fillId="3" borderId="0" xfId="0" applyFont="1" applyFill="1"/>
    <xf numFmtId="174" fontId="15" fillId="6" borderId="11" xfId="0" applyNumberFormat="1" applyFont="1" applyFill="1" applyBorder="1" applyAlignment="1">
      <alignment horizontal="center" vertical="center" wrapText="1"/>
    </xf>
    <xf numFmtId="0" fontId="16" fillId="8" borderId="10" xfId="0" applyFont="1" applyFill="1" applyBorder="1" applyAlignment="1">
      <alignment vertical="center"/>
    </xf>
    <xf numFmtId="0" fontId="15" fillId="6" borderId="11" xfId="0" applyFont="1" applyFill="1" applyBorder="1" applyAlignment="1">
      <alignment horizontal="center" vertical="center"/>
    </xf>
    <xf numFmtId="0" fontId="9" fillId="8" borderId="10" xfId="0" applyFont="1" applyFill="1" applyBorder="1" applyAlignment="1">
      <alignment vertical="center" wrapText="1"/>
    </xf>
    <xf numFmtId="0" fontId="9" fillId="8" borderId="10" xfId="0" applyFont="1" applyFill="1" applyBorder="1" applyAlignment="1">
      <alignment vertical="center"/>
    </xf>
    <xf numFmtId="174" fontId="17" fillId="6" borderId="11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vertical="center" wrapText="1"/>
    </xf>
    <xf numFmtId="174" fontId="17" fillId="6" borderId="0" xfId="0" applyNumberFormat="1" applyFont="1" applyFill="1" applyBorder="1" applyAlignment="1">
      <alignment horizontal="center" vertical="center" wrapText="1"/>
    </xf>
    <xf numFmtId="174" fontId="15" fillId="6" borderId="0" xfId="0" applyNumberFormat="1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vertical="center" wrapText="1"/>
    </xf>
    <xf numFmtId="0" fontId="17" fillId="6" borderId="11" xfId="0" applyFont="1" applyFill="1" applyBorder="1" applyAlignment="1">
      <alignment horizontal="center" vertical="center" wrapText="1"/>
    </xf>
    <xf numFmtId="0" fontId="17" fillId="6" borderId="11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top" wrapText="1"/>
    </xf>
    <xf numFmtId="0" fontId="0" fillId="3" borderId="8" xfId="0" applyFill="1" applyBorder="1" applyAlignment="1">
      <alignment horizontal="center" vertical="top" wrapText="1"/>
    </xf>
    <xf numFmtId="0" fontId="0" fillId="3" borderId="9" xfId="0" applyFill="1" applyBorder="1" applyAlignment="1">
      <alignment horizontal="center" vertical="top" wrapText="1"/>
    </xf>
    <xf numFmtId="0" fontId="9" fillId="5" borderId="0" xfId="0" applyFont="1" applyFill="1" applyBorder="1" applyAlignment="1">
      <alignment horizontal="center" vertical="center" wrapText="1"/>
    </xf>
    <xf numFmtId="0" fontId="10" fillId="8" borderId="0" xfId="0" applyFont="1" applyFill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189"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fill>
        <patternFill>
          <fgColor indexed="64"/>
          <bgColor rgb="FFFFFF00"/>
        </patternFill>
      </fill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left" vertical="center" textRotation="0" wrapText="0" indent="2" justifyLastLine="0" shrinkToFit="0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2" justifyLastLine="0" shrinkToFit="0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1" indent="2" justifyLastLine="0" shrinkToFit="0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64" formatCode="0.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64" formatCode="0.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2" justifyLastLine="0" shrinkToFit="0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2" justifyLastLine="0" shrinkToFit="0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2" justifyLastLine="0" shrinkToFit="0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65" formatCode="0.00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1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1" indent="2" justifyLastLine="0" shrinkToFit="0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left" vertical="center" textRotation="0" wrapText="1" indent="2" justifyLastLine="0" shrinkToFit="0" readingOrder="0"/>
      <border diagonalUp="0" diagonalDown="0" outline="0">
        <left/>
        <right/>
        <top style="medium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left" vertical="center" textRotation="0" wrapText="0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border outline="0">
        <top style="medium">
          <color theme="1"/>
        </top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numFmt numFmtId="172" formatCode="#,##0.000000&quot; €/L&quot;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numFmt numFmtId="172" formatCode="#,##0.000000&quot; €/L&quot;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numFmt numFmtId="170" formatCode="#,##0.00000\ &quot;€&quot;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numFmt numFmtId="171" formatCode="#,##0.00000&quot; €/L&quot;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1" formatCode="#,##0.00000&quot; €/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1" formatCode="#,##0.00000&quot; €/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1" formatCode="#,##0.00000&quot; €/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1" formatCode="#,##0.00000&quot; €/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1" formatCode="#,##0.00000&quot; €/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1" formatCode="#,##0.00000&quot; €/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  <numFmt numFmtId="173" formatCode="#,##0.00&quot; L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numFmt numFmtId="168" formatCode="#,##0.00\ &quot;€&quot;"/>
    </dxf>
    <dxf>
      <numFmt numFmtId="168" formatCode="#,##0.00\ &quot;€&quot;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9" formatCode="#,##0.00000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00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top style="medium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dd/mm/yy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'TABLEAUX SOURCES'!$D$2:$G$2</c:f>
          <c:strCache>
            <c:ptCount val="4"/>
            <c:pt idx="0">
              <c:v>Taux moyens de matière grasse ESSAI</c:v>
            </c:pt>
          </c:strCache>
        </c:strRef>
      </c:tx>
      <c:layout>
        <c:manualLayout>
          <c:xMode val="edge"/>
          <c:yMode val="edge"/>
          <c:x val="0.17668780764106615"/>
          <c:y val="2.54955116911755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80" b="1" i="0" u="sng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'TABLEAUX SOURCES'!$E$4</c:f>
              <c:strCache>
                <c:ptCount val="1"/>
                <c:pt idx="0">
                  <c:v>2017-2018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'TABLEAUX SOURCES'!$D$4:$D$14</c:f>
              <c:strCache>
                <c:ptCount val="11"/>
                <c:pt idx="1">
                  <c:v>novembre</c:v>
                </c:pt>
                <c:pt idx="2">
                  <c:v>décembre</c:v>
                </c:pt>
                <c:pt idx="3">
                  <c:v>janvier</c:v>
                </c:pt>
                <c:pt idx="4">
                  <c:v>février</c:v>
                </c:pt>
                <c:pt idx="5">
                  <c:v>mars</c:v>
                </c:pt>
                <c:pt idx="6">
                  <c:v>avril</c:v>
                </c:pt>
                <c:pt idx="7">
                  <c:v>mai</c:v>
                </c:pt>
                <c:pt idx="8">
                  <c:v>juin</c:v>
                </c:pt>
                <c:pt idx="9">
                  <c:v>juillet</c:v>
                </c:pt>
                <c:pt idx="10">
                  <c:v>août</c:v>
                </c:pt>
              </c:strCache>
            </c:strRef>
          </c:cat>
          <c:val>
            <c:numRef>
              <c:f>'TABLEAUX SOURCES'!$E$4:$E$14</c:f>
              <c:numCache>
                <c:formatCode>#\ ##0.00" g/l"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82</c:v>
                </c:pt>
                <c:pt idx="7">
                  <c:v>97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CD-4F6C-AA00-97096FB6E896}"/>
            </c:ext>
          </c:extLst>
        </c:ser>
        <c:ser>
          <c:idx val="1"/>
          <c:order val="1"/>
          <c:tx>
            <c:strRef>
              <c:f>'TABLEAUX SOURCES'!$F$4</c:f>
              <c:strCache>
                <c:ptCount val="1"/>
                <c:pt idx="0">
                  <c:v>2016-2017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cat>
            <c:strRef>
              <c:f>'TABLEAUX SOURCES'!$D$4:$D$14</c:f>
              <c:strCache>
                <c:ptCount val="11"/>
                <c:pt idx="1">
                  <c:v>novembre</c:v>
                </c:pt>
                <c:pt idx="2">
                  <c:v>décembre</c:v>
                </c:pt>
                <c:pt idx="3">
                  <c:v>janvier</c:v>
                </c:pt>
                <c:pt idx="4">
                  <c:v>février</c:v>
                </c:pt>
                <c:pt idx="5">
                  <c:v>mars</c:v>
                </c:pt>
                <c:pt idx="6">
                  <c:v>avril</c:v>
                </c:pt>
                <c:pt idx="7">
                  <c:v>mai</c:v>
                </c:pt>
                <c:pt idx="8">
                  <c:v>juin</c:v>
                </c:pt>
                <c:pt idx="9">
                  <c:v>juillet</c:v>
                </c:pt>
                <c:pt idx="10">
                  <c:v>août</c:v>
                </c:pt>
              </c:strCache>
            </c:strRef>
          </c:cat>
          <c:val>
            <c:numRef>
              <c:f>'TABLEAUX SOURCES'!$F$4:$F$14</c:f>
              <c:numCache>
                <c:formatCode>#\ ##0.00" g/l"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67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CD-4F6C-AA00-97096FB6E896}"/>
            </c:ext>
          </c:extLst>
        </c:ser>
        <c:ser>
          <c:idx val="2"/>
          <c:order val="2"/>
          <c:tx>
            <c:strRef>
              <c:f>'TABLEAUX SOURCES'!$G$4</c:f>
              <c:strCache>
                <c:ptCount val="1"/>
                <c:pt idx="0">
                  <c:v>0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cat>
            <c:strRef>
              <c:f>'TABLEAUX SOURCES'!$D$4:$D$14</c:f>
              <c:strCache>
                <c:ptCount val="11"/>
                <c:pt idx="1">
                  <c:v>novembre</c:v>
                </c:pt>
                <c:pt idx="2">
                  <c:v>décembre</c:v>
                </c:pt>
                <c:pt idx="3">
                  <c:v>janvier</c:v>
                </c:pt>
                <c:pt idx="4">
                  <c:v>février</c:v>
                </c:pt>
                <c:pt idx="5">
                  <c:v>mars</c:v>
                </c:pt>
                <c:pt idx="6">
                  <c:v>avril</c:v>
                </c:pt>
                <c:pt idx="7">
                  <c:v>mai</c:v>
                </c:pt>
                <c:pt idx="8">
                  <c:v>juin</c:v>
                </c:pt>
                <c:pt idx="9">
                  <c:v>juillet</c:v>
                </c:pt>
                <c:pt idx="10">
                  <c:v>août</c:v>
                </c:pt>
              </c:strCache>
            </c:strRef>
          </c:cat>
          <c:val>
            <c:numRef>
              <c:f>'TABLEAUX SOURCES'!$G$4:$G$14</c:f>
              <c:numCache>
                <c:formatCode>#\ ##0.00" g/l"</c:formatCode>
                <c:ptCount val="1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FCD-4F6C-AA00-97096FB6E8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17880048"/>
        <c:axId val="817879720"/>
      </c:barChart>
      <c:catAx>
        <c:axId val="81788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817879720"/>
        <c:crosses val="autoZero"/>
        <c:auto val="1"/>
        <c:lblAlgn val="ctr"/>
        <c:lblOffset val="100"/>
        <c:noMultiLvlLbl val="0"/>
      </c:catAx>
      <c:valAx>
        <c:axId val="817879720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817880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>
          <a:latin typeface="Century Gothic" panose="020B0502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'TABLEAUX SOURCES'!$K$2:$N$2</c:f>
          <c:strCache>
            <c:ptCount val="4"/>
            <c:pt idx="0">
              <c:v>Taux moyens de protéines ESSAI</c:v>
            </c:pt>
          </c:strCache>
        </c:strRef>
      </c:tx>
      <c:layout>
        <c:manualLayout>
          <c:xMode val="edge"/>
          <c:yMode val="edge"/>
          <c:x val="0.15622745366547852"/>
          <c:y val="3.76720718129411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80" b="1" i="0" u="sng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'TABLEAUX SOURCES'!$L$4</c:f>
              <c:strCache>
                <c:ptCount val="1"/>
                <c:pt idx="0">
                  <c:v>2017-2018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'TABLEAUX SOURCES'!$K$5:$K$14</c:f>
              <c:strCache>
                <c:ptCount val="10"/>
                <c:pt idx="0">
                  <c:v>novembre</c:v>
                </c:pt>
                <c:pt idx="1">
                  <c:v>décembre</c:v>
                </c:pt>
                <c:pt idx="2">
                  <c:v>janvier</c:v>
                </c:pt>
                <c:pt idx="3">
                  <c:v>février</c:v>
                </c:pt>
                <c:pt idx="4">
                  <c:v>mars</c:v>
                </c:pt>
                <c:pt idx="5">
                  <c:v>avril</c:v>
                </c:pt>
                <c:pt idx="6">
                  <c:v>mai</c:v>
                </c:pt>
                <c:pt idx="7">
                  <c:v>juin</c:v>
                </c:pt>
                <c:pt idx="8">
                  <c:v>juillet</c:v>
                </c:pt>
                <c:pt idx="9">
                  <c:v>août</c:v>
                </c:pt>
              </c:strCache>
            </c:strRef>
          </c:cat>
          <c:val>
            <c:numRef>
              <c:f>'TABLEAUX SOURCES'!$L$5:$L$14</c:f>
              <c:numCache>
                <c:formatCode>#\ ##0.00" g/l"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54.3</c:v>
                </c:pt>
                <c:pt idx="6">
                  <c:v>54.3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3A-438F-AB44-AE0AA2883769}"/>
            </c:ext>
          </c:extLst>
        </c:ser>
        <c:ser>
          <c:idx val="1"/>
          <c:order val="1"/>
          <c:tx>
            <c:strRef>
              <c:f>'TABLEAUX SOURCES'!$M$4</c:f>
              <c:strCache>
                <c:ptCount val="1"/>
                <c:pt idx="0">
                  <c:v>2016-2017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cat>
            <c:strRef>
              <c:f>'TABLEAUX SOURCES'!$K$5:$K$14</c:f>
              <c:strCache>
                <c:ptCount val="10"/>
                <c:pt idx="0">
                  <c:v>novembre</c:v>
                </c:pt>
                <c:pt idx="1">
                  <c:v>décembre</c:v>
                </c:pt>
                <c:pt idx="2">
                  <c:v>janvier</c:v>
                </c:pt>
                <c:pt idx="3">
                  <c:v>février</c:v>
                </c:pt>
                <c:pt idx="4">
                  <c:v>mars</c:v>
                </c:pt>
                <c:pt idx="5">
                  <c:v>avril</c:v>
                </c:pt>
                <c:pt idx="6">
                  <c:v>mai</c:v>
                </c:pt>
                <c:pt idx="7">
                  <c:v>juin</c:v>
                </c:pt>
                <c:pt idx="8">
                  <c:v>juillet</c:v>
                </c:pt>
                <c:pt idx="9">
                  <c:v>août</c:v>
                </c:pt>
              </c:strCache>
            </c:strRef>
          </c:cat>
          <c:val>
            <c:numRef>
              <c:f>'TABLEAUX SOURCES'!$M$5:$M$14</c:f>
              <c:numCache>
                <c:formatCode>#\ ##0.00" g/l"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54.3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3A-438F-AB44-AE0AA2883769}"/>
            </c:ext>
          </c:extLst>
        </c:ser>
        <c:ser>
          <c:idx val="2"/>
          <c:order val="2"/>
          <c:tx>
            <c:strRef>
              <c:f>'TABLEAUX SOURCES'!$N$4</c:f>
              <c:strCache>
                <c:ptCount val="1"/>
                <c:pt idx="0">
                  <c:v>0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cat>
            <c:strRef>
              <c:f>'TABLEAUX SOURCES'!$K$5:$K$14</c:f>
              <c:strCache>
                <c:ptCount val="10"/>
                <c:pt idx="0">
                  <c:v>novembre</c:v>
                </c:pt>
                <c:pt idx="1">
                  <c:v>décembre</c:v>
                </c:pt>
                <c:pt idx="2">
                  <c:v>janvier</c:v>
                </c:pt>
                <c:pt idx="3">
                  <c:v>février</c:v>
                </c:pt>
                <c:pt idx="4">
                  <c:v>mars</c:v>
                </c:pt>
                <c:pt idx="5">
                  <c:v>avril</c:v>
                </c:pt>
                <c:pt idx="6">
                  <c:v>mai</c:v>
                </c:pt>
                <c:pt idx="7">
                  <c:v>juin</c:v>
                </c:pt>
                <c:pt idx="8">
                  <c:v>juillet</c:v>
                </c:pt>
                <c:pt idx="9">
                  <c:v>août</c:v>
                </c:pt>
              </c:strCache>
            </c:strRef>
          </c:cat>
          <c:val>
            <c:numRef>
              <c:f>'TABLEAUX SOURCES'!$N$5:$N$14</c:f>
              <c:numCache>
                <c:formatCode>#\ ##0.00" g/l"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3A-438F-AB44-AE0AA28837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17880048"/>
        <c:axId val="817879720"/>
      </c:barChart>
      <c:catAx>
        <c:axId val="81788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817879720"/>
        <c:crosses val="autoZero"/>
        <c:auto val="1"/>
        <c:lblAlgn val="ctr"/>
        <c:lblOffset val="100"/>
        <c:noMultiLvlLbl val="0"/>
      </c:catAx>
      <c:valAx>
        <c:axId val="817879720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#\ ##0.00&quot; g/l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817880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>
          <a:latin typeface="Century Gothic" panose="020B0502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'TABLEAUX SOURCES'!$R$2:$X$2</c:f>
          <c:strCache>
            <c:ptCount val="7"/>
            <c:pt idx="0">
              <c:v>Butyriques ESSAI août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'TABLEAUX SOURCES'!$AA$5</c:f>
              <c:strCache>
                <c:ptCount val="1"/>
                <c:pt idx="0">
                  <c:v>A+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'TABLEAUX SOURCES'!$Z$6:$Z$8</c:f>
              <c:strCache>
                <c:ptCount val="3"/>
                <c:pt idx="0">
                  <c:v>août 2017-2018</c:v>
                </c:pt>
                <c:pt idx="1">
                  <c:v>août 2016-2017</c:v>
                </c:pt>
                <c:pt idx="2">
                  <c:v>août 0</c:v>
                </c:pt>
              </c:strCache>
            </c:strRef>
          </c:cat>
          <c:val>
            <c:numRef>
              <c:f>'TABLEAUX SOURCES'!$AA$6:$AA$8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FF-4D14-AD9B-25BAE9A607D4}"/>
            </c:ext>
          </c:extLst>
        </c:ser>
        <c:ser>
          <c:idx val="1"/>
          <c:order val="1"/>
          <c:tx>
            <c:strRef>
              <c:f>'TABLEAUX SOURCES'!$AB$5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'TABLEAUX SOURCES'!$Z$6:$Z$8</c:f>
              <c:strCache>
                <c:ptCount val="3"/>
                <c:pt idx="0">
                  <c:v>août 2017-2018</c:v>
                </c:pt>
                <c:pt idx="1">
                  <c:v>août 2016-2017</c:v>
                </c:pt>
                <c:pt idx="2">
                  <c:v>août 0</c:v>
                </c:pt>
              </c:strCache>
            </c:strRef>
          </c:cat>
          <c:val>
            <c:numRef>
              <c:f>'TABLEAUX SOURCES'!$AB$6:$AB$8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2FF-4D14-AD9B-25BAE9A607D4}"/>
            </c:ext>
          </c:extLst>
        </c:ser>
        <c:ser>
          <c:idx val="2"/>
          <c:order val="2"/>
          <c:tx>
            <c:strRef>
              <c:f>'TABLEAUX SOURCES'!$AC$5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'TABLEAUX SOURCES'!$Z$6:$Z$8</c:f>
              <c:strCache>
                <c:ptCount val="3"/>
                <c:pt idx="0">
                  <c:v>août 2017-2018</c:v>
                </c:pt>
                <c:pt idx="1">
                  <c:v>août 2016-2017</c:v>
                </c:pt>
                <c:pt idx="2">
                  <c:v>août 0</c:v>
                </c:pt>
              </c:strCache>
            </c:strRef>
          </c:cat>
          <c:val>
            <c:numRef>
              <c:f>'TABLEAUX SOURCES'!$AC$6:$AC$8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2FF-4D14-AD9B-25BAE9A607D4}"/>
            </c:ext>
          </c:extLst>
        </c:ser>
        <c:ser>
          <c:idx val="3"/>
          <c:order val="3"/>
          <c:tx>
            <c:strRef>
              <c:f>'TABLEAUX SOURCES'!$AD$5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'TABLEAUX SOURCES'!$Z$6:$Z$8</c:f>
              <c:strCache>
                <c:ptCount val="3"/>
                <c:pt idx="0">
                  <c:v>août 2017-2018</c:v>
                </c:pt>
                <c:pt idx="1">
                  <c:v>août 2016-2017</c:v>
                </c:pt>
                <c:pt idx="2">
                  <c:v>août 0</c:v>
                </c:pt>
              </c:strCache>
            </c:strRef>
          </c:cat>
          <c:val>
            <c:numRef>
              <c:f>'TABLEAUX SOURCES'!$AD$6:$AD$8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2FF-4D14-AD9B-25BAE9A607D4}"/>
            </c:ext>
          </c:extLst>
        </c:ser>
        <c:ser>
          <c:idx val="4"/>
          <c:order val="4"/>
          <c:tx>
            <c:strRef>
              <c:f>'TABLEAUX SOURCES'!$AE$5</c:f>
              <c:strCache>
                <c:ptCount val="1"/>
                <c:pt idx="0">
                  <c:v>C+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'TABLEAUX SOURCES'!$Z$6:$Z$8</c:f>
              <c:strCache>
                <c:ptCount val="3"/>
                <c:pt idx="0">
                  <c:v>août 2017-2018</c:v>
                </c:pt>
                <c:pt idx="1">
                  <c:v>août 2016-2017</c:v>
                </c:pt>
                <c:pt idx="2">
                  <c:v>août 0</c:v>
                </c:pt>
              </c:strCache>
            </c:strRef>
          </c:cat>
          <c:val>
            <c:numRef>
              <c:f>'TABLEAUX SOURCES'!$AE$6:$AE$8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2FF-4D14-AD9B-25BAE9A607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95038824"/>
        <c:axId val="695016520"/>
      </c:barChart>
      <c:catAx>
        <c:axId val="695038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695016520"/>
        <c:crosses val="autoZero"/>
        <c:auto val="1"/>
        <c:lblAlgn val="ctr"/>
        <c:lblOffset val="100"/>
        <c:noMultiLvlLbl val="0"/>
      </c:catAx>
      <c:valAx>
        <c:axId val="695016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695038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Century Gothic" panose="020B0502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'TABLEAUX SOURCES'!$AG$2:$AP$2</c:f>
          <c:strCache>
            <c:ptCount val="10"/>
            <c:pt idx="0">
              <c:v>Germes ESSAI août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'TABLEAUX SOURCES'!$AN$5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'TABLEAUX SOURCES'!$AM$6:$AM$8</c:f>
              <c:strCache>
                <c:ptCount val="3"/>
                <c:pt idx="0">
                  <c:v>août 2017-2018</c:v>
                </c:pt>
                <c:pt idx="1">
                  <c:v>août 2016-2017</c:v>
                </c:pt>
                <c:pt idx="2">
                  <c:v>août 0</c:v>
                </c:pt>
              </c:strCache>
            </c:strRef>
          </c:cat>
          <c:val>
            <c:numRef>
              <c:f>'TABLEAUX SOURCES'!$AN$6:$AN$8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21-4C97-87B8-90E4FE489C37}"/>
            </c:ext>
          </c:extLst>
        </c:ser>
        <c:ser>
          <c:idx val="1"/>
          <c:order val="1"/>
          <c:tx>
            <c:strRef>
              <c:f>'TABLEAUX SOURCES'!$AO$5:$AO$6</c:f>
              <c:strCache>
                <c:ptCount val="2"/>
                <c:pt idx="0">
                  <c:v>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'TABLEAUX SOURCES'!$AM$6:$AM$8</c:f>
              <c:strCache>
                <c:ptCount val="3"/>
                <c:pt idx="0">
                  <c:v>août 2017-2018</c:v>
                </c:pt>
                <c:pt idx="1">
                  <c:v>août 2016-2017</c:v>
                </c:pt>
                <c:pt idx="2">
                  <c:v>août 0</c:v>
                </c:pt>
              </c:strCache>
            </c:strRef>
          </c:cat>
          <c:val>
            <c:numRef>
              <c:f>'TABLEAUX SOURCES'!$AO$6:$AO$8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21-4C97-87B8-90E4FE489C37}"/>
            </c:ext>
          </c:extLst>
        </c:ser>
        <c:ser>
          <c:idx val="2"/>
          <c:order val="2"/>
          <c:tx>
            <c:strRef>
              <c:f>'TABLEAUX SOURCES'!$AP$5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'TABLEAUX SOURCES'!$AM$6:$AM$8</c:f>
              <c:strCache>
                <c:ptCount val="3"/>
                <c:pt idx="0">
                  <c:v>août 2017-2018</c:v>
                </c:pt>
                <c:pt idx="1">
                  <c:v>août 2016-2017</c:v>
                </c:pt>
                <c:pt idx="2">
                  <c:v>août 0</c:v>
                </c:pt>
              </c:strCache>
            </c:strRef>
          </c:cat>
          <c:val>
            <c:numRef>
              <c:f>'TABLEAUX SOURCES'!$AP$6:$AP$8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21-4C97-87B8-90E4FE489C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95038824"/>
        <c:axId val="695016520"/>
      </c:barChart>
      <c:catAx>
        <c:axId val="695038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695016520"/>
        <c:crosses val="autoZero"/>
        <c:auto val="1"/>
        <c:lblAlgn val="ctr"/>
        <c:lblOffset val="100"/>
        <c:noMultiLvlLbl val="0"/>
      </c:catAx>
      <c:valAx>
        <c:axId val="695016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695038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Century Gothic" panose="020B0502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'TABLEAUX SOURCES'!$AT$2:$BE$2</c:f>
          <c:strCache>
            <c:ptCount val="12"/>
            <c:pt idx="0">
              <c:v>Coliformes ESSAI août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'TABLEAUX SOURCES'!$BA$5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'TABLEAUX SOURCES'!$AM$6:$AM$8</c:f>
              <c:strCache>
                <c:ptCount val="3"/>
                <c:pt idx="0">
                  <c:v>août 2017-2018</c:v>
                </c:pt>
                <c:pt idx="1">
                  <c:v>août 2016-2017</c:v>
                </c:pt>
                <c:pt idx="2">
                  <c:v>août 0</c:v>
                </c:pt>
              </c:strCache>
            </c:strRef>
          </c:cat>
          <c:val>
            <c:numRef>
              <c:f>'TABLEAUX SOURCES'!$BA$6:$BA$8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A4-47BF-88AD-8356FAB974E3}"/>
            </c:ext>
          </c:extLst>
        </c:ser>
        <c:ser>
          <c:idx val="1"/>
          <c:order val="1"/>
          <c:tx>
            <c:strRef>
              <c:f>'TABLEAUX SOURCES'!$BB$5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'TABLEAUX SOURCES'!$AM$6:$AM$8</c:f>
              <c:strCache>
                <c:ptCount val="3"/>
                <c:pt idx="0">
                  <c:v>août 2017-2018</c:v>
                </c:pt>
                <c:pt idx="1">
                  <c:v>août 2016-2017</c:v>
                </c:pt>
                <c:pt idx="2">
                  <c:v>août 0</c:v>
                </c:pt>
              </c:strCache>
            </c:strRef>
          </c:cat>
          <c:val>
            <c:numRef>
              <c:f>'TABLEAUX SOURCES'!$BB$6:$BB$8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A4-47BF-88AD-8356FAB974E3}"/>
            </c:ext>
          </c:extLst>
        </c:ser>
        <c:ser>
          <c:idx val="2"/>
          <c:order val="2"/>
          <c:tx>
            <c:strRef>
              <c:f>'TABLEAUX SOURCES'!$BC$5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'TABLEAUX SOURCES'!$AM$6:$AM$8</c:f>
              <c:strCache>
                <c:ptCount val="3"/>
                <c:pt idx="0">
                  <c:v>août 2017-2018</c:v>
                </c:pt>
                <c:pt idx="1">
                  <c:v>août 2016-2017</c:v>
                </c:pt>
                <c:pt idx="2">
                  <c:v>août 0</c:v>
                </c:pt>
              </c:strCache>
            </c:strRef>
          </c:cat>
          <c:val>
            <c:numRef>
              <c:f>'TABLEAUX SOURCES'!$BC$6:$BC$8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3A4-47BF-88AD-8356FAB974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95038824"/>
        <c:axId val="695016520"/>
      </c:barChart>
      <c:catAx>
        <c:axId val="695038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695016520"/>
        <c:crosses val="autoZero"/>
        <c:auto val="1"/>
        <c:lblAlgn val="ctr"/>
        <c:lblOffset val="100"/>
        <c:noMultiLvlLbl val="0"/>
      </c:catAx>
      <c:valAx>
        <c:axId val="695016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695038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Century Gothic" panose="020B0502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croll" dx="22" fmlaLink="'TABLEAUX SOURCES'!$A$5" max="100" page="10" val="7"/>
</file>

<file path=xl/ctrlProps/ctrlProp2.xml><?xml version="1.0" encoding="utf-8"?>
<formControlPr xmlns="http://schemas.microsoft.com/office/spreadsheetml/2009/9/main" objectType="Scroll" dx="22" fmlaLink="'FICHE PRODUCTEUR'!$M$68" max="9" page="10" val="9"/>
</file>

<file path=xl/ctrlProps/ctrlProp3.xml><?xml version="1.0" encoding="utf-8"?>
<formControlPr xmlns="http://schemas.microsoft.com/office/spreadsheetml/2009/9/main" objectType="Scroll" dx="22" fmlaLink="$A$5" max="100" page="10" val="7"/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6.emf"/><Relationship Id="rId3" Type="http://schemas.openxmlformats.org/officeDocument/2006/relationships/image" Target="../media/image11.emf"/><Relationship Id="rId7" Type="http://schemas.openxmlformats.org/officeDocument/2006/relationships/image" Target="../media/image15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6" Type="http://schemas.openxmlformats.org/officeDocument/2006/relationships/image" Target="../media/image14.emf"/><Relationship Id="rId5" Type="http://schemas.openxmlformats.org/officeDocument/2006/relationships/image" Target="../media/image13.emf"/><Relationship Id="rId4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114299</xdr:colOff>
      <xdr:row>1</xdr:row>
      <xdr:rowOff>152400</xdr:rowOff>
    </xdr:from>
    <xdr:to>
      <xdr:col>3</xdr:col>
      <xdr:colOff>542924</xdr:colOff>
      <xdr:row>5</xdr:row>
      <xdr:rowOff>9525</xdr:rowOff>
    </xdr:to>
    <xdr:sp macro="[0]!Nouvelle_collecte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76299" y="342900"/>
          <a:ext cx="1952625" cy="619125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Nouvelle</a:t>
          </a:r>
          <a:r>
            <a:rPr lang="fr-FR" sz="1100" baseline="0"/>
            <a:t> collecte</a:t>
          </a:r>
          <a:endParaRPr lang="fr-FR" sz="1100"/>
        </a:p>
      </xdr:txBody>
    </xdr:sp>
    <xdr:clientData/>
  </xdr:twoCellAnchor>
  <xdr:twoCellAnchor>
    <xdr:from>
      <xdr:col>3</xdr:col>
      <xdr:colOff>647699</xdr:colOff>
      <xdr:row>1</xdr:row>
      <xdr:rowOff>152400</xdr:rowOff>
    </xdr:from>
    <xdr:to>
      <xdr:col>6</xdr:col>
      <xdr:colOff>419100</xdr:colOff>
      <xdr:row>5</xdr:row>
      <xdr:rowOff>19050</xdr:rowOff>
    </xdr:to>
    <xdr:sp macro="[0]!rapatriment_et_mise_en_forme_données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933699" y="342900"/>
          <a:ext cx="2057401" cy="62865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Extraction de résultats d'analyses</a:t>
          </a:r>
        </a:p>
      </xdr:txBody>
    </xdr:sp>
    <xdr:clientData/>
  </xdr:twoCellAnchor>
  <xdr:twoCellAnchor>
    <xdr:from>
      <xdr:col>6</xdr:col>
      <xdr:colOff>723900</xdr:colOff>
      <xdr:row>1</xdr:row>
      <xdr:rowOff>171450</xdr:rowOff>
    </xdr:from>
    <xdr:to>
      <xdr:col>9</xdr:col>
      <xdr:colOff>390525</xdr:colOff>
      <xdr:row>5</xdr:row>
      <xdr:rowOff>28575</xdr:rowOff>
    </xdr:to>
    <xdr:sp macro="[0]!onglet_BDD_PRIX_LAIT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295900" y="361950"/>
          <a:ext cx="1952625" cy="619125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Saisie des prix du lait</a:t>
          </a:r>
        </a:p>
      </xdr:txBody>
    </xdr:sp>
    <xdr:clientData/>
  </xdr:twoCellAnchor>
  <xdr:twoCellAnchor>
    <xdr:from>
      <xdr:col>9</xdr:col>
      <xdr:colOff>581025</xdr:colOff>
      <xdr:row>1</xdr:row>
      <xdr:rowOff>171450</xdr:rowOff>
    </xdr:from>
    <xdr:to>
      <xdr:col>12</xdr:col>
      <xdr:colOff>247650</xdr:colOff>
      <xdr:row>5</xdr:row>
      <xdr:rowOff>28575</xdr:rowOff>
    </xdr:to>
    <xdr:sp macro="[0]!onglet_TABLEAU_RECAPITULATIF" textlink="">
      <xdr:nvSpPr>
        <xdr:cNvPr id="6" name="Rectangle : en biseau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439025" y="361950"/>
          <a:ext cx="1952625" cy="619125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Consulter</a:t>
          </a:r>
          <a:r>
            <a:rPr lang="fr-FR" sz="1100" baseline="0"/>
            <a:t> le tableau récapitulatif producteurs</a:t>
          </a:r>
          <a:endParaRPr lang="fr-FR" sz="1100"/>
        </a:p>
      </xdr:txBody>
    </xdr:sp>
    <xdr:clientData/>
  </xdr:twoCellAnchor>
  <xdr:twoCellAnchor>
    <xdr:from>
      <xdr:col>3</xdr:col>
      <xdr:colOff>647700</xdr:colOff>
      <xdr:row>5</xdr:row>
      <xdr:rowOff>123825</xdr:rowOff>
    </xdr:from>
    <xdr:to>
      <xdr:col>6</xdr:col>
      <xdr:colOff>419101</xdr:colOff>
      <xdr:row>8</xdr:row>
      <xdr:rowOff>180975</xdr:rowOff>
    </xdr:to>
    <xdr:sp macro="[0]!onglet_RESULTATS_ANALYSES" textlink="">
      <xdr:nvSpPr>
        <xdr:cNvPr id="8" name="Rectangle : en biseau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933700" y="1076325"/>
          <a:ext cx="2057401" cy="62865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Consultations détails analyses </a:t>
          </a:r>
        </a:p>
      </xdr:txBody>
    </xdr:sp>
    <xdr:clientData/>
  </xdr:twoCellAnchor>
  <xdr:twoCellAnchor>
    <xdr:from>
      <xdr:col>12</xdr:col>
      <xdr:colOff>333375</xdr:colOff>
      <xdr:row>1</xdr:row>
      <xdr:rowOff>171450</xdr:rowOff>
    </xdr:from>
    <xdr:to>
      <xdr:col>15</xdr:col>
      <xdr:colOff>609600</xdr:colOff>
      <xdr:row>5</xdr:row>
      <xdr:rowOff>28575</xdr:rowOff>
    </xdr:to>
    <xdr:sp macro="[0]!onglet_BDD_AUTRES" textlink="">
      <xdr:nvSpPr>
        <xdr:cNvPr id="7" name="Rectangle : en biseau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477375" y="361950"/>
          <a:ext cx="2562225" cy="619125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Accéder aux bases dedonnées: producteurs,</a:t>
          </a:r>
          <a:r>
            <a:rPr lang="fr-FR" sz="1100" baseline="0"/>
            <a:t> prix lait etc</a:t>
          </a:r>
          <a:endParaRPr lang="fr-FR" sz="1100"/>
        </a:p>
      </xdr:txBody>
    </xdr:sp>
    <xdr:clientData/>
  </xdr:twoCellAnchor>
  <xdr:twoCellAnchor>
    <xdr:from>
      <xdr:col>9</xdr:col>
      <xdr:colOff>581025</xdr:colOff>
      <xdr:row>5</xdr:row>
      <xdr:rowOff>133350</xdr:rowOff>
    </xdr:from>
    <xdr:to>
      <xdr:col>12</xdr:col>
      <xdr:colOff>247650</xdr:colOff>
      <xdr:row>8</xdr:row>
      <xdr:rowOff>180975</xdr:rowOff>
    </xdr:to>
    <xdr:sp macro="[0]!onglet_FICHE_PRODUCTEUR" textlink="">
      <xdr:nvSpPr>
        <xdr:cNvPr id="9" name="Rectangle : en biseau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439025" y="1085850"/>
          <a:ext cx="1952625" cy="619125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Consulter</a:t>
          </a:r>
          <a:r>
            <a:rPr lang="fr-FR" sz="1100" baseline="0"/>
            <a:t>_Créer une fiche producteur</a:t>
          </a:r>
          <a:endParaRPr lang="fr-FR" sz="1100"/>
        </a:p>
      </xdr:txBody>
    </xdr:sp>
    <xdr:clientData/>
  </xdr:twoCellAnchor>
  <xdr:twoCellAnchor>
    <xdr:from>
      <xdr:col>9</xdr:col>
      <xdr:colOff>609600</xdr:colOff>
      <xdr:row>9</xdr:row>
      <xdr:rowOff>95250</xdr:rowOff>
    </xdr:from>
    <xdr:to>
      <xdr:col>12</xdr:col>
      <xdr:colOff>276225</xdr:colOff>
      <xdr:row>12</xdr:row>
      <xdr:rowOff>142875</xdr:rowOff>
    </xdr:to>
    <xdr:sp macro="[0]!onglet_FICHE_PRODUCTEUR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467600" y="1809750"/>
          <a:ext cx="1952625" cy="619125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Consulter</a:t>
          </a:r>
          <a:r>
            <a:rPr lang="fr-FR" sz="1100" baseline="0"/>
            <a:t> Tableau des paiments par producteur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47625</xdr:colOff>
      <xdr:row>0</xdr:row>
      <xdr:rowOff>171450</xdr:rowOff>
    </xdr:from>
    <xdr:to>
      <xdr:col>1</xdr:col>
      <xdr:colOff>47625</xdr:colOff>
      <xdr:row>0</xdr:row>
      <xdr:rowOff>590550</xdr:rowOff>
    </xdr:to>
    <xdr:sp macro="[0]!retour_men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7625" y="171450"/>
          <a:ext cx="1266825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Retour 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104775</xdr:rowOff>
    </xdr:from>
    <xdr:to>
      <xdr:col>0</xdr:col>
      <xdr:colOff>1390650</xdr:colOff>
      <xdr:row>0</xdr:row>
      <xdr:rowOff>523875</xdr:rowOff>
    </xdr:to>
    <xdr:sp macro="[0]!retour_men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104775"/>
          <a:ext cx="1390650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Retour menu</a:t>
          </a:r>
        </a:p>
      </xdr:txBody>
    </xdr:sp>
    <xdr:clientData/>
  </xdr:twoCellAnchor>
  <xdr:twoCellAnchor editAs="oneCell">
    <xdr:from>
      <xdr:col>15</xdr:col>
      <xdr:colOff>9524</xdr:colOff>
      <xdr:row>1</xdr:row>
      <xdr:rowOff>47624</xdr:rowOff>
    </xdr:from>
    <xdr:to>
      <xdr:col>19</xdr:col>
      <xdr:colOff>76199</xdr:colOff>
      <xdr:row>8</xdr:row>
      <xdr:rowOff>76199</xdr:rowOff>
    </xdr:to>
    <xdr:sp macro="" textlink="">
      <xdr:nvSpPr>
        <xdr:cNvPr id="3" name="Légende : flèche vers la gauch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9335749" y="866774"/>
          <a:ext cx="3114675" cy="1362075"/>
        </a:xfrm>
        <a:prstGeom prst="leftArrowCallo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 ajouter</a:t>
          </a:r>
          <a:r>
            <a:rPr lang="fr-FR" sz="1100" baseline="0"/>
            <a:t> ou supprimer une ligne: click droit et</a:t>
          </a:r>
        </a:p>
        <a:p>
          <a:pPr algn="l"/>
          <a:r>
            <a:rPr lang="fr-FR" sz="1100" baseline="0"/>
            <a:t>- "INSERER-&gt; ligne de tableau en haut" </a:t>
          </a:r>
        </a:p>
        <a:p>
          <a:pPr algn="l"/>
          <a:r>
            <a:rPr lang="fr-FR" sz="1100" baseline="0"/>
            <a:t>- "SUPPRIMER-&gt; lligne de tableau"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238125</xdr:rowOff>
    </xdr:from>
    <xdr:to>
      <xdr:col>0</xdr:col>
      <xdr:colOff>1485900</xdr:colOff>
      <xdr:row>0</xdr:row>
      <xdr:rowOff>657225</xdr:rowOff>
    </xdr:to>
    <xdr:sp macro="[0]!retour_men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5250" y="238125"/>
          <a:ext cx="1390650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Retour menu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171238</xdr:colOff>
          <xdr:row>0</xdr:row>
          <xdr:rowOff>67218</xdr:rowOff>
        </xdr:from>
        <xdr:to>
          <xdr:col>4</xdr:col>
          <xdr:colOff>343357</xdr:colOff>
          <xdr:row>3</xdr:row>
          <xdr:rowOff>12460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6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BDD AUTRES'!$E$14:$G$17" spid="_x0000_s2425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354496" y="67218"/>
              <a:ext cx="2451698" cy="98336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432882</xdr:colOff>
          <xdr:row>0</xdr:row>
          <xdr:rowOff>140299</xdr:rowOff>
        </xdr:from>
        <xdr:to>
          <xdr:col>6</xdr:col>
          <xdr:colOff>1016714</xdr:colOff>
          <xdr:row>3</xdr:row>
          <xdr:rowOff>21405</xdr:rowOff>
        </xdr:to>
        <xdr:pic>
          <xdr:nvPicPr>
            <xdr:cNvPr id="7" name="Image 6">
              <a:extLst>
                <a:ext uri="{FF2B5EF4-FFF2-40B4-BE49-F238E27FC236}">
                  <a16:creationId xmlns:a16="http://schemas.microsoft.com/office/drawing/2014/main" id="{00000000-0008-0000-0600-00000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BDD AUTRES'!$E$19:$G$22" spid="_x0000_s2425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895719" y="140299"/>
              <a:ext cx="2606557" cy="91922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1158638</xdr:colOff>
          <xdr:row>0</xdr:row>
          <xdr:rowOff>110376</xdr:rowOff>
        </xdr:from>
        <xdr:to>
          <xdr:col>9</xdr:col>
          <xdr:colOff>1038118</xdr:colOff>
          <xdr:row>5</xdr:row>
          <xdr:rowOff>201541</xdr:rowOff>
        </xdr:to>
        <xdr:pic>
          <xdr:nvPicPr>
            <xdr:cNvPr id="8" name="Image 7">
              <a:extLst>
                <a:ext uri="{FF2B5EF4-FFF2-40B4-BE49-F238E27FC236}">
                  <a16:creationId xmlns:a16="http://schemas.microsoft.com/office/drawing/2014/main" id="{00000000-0008-0000-0600-00000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BDD AUTRES'!$E$24:$G$29" spid="_x0000_s24259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7644200" y="110376"/>
              <a:ext cx="2576446" cy="166439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absolute">
    <xdr:from>
      <xdr:col>0</xdr:col>
      <xdr:colOff>53510</xdr:colOff>
      <xdr:row>2</xdr:row>
      <xdr:rowOff>85618</xdr:rowOff>
    </xdr:from>
    <xdr:to>
      <xdr:col>1</xdr:col>
      <xdr:colOff>448851</xdr:colOff>
      <xdr:row>3</xdr:row>
      <xdr:rowOff>98033</xdr:rowOff>
    </xdr:to>
    <xdr:sp macro="[0]!retour_menu" textlink="">
      <xdr:nvSpPr>
        <xdr:cNvPr id="9" name="Rectangle : en biseau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53510" y="717051"/>
          <a:ext cx="1390650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Retour 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409575</xdr:colOff>
          <xdr:row>52</xdr:row>
          <xdr:rowOff>200025</xdr:rowOff>
        </xdr:from>
        <xdr:to>
          <xdr:col>13</xdr:col>
          <xdr:colOff>314325</xdr:colOff>
          <xdr:row>55</xdr:row>
          <xdr:rowOff>190500</xdr:rowOff>
        </xdr:to>
        <xdr:sp macro="" textlink="">
          <xdr:nvSpPr>
            <xdr:cNvPr id="10949" name="Scroll Bar 709" hidden="1">
              <a:extLst>
                <a:ext uri="{63B3BB69-23CF-44E3-9099-C40C66FF867C}">
                  <a14:compatExt spid="_x0000_s10949"/>
                </a:ext>
                <a:ext uri="{FF2B5EF4-FFF2-40B4-BE49-F238E27FC236}">
                  <a16:creationId xmlns:a16="http://schemas.microsoft.com/office/drawing/2014/main" id="{00000000-0008-0000-0600-0000C52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51</xdr:row>
          <xdr:rowOff>107022</xdr:rowOff>
        </xdr:from>
        <xdr:to>
          <xdr:col>4</xdr:col>
          <xdr:colOff>374422</xdr:colOff>
          <xdr:row>67</xdr:row>
          <xdr:rowOff>96320</xdr:rowOff>
        </xdr:to>
        <xdr:pic>
          <xdr:nvPicPr>
            <xdr:cNvPr id="12" name="Image 11">
              <a:extLst>
                <a:ext uri="{FF2B5EF4-FFF2-40B4-BE49-F238E27FC236}">
                  <a16:creationId xmlns:a16="http://schemas.microsoft.com/office/drawing/2014/main" id="{00000000-0008-0000-0600-00000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TABLEAUX SOURCES'!$C$16:$H$27" spid="_x0000_s24260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0" y="5265505"/>
              <a:ext cx="5500798" cy="341401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791966</xdr:colOff>
          <xdr:row>51</xdr:row>
          <xdr:rowOff>117725</xdr:rowOff>
        </xdr:from>
        <xdr:to>
          <xdr:col>9</xdr:col>
          <xdr:colOff>1294972</xdr:colOff>
          <xdr:row>67</xdr:row>
          <xdr:rowOff>96320</xdr:rowOff>
        </xdr:to>
        <xdr:pic>
          <xdr:nvPicPr>
            <xdr:cNvPr id="14" name="Image 13">
              <a:extLst>
                <a:ext uri="{FF2B5EF4-FFF2-40B4-BE49-F238E27FC236}">
                  <a16:creationId xmlns:a16="http://schemas.microsoft.com/office/drawing/2014/main" id="{00000000-0008-0000-06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TABLEAUX SOURCES'!$J$16:$N$27" spid="_x0000_s24261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5254803" y="5276208"/>
              <a:ext cx="5222697" cy="340331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65</xdr:row>
          <xdr:rowOff>104775</xdr:rowOff>
        </xdr:from>
        <xdr:to>
          <xdr:col>13</xdr:col>
          <xdr:colOff>285750</xdr:colOff>
          <xdr:row>68</xdr:row>
          <xdr:rowOff>114300</xdr:rowOff>
        </xdr:to>
        <xdr:sp macro="" textlink="">
          <xdr:nvSpPr>
            <xdr:cNvPr id="23552" name="Scroll Bar 1024" hidden="1">
              <a:extLst>
                <a:ext uri="{63B3BB69-23CF-44E3-9099-C40C66FF867C}">
                  <a14:compatExt spid="_x0000_s23552"/>
                </a:ext>
                <a:ext uri="{FF2B5EF4-FFF2-40B4-BE49-F238E27FC236}">
                  <a16:creationId xmlns:a16="http://schemas.microsoft.com/office/drawing/2014/main" id="{00000000-0008-0000-0600-000000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67</xdr:row>
          <xdr:rowOff>98928</xdr:rowOff>
        </xdr:from>
        <xdr:to>
          <xdr:col>4</xdr:col>
          <xdr:colOff>342472</xdr:colOff>
          <xdr:row>81</xdr:row>
          <xdr:rowOff>132911</xdr:rowOff>
        </xdr:to>
        <xdr:pic>
          <xdr:nvPicPr>
            <xdr:cNvPr id="15" name="Image 14">
              <a:extLst>
                <a:ext uri="{FF2B5EF4-FFF2-40B4-BE49-F238E27FC236}">
                  <a16:creationId xmlns:a16="http://schemas.microsoft.com/office/drawing/2014/main" id="{00000000-0008-0000-0600-00000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TABLEAUX SOURCES'!$Z$11:$AE$25" spid="_x0000_s24262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0" y="8682130"/>
              <a:ext cx="5468848" cy="320184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807711</xdr:colOff>
          <xdr:row>67</xdr:row>
          <xdr:rowOff>96321</xdr:rowOff>
        </xdr:from>
        <xdr:to>
          <xdr:col>9</xdr:col>
          <xdr:colOff>1324420</xdr:colOff>
          <xdr:row>81</xdr:row>
          <xdr:rowOff>139130</xdr:rowOff>
        </xdr:to>
        <xdr:pic>
          <xdr:nvPicPr>
            <xdr:cNvPr id="16" name="Image 15">
              <a:extLst>
                <a:ext uri="{FF2B5EF4-FFF2-40B4-BE49-F238E27FC236}">
                  <a16:creationId xmlns:a16="http://schemas.microsoft.com/office/drawing/2014/main" id="{00000000-0008-0000-0600-00001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TABLEAUX SOURCES'!$AM$11:$AR$25" spid="_x0000_s24263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5270548" y="8679523"/>
              <a:ext cx="5236400" cy="321067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81</xdr:row>
          <xdr:rowOff>64212</xdr:rowOff>
        </xdr:from>
        <xdr:to>
          <xdr:col>4</xdr:col>
          <xdr:colOff>267556</xdr:colOff>
          <xdr:row>95</xdr:row>
          <xdr:rowOff>205874</xdr:rowOff>
        </xdr:to>
        <xdr:pic>
          <xdr:nvPicPr>
            <xdr:cNvPr id="17" name="Image 16">
              <a:extLst>
                <a:ext uri="{FF2B5EF4-FFF2-40B4-BE49-F238E27FC236}">
                  <a16:creationId xmlns:a16="http://schemas.microsoft.com/office/drawing/2014/main" id="{00000000-0008-0000-0600-000011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TABLEAUX SOURCES'!$AZ$11:$BE$25" spid="_x0000_s24264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0" y="11815279"/>
              <a:ext cx="5393932" cy="313829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1000125</xdr:colOff>
          <xdr:row>2</xdr:row>
          <xdr:rowOff>180975</xdr:rowOff>
        </xdr:from>
        <xdr:to>
          <xdr:col>0</xdr:col>
          <xdr:colOff>1304925</xdr:colOff>
          <xdr:row>6</xdr:row>
          <xdr:rowOff>180975</xdr:rowOff>
        </xdr:to>
        <xdr:sp macro="" textlink="">
          <xdr:nvSpPr>
            <xdr:cNvPr id="17410" name="Scroll Bar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7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66674</xdr:colOff>
      <xdr:row>15</xdr:row>
      <xdr:rowOff>76200</xdr:rowOff>
    </xdr:from>
    <xdr:to>
      <xdr:col>7</xdr:col>
      <xdr:colOff>609599</xdr:colOff>
      <xdr:row>26</xdr:row>
      <xdr:rowOff>66675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161925</xdr:colOff>
      <xdr:row>15</xdr:row>
      <xdr:rowOff>104775</xdr:rowOff>
    </xdr:from>
    <xdr:to>
      <xdr:col>13</xdr:col>
      <xdr:colOff>838200</xdr:colOff>
      <xdr:row>26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66675</xdr:colOff>
      <xdr:row>10</xdr:row>
      <xdr:rowOff>66675</xdr:rowOff>
    </xdr:from>
    <xdr:to>
      <xdr:col>30</xdr:col>
      <xdr:colOff>600075</xdr:colOff>
      <xdr:row>24</xdr:row>
      <xdr:rowOff>76200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38</xdr:col>
      <xdr:colOff>171451</xdr:colOff>
      <xdr:row>10</xdr:row>
      <xdr:rowOff>76200</xdr:rowOff>
    </xdr:from>
    <xdr:to>
      <xdr:col>43</xdr:col>
      <xdr:colOff>590551</xdr:colOff>
      <xdr:row>24</xdr:row>
      <xdr:rowOff>104775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51</xdr:col>
      <xdr:colOff>171451</xdr:colOff>
      <xdr:row>10</xdr:row>
      <xdr:rowOff>76200</xdr:rowOff>
    </xdr:from>
    <xdr:to>
      <xdr:col>56</xdr:col>
      <xdr:colOff>590551</xdr:colOff>
      <xdr:row>24</xdr:row>
      <xdr:rowOff>104775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123825</xdr:colOff>
      <xdr:row>0</xdr:row>
      <xdr:rowOff>104775</xdr:rowOff>
    </xdr:from>
    <xdr:to>
      <xdr:col>0</xdr:col>
      <xdr:colOff>1390650</xdr:colOff>
      <xdr:row>0</xdr:row>
      <xdr:rowOff>523875</xdr:rowOff>
    </xdr:to>
    <xdr:sp macro="[0]!retour_men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123825" y="104775"/>
          <a:ext cx="1266825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Retour menu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209550</xdr:colOff>
      <xdr:row>0</xdr:row>
      <xdr:rowOff>219075</xdr:rowOff>
    </xdr:from>
    <xdr:to>
      <xdr:col>1</xdr:col>
      <xdr:colOff>123825</xdr:colOff>
      <xdr:row>0</xdr:row>
      <xdr:rowOff>638175</xdr:rowOff>
    </xdr:to>
    <xdr:sp macro="[0]!retour_men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209550" y="219075"/>
          <a:ext cx="1209675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Retour menu</a:t>
          </a:r>
        </a:p>
      </xdr:txBody>
    </xdr:sp>
    <xdr:clientData/>
  </xdr:twoCellAnchor>
  <xdr:twoCellAnchor editAs="absolute">
    <xdr:from>
      <xdr:col>1</xdr:col>
      <xdr:colOff>381000</xdr:colOff>
      <xdr:row>0</xdr:row>
      <xdr:rowOff>228600</xdr:rowOff>
    </xdr:from>
    <xdr:to>
      <xdr:col>3</xdr:col>
      <xdr:colOff>295275</xdr:colOff>
      <xdr:row>0</xdr:row>
      <xdr:rowOff>647700</xdr:rowOff>
    </xdr:to>
    <xdr:sp macro="[0]!explication_modification_analyse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1676400" y="228600"/>
          <a:ext cx="1866900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Modifier une ligne</a:t>
          </a:r>
        </a:p>
      </xdr:txBody>
    </xdr:sp>
    <xdr:clientData/>
  </xdr:twoCellAnchor>
  <xdr:twoCellAnchor editAs="absolute">
    <xdr:from>
      <xdr:col>3</xdr:col>
      <xdr:colOff>419100</xdr:colOff>
      <xdr:row>0</xdr:row>
      <xdr:rowOff>238125</xdr:rowOff>
    </xdr:from>
    <xdr:to>
      <xdr:col>4</xdr:col>
      <xdr:colOff>1066800</xdr:colOff>
      <xdr:row>0</xdr:row>
      <xdr:rowOff>657225</xdr:rowOff>
    </xdr:to>
    <xdr:sp macro="[0]!explication_modification_analyse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3667125" y="238125"/>
          <a:ext cx="1866900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Supprimer des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lignes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stres/Desktop/PIERRE/PRO/ANTOLA%20COOP/XL%20et%20VBA/EXERCICES/ESSAIS%20XL%20et%20VBA/EEXERCICES%20XL/EXERCICES%20XL/essais%20formulaires%20images%20lie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ec_INDIRECT"/>
      <sheetName val="exemple images dynamiques"/>
      <sheetName val="Feuil2"/>
      <sheetName val="Feuil1"/>
    </sheetNames>
    <sheetDataSet>
      <sheetData sheetId="0">
        <row r="1">
          <cell r="H1">
            <v>0</v>
          </cell>
          <cell r="I1">
            <v>5</v>
          </cell>
          <cell r="K1" t="str">
            <v>re_entry</v>
          </cell>
        </row>
      </sheetData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FEA5C1-F4E1-4E4A-8B8C-14497AFDB52B}" name="Tableau1" displayName="Tableau1" ref="A1:H4" totalsRowShown="0" dataDxfId="188">
  <autoFilter ref="A1:H4" xr:uid="{920E788E-89C9-40F3-8819-5DD58FE4DF8C}"/>
  <tableColumns count="8">
    <tableColumn id="1" xr3:uid="{30E48AF4-E24C-4FAA-9631-4C8E0F202BDA}" name="Date de collecte" dataDxfId="187"/>
    <tableColumn id="6" xr3:uid="{348733F3-E108-4C12-A6E1-0C905468000D}" name="Producteur" dataDxfId="186"/>
    <tableColumn id="8" xr3:uid="{DC757F38-477E-4F63-900C-4E86B0FAC980}" name="Saison" dataDxfId="185">
      <calculatedColumnFormula>IFERROR(IF(OR(Tableau1[[#This Row],[Mois]]="décembre",Tableau1[[#This Row],[Mois]]="novembre"),CONCATENATE(Tableau1[[#This Row],[Année]],"-",Tableau1[[#This Row],[Année]]+1),CONCATENATE(Tableau1[[#This Row],[Année]]-1,"-",Tableau1[[#This Row],[Année]])),"")</calculatedColumnFormula>
    </tableColumn>
    <tableColumn id="2" xr3:uid="{E6DBE61B-119B-4CF6-B6D0-E99C99F2BFCC}" name="Année" dataDxfId="184">
      <calculatedColumnFormula>IF(Tableau1[Date de collecte]="","",TEXT(Tableau1[Date de collecte],"aaaa"))</calculatedColumnFormula>
    </tableColumn>
    <tableColumn id="3" xr3:uid="{9E265144-3A8A-4574-9A91-62FD52511D8E}" name="Mois" dataDxfId="183">
      <calculatedColumnFormula>IF(Tableau1[Date de collecte]="","",TEXT(Tableau1[Date de collecte],"mmmm"))</calculatedColumnFormula>
    </tableColumn>
    <tableColumn id="4" xr3:uid="{B6603CD3-11A2-403F-BA04-17F26F66DFF3}" name="Litrage" dataDxfId="182"/>
    <tableColumn id="5" xr3:uid="{CC6C502F-47EE-4119-96CA-3BB4A60E0A89}" name="Type de lait" dataDxfId="181"/>
    <tableColumn id="7" xr3:uid="{CAB3010A-A3C9-499A-AE3D-A2F1ACF6703F}" name="Traitement thermique" dataDxfId="18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F6032E-1B2C-4F09-9AB6-DA3ADDF3ACA0}" name="Tableau2" displayName="Tableau2" ref="M1:O37" totalsRowShown="0">
  <autoFilter ref="M1:O37" xr:uid="{B6B0F743-0DC2-4013-A60A-FDA22F5778E7}"/>
  <sortState ref="M2:O37">
    <sortCondition ref="M1:M37"/>
  </sortState>
  <tableColumns count="3">
    <tableColumn id="1" xr3:uid="{562B3B39-53DE-4631-9080-810DA598A3EF}" name="NOM EXPLOITATION"/>
    <tableColumn id="2" xr3:uid="{36856852-A9C8-4EBA-9109-BB97ECE2E0FF}" name="NOM DE LA MAISON"/>
    <tableColumn id="3" xr3:uid="{A89F581A-FE2E-43DB-9998-2F1826D6F64D}" name="NOM PRODUCTEUR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8FD09B3-8B37-4B71-A10D-206EFD92A828}" name="Tableau5" displayName="Tableau5" ref="A1:B3" totalsRowShown="0">
  <autoFilter ref="A1:B3" xr:uid="{84B4AC9E-EE6A-4AB4-BA3C-FC377B90F5FC}"/>
  <tableColumns count="2">
    <tableColumn id="1" xr3:uid="{AAA84994-B752-4E35-816B-A2B4A0811718}" name="QUALITE DU LAIT"/>
    <tableColumn id="2" xr3:uid="{61F9A614-70A8-430B-A68C-CED00E748603}" name="LISTE TRAITEMENTS THERMIQUES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B378923-49B3-4BC6-99DC-83E152FF629C}" name="Tableau10" displayName="Tableau10" ref="D1:G12" totalsRowShown="0" headerRowDxfId="179" dataDxfId="177" headerRowBorderDxfId="178" tableBorderDxfId="176">
  <autoFilter ref="D1:G12" xr:uid="{06F99BA6-FEC4-4A3F-B359-D0C68688242D}"/>
  <tableColumns count="4">
    <tableColumn id="1" xr3:uid="{68B7DA57-7A33-4378-BC05-A9FDE306E83C}" name="Type analyse_seuil" dataDxfId="175"/>
    <tableColumn id="2" xr3:uid="{74F6026F-3D8D-44DE-8FF4-23571CEB7055}" name="SEUIL" dataDxfId="174"/>
    <tableColumn id="3" xr3:uid="{4AFDADF7-FCC8-4AF6-92E6-ECC8D0800793}" name="Notation" dataDxfId="173"/>
    <tableColumn id="4" xr3:uid="{E1472EAD-426B-432C-82A9-C1978923612F}" name="Modulation" dataDxfId="172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D0C01BC-DC21-4E02-B67C-FA83B0309808}" name="Tableau6" displayName="Tableau6" ref="I1:K4" totalsRowShown="0">
  <autoFilter ref="I1:K4" xr:uid="{1AD3E3BB-24BE-4677-9951-688E7D4DC509}"/>
  <tableColumns count="3">
    <tableColumn id="1" xr3:uid="{A194A761-3668-497C-8D8F-AC6DFACD4451}" name="Paramètre"/>
    <tableColumn id="2" xr3:uid="{3F2FB030-FFCE-4047-88A2-2D157DF1176C}" name="Seuil"/>
    <tableColumn id="3" xr3:uid="{8BFEDB7C-A49B-4ECB-85DA-9A2D2CDF4883}" name="Modulation" dataDxfId="171"/>
  </tableColumns>
  <tableStyleInfo name="TableStyleMedium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4449A6A-5597-47C3-9776-FF95802C7C05}" name="Tableau9" displayName="Tableau9" ref="U1:V10" totalsRowShown="0">
  <autoFilter ref="U1:V10" xr:uid="{93A59ED4-031F-45B9-BC1E-A5189047096E}"/>
  <tableColumns count="2">
    <tableColumn id="1" xr3:uid="{B7576C7C-20BD-45F0-A55C-C8640F1923E0}" name="Colonne1"/>
    <tableColumn id="2" xr3:uid="{71825D1D-7EA0-48A7-9809-1944A98ED221}" name="Liste saisons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1F4655D-68B4-4F83-8C12-77CA503A23C2}" name="Tableau11" displayName="Tableau11" ref="A1:H7" totalsRowShown="0">
  <autoFilter ref="A1:H7" xr:uid="{BF5891BC-ED18-45EF-886F-D946B67A74ED}"/>
  <tableColumns count="8">
    <tableColumn id="1" xr3:uid="{D2BA407B-D44B-4599-B1EA-7D5986ADA327}" name="Date de début de campagne"/>
    <tableColumn id="2" xr3:uid="{A91CABC7-879F-4330-B905-0C367C7367BA}" name="Date de fin de campagne"/>
    <tableColumn id="3" xr3:uid="{161E074A-6D28-4E5E-8EEA-6533D16F2414}" name="Type de lait"/>
    <tableColumn id="4" xr3:uid="{9BA92A4F-48F4-406E-97AD-BF8A7B192DC1}" name="Traitement thermique"/>
    <tableColumn id="7" xr3:uid="{F1AAE5E5-E2C9-4BBE-90BF-A5247BC40D02}" name="SAISON" dataDxfId="170">
      <calculatedColumnFormula>IF(OR(TEXT(Tableau11[[#This Row],[Date de début de campagne]],"mmmm")="décembre",TEXT(Tableau11[[#This Row],[Date de début de campagne]],"mmmm")="novembre"),CONCATENATE(TEXT(Tableau11[[#This Row],[Date de début de campagne]],"aaaa"),"-",TEXT(Tableau11[[#This Row],[Date de début de campagne]],"aaaa")+1),"Début de saison doit être en novembre ou décembre")</calculatedColumnFormula>
    </tableColumn>
    <tableColumn id="8" xr3:uid="{82409572-82C4-40C2-A45E-129FE14B2D32}" name="Trinômes saison_qualite_traitement thermique" dataDxfId="169">
      <calculatedColumnFormula>IF(Tableau11[[#This Row],[Date de début de campagne]]="","",CONCATENATE(Tableau11[[#This Row],[SAISON]],Tableau11[[#This Row],[Type de lait]],Tableau11[[#This Row],[Traitement thermique]]))</calculatedColumnFormula>
    </tableColumn>
    <tableColumn id="5" xr3:uid="{2ECB43E7-80B6-492E-A06A-F5F42488EA1E}" name="Base avant acompte" dataDxfId="168"/>
    <tableColumn id="6" xr3:uid="{18076A20-FD83-45A6-9DD0-61D46D85BF4D}" name="Base après acompte" dataDxfId="167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AB6B4F9-D923-4920-A8F3-B5D6FCCFA7C5}" name="Tableau12" displayName="Tableau12" ref="A8:N19" totalsRowCount="1" headerRowDxfId="166" dataDxfId="165">
  <autoFilter ref="A8:N18" xr:uid="{CB9B30B3-40CD-4583-81DA-0A41EA7579F3}"/>
  <tableColumns count="14">
    <tableColumn id="1" xr3:uid="{D869284F-0785-4B08-BC86-DA363951412D}" name="Mois" dataDxfId="164" totalsRowDxfId="163"/>
    <tableColumn id="2" xr3:uid="{C1E41788-F7B4-49BF-A4A3-12108AD2EE29}" name="MG" dataDxfId="162" totalsRowDxfId="161">
      <calculatedColumnFormula>IFERROR(INDEX(Tableau47[#All],MATCH(Tableau12[[#This Row],[quinte]],Tableau47[[#All],[Quintuplé Année-Mois-Producteur-Type lait_Traitement thermique]],0),MATCH(Tableau47[[#Headers],[MG]],Tableau47[#Headers],0)),"")</calculatedColumnFormula>
    </tableColumn>
    <tableColumn id="3" xr3:uid="{E69C2FC2-42AB-4B93-8DDB-A03E6A01BD86}" name="MP" dataDxfId="160" totalsRowDxfId="159">
      <calculatedColumnFormula>IFERROR(INDEX(Tableau47[#All],MATCH(Tableau12[[#This Row],[quinte]],Tableau47[[#All],[Quintuplé Année-Mois-Producteur-Type lait_Traitement thermique]],0),MATCH(Tableau47[[#Headers],[MP]],Tableau47[#Headers],0)),"")</calculatedColumnFormula>
    </tableColumn>
    <tableColumn id="4" xr3:uid="{D81C7AB0-40D2-4894-914E-C73F2AE2F465}" name="Germes" dataDxfId="158" totalsRowDxfId="157">
      <calculatedColumnFormula>IFERROR(INDEX(Tableau47[#All],MATCH(Tableau12[[#This Row],[quinte]],Tableau47[[#All],[Quintuplé Année-Mois-Producteur-Type lait_Traitement thermique]],0),MATCH(Tableau47[[#Headers],[Classe CE]],Tableau47[#Headers],0)),"")</calculatedColumnFormula>
    </tableColumn>
    <tableColumn id="5" xr3:uid="{AB77AE89-895E-45E0-A10E-5B6CECFB921D}" name="Butyriques" dataDxfId="156" totalsRowDxfId="155">
      <calculatedColumnFormula>IFERROR(INDEX(Tableau47[#All],MATCH(Tableau12[[#This Row],[quinte]],Tableau47[[#All],[Quintuplé Année-Mois-Producteur-Type lait_Traitement thermique]],0),MATCH(Tableau47[[#Headers],[Classe BU]],Tableau47[#Headers],0)),"")</calculatedColumnFormula>
    </tableColumn>
    <tableColumn id="8" xr3:uid="{36161227-0A24-4768-B440-BFC7D92371FD}" name="Coliformes" dataDxfId="154" totalsRowDxfId="153">
      <calculatedColumnFormula>IFERROR(INDEX(Tableau47[#All],MATCH(Tableau12[[#This Row],[quinte]],Tableau47[[#All],[Quintuplé Année-Mois-Producteur-Type lait_Traitement thermique]],0),MATCH(Tableau47[[#Headers],[Classe CO]],Tableau47[#Headers],0)),"")</calculatedColumnFormula>
    </tableColumn>
    <tableColumn id="6" xr3:uid="{94480182-C5E0-4666-B1A3-3D007928AA59}" name="Prix litre" dataDxfId="152" totalsRowDxfId="151">
      <calculatedColumnFormula>IFERROR(INDEX(Tableau47[#All],MATCH(Tableau12[[#This Row],[quinte]],Tableau47[[#All],[Quintuplé Année-Mois-Producteur-Type lait_Traitement thermique]],0),MATCH(Tableau47[[#Headers],[Prix au litre avant acompte modulé]],Tableau47[#Headers],0)),"")</calculatedColumnFormula>
    </tableColumn>
    <tableColumn id="12" xr3:uid="{B332E9D1-8DF1-4658-B478-06B68EC11EA8}" name="Prix litre après acompte" dataDxfId="150" totalsRowDxfId="149">
      <calculatedColumnFormula>IFERROR(INDEX(Tableau47[#All],MATCH(Tableau12[[#This Row],[quinte]],Tableau47[[#All],[Quintuplé Année-Mois-Producteur-Type lait_Traitement thermique]],0),MATCH(Tableau47[[#Headers],[Prix au litre après acompte modulé]],Tableau47[#Headers],0)),"")</calculatedColumnFormula>
    </tableColumn>
    <tableColumn id="7" xr3:uid="{C2EBF768-583D-4081-9099-F4CD6851A2F4}" name="Litrage" totalsRowLabel="Total" dataDxfId="148" totalsRowDxfId="147">
      <calculatedColumnFormula>IFERROR(INDEX(Tableau47[#All],MATCH(Tableau12[[#This Row],[quinte]],Tableau47[[#All],[Quintuplé Année-Mois-Producteur-Type lait_Traitement thermique]],0),MATCH(Tableau47[[#Headers],[Litrage]],Tableau47[#Headers],0)),"")</calculatedColumnFormula>
    </tableColumn>
    <tableColumn id="11" xr3:uid="{6103F563-B8B8-4116-928F-CBA81DA69BDC}" name="Total" totalsRowFunction="sum" dataDxfId="146" totalsRowDxfId="145">
      <calculatedColumnFormula>IFERROR(INDEX(Tableau47[#All],MATCH(Tableau12[[#This Row],[quinte]],Tableau47[[#All],[Quintuplé Année-Mois-Producteur-Type lait_Traitement thermique]],0),MATCH(Tableau47[[#Headers],[Montant pour acompte]],Tableau47[#Headers],0)),"")</calculatedColumnFormula>
    </tableColumn>
    <tableColumn id="14" xr3:uid="{692180BF-77FF-442B-A26F-D81BA8C216EA}" name="Total après acompte" dataDxfId="144" totalsRowDxfId="143">
      <calculatedColumnFormula>IFERROR(INDEX(Tableau47[#All],MATCH(Tableau12[[#This Row],[quinte]],Tableau47[[#All],[Quintuplé Année-Mois-Producteur-Type lait_Traitement thermique]],0),MATCH(Tableau47[[#Headers],[Montant après acompte]],Tableau47[#Headers],0)),"")</calculatedColumnFormula>
    </tableColumn>
    <tableColumn id="13" xr3:uid="{8772BD41-3158-4160-9B53-F560214B6905}" name="Reste à payer" dataDxfId="142" totalsRowDxfId="141">
      <calculatedColumnFormula>IF(Tableau12[[#This Row],[Total]]="","",IF(Tableau12[[#This Row],[Total après acompte]]="","",Tableau12[[#This Row],[Total après acompte]]-Tableau12[[#This Row],[Total]]))</calculatedColumnFormula>
    </tableColumn>
    <tableColumn id="9" xr3:uid="{C526A811-6220-40DA-B6E8-EF1A6A55958F}" name="année" dataDxfId="140" totalsRowDxfId="139">
      <calculatedColumnFormula>IF(OR(Tableau12[[#This Row],[Mois]]="décembre",Tableau12[[#This Row],[Mois]]="novembre"),LEFT(cSaison,4),RIGHT(cSaison,4))</calculatedColumnFormula>
    </tableColumn>
    <tableColumn id="10" xr3:uid="{8F096DDB-E40A-4649-A746-F8B8033757C6}" name="quinte" dataDxfId="138" totalsRowDxfId="137">
      <calculatedColumnFormula>CONCATENATE(Tableau12[[#This Row],[année]],"_",Tableau12[[#This Row],[Mois]],"-",cProducteur,"/",$B$6,"+",$B$5)</calculatedColumnFormula>
    </tableColumn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7EE35C26-1D0A-470C-B34E-964DFEF87AE2}" name="Tableau1214" displayName="Tableau1214" ref="A24:N35" totalsRowCount="1" headerRowDxfId="136" dataDxfId="135">
  <autoFilter ref="A24:N34" xr:uid="{7252FF80-2437-48BF-9828-C874D9812C12}"/>
  <tableColumns count="14">
    <tableColumn id="1" xr3:uid="{70DD623D-70BA-483D-99DF-DB62BC36F527}" name="Mois" dataDxfId="134" totalsRowDxfId="133"/>
    <tableColumn id="2" xr3:uid="{E22CC272-0274-4D89-9E66-5289F5244922}" name="MG" dataDxfId="132" totalsRowDxfId="131">
      <calculatedColumnFormula>IFERROR(INDEX(Tableau47[#All],MATCH(Tableau1214[[#This Row],[quinte]],Tableau47[[#All],[Quintuplé Année-Mois-Producteur-Type lait_Traitement thermique]],0),MATCH(Tableau47[[#Headers],[MG]],Tableau47[#Headers],0)),"")</calculatedColumnFormula>
    </tableColumn>
    <tableColumn id="3" xr3:uid="{5B2A50F0-AE06-49B7-A873-17693846E427}" name="MP" dataDxfId="130" totalsRowDxfId="129">
      <calculatedColumnFormula>IFERROR(INDEX(Tableau47[#All],MATCH(Tableau1214[[#This Row],[quinte]],Tableau47[[#All],[Quintuplé Année-Mois-Producteur-Type lait_Traitement thermique]],0),MATCH(Tableau47[[#Headers],[MP]],Tableau47[#Headers],0)),"")</calculatedColumnFormula>
    </tableColumn>
    <tableColumn id="4" xr3:uid="{F480B354-6D96-4BA4-ABA8-D02BFA133D4E}" name="Germes" dataDxfId="128" totalsRowDxfId="127">
      <calculatedColumnFormula>IFERROR(INDEX(Tableau47[#All],MATCH(Tableau1214[[#This Row],[quinte]],Tableau47[[#All],[Quintuplé Année-Mois-Producteur-Type lait_Traitement thermique]],0),MATCH(Tableau47[[#Headers],[Classe CE]],Tableau47[#Headers],0)),"")</calculatedColumnFormula>
    </tableColumn>
    <tableColumn id="5" xr3:uid="{50B5F2F0-6F35-41C3-9B6D-DEE00959467D}" name="Butyriques" dataDxfId="126" totalsRowDxfId="125">
      <calculatedColumnFormula>IFERROR(INDEX(Tableau47[#All],MATCH(Tableau1214[[#This Row],[quinte]],Tableau47[[#All],[Quintuplé Année-Mois-Producteur-Type lait_Traitement thermique]],0),MATCH(Tableau47[[#Headers],[Classe BU]],Tableau47[#Headers],0)),"")</calculatedColumnFormula>
    </tableColumn>
    <tableColumn id="8" xr3:uid="{3BE9DDAA-95AD-468E-A2E5-967D84B27923}" name="Coliformes" dataDxfId="124" totalsRowDxfId="123">
      <calculatedColumnFormula>IFERROR(INDEX(Tableau47[#All],MATCH(Tableau1214[[#This Row],[quinte]],Tableau47[[#All],[Quintuplé Année-Mois-Producteur-Type lait_Traitement thermique]],0),MATCH(Tableau47[[#Headers],[Classe CO]],Tableau47[#Headers],0)),"")</calculatedColumnFormula>
    </tableColumn>
    <tableColumn id="6" xr3:uid="{D3192994-500D-49D8-B820-D5E09F2151FB}" name="Prix litre" dataDxfId="122" totalsRowDxfId="121">
      <calculatedColumnFormula>IFERROR(INDEX(Tableau47[#All],MATCH(Tableau1214[[#This Row],[quinte]],Tableau47[[#All],[Quintuplé Année-Mois-Producteur-Type lait_Traitement thermique]],0),MATCH(Tableau47[[#Headers],[Prix au litre avant acompte modulé]],Tableau47[#Headers],0)),"")</calculatedColumnFormula>
    </tableColumn>
    <tableColumn id="12" xr3:uid="{88BD0429-EE49-4F49-B944-A415C416D92E}" name="Prix litre après acompte" dataDxfId="120" totalsRowDxfId="119">
      <calculatedColumnFormula>IFERROR(INDEX(Tableau47[#All],MATCH(Tableau1214[[#This Row],[quinte]],Tableau47[[#All],[Quintuplé Année-Mois-Producteur-Type lait_Traitement thermique]],0),MATCH(Tableau47[[#Headers],[Prix au litre après acompte modulé]],Tableau47[#Headers],0)),"")</calculatedColumnFormula>
    </tableColumn>
    <tableColumn id="7" xr3:uid="{647397F4-6C41-4170-A3D5-7B9EF6158EDD}" name="Litrage" totalsRowLabel="Total" dataDxfId="118" totalsRowDxfId="117">
      <calculatedColumnFormula>IFERROR(INDEX(Tableau47[#All],MATCH(Tableau1214[[#This Row],[quinte]],Tableau47[[#All],[Quintuplé Année-Mois-Producteur-Type lait_Traitement thermique]],0),MATCH(Tableau47[[#Headers],[Litrage]],Tableau47[#Headers],0)),"")</calculatedColumnFormula>
    </tableColumn>
    <tableColumn id="11" xr3:uid="{7907EBFD-B009-4E6A-9358-893D45402AEA}" name="Total" totalsRowFunction="sum" dataDxfId="116" totalsRowDxfId="115">
      <calculatedColumnFormula>IFERROR(INDEX(Tableau47[#All],MATCH(Tableau1214[[#This Row],[quinte]],Tableau47[[#All],[Quintuplé Année-Mois-Producteur-Type lait_Traitement thermique]],0),MATCH(Tableau47[[#Headers],[Montant pour acompte]],Tableau47[#Headers],0)),"")</calculatedColumnFormula>
    </tableColumn>
    <tableColumn id="14" xr3:uid="{2AA1906E-DF58-4663-AA91-E5224338C4BC}" name="Total après acompte" dataDxfId="114" totalsRowDxfId="113">
      <calculatedColumnFormula>IFERROR(INDEX(Tableau47[#All],MATCH(Tableau1214[[#This Row],[quinte]],Tableau47[[#All],[Quintuplé Année-Mois-Producteur-Type lait_Traitement thermique]],0),MATCH(Tableau47[[#Headers],[Montant après acompte]],Tableau47[#Headers],0)),"")</calculatedColumnFormula>
    </tableColumn>
    <tableColumn id="13" xr3:uid="{4742EAFA-7440-45BA-8578-61344BF7004F}" name="Reste à payer" dataDxfId="112" totalsRowDxfId="111">
      <calculatedColumnFormula>IF(Tableau1214[[#This Row],[Total]]="","",IF(Tableau1214[[#This Row],[Total après acompte]]="","",Tableau1214[[#This Row],[Total après acompte]]-Tableau1214[[#This Row],[Total]]))</calculatedColumnFormula>
    </tableColumn>
    <tableColumn id="9" xr3:uid="{981F1043-1817-4890-849A-EB7838D4E8F6}" name="année" dataDxfId="110" totalsRowDxfId="109">
      <calculatedColumnFormula>IF(OR(Tableau1214[[#This Row],[Mois]]="décembre",Tableau1214[[#This Row],[Mois]]="novembre"),LEFT(cSaison,4),RIGHT(cSaison,4))</calculatedColumnFormula>
    </tableColumn>
    <tableColumn id="10" xr3:uid="{B6C5D851-9C4C-4413-8C6B-D6C04D582BFA}" name="quinte" dataDxfId="108" totalsRowDxfId="107">
      <calculatedColumnFormula>CONCATENATE(Tableau1214[[#This Row],[année]],"_",Tableau1214[[#This Row],[Mois]],"-",cProducteur,"/",$B$22,"+",$B$21)</calculatedColumnFormula>
    </tableColumn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AF8BF494-C368-478C-B0E6-8F828AE5B4A6}" name="Tableau121415" displayName="Tableau121415" ref="A40:N51" totalsRowCount="1" headerRowDxfId="106" dataDxfId="105">
  <autoFilter ref="A40:N50" xr:uid="{2FBE5B47-BA8F-41AF-A451-275A82341D79}"/>
  <tableColumns count="14">
    <tableColumn id="1" xr3:uid="{389CD9DA-E66B-49E8-9246-85A86707CC29}" name="Mois" dataDxfId="104" totalsRowDxfId="103"/>
    <tableColumn id="2" xr3:uid="{2B11F418-7047-4DF1-BA20-0533746407E1}" name="MG" dataDxfId="102" totalsRowDxfId="101">
      <calculatedColumnFormula>IFERROR(INDEX(Tableau47[#All],MATCH(Tableau121415[[#This Row],[quinte]],Tableau47[[#All],[Quintuplé Année-Mois-Producteur-Type lait_Traitement thermique]],0),MATCH(Tableau47[[#Headers],[MG]],Tableau47[#Headers],0)),"")</calculatedColumnFormula>
    </tableColumn>
    <tableColumn id="3" xr3:uid="{8167AF56-65AF-41DC-A96E-64CC128F0F58}" name="MP" dataDxfId="100" totalsRowDxfId="99">
      <calculatedColumnFormula>IFERROR(INDEX(Tableau47[#All],MATCH(Tableau121415[[#This Row],[quinte]],Tableau47[[#All],[Quintuplé Année-Mois-Producteur-Type lait_Traitement thermique]],0),MATCH(Tableau47[[#Headers],[MP]],Tableau47[#Headers],0)),"")</calculatedColumnFormula>
    </tableColumn>
    <tableColumn id="4" xr3:uid="{1D995636-F4E1-4759-96B4-90F8A6ABA2A5}" name="Germes" dataDxfId="98" totalsRowDxfId="97">
      <calculatedColumnFormula>IFERROR(INDEX(Tableau47[#All],MATCH(Tableau121415[[#This Row],[quinte]],Tableau47[[#All],[Quintuplé Année-Mois-Producteur-Type lait_Traitement thermique]],0),MATCH(Tableau47[[#Headers],[Classe CE]],Tableau47[#Headers],0)),"")</calculatedColumnFormula>
    </tableColumn>
    <tableColumn id="5" xr3:uid="{8B2F0D8B-7F3E-4A5F-B468-093CFCC2C629}" name="Butyriques" dataDxfId="96" totalsRowDxfId="95">
      <calculatedColumnFormula>IFERROR(INDEX(Tableau47[#All],MATCH(Tableau121415[[#This Row],[quinte]],Tableau47[[#All],[Quintuplé Année-Mois-Producteur-Type lait_Traitement thermique]],0),MATCH(Tableau47[[#Headers],[Classe BU]],Tableau47[#Headers],0)),"")</calculatedColumnFormula>
    </tableColumn>
    <tableColumn id="8" xr3:uid="{B8D6BA1D-09E6-4E71-BA29-E6972453E97E}" name="Coliformes" dataDxfId="94" totalsRowDxfId="93">
      <calculatedColumnFormula>IFERROR(INDEX(Tableau47[#All],MATCH(Tableau121415[[#This Row],[quinte]],Tableau47[[#All],[Quintuplé Année-Mois-Producteur-Type lait_Traitement thermique]],0),MATCH(Tableau47[[#Headers],[Classe CO]],Tableau47[#Headers],0)),"")</calculatedColumnFormula>
    </tableColumn>
    <tableColumn id="6" xr3:uid="{02E6EAF2-EF92-4378-BEFD-F858D2981BB1}" name="Prix litre" dataDxfId="92" totalsRowDxfId="91">
      <calculatedColumnFormula>IFERROR(INDEX(Tableau47[#All],MATCH(Tableau121415[[#This Row],[quinte]],Tableau47[[#All],[Quintuplé Année-Mois-Producteur-Type lait_Traitement thermique]],0),MATCH(Tableau47[[#Headers],[Prix au litre avant acompte modulé]],Tableau47[#Headers],0)),"")</calculatedColumnFormula>
    </tableColumn>
    <tableColumn id="12" xr3:uid="{4162A18F-B37C-42AE-8610-852AEDFF159F}" name="Prix litre après acompte" dataDxfId="90" totalsRowDxfId="89">
      <calculatedColumnFormula>IFERROR(INDEX(Tableau47[#All],MATCH(Tableau121415[[#This Row],[quinte]],Tableau47[[#All],[Quintuplé Année-Mois-Producteur-Type lait_Traitement thermique]],0),MATCH(Tableau47[[#Headers],[Prix au litre après acompte modulé]],Tableau47[#Headers],0)),"")</calculatedColumnFormula>
    </tableColumn>
    <tableColumn id="7" xr3:uid="{5F4B724E-F978-4B10-BDD0-3D361EEFD84A}" name="Litrage" totalsRowLabel="Total" dataDxfId="88" totalsRowDxfId="87">
      <calculatedColumnFormula>IFERROR(INDEX(Tableau47[#All],MATCH(Tableau121415[[#This Row],[quinte]],Tableau47[[#All],[Quintuplé Année-Mois-Producteur-Type lait_Traitement thermique]],0),MATCH(Tableau47[[#Headers],[Litrage]],Tableau47[#Headers],0)),"")</calculatedColumnFormula>
    </tableColumn>
    <tableColumn id="11" xr3:uid="{41FD6771-ECB4-49B6-BB81-1171E161A304}" name="Total" totalsRowFunction="sum" dataDxfId="86" totalsRowDxfId="85">
      <calculatedColumnFormula>IFERROR(INDEX(Tableau47[#All],MATCH(Tableau121415[[#This Row],[quinte]],Tableau47[[#All],[Quintuplé Année-Mois-Producteur-Type lait_Traitement thermique]],0),MATCH(Tableau47[[#Headers],[Montant pour acompte]],Tableau47[#Headers],0)),"")</calculatedColumnFormula>
    </tableColumn>
    <tableColumn id="14" xr3:uid="{B1F19D20-070C-41CF-A69D-C2085C3CCD17}" name="Total après acompte" dataDxfId="84" totalsRowDxfId="83">
      <calculatedColumnFormula>IFERROR(INDEX(Tableau47[#All],MATCH(Tableau121415[[#This Row],[quinte]],Tableau47[[#All],[Quintuplé Année-Mois-Producteur-Type lait_Traitement thermique]],0),MATCH(Tableau47[[#Headers],[Montant après acompte]],Tableau47[#Headers],0)),"")</calculatedColumnFormula>
    </tableColumn>
    <tableColumn id="13" xr3:uid="{0D121D15-F209-40DD-952D-3B2D9C3E700F}" name="Reste à payer" dataDxfId="82" totalsRowDxfId="81">
      <calculatedColumnFormula>IF(Tableau121415[[#This Row],[Total]]="","",IF(Tableau121415[[#This Row],[Total après acompte]]="","",Tableau121415[[#This Row],[Total après acompte]]-Tableau121415[[#This Row],[Total]]))</calculatedColumnFormula>
    </tableColumn>
    <tableColumn id="9" xr3:uid="{2A3217D9-4FD6-4752-9F40-967372B79B5A}" name="année" dataDxfId="80" totalsRowDxfId="79">
      <calculatedColumnFormula>IF(OR(Tableau121415[[#This Row],[Mois]]="décembre",Tableau121415[[#This Row],[Mois]]="novembre"),LEFT(cSaison,4),RIGHT(cSaison,4))</calculatedColumnFormula>
    </tableColumn>
    <tableColumn id="10" xr3:uid="{7CB9CCD1-43C1-4479-A292-4E752BB07A92}" name="quinte" dataDxfId="78" totalsRowDxfId="77">
      <calculatedColumnFormula>CONCATENATE(Tableau121415[[#This Row],[année]],"_",Tableau121415[[#This Row],[Mois]],"-",cProducteur,"/",$B$38,"+",$B$37)</calculatedColumnFormula>
    </tableColumn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E5D8C9B-4ECA-4B05-8588-D994ABC5C9A1}" name="Tableau47" displayName="Tableau47" ref="A1:AH5" totalsRowShown="0" headerRowDxfId="76" dataDxfId="75">
  <autoFilter ref="A1:AH5" xr:uid="{D84B483A-C0B8-480F-8053-A075809A8B37}"/>
  <tableColumns count="34">
    <tableColumn id="1" xr3:uid="{78323342-F15E-41CB-80F1-16AF66488699}" name="Quintuplé Année-Mois-Producteur-Type lait_Traitement thermique" dataDxfId="74"/>
    <tableColumn id="28" xr3:uid="{E9FBD370-1409-422A-8148-60E9E7F51F8C}" name="Saison" dataDxfId="73">
      <calculatedColumnFormula>IFERROR(IF(OR(Tableau47[[#This Row],[Mois]]="décembre",Tableau47[[#This Row],[Mois]]="novembre"),CONCATENATE(Tableau47[[#This Row],[Année]],"-",Tableau47[[#This Row],[Année]]+1),CONCATENATE(Tableau47[[#This Row],[Année]]-1,"-",Tableau47[[#This Row],[Année]])),"")</calculatedColumnFormula>
    </tableColumn>
    <tableColumn id="2" xr3:uid="{A06E857F-58AA-48C7-A83B-65213FCB79FC}" name="Année" dataDxfId="72">
      <calculatedColumnFormula>IFERROR(LEFT(Tableau47[Quintuplé Année-Mois-Producteur-Type lait_Traitement thermique],4),"")</calculatedColumnFormula>
    </tableColumn>
    <tableColumn id="3" xr3:uid="{D480BC6C-C79C-4541-9ABC-DEFCB2AAB57A}" name="Mois" dataDxfId="71">
      <calculatedColumnFormula>IFERROR(MID(Tableau47[[#This Row],[Quintuplé Année-Mois-Producteur-Type lait_Traitement thermique]],SEARCH("_",Tableau47[[#This Row],[Quintuplé Année-Mois-Producteur-Type lait_Traitement thermique]],1)+1,SEARCH("-",Tableau47[[#This Row],[Quintuplé Année-Mois-Producteur-Type lait_Traitement thermique]],1)-SEARCH("_",Tableau47[[#This Row],[Quintuplé Année-Mois-Producteur-Type lait_Traitement thermique]],1)-1),"")</calculatedColumnFormula>
    </tableColumn>
    <tableColumn id="4" xr3:uid="{2459C9F7-3787-459C-A659-0DDFEF4FA388}" name="Producteur" dataDxfId="70">
      <calculatedColumnFormula>IFERROR(MID(Tableau47[[#This Row],[Quintuplé Année-Mois-Producteur-Type lait_Traitement thermique]],SEARCH("-",Tableau47[[#This Row],[Quintuplé Année-Mois-Producteur-Type lait_Traitement thermique]],1)+1,SEARCH("/",Tableau47[[#This Row],[Quintuplé Année-Mois-Producteur-Type lait_Traitement thermique]],1)-SEARCH("-",Tableau47[[#This Row],[Quintuplé Année-Mois-Producteur-Type lait_Traitement thermique]],1)-1),"")</calculatedColumnFormula>
    </tableColumn>
    <tableColumn id="5" xr3:uid="{40A73A10-5271-4804-BE30-3C648B48F5A6}" name="Type de lait" dataDxfId="69">
      <calculatedColumnFormula>IFERROR(MID(Tableau47[[#This Row],[Quintuplé Année-Mois-Producteur-Type lait_Traitement thermique]],SEARCH("/",Tableau47[[#This Row],[Quintuplé Année-Mois-Producteur-Type lait_Traitement thermique]],1)+1,SEARCH("+",Tableau47[[#This Row],[Quintuplé Année-Mois-Producteur-Type lait_Traitement thermique]],1)-SEARCH("/",Tableau47[[#This Row],[Quintuplé Année-Mois-Producteur-Type lait_Traitement thermique]],1)-1),"")</calculatedColumnFormula>
    </tableColumn>
    <tableColumn id="6" xr3:uid="{EC9EA641-2E96-4485-8D23-FC96B021D0A3}" name="Traitement thermique" dataDxfId="68">
      <calculatedColumnFormula>IFERROR(RIGHT(Tableau47[Quintuplé Année-Mois-Producteur-Type lait_Traitement thermique],LEN(Tableau47[Quintuplé Année-Mois-Producteur-Type lait_Traitement thermique])-SEARCH("+",Tableau47[Quintuplé Année-Mois-Producteur-Type lait_Traitement thermique],1)),"")</calculatedColumnFormula>
    </tableColumn>
    <tableColumn id="7" xr3:uid="{D5F852CD-0E08-4553-BE54-FE77F36D62FB}" name="Litrage" dataDxfId="67">
      <calculatedColumnFormula>SUMIFS(Tableau1[Litrage],Tableau1[Année],Tableau47[[#This Row],[Année]],Tableau1[Mois],Tableau47[[#This Row],[Mois]],Tableau1[Producteur],Tableau47[[#This Row],[Producteur]],Tableau1[Type de lait],Tableau47[[#This Row],[Type de lait]],Tableau1[Traitement thermique],Tableau47[[#This Row],[Traitement thermique]])</calculatedColumnFormula>
    </tableColumn>
    <tableColumn id="8" xr3:uid="{15EFB5AE-3635-4C17-87C6-158BABF77A3B}" name="BU" dataDxfId="66">
      <calculatedColumnFormula>IF($A2="","",IFERROR(AVERAGEIFS(Tableau3[BU spores/l],Tableau3[Année],Tableau47[Année],Tableau3[Mois],Tableau47[Mois],Tableau3[Producteur],Tableau47[Producteur],Tableau3[BIO-CONVENTIONNEL],Tableau47[Type de lait],Tableau3[Traitement thermique],Tableau47[Traitement thermique]),""))</calculatedColumnFormula>
    </tableColumn>
    <tableColumn id="29" xr3:uid="{834861F8-F948-4384-8351-4A6D6D584151}" name="Classe BU" dataDxfId="65">
      <calculatedColumnFormula>IF(Tableau47[[#This Row],[BU]]="","",IF(I2&lt;INDIRECT("BU_A_PLUS"),VLOOKUP("BU_A_PLUS",Tableau10[],3,FALSE),IF(I2&lt;INDIRECT("BU_A"),VLOOKUP("BU_A",Tableau10[],3,FALSE),IF(I2&lt;INDIRECT("BU_B"),VLOOKUP("BU_B",Tableau10[],3,FALSE),IF(I2&lt;INDIRECT("BU_C"),VLOOKUP("BU_C",Tableau10[],3,FALSE),IF(I2&lt;INDIRECT("BU_C_PLUS"),VLOOKUP("BU_C_PLUS",Tableau10[],3,FALSE),""))))))</calculatedColumnFormula>
    </tableColumn>
    <tableColumn id="9" xr3:uid="{C0F8B865-B200-4677-91B9-27BBE0736B29}" name="CE" dataDxfId="64">
      <calculatedColumnFormula>IF($A2="","",IFERROR(AVERAGEIFS(Tableau3[CE cellules/ml],Tableau3[Année],Tableau47[Année],Tableau3[Mois],Tableau47[Mois],Tableau3[Producteur],Tableau47[Producteur],Tableau3[BIO-CONVENTIONNEL],Tableau47[Type de lait],Tableau3[Traitement thermique],Tableau47[Traitement thermique]),""))</calculatedColumnFormula>
    </tableColumn>
    <tableColumn id="30" xr3:uid="{BFD1F31C-3897-490A-9063-560492F02779}" name="Classe CE" dataDxfId="63">
      <calculatedColumnFormula>IF(Tableau47[[#This Row],[CE]]="","",IF(K2&lt;INDIRECT("CE_A"),VLOOKUP("CE_A",Tableau10[],3,FALSE),IF(K2&lt;INDIRECT("CE_B"),VLOOKUP("CE_B",Tableau10[],3,FALSE),IF(K2&lt;INDIRECT("CE_C"),VLOOKUP("CE_C",Tableau10[],3,FALSE),""))))</calculatedColumnFormula>
    </tableColumn>
    <tableColumn id="10" xr3:uid="{5826F67A-0ED9-48FA-87AF-A3534ABC9ACD}" name="CO" dataDxfId="62">
      <calculatedColumnFormula>IF(C2="","",IFERROR(AVERAGEIFS(Tableau3[CO ufc/ml],Tableau3[Année],Tableau47[Année],Tableau3[Mois],Tableau47[Mois],Tableau3[Producteur],Tableau47[Producteur],Tableau3[BIO-CONVENTIONNEL],Tableau47[Type de lait],Tableau3[Traitement thermique],Tableau47[Traitement thermique]),""))</calculatedColumnFormula>
    </tableColumn>
    <tableColumn id="31" xr3:uid="{C0927D68-B76C-4308-A743-477FE1A5CA63}" name="Classe CO" dataDxfId="61">
      <calculatedColumnFormula>IF(Tableau47[[#This Row],[CO]]="","",IF(M2&lt;INDIRECT("CO_A"),VLOOKUP("CO_A",Tableau10[],3,FALSE),IF(M2&lt;INDIRECT("CO_B"),VLOOKUP("CO_B",Tableau10[],3,FALSE),IF(M2&lt;INDIRECT("CO_C"),VLOOKUP("CO_C",Tableau10[],3,FALSE),""))))</calculatedColumnFormula>
    </tableColumn>
    <tableColumn id="11" xr3:uid="{E0511BD4-4D00-4E7C-B8A0-39793C67226A}" name="CR" dataDxfId="60">
      <calculatedColumnFormula>IF($A2="","",IFERROR(AVERAGEIFS(Tableau3[CR Degre celcius],Tableau3[Année],Tableau47[Année],Tableau3[Mois],Tableau47[Mois],Tableau3[Producteur],Tableau47[Producteur],Tableau3[BIO-CONVENTIONNEL],Tableau47[Type de lait],Tableau3[Traitement thermique],Tableau47[Traitement thermique]),""))</calculatedColumnFormula>
    </tableColumn>
    <tableColumn id="12" xr3:uid="{1E70AECA-E288-49F3-AE72-C18F61901653}" name="IN" dataDxfId="59">
      <calculatedColumnFormula>IF($A2="","",IFERROR(AVERAGEIFS('RESULTATS ANALYSES'!M2:M5,Tableau3[Année],Tableau47[Année],Tableau3[Mois],Tableau47[Mois],Tableau3[Producteur],Tableau47[Producteur],Tableau3[BIO-CONVENTIONNEL],Tableau47[Type de lait],Tableau3[Traitement thermique],Tableau47[Traitement thermique]),""))</calculatedColumnFormula>
    </tableColumn>
    <tableColumn id="13" xr3:uid="{9C2F8557-08D4-4573-A42F-13190660A78F}" name="MG" dataDxfId="58">
      <calculatedColumnFormula>IF($A2="","",IFERROR(AVERAGEIFS(Tableau3[MG g/l],Tableau3[Année],Tableau47[Année],Tableau3[Mois],Tableau47[Mois],Tableau3[Producteur],Tableau47[Producteur],Tableau3[BIO-CONVENTIONNEL],Tableau47[Type de lait],Tableau3[Traitement thermique],Tableau47[Traitement thermique]),""))</calculatedColumnFormula>
    </tableColumn>
    <tableColumn id="14" xr3:uid="{CF20E4AE-EF3C-40EF-A5BE-0295A759D2E4}" name="MP" dataDxfId="57">
      <calculatedColumnFormula>IF($A2="","",IFERROR(AVERAGEIFS(Tableau3[MP g/l],Tableau3[Année],Tableau47[Année],Tableau3[Mois],Tableau47[Mois],Tableau3[Producteur],Tableau47[Producteur],Tableau3[BIO-CONVENTIONNEL],Tableau47[Type de lait],Tableau3[Traitement thermique],Tableau47[Traitement thermique]),""))</calculatedColumnFormula>
    </tableColumn>
    <tableColumn id="15" xr3:uid="{AC284918-69F7-4E0D-856D-6274E86C42FE}" name="NU" dataDxfId="56">
      <calculatedColumnFormula>IF($A2="","",IFERROR(AVERAGEIFS(Tableau3[NU ufc/ml],Tableau3[Année],Tableau47[Année],Tableau3[Mois],Tableau47[Mois],Tableau3[Producteur],Tableau47[Producteur],Tableau3[BIO-CONVENTIONNEL],Tableau47[Type de lait],Tableau3[Traitement thermique],Tableau47[Traitement thermique]),""))</calculatedColumnFormula>
    </tableColumn>
    <tableColumn id="16" xr3:uid="{D38BD581-C33C-45B2-905F-4D2CEEC944F2}" name="UR" dataDxfId="55">
      <calculatedColumnFormula>IF($A2="","",IFERROR(AVERAGEIFS(Tableau3[UR mg/l],Tableau3[Année],Tableau47[Année],Tableau3[Mois],Tableau47[Mois],Tableau3[Producteur],Tableau47[Producteur],Tableau3[BIO-CONVENTIONNEL],Tableau47[Type de lait],Tableau3[Traitement thermique],Tableau47[Traitement thermique]),""))</calculatedColumnFormula>
    </tableColumn>
    <tableColumn id="26" xr3:uid="{2CBCE4F1-13D6-452A-BED4-CB718CB36FB1}" name="Montant pour acompte" dataDxfId="54">
      <calculatedColumnFormula>IF($A2="","",IFERROR(Tableau47[[#This Row],[Litrage]]*Tableau47[[#This Row],[Prix de base du lait pour acompte]]+Tableau47[[#This Row],[Modulation CE]]+Tableau47[[#This Row],[Modulation CO]]+Tableau47[[#This Row],[Modulation BU]]+Tableau47[[#This Row],[Modulation MSU]]+Tableau47[[#This Row],[Modulation MG]]+Tableau47[[#This Row],[Modulation PRO]],""))</calculatedColumnFormula>
    </tableColumn>
    <tableColumn id="27" xr3:uid="{79812E24-8862-4EF7-A32F-B7361B53A8D8}" name="Montant après acompte" dataDxfId="53">
      <calculatedColumnFormula>IF($A2="","",IFERROR(Tableau47[[#This Row],[Litrage]]*Tableau47[[#This Row],[Prix de base du lait après acompte]]+Tableau47[[#This Row],[Modulation CE]]+Tableau47[[#This Row],[Modulation CO]]+Tableau47[[#This Row],[Modulation BU]]+Tableau47[[#This Row],[Modulation MSU]]+Tableau47[[#This Row],[Modulation MG]]+Tableau47[[#This Row],[Modulation PRO]],""))</calculatedColumnFormula>
    </tableColumn>
    <tableColumn id="33" xr3:uid="{F045D0F4-2EDC-4013-BAE7-5CF28D15D4D5}" name="Reste à verser après acompte" dataDxfId="52">
      <calculatedColumnFormula>IFERROR(Tableau47[[#This Row],[Montant après acompte]]-Tableau47[[#This Row],[Montant pour acompte]],"")</calculatedColumnFormula>
    </tableColumn>
    <tableColumn id="32" xr3:uid="{F071F2D1-BCA9-4E03-9903-AA13C84D14AD}" name="Trinome saison_type_tt" dataDxfId="51">
      <calculatedColumnFormula>IF($A2="","",CONCATENATE(Tableau47[[#This Row],[Saison]],Tableau47[[#This Row],[Type de lait]],Tableau47[[#This Row],[Traitement thermique]]))</calculatedColumnFormula>
    </tableColumn>
    <tableColumn id="17" xr3:uid="{4FED2578-5A8C-4287-8FFA-6A44AE96D344}" name="Prix de base du lait pour acompte" dataDxfId="50">
      <calculatedColumnFormula>IF($A2="","",IFERROR(INDEX(Tableau11[#All],MATCH(Tableau47[[#This Row],[Trinome saison_type_tt]],Tableau11[[#All],[Trinômes saison_qualite_traitement thermique]],0),MATCH(Base_avant_acompte,Tableau11[#Headers],0)),""))</calculatedColumnFormula>
    </tableColumn>
    <tableColumn id="34" xr3:uid="{3E1B9D45-9324-429A-AF81-AAF41614B2A8}" name="Prix au litre avant acompte modulé" dataDxfId="49">
      <calculatedColumnFormula>IFERROR(Tableau47[[#This Row],[Montant pour acompte]]/Tableau47[[#This Row],[Litrage]],"")</calculatedColumnFormula>
    </tableColumn>
    <tableColumn id="25" xr3:uid="{2F80DF6B-E22A-4B97-AAC3-358892DB1796}" name="Prix de base du lait après acompte" dataDxfId="48">
      <calculatedColumnFormula>IF($A2="","",IFERROR(INDEX(Tableau11[#All],MATCH(Tableau47[[#This Row],[Trinome saison_type_tt]],Tableau11[[#All],[Trinômes saison_qualite_traitement thermique]],0),MATCH(Base_après_acompte,Tableau11[#Headers],0)),""))</calculatedColumnFormula>
    </tableColumn>
    <tableColumn id="35" xr3:uid="{A99D313B-3FBB-48D3-AD99-2B9CAFBD0AFD}" name="Prix au litre après acompte modulé" dataDxfId="47">
      <calculatedColumnFormula>IFERROR(Tableau47[[#This Row],[Montant après acompte]]/Tableau47[[#This Row],[Litrage]],"")</calculatedColumnFormula>
    </tableColumn>
    <tableColumn id="18" xr3:uid="{1E47EB9C-03B5-454C-B2F5-8CC5847916C6}" name="Modulation CE" dataDxfId="46">
      <calculatedColumnFormula>IF(Tableau47[[#This Row],[Classe CE]]="","",(VLOOKUP(Tableau47[[#This Row],[Classe CE]],'BDD AUTRES'!$F$2:$G$4,2,FALSE))*Tableau47[[#This Row],[Litrage]])</calculatedColumnFormula>
    </tableColumn>
    <tableColumn id="19" xr3:uid="{C7FB9B8D-26E5-4931-8224-5E3D075DE389}" name="Modulation CO" dataDxfId="45">
      <calculatedColumnFormula>IF(Tableau47[[#This Row],[Classe CO]]="","",(VLOOKUP(Tableau47[[#This Row],[Classe CO]],'BDD AUTRES'!$F$5:$G$7,2,FALSE))*Tableau47[[#This Row],[Litrage]])</calculatedColumnFormula>
    </tableColumn>
    <tableColumn id="20" xr3:uid="{48DB5236-F79E-4398-9CCD-68DF371639BD}" name="Modulation BU" dataDxfId="44">
      <calculatedColumnFormula>IF(Tableau47[[#This Row],[Classe BU]]="","",(VLOOKUP(Tableau47[[#This Row],[Classe BU]],'BDD AUTRES'!$F$8:$G$12,2,FALSE))*Tableau47[[#This Row],[Litrage]])</calculatedColumnFormula>
    </tableColumn>
    <tableColumn id="21" xr3:uid="{8F52275D-968A-4D36-B35A-F35855C2359A}" name="Modulation MSU" dataDxfId="43"/>
    <tableColumn id="22" xr3:uid="{4EC612B2-4413-4B59-A318-8FC6FF830A9E}" name="Modulation MG" dataDxfId="42">
      <calculatedColumnFormula>IFERROR(IF($A2="","",(Tableau47[[#This Row],[MG]]-MG)*TAUX_MODULATION_MG*Tableau47[[#This Row],[MG]]),"")</calculatedColumnFormula>
    </tableColumn>
    <tableColumn id="23" xr3:uid="{CFD8E39A-1E35-4441-B2E5-6A9E9D1966E5}" name="Modulation PRO" dataDxfId="41">
      <calculatedColumnFormula>IFERROR(IF($A2="","",(Tableau47[[#This Row],[MP]]-PROT)*TAUX_MODULATION_PROT*Tableau47[[#This Row],[MP]]),"")</calculatedColumnFormula>
    </tableColumn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87CA891-8D06-4107-8C3E-A5A2896AA379}" name="Tableau3" displayName="Tableau3" ref="A1:AF5" totalsRowShown="0" headerRowDxfId="40" tableBorderDxfId="39">
  <autoFilter ref="A1:AF5" xr:uid="{28AAC4F6-A30E-499B-AD45-9D15F5B22EA6}"/>
  <tableColumns count="32">
    <tableColumn id="33" xr3:uid="{129EF5B7-7B43-4D98-9EC5-B77C39B1987A}" name="Saison" dataDxfId="38">
      <calculatedColumnFormula>IFERROR(IF(OR(Tableau3[[#This Row],[Mois]]="décembre",Tableau3[[#This Row],[Mois]]="novembre"),CONCATENATE(Tableau3[[#This Row],[Année]],"-",Tableau3[[#This Row],[Année]]+1),CONCATENATE(Tableau3[[#This Row],[Année]]-1,"-",Tableau3[[#This Row],[Année]])),"")</calculatedColumnFormula>
    </tableColumn>
    <tableColumn id="27" xr3:uid="{9BB5E3A0-917E-4274-A407-96805A661673}" name="Mois" dataDxfId="37">
      <calculatedColumnFormula>IF('RESULTATS ANALYSES'!$AD$2:$AD$5="","",TEXT('RESULTATS ANALYSES'!$AD$2:$AD$5,"mmmm"))</calculatedColumnFormula>
    </tableColumn>
    <tableColumn id="24" xr3:uid="{0807F5B0-7E78-415B-AC15-A0FD0ECC3140}" name="Producteur" dataDxfId="36"/>
    <tableColumn id="20" xr3:uid="{6F0CF770-E6EE-4029-93BC-4A2E088B8205}" name="Traitement thermique" dataDxfId="35"/>
    <tableColumn id="21" xr3:uid="{52AF3344-5DB9-4827-81C6-E8BC01A85CEB}" name="BIO-CONVENTIONNEL" dataDxfId="34"/>
    <tableColumn id="11" xr3:uid="{ABA59857-199F-4178-B1D3-DC2E2595B676}" name="BU spores/l" dataDxfId="33"/>
    <tableColumn id="30" xr3:uid="{59FDF62D-1789-4283-B646-E19D0B529B67}" name="Classe BU" dataDxfId="32">
      <calculatedColumnFormula>IFERROR(IF(F2&lt;INDIRECT("BU_A_PLUS"),VLOOKUP("BU_A_PLUS",Tableau10[],3,FALSE),IF(F2&lt;INDIRECT("BU_A"),VLOOKUP("BU_A",Tableau10[],3,FALSE),IF(F2&lt;INDIRECT("BU_B"),VLOOKUP("BU_B",Tableau10[],3,FALSE),IF(F2&lt;INDIRECT("BU_C"),VLOOKUP("BU_C",Tableau10[],3,FALSE),IF(F2&lt;INDIRECT("BU_C_PLUS"),VLOOKUP("BU_C_PLUS",Tableau10[],3,FALSE),""))))),"")</calculatedColumnFormula>
    </tableColumn>
    <tableColumn id="12" xr3:uid="{A0785BAE-2CE9-4A16-8A92-40521D6A7C96}" name="CE cellules/ml" dataDxfId="31"/>
    <tableColumn id="31" xr3:uid="{9A195496-97E2-44C6-84DB-E73E9F4B5B1E}" name="Classe CE" dataDxfId="30">
      <calculatedColumnFormula>IFERROR(IF(H2&lt;INDIRECT("CE_A"),VLOOKUP("CE_A",Tableau10[],3,FALSE),IF(H2&lt;INDIRECT("CE_B"),VLOOKUP("CE_B",Tableau10[],3,FALSE),IF(H2&lt;INDIRECT("CE_C"),VLOOKUP("CE_C",Tableau10[],3,FALSE),""))),)</calculatedColumnFormula>
    </tableColumn>
    <tableColumn id="13" xr3:uid="{F7039520-1A68-4E93-ABAE-BEAFE4BB8F9D}" name="CO ufc/ml" dataDxfId="29"/>
    <tableColumn id="32" xr3:uid="{3E92E150-DD3C-47CC-AC3E-F7704A4AC392}" name="Classe CO" dataDxfId="28">
      <calculatedColumnFormula>IFERROR(IF(J2&lt;INDIRECT("CO_A"),VLOOKUP("CO_A",Tableau10[],3,FALSE),IF(J2&lt;INDIRECT("CO_B"),VLOOKUP("CO_B",Tableau10[],3,FALSE),IF(J2&lt;INDIRECT("CO_C"),VLOOKUP("CO_C",Tableau10[],3,FALSE),""))),)</calculatedColumnFormula>
    </tableColumn>
    <tableColumn id="14" xr3:uid="{A2F867EF-D85C-4BC8-9811-063A1606A633}" name="CR Degre celcius" dataDxfId="27"/>
    <tableColumn id="15" xr3:uid="{5B6EA303-74B7-4433-BB9A-E30F48EAEE31}" name="IN " dataDxfId="26"/>
    <tableColumn id="16" xr3:uid="{594AAB96-74E9-466C-8A76-4DF9CAEDC4B0}" name="MG g/l" dataDxfId="25"/>
    <tableColumn id="17" xr3:uid="{B0FE2DAC-B610-4858-AF05-162B800B7B83}" name="MP g/l" dataDxfId="24"/>
    <tableColumn id="18" xr3:uid="{22385DE2-481B-4EF6-9E4F-0D592E583418}" name="NU ufc/ml" dataDxfId="23"/>
    <tableColumn id="19" xr3:uid="{7A7AB5FA-BA47-4A03-A342-618DD0BACAE1}" name="UR mg/l" dataDxfId="22"/>
    <tableColumn id="22" xr3:uid="{78B2F9A4-5AB5-4D2C-BA2D-9C11FB82188A}" name="Litrage" dataDxfId="21"/>
    <tableColumn id="23" xr3:uid="{3B9FE5D4-6943-45A1-93F4-46011FF585AD}" name="Référence" dataDxfId="20"/>
    <tableColumn id="1" xr3:uid="{FDE22EBB-32C1-4096-918E-9DB9700183E0}" name="Période" dataDxfId="19"/>
    <tableColumn id="2" xr3:uid="{836AEEA0-2E3B-4DED-A436-AD9C57B4CDA9}" name="Routage" dataDxfId="18"/>
    <tableColumn id="3" xr3:uid="{84B6B5FE-CB8D-47E4-8769-93875CCD2D60}" name="Usine" dataDxfId="17"/>
    <tableColumn id="4" xr3:uid="{8323AB44-AD08-46B6-B5D4-F99BA0190895}" name="Code EDE" dataDxfId="16"/>
    <tableColumn id="5" xr3:uid="{9CD4658A-B723-496A-86F5-F21235CA975A}" name="Matricule laiterie" dataDxfId="15"/>
    <tableColumn id="6" xr3:uid="{2B24058F-C5FF-48DF-A286-E63446435E1C}" name="Tournée" dataDxfId="14"/>
    <tableColumn id="7" xr3:uid="{C16068E5-AA14-4F05-BE05-BC2B3B9F0B5A}" name="Tour" dataDxfId="13"/>
    <tableColumn id="8" xr3:uid="{E18EC5E2-D8CD-4101-AEAD-BD533E468F08}" name="Date de référence" dataDxfId="12"/>
    <tableColumn id="9" xr3:uid="{23ED4876-B4E1-40AB-9CC6-8C344AEACEB9}" name="Portoir" dataDxfId="11"/>
    <tableColumn id="10" xr3:uid="{479888BB-5C4A-40BC-AE0A-133FDB8C65C8}" name="Position portoir" dataDxfId="10"/>
    <tableColumn id="25" xr3:uid="{1C467275-49EA-4256-92F6-F0EAF1963417}" name="Date collecte" dataDxfId="9">
      <calculatedColumnFormula>IFERROR(IF('RESULTATS ANALYSES'!$S2="","",DATE(LEFT('RESULTATS ANALYSES'!$S2,4),MID('RESULTATS ANALYSES'!$S2,5,2),MID('RESULTATS ANALYSES'!$S2,7,2))),"")</calculatedColumnFormula>
    </tableColumn>
    <tableColumn id="26" xr3:uid="{820F565A-1A25-46E1-A913-97B26FBE36F5}" name="Année" dataDxfId="8">
      <calculatedColumnFormula>IF('RESULTATS ANALYSES'!$AD$2:$AD$5="","",TEXT('RESULTATS ANALYSES'!$AD$2:$AD$5,"aaaa"))</calculatedColumnFormula>
    </tableColumn>
    <tableColumn id="28" xr3:uid="{78DEA3B0-7BCA-4AC2-BF35-08F2E4EF7C2C}" name="quintuplé Année-Mois-Producteur-Type lait_Traitement thermique" dataDxfId="7">
      <calculatedColumnFormula>IF(Tableau3[[#This Row],[Date collecte]]="","",CONCATENATE(AE2,"_",B2,"-",C2,"/",Tableau3[[#This Row],[BIO-CONVENTIONNEL]],"+",Tableau3[[#This Row],[Traitement thermique]]))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9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8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D459C-1B7F-4C21-943C-E7CE4E87DBD1}">
  <sheetPr codeName="Feuil1"/>
  <dimension ref="A1"/>
  <sheetViews>
    <sheetView workbookViewId="0">
      <selection activeCell="J20" sqref="J20"/>
    </sheetView>
  </sheetViews>
  <sheetFormatPr baseColWidth="10" defaultRowHeight="15" x14ac:dyDescent="0.25"/>
  <cols>
    <col min="1" max="16384" width="11.42578125" style="10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4"/>
  <sheetViews>
    <sheetView topLeftCell="A2" workbookViewId="0">
      <selection activeCell="B16" sqref="B16"/>
    </sheetView>
  </sheetViews>
  <sheetFormatPr baseColWidth="10" defaultColWidth="9.140625" defaultRowHeight="15" x14ac:dyDescent="0.25"/>
  <cols>
    <col min="1" max="1" width="19" style="18" customWidth="1"/>
    <col min="2" max="2" width="25.5703125" bestFit="1" customWidth="1"/>
    <col min="3" max="3" width="14.7109375" customWidth="1"/>
    <col min="4" max="4" width="17.85546875" style="16" customWidth="1"/>
    <col min="5" max="5" width="22" style="2" customWidth="1"/>
    <col min="6" max="6" width="20.140625" style="2" customWidth="1"/>
    <col min="7" max="7" width="29.42578125" customWidth="1"/>
    <col min="8" max="8" width="19.7109375" customWidth="1"/>
  </cols>
  <sheetData>
    <row r="1" spans="1:8" ht="75" customHeight="1" x14ac:dyDescent="0.25">
      <c r="A1" s="18" t="s">
        <v>45</v>
      </c>
      <c r="B1" t="s">
        <v>42</v>
      </c>
      <c r="C1" t="s">
        <v>124</v>
      </c>
      <c r="D1" s="16" t="s">
        <v>0</v>
      </c>
      <c r="E1" s="2" t="s">
        <v>1</v>
      </c>
      <c r="F1" s="2" t="s">
        <v>2</v>
      </c>
      <c r="G1" t="s">
        <v>3</v>
      </c>
      <c r="H1" t="s">
        <v>75</v>
      </c>
    </row>
    <row r="2" spans="1:8" s="2" customFormat="1" ht="26.25" customHeight="1" x14ac:dyDescent="0.25">
      <c r="A2" s="19" t="s">
        <v>87</v>
      </c>
      <c r="B2" s="2" t="s">
        <v>35</v>
      </c>
      <c r="C2" s="3" t="str">
        <f>IFERROR(IF(OR(Tableau1[[#This Row],[Mois]]="décembre",Tableau1[[#This Row],[Mois]]="novembre"),CONCATENATE(Tableau1[[#This Row],[Année]],"-",Tableau1[[#This Row],[Année]]+1),CONCATENATE(Tableau1[[#This Row],[Année]]-1,"-",Tableau1[[#This Row],[Année]])),"")</f>
        <v/>
      </c>
      <c r="D2" s="17" t="str">
        <f>IF(Tableau1[Date de collecte]="","",TEXT(Tableau1[Date de collecte],"aaaa"))</f>
        <v>X</v>
      </c>
      <c r="E2" s="3" t="str">
        <f>IF(Tableau1[Date de collecte]="","",TEXT(Tableau1[Date de collecte],"mmmm"))</f>
        <v>X</v>
      </c>
      <c r="F2" s="4" t="s">
        <v>87</v>
      </c>
      <c r="G2" s="2" t="s">
        <v>87</v>
      </c>
      <c r="H2" s="2" t="s">
        <v>87</v>
      </c>
    </row>
    <row r="3" spans="1:8" x14ac:dyDescent="0.25">
      <c r="A3" s="19">
        <v>43255</v>
      </c>
      <c r="B3" s="2" t="s">
        <v>177</v>
      </c>
      <c r="C3" s="3" t="str">
        <f>IFERROR(IF(OR(Tableau1[[#This Row],[Mois]]="décembre",Tableau1[[#This Row],[Mois]]="novembre"),CONCATENATE(Tableau1[[#This Row],[Année]],"-",Tableau1[[#This Row],[Année]]+1),CONCATENATE(Tableau1[[#This Row],[Année]]-1,"-",Tableau1[[#This Row],[Année]])),"")</f>
        <v>2017-2018</v>
      </c>
      <c r="D3" s="17" t="str">
        <f>IF(Tableau1[Date de collecte]="","",TEXT(Tableau1[Date de collecte],"aaaa"))</f>
        <v>2018</v>
      </c>
      <c r="E3" s="3" t="str">
        <f>IF(Tableau1[Date de collecte]="","",TEXT(Tableau1[Date de collecte],"mmmm"))</f>
        <v>juin</v>
      </c>
      <c r="F3" s="4">
        <v>90</v>
      </c>
      <c r="G3" s="2" t="s">
        <v>85</v>
      </c>
      <c r="H3" s="2" t="s">
        <v>86</v>
      </c>
    </row>
    <row r="4" spans="1:8" x14ac:dyDescent="0.25">
      <c r="A4" s="19">
        <v>43227</v>
      </c>
      <c r="B4" s="2" t="s">
        <v>177</v>
      </c>
      <c r="C4" s="3" t="str">
        <f>IFERROR(IF(OR(Tableau1[[#This Row],[Mois]]="décembre",Tableau1[[#This Row],[Mois]]="novembre"),CONCATENATE(Tableau1[[#This Row],[Année]],"-",Tableau1[[#This Row],[Année]]+1),CONCATENATE(Tableau1[[#This Row],[Année]]-1,"-",Tableau1[[#This Row],[Année]])),"")</f>
        <v>2017-2018</v>
      </c>
      <c r="D4" s="17" t="str">
        <f>IF(Tableau1[Date de collecte]="","",TEXT(Tableau1[Date de collecte],"aaaa"))</f>
        <v>2018</v>
      </c>
      <c r="E4" s="3" t="str">
        <f>IF(Tableau1[Date de collecte]="","",TEXT(Tableau1[Date de collecte],"mmmm"))</f>
        <v>mai</v>
      </c>
      <c r="F4" s="4">
        <f t="shared" ref="F4" ca="1" si="0">RANDBETWEEN(75,180)</f>
        <v>129</v>
      </c>
      <c r="G4" s="2" t="s">
        <v>85</v>
      </c>
      <c r="H4" s="2" t="s">
        <v>86</v>
      </c>
    </row>
  </sheetData>
  <dataValidations count="1">
    <dataValidation type="list" allowBlank="1" showInputMessage="1" showErrorMessage="1" sqref="B2:B4" xr:uid="{92B09CAD-822D-4AB6-9491-1D0187643D56}">
      <formula1>BDD_EXPLOITATIONS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8B131-8B9C-46CA-A096-AEFC50E80A4A}">
  <sheetPr codeName="Feuil3"/>
  <dimension ref="A1:V37"/>
  <sheetViews>
    <sheetView workbookViewId="0">
      <selection activeCell="V15" sqref="V15"/>
    </sheetView>
  </sheetViews>
  <sheetFormatPr baseColWidth="10" defaultRowHeight="15" x14ac:dyDescent="0.25"/>
  <cols>
    <col min="1" max="1" width="21.7109375" customWidth="1"/>
    <col min="2" max="2" width="33" bestFit="1" customWidth="1"/>
    <col min="3" max="3" width="21.7109375" customWidth="1"/>
    <col min="4" max="4" width="20.140625" bestFit="1" customWidth="1"/>
    <col min="5" max="5" width="14" customWidth="1"/>
    <col min="6" max="6" width="11.140625" bestFit="1" customWidth="1"/>
    <col min="7" max="7" width="13.7109375" bestFit="1" customWidth="1"/>
    <col min="9" max="9" width="12.42578125" customWidth="1"/>
    <col min="11" max="11" width="13.42578125" customWidth="1"/>
    <col min="13" max="13" width="25.5703125" bestFit="1" customWidth="1"/>
    <col min="14" max="14" width="20.85546875" customWidth="1"/>
    <col min="15" max="15" width="20" customWidth="1"/>
    <col min="21" max="21" width="11.5703125" customWidth="1"/>
    <col min="22" max="22" width="14.140625" customWidth="1"/>
    <col min="25" max="25" width="1.5703125" customWidth="1"/>
    <col min="26" max="26" width="5.5703125" customWidth="1"/>
  </cols>
  <sheetData>
    <row r="1" spans="1:22" ht="44.25" customHeight="1" thickBot="1" x14ac:dyDescent="0.3">
      <c r="A1" t="s">
        <v>44</v>
      </c>
      <c r="B1" t="s">
        <v>123</v>
      </c>
      <c r="D1" s="35" t="s">
        <v>107</v>
      </c>
      <c r="E1" s="35" t="s">
        <v>93</v>
      </c>
      <c r="F1" s="35" t="s">
        <v>94</v>
      </c>
      <c r="G1" s="35" t="s">
        <v>112</v>
      </c>
      <c r="I1" t="s">
        <v>128</v>
      </c>
      <c r="J1" s="2" t="s">
        <v>125</v>
      </c>
      <c r="K1" t="s">
        <v>112</v>
      </c>
      <c r="M1" t="s">
        <v>4</v>
      </c>
      <c r="N1" t="s">
        <v>5</v>
      </c>
      <c r="O1" t="s">
        <v>6</v>
      </c>
      <c r="U1" t="s">
        <v>163</v>
      </c>
      <c r="V1" t="s">
        <v>154</v>
      </c>
    </row>
    <row r="2" spans="1:22" x14ac:dyDescent="0.25">
      <c r="A2" t="s">
        <v>43</v>
      </c>
      <c r="B2" t="s">
        <v>81</v>
      </c>
      <c r="D2" s="20" t="s">
        <v>95</v>
      </c>
      <c r="E2" s="20">
        <v>100000</v>
      </c>
      <c r="F2" s="20" t="s">
        <v>79</v>
      </c>
      <c r="G2" s="21">
        <v>0</v>
      </c>
      <c r="I2" t="s">
        <v>126</v>
      </c>
      <c r="J2">
        <v>130</v>
      </c>
      <c r="K2" s="24"/>
      <c r="M2" t="s">
        <v>16</v>
      </c>
      <c r="U2" t="s">
        <v>171</v>
      </c>
      <c r="V2" t="s">
        <v>153</v>
      </c>
    </row>
    <row r="3" spans="1:22" x14ac:dyDescent="0.25">
      <c r="A3" t="s">
        <v>85</v>
      </c>
      <c r="B3" t="s">
        <v>86</v>
      </c>
      <c r="D3" s="56" t="s">
        <v>96</v>
      </c>
      <c r="E3" s="56">
        <v>250000</v>
      </c>
      <c r="F3" s="56" t="s">
        <v>77</v>
      </c>
      <c r="G3" s="57">
        <v>-7.6220000000000003E-3</v>
      </c>
      <c r="I3" t="s">
        <v>71</v>
      </c>
      <c r="J3">
        <v>75</v>
      </c>
      <c r="K3" s="24">
        <v>4.5729999999999998E-3</v>
      </c>
      <c r="M3" t="s">
        <v>29</v>
      </c>
      <c r="U3" t="str">
        <f>V9</f>
        <v>2017-2018</v>
      </c>
      <c r="V3" t="s">
        <v>152</v>
      </c>
    </row>
    <row r="4" spans="1:22" x14ac:dyDescent="0.25">
      <c r="D4" s="20" t="s">
        <v>97</v>
      </c>
      <c r="E4" s="20">
        <v>1E+17</v>
      </c>
      <c r="F4" s="20" t="s">
        <v>80</v>
      </c>
      <c r="G4" s="21">
        <v>-3.049E-2</v>
      </c>
      <c r="I4" t="s">
        <v>127</v>
      </c>
      <c r="J4">
        <v>55</v>
      </c>
      <c r="K4" s="24">
        <v>6.8599999999999998E-3</v>
      </c>
      <c r="M4" t="s">
        <v>7</v>
      </c>
      <c r="U4" t="str">
        <f>V8</f>
        <v>2018-2019</v>
      </c>
      <c r="V4" t="s">
        <v>151</v>
      </c>
    </row>
    <row r="5" spans="1:22" x14ac:dyDescent="0.25">
      <c r="D5" s="56" t="s">
        <v>98</v>
      </c>
      <c r="E5" s="56">
        <v>500</v>
      </c>
      <c r="F5" s="56" t="s">
        <v>79</v>
      </c>
      <c r="G5" s="57">
        <v>0</v>
      </c>
      <c r="M5" t="s">
        <v>24</v>
      </c>
      <c r="U5" t="str">
        <f>V7</f>
        <v>2019-2020</v>
      </c>
      <c r="V5" t="s">
        <v>150</v>
      </c>
    </row>
    <row r="6" spans="1:22" x14ac:dyDescent="0.25">
      <c r="A6" s="1"/>
      <c r="D6" s="20" t="s">
        <v>99</v>
      </c>
      <c r="E6" s="20">
        <v>2000</v>
      </c>
      <c r="F6" s="20" t="s">
        <v>77</v>
      </c>
      <c r="G6" s="21">
        <v>-7.6220000000000003E-3</v>
      </c>
      <c r="M6" t="s">
        <v>83</v>
      </c>
      <c r="U6" t="str">
        <f>V6</f>
        <v>2020-2021</v>
      </c>
      <c r="V6" t="s">
        <v>149</v>
      </c>
    </row>
    <row r="7" spans="1:22" x14ac:dyDescent="0.25">
      <c r="D7" s="56" t="s">
        <v>100</v>
      </c>
      <c r="E7" s="56">
        <v>1E+17</v>
      </c>
      <c r="F7" s="56" t="s">
        <v>80</v>
      </c>
      <c r="G7" s="57">
        <v>-3.049E-2</v>
      </c>
      <c r="M7" t="s">
        <v>25</v>
      </c>
      <c r="U7" t="str">
        <f>V5</f>
        <v>2021-2022</v>
      </c>
      <c r="V7" t="s">
        <v>148</v>
      </c>
    </row>
    <row r="8" spans="1:22" x14ac:dyDescent="0.25">
      <c r="D8" s="20" t="s">
        <v>105</v>
      </c>
      <c r="E8" s="20">
        <v>500</v>
      </c>
      <c r="F8" s="20" t="s">
        <v>91</v>
      </c>
      <c r="G8" s="21">
        <v>6.0980000000000001E-3</v>
      </c>
      <c r="M8" t="s">
        <v>20</v>
      </c>
      <c r="U8" t="str">
        <f>V4</f>
        <v>2022-2023</v>
      </c>
      <c r="V8" t="s">
        <v>147</v>
      </c>
    </row>
    <row r="9" spans="1:22" x14ac:dyDescent="0.25">
      <c r="D9" s="56" t="s">
        <v>101</v>
      </c>
      <c r="E9" s="56">
        <v>1000</v>
      </c>
      <c r="F9" s="56" t="s">
        <v>79</v>
      </c>
      <c r="G9" s="57">
        <v>0</v>
      </c>
      <c r="M9" t="s">
        <v>21</v>
      </c>
      <c r="U9" t="str">
        <f>V3</f>
        <v>2023-2024</v>
      </c>
      <c r="V9" t="s">
        <v>146</v>
      </c>
    </row>
    <row r="10" spans="1:22" x14ac:dyDescent="0.25">
      <c r="D10" s="20" t="s">
        <v>102</v>
      </c>
      <c r="E10" s="20">
        <v>2000</v>
      </c>
      <c r="F10" s="20" t="s">
        <v>77</v>
      </c>
      <c r="G10" s="21">
        <v>-1.524E-3</v>
      </c>
      <c r="M10" t="s">
        <v>40</v>
      </c>
      <c r="U10" t="str">
        <f>V2</f>
        <v>2024-2025</v>
      </c>
      <c r="V10" t="s">
        <v>171</v>
      </c>
    </row>
    <row r="11" spans="1:22" x14ac:dyDescent="0.25">
      <c r="D11" s="56" t="s">
        <v>103</v>
      </c>
      <c r="E11" s="56">
        <v>4000</v>
      </c>
      <c r="F11" s="56" t="s">
        <v>80</v>
      </c>
      <c r="G11" s="57">
        <v>-4.5729999999999998E-3</v>
      </c>
      <c r="M11" t="s">
        <v>35</v>
      </c>
    </row>
    <row r="12" spans="1:22" x14ac:dyDescent="0.25">
      <c r="D12" s="22" t="s">
        <v>104</v>
      </c>
      <c r="E12" s="22">
        <v>100000000000000</v>
      </c>
      <c r="F12" s="22" t="s">
        <v>92</v>
      </c>
      <c r="G12" s="21">
        <v>-1.5245E-2</v>
      </c>
      <c r="M12" t="s">
        <v>38</v>
      </c>
    </row>
    <row r="13" spans="1:22" x14ac:dyDescent="0.25">
      <c r="M13" t="s">
        <v>14</v>
      </c>
    </row>
    <row r="14" spans="1:22" x14ac:dyDescent="0.25">
      <c r="E14" s="10"/>
      <c r="F14" s="36" t="s">
        <v>94</v>
      </c>
      <c r="G14" s="37" t="s">
        <v>112</v>
      </c>
      <c r="M14" t="s">
        <v>11</v>
      </c>
    </row>
    <row r="15" spans="1:22" x14ac:dyDescent="0.25">
      <c r="E15" s="146" t="s">
        <v>162</v>
      </c>
      <c r="F15" s="59" t="str">
        <f t="shared" ref="F15:G17" si="0">F2</f>
        <v>A</v>
      </c>
      <c r="G15" s="60">
        <f t="shared" si="0"/>
        <v>0</v>
      </c>
      <c r="M15" t="s">
        <v>8</v>
      </c>
    </row>
    <row r="16" spans="1:22" x14ac:dyDescent="0.25">
      <c r="E16" s="147"/>
      <c r="F16" s="61" t="str">
        <f t="shared" si="0"/>
        <v>B</v>
      </c>
      <c r="G16" s="62">
        <f t="shared" si="0"/>
        <v>-7.6220000000000003E-3</v>
      </c>
      <c r="M16" t="s">
        <v>34</v>
      </c>
    </row>
    <row r="17" spans="5:13" x14ac:dyDescent="0.25">
      <c r="E17" s="148"/>
      <c r="F17" s="58" t="str">
        <f t="shared" si="0"/>
        <v>C</v>
      </c>
      <c r="G17" s="34">
        <f t="shared" si="0"/>
        <v>-3.049E-2</v>
      </c>
      <c r="M17" t="s">
        <v>32</v>
      </c>
    </row>
    <row r="18" spans="5:13" x14ac:dyDescent="0.25">
      <c r="F18" s="2"/>
      <c r="M18" t="s">
        <v>18</v>
      </c>
    </row>
    <row r="19" spans="5:13" x14ac:dyDescent="0.25">
      <c r="E19" s="10"/>
      <c r="F19" s="63" t="s">
        <v>94</v>
      </c>
      <c r="G19" s="37" t="s">
        <v>112</v>
      </c>
      <c r="M19" t="s">
        <v>22</v>
      </c>
    </row>
    <row r="20" spans="5:13" ht="15" customHeight="1" x14ac:dyDescent="0.25">
      <c r="E20" s="146" t="s">
        <v>160</v>
      </c>
      <c r="F20" s="59" t="str">
        <f t="shared" ref="F20:G22" si="1">F5</f>
        <v>A</v>
      </c>
      <c r="G20" s="60">
        <f t="shared" si="1"/>
        <v>0</v>
      </c>
      <c r="M20" t="s">
        <v>31</v>
      </c>
    </row>
    <row r="21" spans="5:13" x14ac:dyDescent="0.25">
      <c r="E21" s="147"/>
      <c r="F21" s="61" t="str">
        <f t="shared" si="1"/>
        <v>B</v>
      </c>
      <c r="G21" s="62">
        <f t="shared" si="1"/>
        <v>-7.6220000000000003E-3</v>
      </c>
      <c r="M21" t="s">
        <v>36</v>
      </c>
    </row>
    <row r="22" spans="5:13" x14ac:dyDescent="0.25">
      <c r="E22" s="148"/>
      <c r="F22" s="58" t="str">
        <f t="shared" si="1"/>
        <v>C</v>
      </c>
      <c r="G22" s="34">
        <f t="shared" si="1"/>
        <v>-3.049E-2</v>
      </c>
      <c r="M22" t="s">
        <v>30</v>
      </c>
    </row>
    <row r="23" spans="5:13" x14ac:dyDescent="0.25">
      <c r="F23" s="2"/>
      <c r="M23" t="s">
        <v>27</v>
      </c>
    </row>
    <row r="24" spans="5:13" x14ac:dyDescent="0.25">
      <c r="E24" s="10"/>
      <c r="F24" s="63" t="s">
        <v>94</v>
      </c>
      <c r="G24" s="37" t="s">
        <v>112</v>
      </c>
      <c r="M24" t="s">
        <v>17</v>
      </c>
    </row>
    <row r="25" spans="5:13" x14ac:dyDescent="0.25">
      <c r="E25" s="146" t="s">
        <v>156</v>
      </c>
      <c r="F25" s="59" t="str">
        <f t="shared" ref="F25:G29" si="2">F8</f>
        <v>A+</v>
      </c>
      <c r="G25" s="64">
        <f t="shared" si="2"/>
        <v>6.0980000000000001E-3</v>
      </c>
      <c r="M25" t="s">
        <v>10</v>
      </c>
    </row>
    <row r="26" spans="5:13" x14ac:dyDescent="0.25">
      <c r="E26" s="147"/>
      <c r="F26" s="61" t="str">
        <f t="shared" si="2"/>
        <v>A</v>
      </c>
      <c r="G26" s="65">
        <f t="shared" si="2"/>
        <v>0</v>
      </c>
      <c r="M26" t="s">
        <v>37</v>
      </c>
    </row>
    <row r="27" spans="5:13" x14ac:dyDescent="0.25">
      <c r="E27" s="147"/>
      <c r="F27" s="59" t="str">
        <f t="shared" si="2"/>
        <v>B</v>
      </c>
      <c r="G27" s="64">
        <f t="shared" si="2"/>
        <v>-1.524E-3</v>
      </c>
      <c r="M27" t="s">
        <v>177</v>
      </c>
    </row>
    <row r="28" spans="5:13" x14ac:dyDescent="0.25">
      <c r="E28" s="147"/>
      <c r="F28" s="61" t="str">
        <f t="shared" si="2"/>
        <v>C</v>
      </c>
      <c r="G28" s="65">
        <f t="shared" si="2"/>
        <v>-4.5729999999999998E-3</v>
      </c>
      <c r="M28" t="s">
        <v>13</v>
      </c>
    </row>
    <row r="29" spans="5:13" x14ac:dyDescent="0.25">
      <c r="E29" s="148"/>
      <c r="F29" s="58" t="str">
        <f t="shared" si="2"/>
        <v>C+</v>
      </c>
      <c r="G29" s="66">
        <f t="shared" si="2"/>
        <v>-1.5245E-2</v>
      </c>
      <c r="M29" t="s">
        <v>9</v>
      </c>
    </row>
    <row r="30" spans="5:13" x14ac:dyDescent="0.25">
      <c r="M30" t="s">
        <v>23</v>
      </c>
    </row>
    <row r="31" spans="5:13" x14ac:dyDescent="0.25">
      <c r="M31" t="s">
        <v>26</v>
      </c>
    </row>
    <row r="32" spans="5:13" x14ac:dyDescent="0.25">
      <c r="M32" t="s">
        <v>28</v>
      </c>
    </row>
    <row r="33" spans="13:13" x14ac:dyDescent="0.25">
      <c r="M33" t="s">
        <v>12</v>
      </c>
    </row>
    <row r="34" spans="13:13" x14ac:dyDescent="0.25">
      <c r="M34" t="s">
        <v>33</v>
      </c>
    </row>
    <row r="35" spans="13:13" x14ac:dyDescent="0.25">
      <c r="M35" t="s">
        <v>15</v>
      </c>
    </row>
    <row r="36" spans="13:13" x14ac:dyDescent="0.25">
      <c r="M36" t="s">
        <v>19</v>
      </c>
    </row>
    <row r="37" spans="13:13" x14ac:dyDescent="0.25">
      <c r="M37" t="s">
        <v>39</v>
      </c>
    </row>
  </sheetData>
  <mergeCells count="3">
    <mergeCell ref="E15:E17"/>
    <mergeCell ref="E20:E22"/>
    <mergeCell ref="E25:E29"/>
  </mergeCells>
  <conditionalFormatting sqref="X2:X4">
    <cfRule type="cellIs" dxfId="6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5">
    <tablePart r:id="rId3"/>
    <tablePart r:id="rId4"/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0D3A0-DD7F-4457-9444-6A718D041BBB}">
  <sheetPr codeName="Feuil7"/>
  <dimension ref="A1:H7"/>
  <sheetViews>
    <sheetView workbookViewId="0">
      <selection activeCell="C11" sqref="C11"/>
    </sheetView>
  </sheetViews>
  <sheetFormatPr baseColWidth="10" defaultRowHeight="15" x14ac:dyDescent="0.25"/>
  <cols>
    <col min="1" max="1" width="28.28515625" bestFit="1" customWidth="1"/>
    <col min="2" max="2" width="25.42578125" bestFit="1" customWidth="1"/>
    <col min="3" max="3" width="14.140625" bestFit="1" customWidth="1"/>
    <col min="4" max="4" width="23.140625" bestFit="1" customWidth="1"/>
    <col min="5" max="5" width="36.140625" style="29" customWidth="1"/>
    <col min="6" max="6" width="36.140625" style="29" hidden="1" customWidth="1"/>
    <col min="7" max="8" width="21" bestFit="1" customWidth="1"/>
  </cols>
  <sheetData>
    <row r="1" spans="1:8" ht="81.75" customHeight="1" x14ac:dyDescent="0.25">
      <c r="A1" t="s">
        <v>119</v>
      </c>
      <c r="B1" t="s">
        <v>120</v>
      </c>
      <c r="C1" t="s">
        <v>3</v>
      </c>
      <c r="D1" t="s">
        <v>75</v>
      </c>
      <c r="E1" s="29" t="s">
        <v>129</v>
      </c>
      <c r="F1" s="29" t="s">
        <v>130</v>
      </c>
      <c r="G1" t="s">
        <v>121</v>
      </c>
      <c r="H1" t="s">
        <v>122</v>
      </c>
    </row>
    <row r="2" spans="1:8" x14ac:dyDescent="0.25">
      <c r="A2" s="1">
        <v>43069</v>
      </c>
      <c r="B2" s="1">
        <v>43342</v>
      </c>
      <c r="C2" t="s">
        <v>43</v>
      </c>
      <c r="D2" t="s">
        <v>81</v>
      </c>
      <c r="E2" s="29" t="str">
        <f>IF(OR(TEXT(Tableau11[[#This Row],[Date de début de campagne]],"mmmm")="décembre",TEXT(Tableau11[[#This Row],[Date de début de campagne]],"mmmm")="novembre"),CONCATENATE(TEXT(Tableau11[[#This Row],[Date de début de campagne]],"aaaa"),"-",TEXT(Tableau11[[#This Row],[Date de début de campagne]],"aaaa")+1),"Début de saison doit être en novembre ou décembre")</f>
        <v>2017-2018</v>
      </c>
      <c r="F2" s="29" t="str">
        <f>IF(Tableau11[[#This Row],[Date de début de campagne]]="","",CONCATENATE(Tableau11[[#This Row],[SAISON]],Tableau11[[#This Row],[Type de lait]],Tableau11[[#This Row],[Traitement thermique]]))</f>
        <v>2017-2018BIOCru</v>
      </c>
      <c r="G2" s="23">
        <v>1.1000000000000001</v>
      </c>
      <c r="H2" s="23">
        <v>1.35</v>
      </c>
    </row>
    <row r="3" spans="1:8" x14ac:dyDescent="0.25">
      <c r="A3" s="1">
        <v>43070</v>
      </c>
      <c r="B3" s="1">
        <v>43342</v>
      </c>
      <c r="C3" t="s">
        <v>85</v>
      </c>
      <c r="D3" t="s">
        <v>81</v>
      </c>
      <c r="E3" s="29" t="str">
        <f>IF(OR(TEXT(Tableau11[[#This Row],[Date de début de campagne]],"mmmm")="décembre",TEXT(Tableau11[[#This Row],[Date de début de campagne]],"mmmm")="novembre"),CONCATENATE(TEXT(Tableau11[[#This Row],[Date de début de campagne]],"aaaa"),"-",TEXT(Tableau11[[#This Row],[Date de début de campagne]],"aaaa")+1),"Début de saison doit être en novembre ou décembre")</f>
        <v>2017-2018</v>
      </c>
      <c r="F3" s="29" t="str">
        <f>IF(Tableau11[[#This Row],[Date de début de campagne]]="","",CONCATENATE(Tableau11[[#This Row],[SAISON]],Tableau11[[#This Row],[Type de lait]],Tableau11[[#This Row],[Traitement thermique]]))</f>
        <v>2017-2018ConventionnelCru</v>
      </c>
      <c r="G3" s="23">
        <v>1</v>
      </c>
      <c r="H3" s="23">
        <v>1.1499999999999999</v>
      </c>
    </row>
    <row r="4" spans="1:8" x14ac:dyDescent="0.25">
      <c r="A4" s="1">
        <v>43070</v>
      </c>
      <c r="B4" s="1">
        <v>43342</v>
      </c>
      <c r="C4" t="s">
        <v>85</v>
      </c>
      <c r="D4" t="s">
        <v>86</v>
      </c>
      <c r="E4" s="29" t="str">
        <f>IF(OR(TEXT(Tableau11[[#This Row],[Date de début de campagne]],"mmmm")="décembre",TEXT(Tableau11[[#This Row],[Date de début de campagne]],"mmmm")="novembre"),CONCATENATE(TEXT(Tableau11[[#This Row],[Date de début de campagne]],"aaaa"),"-",TEXT(Tableau11[[#This Row],[Date de début de campagne]],"aaaa")+1),"Début de saison doit être en novembre ou décembre")</f>
        <v>2017-2018</v>
      </c>
      <c r="F4" s="29" t="str">
        <f>IF(Tableau11[[#This Row],[Date de début de campagne]]="","",CONCATENATE(Tableau11[[#This Row],[SAISON]],Tableau11[[#This Row],[Type de lait]],Tableau11[[#This Row],[Traitement thermique]]))</f>
        <v>2017-2018ConventionnelThermisé</v>
      </c>
      <c r="G4" s="23">
        <v>0.9</v>
      </c>
      <c r="H4" s="23">
        <v>1</v>
      </c>
    </row>
    <row r="5" spans="1:8" x14ac:dyDescent="0.25">
      <c r="A5" s="1">
        <v>42705</v>
      </c>
      <c r="B5" s="1">
        <v>42977</v>
      </c>
      <c r="C5" t="s">
        <v>43</v>
      </c>
      <c r="D5" t="s">
        <v>81</v>
      </c>
      <c r="E5" s="29" t="str">
        <f>IF(OR(TEXT(Tableau11[[#This Row],[Date de début de campagne]],"mmmm")="décembre",TEXT(Tableau11[[#This Row],[Date de début de campagne]],"mmmm")="novembre"),CONCATENATE(TEXT(Tableau11[[#This Row],[Date de début de campagne]],"aaaa"),"-",TEXT(Tableau11[[#This Row],[Date de début de campagne]],"aaaa")+1),"Début de saison doit être en novembre ou décembre")</f>
        <v>2016-2017</v>
      </c>
      <c r="F5" s="29" t="str">
        <f>IF(Tableau11[[#This Row],[Date de début de campagne]]="","",CONCATENATE(Tableau11[[#This Row],[SAISON]],Tableau11[[#This Row],[Type de lait]],Tableau11[[#This Row],[Traitement thermique]]))</f>
        <v>2016-2017BIOCru</v>
      </c>
      <c r="G5" s="23">
        <v>1.08</v>
      </c>
      <c r="H5" s="23">
        <v>1.25</v>
      </c>
    </row>
    <row r="6" spans="1:8" x14ac:dyDescent="0.25">
      <c r="A6" s="1">
        <v>42705</v>
      </c>
      <c r="B6" s="1">
        <v>42977</v>
      </c>
      <c r="C6" t="s">
        <v>85</v>
      </c>
      <c r="D6" t="s">
        <v>81</v>
      </c>
      <c r="E6" s="29" t="str">
        <f>IF(OR(TEXT(Tableau11[[#This Row],[Date de début de campagne]],"mmmm")="décembre",TEXT(Tableau11[[#This Row],[Date de début de campagne]],"mmmm")="novembre"),CONCATENATE(TEXT(Tableau11[[#This Row],[Date de début de campagne]],"aaaa"),"-",TEXT(Tableau11[[#This Row],[Date de début de campagne]],"aaaa")+1),"Début de saison doit être en novembre ou décembre")</f>
        <v>2016-2017</v>
      </c>
      <c r="F6" s="29" t="str">
        <f>IF(Tableau11[[#This Row],[Date de début de campagne]]="","",CONCATENATE(Tableau11[[#This Row],[SAISON]],Tableau11[[#This Row],[Type de lait]],Tableau11[[#This Row],[Traitement thermique]]))</f>
        <v>2016-2017ConventionnelCru</v>
      </c>
      <c r="G6" s="23">
        <v>1.02</v>
      </c>
      <c r="H6" s="23">
        <v>1.1200000000000001</v>
      </c>
    </row>
    <row r="7" spans="1:8" x14ac:dyDescent="0.25">
      <c r="A7" s="1">
        <v>42705</v>
      </c>
      <c r="B7" s="1">
        <v>42977</v>
      </c>
      <c r="C7" t="s">
        <v>85</v>
      </c>
      <c r="D7" t="s">
        <v>86</v>
      </c>
      <c r="E7" s="29" t="str">
        <f>IF(OR(TEXT(Tableau11[[#This Row],[Date de début de campagne]],"mmmm")="décembre",TEXT(Tableau11[[#This Row],[Date de début de campagne]],"mmmm")="novembre"),CONCATENATE(TEXT(Tableau11[[#This Row],[Date de début de campagne]],"aaaa"),"-",TEXT(Tableau11[[#This Row],[Date de début de campagne]],"aaaa")+1),"Début de saison doit être en novembre ou décembre")</f>
        <v>2016-2017</v>
      </c>
      <c r="F7" s="29" t="str">
        <f>IF(Tableau11[[#This Row],[Date de début de campagne]]="","",CONCATENATE(Tableau11[[#This Row],[SAISON]],Tableau11[[#This Row],[Type de lait]],Tableau11[[#This Row],[Traitement thermique]]))</f>
        <v>2016-2017ConventionnelThermisé</v>
      </c>
      <c r="G7" s="23">
        <v>0.92</v>
      </c>
      <c r="H7" s="23">
        <v>1.01</v>
      </c>
    </row>
  </sheetData>
  <dataValidations count="2">
    <dataValidation type="list" allowBlank="1" showInputMessage="1" showErrorMessage="1" sqref="C2:C7" xr:uid="{1827D743-99AC-4D84-ABB4-36C09F0AB4C7}">
      <formula1>QUALITE_DU_LAIT</formula1>
    </dataValidation>
    <dataValidation type="list" allowBlank="1" showInputMessage="1" showErrorMessage="1" sqref="D2:D7" xr:uid="{42ED3A36-7D28-4BCD-AACC-448EFFCACA5E}">
      <formula1>LISTE_TRAITEMENTS_THERMIQUES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F2BF6-5904-4E12-92A5-B307DD1EC29E}">
  <sheetPr codeName="Feuil10">
    <pageSetUpPr fitToPage="1"/>
  </sheetPr>
  <dimension ref="A1:Q95"/>
  <sheetViews>
    <sheetView view="pageBreakPreview" topLeftCell="A4" zoomScale="89" zoomScaleNormal="100" zoomScaleSheetLayoutView="89" workbookViewId="0">
      <selection activeCell="A4" sqref="A4:XFD20"/>
    </sheetView>
  </sheetViews>
  <sheetFormatPr baseColWidth="10" defaultRowHeight="16.5" x14ac:dyDescent="0.3"/>
  <cols>
    <col min="1" max="1" width="14.85546875" style="5" customWidth="1"/>
    <col min="2" max="2" width="24.85546875" style="5" bestFit="1" customWidth="1"/>
    <col min="3" max="3" width="19.140625" style="5" bestFit="1" customWidth="1"/>
    <col min="4" max="4" width="18" style="5" customWidth="1"/>
    <col min="5" max="5" width="14.140625" style="5" customWidth="1"/>
    <col min="6" max="6" width="16.140625" style="15" customWidth="1"/>
    <col min="7" max="7" width="18.85546875" style="15" customWidth="1"/>
    <col min="8" max="8" width="16.7109375" style="15" hidden="1" customWidth="1"/>
    <col min="9" max="9" width="21.7109375" style="15" customWidth="1"/>
    <col min="10" max="10" width="22.28515625" style="15" customWidth="1"/>
    <col min="11" max="11" width="16.28515625" style="15" hidden="1" customWidth="1"/>
    <col min="12" max="13" width="17.28515625" style="5" hidden="1" customWidth="1"/>
    <col min="14" max="14" width="28.85546875" style="5" bestFit="1" customWidth="1"/>
    <col min="15" max="15" width="9" style="69" customWidth="1"/>
    <col min="16" max="16" width="14.85546875" style="5" bestFit="1" customWidth="1"/>
    <col min="17" max="17" width="14.7109375" style="5" customWidth="1"/>
    <col min="18" max="18" width="22.5703125" style="5" customWidth="1"/>
    <col min="19" max="16384" width="11.42578125" style="5"/>
  </cols>
  <sheetData>
    <row r="1" spans="1:17" ht="33" x14ac:dyDescent="0.3">
      <c r="A1" s="117" t="s">
        <v>136</v>
      </c>
      <c r="B1" s="118" t="s">
        <v>177</v>
      </c>
      <c r="D1" s="105"/>
      <c r="E1" s="69"/>
      <c r="F1" s="68"/>
      <c r="G1" s="68"/>
      <c r="H1" s="68"/>
      <c r="I1" s="68"/>
      <c r="J1" s="68"/>
      <c r="K1" s="68"/>
      <c r="L1" s="69"/>
      <c r="M1" s="69"/>
    </row>
    <row r="2" spans="1:17" x14ac:dyDescent="0.3">
      <c r="A2" s="117" t="s">
        <v>161</v>
      </c>
      <c r="B2" s="118" t="s">
        <v>146</v>
      </c>
      <c r="D2" s="105"/>
      <c r="E2" s="69"/>
      <c r="F2" s="68"/>
      <c r="G2" s="68"/>
      <c r="H2" s="68"/>
      <c r="I2" s="68"/>
      <c r="J2" s="68"/>
      <c r="K2" s="68"/>
      <c r="L2" s="69"/>
      <c r="M2" s="69"/>
    </row>
    <row r="3" spans="1:17" ht="32.25" customHeight="1" x14ac:dyDescent="0.3">
      <c r="A3" s="69"/>
      <c r="B3" s="69"/>
      <c r="C3" s="69"/>
      <c r="D3" s="69"/>
      <c r="E3" s="69"/>
      <c r="F3" s="68"/>
      <c r="G3" s="68"/>
      <c r="H3" s="68"/>
      <c r="I3" s="68"/>
      <c r="J3" s="68"/>
      <c r="K3" s="68"/>
      <c r="L3" s="69"/>
      <c r="M3" s="69"/>
    </row>
    <row r="4" spans="1:17" ht="17.25" thickBot="1" x14ac:dyDescent="0.35">
      <c r="A4" s="69"/>
      <c r="B4" s="69"/>
      <c r="C4" s="69"/>
      <c r="D4" s="69"/>
      <c r="E4" s="69"/>
      <c r="F4" s="68"/>
      <c r="G4" s="68"/>
      <c r="H4" s="69"/>
      <c r="I4" s="69"/>
      <c r="J4" s="69"/>
      <c r="K4" s="68"/>
      <c r="L4" s="69"/>
      <c r="M4" s="69"/>
    </row>
    <row r="5" spans="1:17" ht="25.5" hidden="1" customHeight="1" thickBot="1" x14ac:dyDescent="0.35">
      <c r="A5" s="131" t="s">
        <v>75</v>
      </c>
      <c r="B5" s="132" t="s">
        <v>81</v>
      </c>
      <c r="C5" s="133"/>
      <c r="D5" s="131" t="s">
        <v>175</v>
      </c>
      <c r="E5" s="134">
        <f>IFERROR(IF(cProducteur="","",INDEX(Tableau11[#All],MATCH(CONCATENATE(cSaison,$B6,$B5),'BDD PRIX LAIT'!$F:$F,0),MATCH(Base_avant_acompte,Tableau11[#Headers],0))),"")</f>
        <v>1.1000000000000001</v>
      </c>
      <c r="F5" s="68"/>
      <c r="G5" s="68"/>
      <c r="H5" s="68"/>
      <c r="I5" s="68"/>
      <c r="J5" s="68"/>
      <c r="K5" s="68"/>
      <c r="L5" s="69"/>
      <c r="M5" s="69"/>
    </row>
    <row r="6" spans="1:17" ht="23.25" hidden="1" customHeight="1" thickBot="1" x14ac:dyDescent="0.35">
      <c r="A6" s="135" t="s">
        <v>3</v>
      </c>
      <c r="B6" s="136" t="s">
        <v>43</v>
      </c>
      <c r="C6" s="133"/>
      <c r="D6" s="143"/>
      <c r="E6" s="142"/>
      <c r="F6" s="68"/>
      <c r="G6" s="68"/>
      <c r="H6" s="68"/>
      <c r="I6" s="68"/>
      <c r="J6" s="68"/>
      <c r="K6" s="68"/>
      <c r="L6" s="69"/>
      <c r="M6" s="69"/>
    </row>
    <row r="7" spans="1:17" ht="5.25" hidden="1" customHeight="1" x14ac:dyDescent="0.3">
      <c r="A7" s="69"/>
      <c r="B7" s="69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53"/>
    </row>
    <row r="8" spans="1:17" s="54" customFormat="1" ht="40.5" hidden="1" customHeight="1" x14ac:dyDescent="0.25">
      <c r="A8" s="129" t="s">
        <v>1</v>
      </c>
      <c r="B8" s="130" t="s">
        <v>71</v>
      </c>
      <c r="C8" s="130" t="s">
        <v>72</v>
      </c>
      <c r="D8" s="130" t="s">
        <v>155</v>
      </c>
      <c r="E8" s="130" t="s">
        <v>156</v>
      </c>
      <c r="F8" s="130" t="s">
        <v>160</v>
      </c>
      <c r="G8" s="130" t="s">
        <v>176</v>
      </c>
      <c r="H8" s="130" t="s">
        <v>166</v>
      </c>
      <c r="I8" s="130" t="s">
        <v>2</v>
      </c>
      <c r="J8" s="130" t="s">
        <v>157</v>
      </c>
      <c r="K8" s="83" t="s">
        <v>169</v>
      </c>
      <c r="L8" s="83" t="s">
        <v>170</v>
      </c>
      <c r="M8" s="83" t="s">
        <v>159</v>
      </c>
      <c r="N8" s="83" t="s">
        <v>158</v>
      </c>
      <c r="O8" s="84"/>
      <c r="P8" s="85"/>
      <c r="Q8" s="84"/>
    </row>
    <row r="9" spans="1:17" s="125" customFormat="1" ht="18.75" hidden="1" x14ac:dyDescent="0.3">
      <c r="A9" s="119" t="s">
        <v>144</v>
      </c>
      <c r="B9" s="120" t="str">
        <f>IFERROR(INDEX(Tableau47[#All],MATCH(Tableau12[[#This Row],[quinte]],Tableau47[[#All],[Quintuplé Année-Mois-Producteur-Type lait_Traitement thermique]],0),MATCH(Tableau47[[#Headers],[MG]],Tableau47[#Headers],0)),"")</f>
        <v/>
      </c>
      <c r="C9" s="120" t="str">
        <f>IFERROR(INDEX(Tableau47[#All],MATCH(Tableau12[[#This Row],[quinte]],Tableau47[[#All],[Quintuplé Année-Mois-Producteur-Type lait_Traitement thermique]],0),MATCH(Tableau47[[#Headers],[MP]],Tableau47[#Headers],0)),"")</f>
        <v/>
      </c>
      <c r="D9" s="120" t="str">
        <f>IFERROR(INDEX(Tableau47[#All],MATCH(Tableau12[[#This Row],[quinte]],Tableau47[[#All],[Quintuplé Année-Mois-Producteur-Type lait_Traitement thermique]],0),MATCH(Tableau47[[#Headers],[Classe CE]],Tableau47[#Headers],0)),"")</f>
        <v/>
      </c>
      <c r="E9" s="120" t="str">
        <f>IFERROR(INDEX(Tableau47[#All],MATCH(Tableau12[[#This Row],[quinte]],Tableau47[[#All],[Quintuplé Année-Mois-Producteur-Type lait_Traitement thermique]],0),MATCH(Tableau47[[#Headers],[Classe BU]],Tableau47[#Headers],0)),"")</f>
        <v/>
      </c>
      <c r="F9" s="120" t="str">
        <f>IFERROR(INDEX(Tableau47[#All],MATCH(Tableau12[[#This Row],[quinte]],Tableau47[[#All],[Quintuplé Année-Mois-Producteur-Type lait_Traitement thermique]],0),MATCH(Tableau47[[#Headers],[Classe CO]],Tableau47[#Headers],0)),"")</f>
        <v/>
      </c>
      <c r="G9" s="121" t="str">
        <f>IFERROR(INDEX(Tableau47[#All],MATCH(Tableau12[[#This Row],[quinte]],Tableau47[[#All],[Quintuplé Année-Mois-Producteur-Type lait_Traitement thermique]],0),MATCH(Tableau47[[#Headers],[Prix au litre avant acompte modulé]],Tableau47[#Headers],0)),"")</f>
        <v/>
      </c>
      <c r="H9" s="121" t="str">
        <f>IFERROR(INDEX(Tableau47[#All],MATCH(Tableau12[[#This Row],[quinte]],Tableau47[[#All],[Quintuplé Année-Mois-Producteur-Type lait_Traitement thermique]],0),MATCH(Tableau47[[#Headers],[Prix au litre après acompte modulé]],Tableau47[#Headers],0)),"")</f>
        <v/>
      </c>
      <c r="I9" s="122" t="str">
        <f>IFERROR(INDEX(Tableau47[#All],MATCH(Tableau12[[#This Row],[quinte]],Tableau47[[#All],[Quintuplé Année-Mois-Producteur-Type lait_Traitement thermique]],0),MATCH(Tableau47[[#Headers],[Litrage]],Tableau47[#Headers],0)),"")</f>
        <v/>
      </c>
      <c r="J9" s="123" t="str">
        <f>IFERROR(INDEX(Tableau47[#All],MATCH(Tableau12[[#This Row],[quinte]],Tableau47[[#All],[Quintuplé Année-Mois-Producteur-Type lait_Traitement thermique]],0),MATCH(Tableau47[[#Headers],[Montant pour acompte]],Tableau47[#Headers],0)),"")</f>
        <v/>
      </c>
      <c r="K9" s="123" t="str">
        <f>IFERROR(INDEX(Tableau47[#All],MATCH(Tableau12[[#This Row],[quinte]],Tableau47[[#All],[Quintuplé Année-Mois-Producteur-Type lait_Traitement thermique]],0),MATCH(Tableau47[[#Headers],[Montant après acompte]],Tableau47[#Headers],0)),"")</f>
        <v/>
      </c>
      <c r="L9" s="127" t="str">
        <f>IF(Tableau12[[#This Row],[Total]]="","",IF(Tableau12[[#This Row],[Total après acompte]]="","",Tableau12[[#This Row],[Total après acompte]]-Tableau12[[#This Row],[Total]]))</f>
        <v/>
      </c>
      <c r="M9" s="126" t="str">
        <f>IF(OR(Tableau12[[#This Row],[Mois]]="décembre",Tableau12[[#This Row],[Mois]]="novembre"),LEFT(cSaison,4),RIGHT(cSaison,4))</f>
        <v>2017</v>
      </c>
      <c r="N9" s="126" t="str">
        <f>CONCATENATE(Tableau12[[#This Row],[année]],"_",Tableau12[[#This Row],[Mois]],"-",cProducteur,"/",$B$6,"+",$B$5)</f>
        <v>2017_novembre-ESSAI/BIO+Cru</v>
      </c>
      <c r="O9" s="124"/>
      <c r="P9" s="128"/>
    </row>
    <row r="10" spans="1:17" s="125" customFormat="1" ht="18.75" hidden="1" x14ac:dyDescent="0.3">
      <c r="A10" s="119" t="s">
        <v>145</v>
      </c>
      <c r="B10" s="120" t="str">
        <f>IFERROR(INDEX(Tableau47[#All],MATCH(Tableau12[[#This Row],[quinte]],Tableau47[[#All],[Quintuplé Année-Mois-Producteur-Type lait_Traitement thermique]],0),MATCH(Tableau47[[#Headers],[MG]],Tableau47[#Headers],0)),"")</f>
        <v/>
      </c>
      <c r="C10" s="120" t="str">
        <f>IFERROR(INDEX(Tableau47[#All],MATCH(Tableau12[[#This Row],[quinte]],Tableau47[[#All],[Quintuplé Année-Mois-Producteur-Type lait_Traitement thermique]],0),MATCH(Tableau47[[#Headers],[MP]],Tableau47[#Headers],0)),"")</f>
        <v/>
      </c>
      <c r="D10" s="120" t="str">
        <f>IFERROR(INDEX(Tableau47[#All],MATCH(Tableau12[[#This Row],[quinte]],Tableau47[[#All],[Quintuplé Année-Mois-Producteur-Type lait_Traitement thermique]],0),MATCH(Tableau47[[#Headers],[Classe CE]],Tableau47[#Headers],0)),"")</f>
        <v/>
      </c>
      <c r="E10" s="120" t="str">
        <f>IFERROR(INDEX(Tableau47[#All],MATCH(Tableau12[[#This Row],[quinte]],Tableau47[[#All],[Quintuplé Année-Mois-Producteur-Type lait_Traitement thermique]],0),MATCH(Tableau47[[#Headers],[Classe BU]],Tableau47[#Headers],0)),"")</f>
        <v/>
      </c>
      <c r="F10" s="120" t="str">
        <f>IFERROR(INDEX(Tableau47[#All],MATCH(Tableau12[[#This Row],[quinte]],Tableau47[[#All],[Quintuplé Année-Mois-Producteur-Type lait_Traitement thermique]],0),MATCH(Tableau47[[#Headers],[Classe CO]],Tableau47[#Headers],0)),"")</f>
        <v/>
      </c>
      <c r="G10" s="121" t="str">
        <f>IFERROR(INDEX(Tableau47[#All],MATCH(Tableau12[[#This Row],[quinte]],Tableau47[[#All],[Quintuplé Année-Mois-Producteur-Type lait_Traitement thermique]],0),MATCH(Tableau47[[#Headers],[Prix au litre avant acompte modulé]],Tableau47[#Headers],0)),"")</f>
        <v/>
      </c>
      <c r="H10" s="121" t="str">
        <f>IFERROR(INDEX(Tableau47[#All],MATCH(Tableau12[[#This Row],[quinte]],Tableau47[[#All],[Quintuplé Année-Mois-Producteur-Type lait_Traitement thermique]],0),MATCH(Tableau47[[#Headers],[Prix au litre après acompte modulé]],Tableau47[#Headers],0)),"")</f>
        <v/>
      </c>
      <c r="I10" s="122" t="str">
        <f>IFERROR(INDEX(Tableau47[#All],MATCH(Tableau12[[#This Row],[quinte]],Tableau47[[#All],[Quintuplé Année-Mois-Producteur-Type lait_Traitement thermique]],0),MATCH(Tableau47[[#Headers],[Litrage]],Tableau47[#Headers],0)),"")</f>
        <v/>
      </c>
      <c r="J10" s="123" t="str">
        <f>IFERROR(INDEX(Tableau47[#All],MATCH(Tableau12[[#This Row],[quinte]],Tableau47[[#All],[Quintuplé Année-Mois-Producteur-Type lait_Traitement thermique]],0),MATCH(Tableau47[[#Headers],[Montant pour acompte]],Tableau47[#Headers],0)),"")</f>
        <v/>
      </c>
      <c r="K10" s="123" t="str">
        <f>IFERROR(INDEX(Tableau47[#All],MATCH(Tableau12[[#This Row],[quinte]],Tableau47[[#All],[Quintuplé Année-Mois-Producteur-Type lait_Traitement thermique]],0),MATCH(Tableau47[[#Headers],[Montant après acompte]],Tableau47[#Headers],0)),"")</f>
        <v/>
      </c>
      <c r="L10" s="127" t="str">
        <f>IF(Tableau12[[#This Row],[Total]]="","",IF(Tableau12[[#This Row],[Total après acompte]]="","",Tableau12[[#This Row],[Total après acompte]]-Tableau12[[#This Row],[Total]]))</f>
        <v/>
      </c>
      <c r="M10" s="126" t="str">
        <f>IF(OR(Tableau12[[#This Row],[Mois]]="décembre",Tableau12[[#This Row],[Mois]]="novembre"),LEFT(cSaison,4),RIGHT(cSaison,4))</f>
        <v>2017</v>
      </c>
      <c r="N10" s="126" t="str">
        <f>CONCATENATE(Tableau12[[#This Row],[année]],"_",Tableau12[[#This Row],[Mois]],"-",cProducteur,"/",$B$6,"+",$B$5)</f>
        <v>2017_décembre-ESSAI/BIO+Cru</v>
      </c>
      <c r="O10" s="124"/>
      <c r="P10" s="128"/>
    </row>
    <row r="11" spans="1:17" s="125" customFormat="1" ht="18.75" hidden="1" x14ac:dyDescent="0.3">
      <c r="A11" s="119" t="s">
        <v>137</v>
      </c>
      <c r="B11" s="120" t="str">
        <f>IFERROR(INDEX(Tableau47[#All],MATCH(Tableau12[[#This Row],[quinte]],Tableau47[[#All],[Quintuplé Année-Mois-Producteur-Type lait_Traitement thermique]],0),MATCH(Tableau47[[#Headers],[MG]],Tableau47[#Headers],0)),"")</f>
        <v/>
      </c>
      <c r="C11" s="120" t="str">
        <f>IFERROR(INDEX(Tableau47[#All],MATCH(Tableau12[[#This Row],[quinte]],Tableau47[[#All],[Quintuplé Année-Mois-Producteur-Type lait_Traitement thermique]],0),MATCH(Tableau47[[#Headers],[MP]],Tableau47[#Headers],0)),"")</f>
        <v/>
      </c>
      <c r="D11" s="120" t="str">
        <f>IFERROR(INDEX(Tableau47[#All],MATCH(Tableau12[[#This Row],[quinte]],Tableau47[[#All],[Quintuplé Année-Mois-Producteur-Type lait_Traitement thermique]],0),MATCH(Tableau47[[#Headers],[Classe CE]],Tableau47[#Headers],0)),"")</f>
        <v/>
      </c>
      <c r="E11" s="120" t="str">
        <f>IFERROR(INDEX(Tableau47[#All],MATCH(Tableau12[[#This Row],[quinte]],Tableau47[[#All],[Quintuplé Année-Mois-Producteur-Type lait_Traitement thermique]],0),MATCH(Tableau47[[#Headers],[Classe BU]],Tableau47[#Headers],0)),"")</f>
        <v/>
      </c>
      <c r="F11" s="120" t="str">
        <f>IFERROR(INDEX(Tableau47[#All],MATCH(Tableau12[[#This Row],[quinte]],Tableau47[[#All],[Quintuplé Année-Mois-Producteur-Type lait_Traitement thermique]],0),MATCH(Tableau47[[#Headers],[Classe CO]],Tableau47[#Headers],0)),"")</f>
        <v/>
      </c>
      <c r="G11" s="121" t="str">
        <f>IFERROR(INDEX(Tableau47[#All],MATCH(Tableau12[[#This Row],[quinte]],Tableau47[[#All],[Quintuplé Année-Mois-Producteur-Type lait_Traitement thermique]],0),MATCH(Tableau47[[#Headers],[Prix au litre avant acompte modulé]],Tableau47[#Headers],0)),"")</f>
        <v/>
      </c>
      <c r="H11" s="121" t="str">
        <f>IFERROR(INDEX(Tableau47[#All],MATCH(Tableau12[[#This Row],[quinte]],Tableau47[[#All],[Quintuplé Année-Mois-Producteur-Type lait_Traitement thermique]],0),MATCH(Tableau47[[#Headers],[Prix au litre après acompte modulé]],Tableau47[#Headers],0)),"")</f>
        <v/>
      </c>
      <c r="I11" s="122" t="str">
        <f>IFERROR(INDEX(Tableau47[#All],MATCH(Tableau12[[#This Row],[quinte]],Tableau47[[#All],[Quintuplé Année-Mois-Producteur-Type lait_Traitement thermique]],0),MATCH(Tableau47[[#Headers],[Litrage]],Tableau47[#Headers],0)),"")</f>
        <v/>
      </c>
      <c r="J11" s="123" t="str">
        <f>IFERROR(INDEX(Tableau47[#All],MATCH(Tableau12[[#This Row],[quinte]],Tableau47[[#All],[Quintuplé Année-Mois-Producteur-Type lait_Traitement thermique]],0),MATCH(Tableau47[[#Headers],[Montant pour acompte]],Tableau47[#Headers],0)),"")</f>
        <v/>
      </c>
      <c r="K11" s="123" t="str">
        <f>IFERROR(INDEX(Tableau47[#All],MATCH(Tableau12[[#This Row],[quinte]],Tableau47[[#All],[Quintuplé Année-Mois-Producteur-Type lait_Traitement thermique]],0),MATCH(Tableau47[[#Headers],[Montant après acompte]],Tableau47[#Headers],0)),"")</f>
        <v/>
      </c>
      <c r="L11" s="127" t="str">
        <f>IF(Tableau12[[#This Row],[Total]]="","",IF(Tableau12[[#This Row],[Total après acompte]]="","",Tableau12[[#This Row],[Total après acompte]]-Tableau12[[#This Row],[Total]]))</f>
        <v/>
      </c>
      <c r="M11" s="126" t="str">
        <f>IF(OR(Tableau12[[#This Row],[Mois]]="décembre",Tableau12[[#This Row],[Mois]]="novembre"),LEFT(cSaison,4),RIGHT(cSaison,4))</f>
        <v>2018</v>
      </c>
      <c r="N11" s="126" t="str">
        <f>CONCATENATE(Tableau12[[#This Row],[année]],"_",Tableau12[[#This Row],[Mois]],"-",cProducteur,"/",$B$6,"+",$B$5)</f>
        <v>2018_janvier-ESSAI/BIO+Cru</v>
      </c>
      <c r="O11" s="124"/>
      <c r="P11" s="128"/>
    </row>
    <row r="12" spans="1:17" s="125" customFormat="1" ht="18.75" hidden="1" x14ac:dyDescent="0.3">
      <c r="A12" s="119" t="s">
        <v>138</v>
      </c>
      <c r="B12" s="120" t="str">
        <f>IFERROR(INDEX(Tableau47[#All],MATCH(Tableau12[[#This Row],[quinte]],Tableau47[[#All],[Quintuplé Année-Mois-Producteur-Type lait_Traitement thermique]],0),MATCH(Tableau47[[#Headers],[MG]],Tableau47[#Headers],0)),"")</f>
        <v/>
      </c>
      <c r="C12" s="120" t="str">
        <f>IFERROR(INDEX(Tableau47[#All],MATCH(Tableau12[[#This Row],[quinte]],Tableau47[[#All],[Quintuplé Année-Mois-Producteur-Type lait_Traitement thermique]],0),MATCH(Tableau47[[#Headers],[MP]],Tableau47[#Headers],0)),"")</f>
        <v/>
      </c>
      <c r="D12" s="120" t="str">
        <f>IFERROR(INDEX(Tableau47[#All],MATCH(Tableau12[[#This Row],[quinte]],Tableau47[[#All],[Quintuplé Année-Mois-Producteur-Type lait_Traitement thermique]],0),MATCH(Tableau47[[#Headers],[Classe CE]],Tableau47[#Headers],0)),"")</f>
        <v/>
      </c>
      <c r="E12" s="120" t="str">
        <f>IFERROR(INDEX(Tableau47[#All],MATCH(Tableau12[[#This Row],[quinte]],Tableau47[[#All],[Quintuplé Année-Mois-Producteur-Type lait_Traitement thermique]],0),MATCH(Tableau47[[#Headers],[Classe BU]],Tableau47[#Headers],0)),"")</f>
        <v/>
      </c>
      <c r="F12" s="120" t="str">
        <f>IFERROR(INDEX(Tableau47[#All],MATCH(Tableau12[[#This Row],[quinte]],Tableau47[[#All],[Quintuplé Année-Mois-Producteur-Type lait_Traitement thermique]],0),MATCH(Tableau47[[#Headers],[Classe CO]],Tableau47[#Headers],0)),"")</f>
        <v/>
      </c>
      <c r="G12" s="121" t="str">
        <f>IFERROR(INDEX(Tableau47[#All],MATCH(Tableau12[[#This Row],[quinte]],Tableau47[[#All],[Quintuplé Année-Mois-Producteur-Type lait_Traitement thermique]],0),MATCH(Tableau47[[#Headers],[Prix au litre avant acompte modulé]],Tableau47[#Headers],0)),"")</f>
        <v/>
      </c>
      <c r="H12" s="121" t="str">
        <f>IFERROR(INDEX(Tableau47[#All],MATCH(Tableau12[[#This Row],[quinte]],Tableau47[[#All],[Quintuplé Année-Mois-Producteur-Type lait_Traitement thermique]],0),MATCH(Tableau47[[#Headers],[Prix au litre après acompte modulé]],Tableau47[#Headers],0)),"")</f>
        <v/>
      </c>
      <c r="I12" s="122" t="str">
        <f>IFERROR(INDEX(Tableau47[#All],MATCH(Tableau12[[#This Row],[quinte]],Tableau47[[#All],[Quintuplé Année-Mois-Producteur-Type lait_Traitement thermique]],0),MATCH(Tableau47[[#Headers],[Litrage]],Tableau47[#Headers],0)),"")</f>
        <v/>
      </c>
      <c r="J12" s="123" t="str">
        <f>IFERROR(INDEX(Tableau47[#All],MATCH(Tableau12[[#This Row],[quinte]],Tableau47[[#All],[Quintuplé Année-Mois-Producteur-Type lait_Traitement thermique]],0),MATCH(Tableau47[[#Headers],[Montant pour acompte]],Tableau47[#Headers],0)),"")</f>
        <v/>
      </c>
      <c r="K12" s="123" t="str">
        <f>IFERROR(INDEX(Tableau47[#All],MATCH(Tableau12[[#This Row],[quinte]],Tableau47[[#All],[Quintuplé Année-Mois-Producteur-Type lait_Traitement thermique]],0),MATCH(Tableau47[[#Headers],[Montant après acompte]],Tableau47[#Headers],0)),"")</f>
        <v/>
      </c>
      <c r="L12" s="127" t="str">
        <f>IF(Tableau12[[#This Row],[Total]]="","",IF(Tableau12[[#This Row],[Total après acompte]]="","",Tableau12[[#This Row],[Total après acompte]]-Tableau12[[#This Row],[Total]]))</f>
        <v/>
      </c>
      <c r="M12" s="126" t="str">
        <f>IF(OR(Tableau12[[#This Row],[Mois]]="décembre",Tableau12[[#This Row],[Mois]]="novembre"),LEFT(cSaison,4),RIGHT(cSaison,4))</f>
        <v>2018</v>
      </c>
      <c r="N12" s="126" t="str">
        <f>CONCATENATE(Tableau12[[#This Row],[année]],"_",Tableau12[[#This Row],[Mois]],"-",cProducteur,"/",$B$6,"+",$B$5)</f>
        <v>2018_février-ESSAI/BIO+Cru</v>
      </c>
      <c r="O12" s="124"/>
      <c r="P12" s="128"/>
    </row>
    <row r="13" spans="1:17" s="125" customFormat="1" ht="18.75" hidden="1" x14ac:dyDescent="0.3">
      <c r="A13" s="119" t="s">
        <v>139</v>
      </c>
      <c r="B13" s="120" t="str">
        <f>IFERROR(INDEX(Tableau47[#All],MATCH(Tableau12[[#This Row],[quinte]],Tableau47[[#All],[Quintuplé Année-Mois-Producteur-Type lait_Traitement thermique]],0),MATCH(Tableau47[[#Headers],[MG]],Tableau47[#Headers],0)),"")</f>
        <v/>
      </c>
      <c r="C13" s="120" t="str">
        <f>IFERROR(INDEX(Tableau47[#All],MATCH(Tableau12[[#This Row],[quinte]],Tableau47[[#All],[Quintuplé Année-Mois-Producteur-Type lait_Traitement thermique]],0),MATCH(Tableau47[[#Headers],[MP]],Tableau47[#Headers],0)),"")</f>
        <v/>
      </c>
      <c r="D13" s="120" t="str">
        <f>IFERROR(INDEX(Tableau47[#All],MATCH(Tableau12[[#This Row],[quinte]],Tableau47[[#All],[Quintuplé Année-Mois-Producteur-Type lait_Traitement thermique]],0),MATCH(Tableau47[[#Headers],[Classe CE]],Tableau47[#Headers],0)),"")</f>
        <v/>
      </c>
      <c r="E13" s="120" t="str">
        <f>IFERROR(INDEX(Tableau47[#All],MATCH(Tableau12[[#This Row],[quinte]],Tableau47[[#All],[Quintuplé Année-Mois-Producteur-Type lait_Traitement thermique]],0),MATCH(Tableau47[[#Headers],[Classe BU]],Tableau47[#Headers],0)),"")</f>
        <v/>
      </c>
      <c r="F13" s="120" t="str">
        <f>IFERROR(INDEX(Tableau47[#All],MATCH(Tableau12[[#This Row],[quinte]],Tableau47[[#All],[Quintuplé Année-Mois-Producteur-Type lait_Traitement thermique]],0),MATCH(Tableau47[[#Headers],[Classe CO]],Tableau47[#Headers],0)),"")</f>
        <v/>
      </c>
      <c r="G13" s="121" t="str">
        <f>IFERROR(INDEX(Tableau47[#All],MATCH(Tableau12[[#This Row],[quinte]],Tableau47[[#All],[Quintuplé Année-Mois-Producteur-Type lait_Traitement thermique]],0),MATCH(Tableau47[[#Headers],[Prix au litre avant acompte modulé]],Tableau47[#Headers],0)),"")</f>
        <v/>
      </c>
      <c r="H13" s="121" t="str">
        <f>IFERROR(INDEX(Tableau47[#All],MATCH(Tableau12[[#This Row],[quinte]],Tableau47[[#All],[Quintuplé Année-Mois-Producteur-Type lait_Traitement thermique]],0),MATCH(Tableau47[[#Headers],[Prix au litre après acompte modulé]],Tableau47[#Headers],0)),"")</f>
        <v/>
      </c>
      <c r="I13" s="122" t="str">
        <f>IFERROR(INDEX(Tableau47[#All],MATCH(Tableau12[[#This Row],[quinte]],Tableau47[[#All],[Quintuplé Année-Mois-Producteur-Type lait_Traitement thermique]],0),MATCH(Tableau47[[#Headers],[Litrage]],Tableau47[#Headers],0)),"")</f>
        <v/>
      </c>
      <c r="J13" s="123" t="str">
        <f>IFERROR(INDEX(Tableau47[#All],MATCH(Tableau12[[#This Row],[quinte]],Tableau47[[#All],[Quintuplé Année-Mois-Producteur-Type lait_Traitement thermique]],0),MATCH(Tableau47[[#Headers],[Montant pour acompte]],Tableau47[#Headers],0)),"")</f>
        <v/>
      </c>
      <c r="K13" s="123" t="str">
        <f>IFERROR(INDEX(Tableau47[#All],MATCH(Tableau12[[#This Row],[quinte]],Tableau47[[#All],[Quintuplé Année-Mois-Producteur-Type lait_Traitement thermique]],0),MATCH(Tableau47[[#Headers],[Montant après acompte]],Tableau47[#Headers],0)),"")</f>
        <v/>
      </c>
      <c r="L13" s="127" t="str">
        <f>IF(Tableau12[[#This Row],[Total]]="","",IF(Tableau12[[#This Row],[Total après acompte]]="","",Tableau12[[#This Row],[Total après acompte]]-Tableau12[[#This Row],[Total]]))</f>
        <v/>
      </c>
      <c r="M13" s="126" t="str">
        <f>IF(OR(Tableau12[[#This Row],[Mois]]="décembre",Tableau12[[#This Row],[Mois]]="novembre"),LEFT(cSaison,4),RIGHT(cSaison,4))</f>
        <v>2018</v>
      </c>
      <c r="N13" s="126" t="str">
        <f>CONCATENATE(Tableau12[[#This Row],[année]],"_",Tableau12[[#This Row],[Mois]],"-",cProducteur,"/",$B$6,"+",$B$5)</f>
        <v>2018_mars-ESSAI/BIO+Cru</v>
      </c>
      <c r="O13" s="124"/>
      <c r="P13" s="128"/>
    </row>
    <row r="14" spans="1:17" s="125" customFormat="1" ht="18.75" hidden="1" x14ac:dyDescent="0.3">
      <c r="A14" s="119" t="s">
        <v>89</v>
      </c>
      <c r="B14" s="120">
        <f>IFERROR(INDEX(Tableau47[#All],MATCH(Tableau12[[#This Row],[quinte]],Tableau47[[#All],[Quintuplé Année-Mois-Producteur-Type lait_Traitement thermique]],0),MATCH(Tableau47[[#Headers],[MG]],Tableau47[#Headers],0)),"")</f>
        <v>82</v>
      </c>
      <c r="C14" s="120">
        <f>IFERROR(INDEX(Tableau47[#All],MATCH(Tableau12[[#This Row],[quinte]],Tableau47[[#All],[Quintuplé Année-Mois-Producteur-Type lait_Traitement thermique]],0),MATCH(Tableau47[[#Headers],[MP]],Tableau47[#Headers],0)),"")</f>
        <v>54.3</v>
      </c>
      <c r="D14" s="120" t="str">
        <f ca="1">IFERROR(INDEX(Tableau47[#All],MATCH(Tableau12[[#This Row],[quinte]],Tableau47[[#All],[Quintuplé Année-Mois-Producteur-Type lait_Traitement thermique]],0),MATCH(Tableau47[[#Headers],[Classe CE]],Tableau47[#Headers],0)),"")</f>
        <v>C</v>
      </c>
      <c r="E14" s="120" t="str">
        <f ca="1">IFERROR(INDEX(Tableau47[#All],MATCH(Tableau12[[#This Row],[quinte]],Tableau47[[#All],[Quintuplé Année-Mois-Producteur-Type lait_Traitement thermique]],0),MATCH(Tableau47[[#Headers],[Classe BU]],Tableau47[#Headers],0)),"")</f>
        <v>A</v>
      </c>
      <c r="F14" s="120" t="str">
        <f ca="1">IFERROR(INDEX(Tableau47[#All],MATCH(Tableau12[[#This Row],[quinte]],Tableau47[[#All],[Quintuplé Année-Mois-Producteur-Type lait_Traitement thermique]],0),MATCH(Tableau47[[#Headers],[Classe CO]],Tableau47[#Headers],0)),"")</f>
        <v>B</v>
      </c>
      <c r="G14" s="121" t="str">
        <f ca="1">IFERROR(INDEX(Tableau47[#All],MATCH(Tableau12[[#This Row],[quinte]],Tableau47[[#All],[Quintuplé Année-Mois-Producteur-Type lait_Traitement thermique]],0),MATCH(Tableau47[[#Headers],[Prix au litre avant acompte modulé]],Tableau47[#Headers],0)),"")</f>
        <v/>
      </c>
      <c r="H14" s="121" t="str">
        <f ca="1">IFERROR(INDEX(Tableau47[#All],MATCH(Tableau12[[#This Row],[quinte]],Tableau47[[#All],[Quintuplé Année-Mois-Producteur-Type lait_Traitement thermique]],0),MATCH(Tableau47[[#Headers],[Prix au litre après acompte modulé]],Tableau47[#Headers],0)),"")</f>
        <v/>
      </c>
      <c r="I14" s="122">
        <f>IFERROR(INDEX(Tableau47[#All],MATCH(Tableau12[[#This Row],[quinte]],Tableau47[[#All],[Quintuplé Année-Mois-Producteur-Type lait_Traitement thermique]],0),MATCH(Tableau47[[#Headers],[Litrage]],Tableau47[#Headers],0)),"")</f>
        <v>0</v>
      </c>
      <c r="J14" s="123">
        <f ca="1">IFERROR(INDEX(Tableau47[#All],MATCH(Tableau12[[#This Row],[quinte]],Tableau47[[#All],[Quintuplé Année-Mois-Producteur-Type lait_Traitement thermique]],0),MATCH(Tableau47[[#Headers],[Montant pour acompte]],Tableau47[#Headers],0)),"")</f>
        <v>2.3641533999999984</v>
      </c>
      <c r="K14" s="123">
        <f ca="1">IFERROR(INDEX(Tableau47[#All],MATCH(Tableau12[[#This Row],[quinte]],Tableau47[[#All],[Quintuplé Année-Mois-Producteur-Type lait_Traitement thermique]],0),MATCH(Tableau47[[#Headers],[Montant après acompte]],Tableau47[#Headers],0)),"")</f>
        <v>2.3641533999999984</v>
      </c>
      <c r="L14" s="127">
        <f ca="1">IF(Tableau12[[#This Row],[Total]]="","",IF(Tableau12[[#This Row],[Total après acompte]]="","",Tableau12[[#This Row],[Total après acompte]]-Tableau12[[#This Row],[Total]]))</f>
        <v>0</v>
      </c>
      <c r="M14" s="126" t="str">
        <f>IF(OR(Tableau12[[#This Row],[Mois]]="décembre",Tableau12[[#This Row],[Mois]]="novembre"),LEFT(cSaison,4),RIGHT(cSaison,4))</f>
        <v>2018</v>
      </c>
      <c r="N14" s="126" t="str">
        <f>CONCATENATE(Tableau12[[#This Row],[année]],"_",Tableau12[[#This Row],[Mois]],"-",cProducteur,"/",$B$6,"+",$B$5)</f>
        <v>2018_avril-ESSAI/BIO+Cru</v>
      </c>
      <c r="O14" s="124"/>
      <c r="P14" s="128"/>
    </row>
    <row r="15" spans="1:17" s="125" customFormat="1" ht="18.75" hidden="1" x14ac:dyDescent="0.3">
      <c r="A15" s="119" t="s">
        <v>140</v>
      </c>
      <c r="B15" s="120">
        <f>IFERROR(INDEX(Tableau47[#All],MATCH(Tableau12[[#This Row],[quinte]],Tableau47[[#All],[Quintuplé Année-Mois-Producteur-Type lait_Traitement thermique]],0),MATCH(Tableau47[[#Headers],[MG]],Tableau47[#Headers],0)),"")</f>
        <v>97</v>
      </c>
      <c r="C15" s="120">
        <f>IFERROR(INDEX(Tableau47[#All],MATCH(Tableau12[[#This Row],[quinte]],Tableau47[[#All],[Quintuplé Année-Mois-Producteur-Type lait_Traitement thermique]],0),MATCH(Tableau47[[#Headers],[MP]],Tableau47[#Headers],0)),"")</f>
        <v>54.3</v>
      </c>
      <c r="D15" s="120" t="str">
        <f ca="1">IFERROR(INDEX(Tableau47[#All],MATCH(Tableau12[[#This Row],[quinte]],Tableau47[[#All],[Quintuplé Année-Mois-Producteur-Type lait_Traitement thermique]],0),MATCH(Tableau47[[#Headers],[Classe CE]],Tableau47[#Headers],0)),"")</f>
        <v>C</v>
      </c>
      <c r="E15" s="120" t="str">
        <f ca="1">IFERROR(INDEX(Tableau47[#All],MATCH(Tableau12[[#This Row],[quinte]],Tableau47[[#All],[Quintuplé Année-Mois-Producteur-Type lait_Traitement thermique]],0),MATCH(Tableau47[[#Headers],[Classe BU]],Tableau47[#Headers],0)),"")</f>
        <v>A</v>
      </c>
      <c r="F15" s="120" t="str">
        <f ca="1">IFERROR(INDEX(Tableau47[#All],MATCH(Tableau12[[#This Row],[quinte]],Tableau47[[#All],[Quintuplé Année-Mois-Producteur-Type lait_Traitement thermique]],0),MATCH(Tableau47[[#Headers],[Classe CO]],Tableau47[#Headers],0)),"")</f>
        <v>A</v>
      </c>
      <c r="G15" s="121" t="str">
        <f ca="1">IFERROR(INDEX(Tableau47[#All],MATCH(Tableau12[[#This Row],[quinte]],Tableau47[[#All],[Quintuplé Année-Mois-Producteur-Type lait_Traitement thermique]],0),MATCH(Tableau47[[#Headers],[Prix au litre avant acompte modulé]],Tableau47[#Headers],0)),"")</f>
        <v/>
      </c>
      <c r="H15" s="121" t="str">
        <f ca="1">IFERROR(INDEX(Tableau47[#All],MATCH(Tableau12[[#This Row],[quinte]],Tableau47[[#All],[Quintuplé Année-Mois-Producteur-Type lait_Traitement thermique]],0),MATCH(Tableau47[[#Headers],[Prix au litre après acompte modulé]],Tableau47[#Headers],0)),"")</f>
        <v/>
      </c>
      <c r="I15" s="122">
        <f>IFERROR(INDEX(Tableau47[#All],MATCH(Tableau12[[#This Row],[quinte]],Tableau47[[#All],[Quintuplé Année-Mois-Producteur-Type lait_Traitement thermique]],0),MATCH(Tableau47[[#Headers],[Litrage]],Tableau47[#Headers],0)),"")</f>
        <v>0</v>
      </c>
      <c r="J15" s="123">
        <f ca="1">IFERROR(INDEX(Tableau47[#All],MATCH(Tableau12[[#This Row],[quinte]],Tableau47[[#All],[Quintuplé Année-Mois-Producteur-Type lait_Traitement thermique]],0),MATCH(Tableau47[[#Headers],[Montant pour acompte]],Tableau47[#Headers],0)),"")</f>
        <v>9.4980333999999988</v>
      </c>
      <c r="K15" s="123">
        <f ca="1">IFERROR(INDEX(Tableau47[#All],MATCH(Tableau12[[#This Row],[quinte]],Tableau47[[#All],[Quintuplé Année-Mois-Producteur-Type lait_Traitement thermique]],0),MATCH(Tableau47[[#Headers],[Montant après acompte]],Tableau47[#Headers],0)),"")</f>
        <v>9.4980333999999988</v>
      </c>
      <c r="L15" s="127">
        <f ca="1">IF(Tableau12[[#This Row],[Total]]="","",IF(Tableau12[[#This Row],[Total après acompte]]="","",Tableau12[[#This Row],[Total après acompte]]-Tableau12[[#This Row],[Total]]))</f>
        <v>0</v>
      </c>
      <c r="M15" s="126" t="str">
        <f>IF(OR(Tableau12[[#This Row],[Mois]]="décembre",Tableau12[[#This Row],[Mois]]="novembre"),LEFT(cSaison,4),RIGHT(cSaison,4))</f>
        <v>2018</v>
      </c>
      <c r="N15" s="126" t="str">
        <f>CONCATENATE(Tableau12[[#This Row],[année]],"_",Tableau12[[#This Row],[Mois]],"-",cProducteur,"/",$B$6,"+",$B$5)</f>
        <v>2018_mai-ESSAI/BIO+Cru</v>
      </c>
      <c r="O15" s="124"/>
      <c r="P15" s="128"/>
    </row>
    <row r="16" spans="1:17" s="125" customFormat="1" ht="18.75" hidden="1" x14ac:dyDescent="0.3">
      <c r="A16" s="119" t="s">
        <v>141</v>
      </c>
      <c r="B16" s="120" t="str">
        <f>IFERROR(INDEX(Tableau47[#All],MATCH(Tableau12[[#This Row],[quinte]],Tableau47[[#All],[Quintuplé Année-Mois-Producteur-Type lait_Traitement thermique]],0),MATCH(Tableau47[[#Headers],[MG]],Tableau47[#Headers],0)),"")</f>
        <v/>
      </c>
      <c r="C16" s="120" t="str">
        <f>IFERROR(INDEX(Tableau47[#All],MATCH(Tableau12[[#This Row],[quinte]],Tableau47[[#All],[Quintuplé Année-Mois-Producteur-Type lait_Traitement thermique]],0),MATCH(Tableau47[[#Headers],[MP]],Tableau47[#Headers],0)),"")</f>
        <v/>
      </c>
      <c r="D16" s="120" t="str">
        <f>IFERROR(INDEX(Tableau47[#All],MATCH(Tableau12[[#This Row],[quinte]],Tableau47[[#All],[Quintuplé Année-Mois-Producteur-Type lait_Traitement thermique]],0),MATCH(Tableau47[[#Headers],[Classe CE]],Tableau47[#Headers],0)),"")</f>
        <v/>
      </c>
      <c r="E16" s="120" t="str">
        <f>IFERROR(INDEX(Tableau47[#All],MATCH(Tableau12[[#This Row],[quinte]],Tableau47[[#All],[Quintuplé Année-Mois-Producteur-Type lait_Traitement thermique]],0),MATCH(Tableau47[[#Headers],[Classe BU]],Tableau47[#Headers],0)),"")</f>
        <v/>
      </c>
      <c r="F16" s="120" t="str">
        <f>IFERROR(INDEX(Tableau47[#All],MATCH(Tableau12[[#This Row],[quinte]],Tableau47[[#All],[Quintuplé Année-Mois-Producteur-Type lait_Traitement thermique]],0),MATCH(Tableau47[[#Headers],[Classe CO]],Tableau47[#Headers],0)),"")</f>
        <v/>
      </c>
      <c r="G16" s="121" t="str">
        <f>IFERROR(INDEX(Tableau47[#All],MATCH(Tableau12[[#This Row],[quinte]],Tableau47[[#All],[Quintuplé Année-Mois-Producteur-Type lait_Traitement thermique]],0),MATCH(Tableau47[[#Headers],[Prix au litre avant acompte modulé]],Tableau47[#Headers],0)),"")</f>
        <v/>
      </c>
      <c r="H16" s="121" t="str">
        <f>IFERROR(INDEX(Tableau47[#All],MATCH(Tableau12[[#This Row],[quinte]],Tableau47[[#All],[Quintuplé Année-Mois-Producteur-Type lait_Traitement thermique]],0),MATCH(Tableau47[[#Headers],[Prix au litre après acompte modulé]],Tableau47[#Headers],0)),"")</f>
        <v/>
      </c>
      <c r="I16" s="122" t="str">
        <f>IFERROR(INDEX(Tableau47[#All],MATCH(Tableau12[[#This Row],[quinte]],Tableau47[[#All],[Quintuplé Année-Mois-Producteur-Type lait_Traitement thermique]],0),MATCH(Tableau47[[#Headers],[Litrage]],Tableau47[#Headers],0)),"")</f>
        <v/>
      </c>
      <c r="J16" s="123" t="str">
        <f>IFERROR(INDEX(Tableau47[#All],MATCH(Tableau12[[#This Row],[quinte]],Tableau47[[#All],[Quintuplé Année-Mois-Producteur-Type lait_Traitement thermique]],0),MATCH(Tableau47[[#Headers],[Montant pour acompte]],Tableau47[#Headers],0)),"")</f>
        <v/>
      </c>
      <c r="K16" s="123" t="str">
        <f>IFERROR(INDEX(Tableau47[#All],MATCH(Tableau12[[#This Row],[quinte]],Tableau47[[#All],[Quintuplé Année-Mois-Producteur-Type lait_Traitement thermique]],0),MATCH(Tableau47[[#Headers],[Montant après acompte]],Tableau47[#Headers],0)),"")</f>
        <v/>
      </c>
      <c r="L16" s="127" t="str">
        <f>IF(Tableau12[[#This Row],[Total]]="","",IF(Tableau12[[#This Row],[Total après acompte]]="","",Tableau12[[#This Row],[Total après acompte]]-Tableau12[[#This Row],[Total]]))</f>
        <v/>
      </c>
      <c r="M16" s="126" t="str">
        <f>IF(OR(Tableau12[[#This Row],[Mois]]="décembre",Tableau12[[#This Row],[Mois]]="novembre"),LEFT(cSaison,4),RIGHT(cSaison,4))</f>
        <v>2018</v>
      </c>
      <c r="N16" s="126" t="str">
        <f>CONCATENATE(Tableau12[[#This Row],[année]],"_",Tableau12[[#This Row],[Mois]],"-",cProducteur,"/",$B$6,"+",$B$5)</f>
        <v>2018_juin-ESSAI/BIO+Cru</v>
      </c>
      <c r="O16" s="124"/>
      <c r="P16" s="128"/>
    </row>
    <row r="17" spans="1:17" s="125" customFormat="1" ht="18.75" hidden="1" x14ac:dyDescent="0.3">
      <c r="A17" s="119" t="s">
        <v>142</v>
      </c>
      <c r="B17" s="120" t="str">
        <f>IFERROR(INDEX(Tableau47[#All],MATCH(Tableau12[[#This Row],[quinte]],Tableau47[[#All],[Quintuplé Année-Mois-Producteur-Type lait_Traitement thermique]],0),MATCH(Tableau47[[#Headers],[MG]],Tableau47[#Headers],0)),"")</f>
        <v/>
      </c>
      <c r="C17" s="120" t="str">
        <f>IFERROR(INDEX(Tableau47[#All],MATCH(Tableau12[[#This Row],[quinte]],Tableau47[[#All],[Quintuplé Année-Mois-Producteur-Type lait_Traitement thermique]],0),MATCH(Tableau47[[#Headers],[MP]],Tableau47[#Headers],0)),"")</f>
        <v/>
      </c>
      <c r="D17" s="120" t="str">
        <f>IFERROR(INDEX(Tableau47[#All],MATCH(Tableau12[[#This Row],[quinte]],Tableau47[[#All],[Quintuplé Année-Mois-Producteur-Type lait_Traitement thermique]],0),MATCH(Tableau47[[#Headers],[Classe CE]],Tableau47[#Headers],0)),"")</f>
        <v/>
      </c>
      <c r="E17" s="120" t="str">
        <f>IFERROR(INDEX(Tableau47[#All],MATCH(Tableau12[[#This Row],[quinte]],Tableau47[[#All],[Quintuplé Année-Mois-Producteur-Type lait_Traitement thermique]],0),MATCH(Tableau47[[#Headers],[Classe BU]],Tableau47[#Headers],0)),"")</f>
        <v/>
      </c>
      <c r="F17" s="120" t="str">
        <f>IFERROR(INDEX(Tableau47[#All],MATCH(Tableau12[[#This Row],[quinte]],Tableau47[[#All],[Quintuplé Année-Mois-Producteur-Type lait_Traitement thermique]],0),MATCH(Tableau47[[#Headers],[Classe CO]],Tableau47[#Headers],0)),"")</f>
        <v/>
      </c>
      <c r="G17" s="121" t="str">
        <f>IFERROR(INDEX(Tableau47[#All],MATCH(Tableau12[[#This Row],[quinte]],Tableau47[[#All],[Quintuplé Année-Mois-Producteur-Type lait_Traitement thermique]],0),MATCH(Tableau47[[#Headers],[Prix au litre avant acompte modulé]],Tableau47[#Headers],0)),"")</f>
        <v/>
      </c>
      <c r="H17" s="121" t="str">
        <f>IFERROR(INDEX(Tableau47[#All],MATCH(Tableau12[[#This Row],[quinte]],Tableau47[[#All],[Quintuplé Année-Mois-Producteur-Type lait_Traitement thermique]],0),MATCH(Tableau47[[#Headers],[Prix au litre après acompte modulé]],Tableau47[#Headers],0)),"")</f>
        <v/>
      </c>
      <c r="I17" s="122" t="str">
        <f>IFERROR(INDEX(Tableau47[#All],MATCH(Tableau12[[#This Row],[quinte]],Tableau47[[#All],[Quintuplé Année-Mois-Producteur-Type lait_Traitement thermique]],0),MATCH(Tableau47[[#Headers],[Litrage]],Tableau47[#Headers],0)),"")</f>
        <v/>
      </c>
      <c r="J17" s="123" t="str">
        <f>IFERROR(INDEX(Tableau47[#All],MATCH(Tableau12[[#This Row],[quinte]],Tableau47[[#All],[Quintuplé Année-Mois-Producteur-Type lait_Traitement thermique]],0),MATCH(Tableau47[[#Headers],[Montant pour acompte]],Tableau47[#Headers],0)),"")</f>
        <v/>
      </c>
      <c r="K17" s="123" t="str">
        <f>IFERROR(INDEX(Tableau47[#All],MATCH(Tableau12[[#This Row],[quinte]],Tableau47[[#All],[Quintuplé Année-Mois-Producteur-Type lait_Traitement thermique]],0),MATCH(Tableau47[[#Headers],[Montant après acompte]],Tableau47[#Headers],0)),"")</f>
        <v/>
      </c>
      <c r="L17" s="127" t="str">
        <f>IF(Tableau12[[#This Row],[Total]]="","",IF(Tableau12[[#This Row],[Total après acompte]]="","",Tableau12[[#This Row],[Total après acompte]]-Tableau12[[#This Row],[Total]]))</f>
        <v/>
      </c>
      <c r="M17" s="126" t="str">
        <f>IF(OR(Tableau12[[#This Row],[Mois]]="décembre",Tableau12[[#This Row],[Mois]]="novembre"),LEFT(cSaison,4),RIGHT(cSaison,4))</f>
        <v>2018</v>
      </c>
      <c r="N17" s="126" t="str">
        <f>CONCATENATE(Tableau12[[#This Row],[année]],"_",Tableau12[[#This Row],[Mois]],"-",cProducteur,"/",$B$6,"+",$B$5)</f>
        <v>2018_juillet-ESSAI/BIO+Cru</v>
      </c>
      <c r="O17" s="124"/>
      <c r="P17" s="128"/>
    </row>
    <row r="18" spans="1:17" s="125" customFormat="1" ht="18.75" hidden="1" x14ac:dyDescent="0.3">
      <c r="A18" s="119" t="s">
        <v>143</v>
      </c>
      <c r="B18" s="120" t="str">
        <f>IFERROR(INDEX(Tableau47[#All],MATCH(Tableau12[[#This Row],[quinte]],Tableau47[[#All],[Quintuplé Année-Mois-Producteur-Type lait_Traitement thermique]],0),MATCH(Tableau47[[#Headers],[MG]],Tableau47[#Headers],0)),"")</f>
        <v/>
      </c>
      <c r="C18" s="120" t="str">
        <f>IFERROR(INDEX(Tableau47[#All],MATCH(Tableau12[[#This Row],[quinte]],Tableau47[[#All],[Quintuplé Année-Mois-Producteur-Type lait_Traitement thermique]],0),MATCH(Tableau47[[#Headers],[MP]],Tableau47[#Headers],0)),"")</f>
        <v/>
      </c>
      <c r="D18" s="120" t="str">
        <f>IFERROR(INDEX(Tableau47[#All],MATCH(Tableau12[[#This Row],[quinte]],Tableau47[[#All],[Quintuplé Année-Mois-Producteur-Type lait_Traitement thermique]],0),MATCH(Tableau47[[#Headers],[Classe CE]],Tableau47[#Headers],0)),"")</f>
        <v/>
      </c>
      <c r="E18" s="120" t="str">
        <f>IFERROR(INDEX(Tableau47[#All],MATCH(Tableau12[[#This Row],[quinte]],Tableau47[[#All],[Quintuplé Année-Mois-Producteur-Type lait_Traitement thermique]],0),MATCH(Tableau47[[#Headers],[Classe BU]],Tableau47[#Headers],0)),"")</f>
        <v/>
      </c>
      <c r="F18" s="120" t="str">
        <f>IFERROR(INDEX(Tableau47[#All],MATCH(Tableau12[[#This Row],[quinte]],Tableau47[[#All],[Quintuplé Année-Mois-Producteur-Type lait_Traitement thermique]],0),MATCH(Tableau47[[#Headers],[Classe CO]],Tableau47[#Headers],0)),"")</f>
        <v/>
      </c>
      <c r="G18" s="121" t="str">
        <f>IFERROR(INDEX(Tableau47[#All],MATCH(Tableau12[[#This Row],[quinte]],Tableau47[[#All],[Quintuplé Année-Mois-Producteur-Type lait_Traitement thermique]],0),MATCH(Tableau47[[#Headers],[Prix au litre avant acompte modulé]],Tableau47[#Headers],0)),"")</f>
        <v/>
      </c>
      <c r="H18" s="121" t="str">
        <f>IFERROR(INDEX(Tableau47[#All],MATCH(Tableau12[[#This Row],[quinte]],Tableau47[[#All],[Quintuplé Année-Mois-Producteur-Type lait_Traitement thermique]],0),MATCH(Tableau47[[#Headers],[Prix au litre après acompte modulé]],Tableau47[#Headers],0)),"")</f>
        <v/>
      </c>
      <c r="I18" s="122" t="str">
        <f>IFERROR(INDEX(Tableau47[#All],MATCH(Tableau12[[#This Row],[quinte]],Tableau47[[#All],[Quintuplé Année-Mois-Producteur-Type lait_Traitement thermique]],0),MATCH(Tableau47[[#Headers],[Litrage]],Tableau47[#Headers],0)),"")</f>
        <v/>
      </c>
      <c r="J18" s="123" t="str">
        <f>IFERROR(INDEX(Tableau47[#All],MATCH(Tableau12[[#This Row],[quinte]],Tableau47[[#All],[Quintuplé Année-Mois-Producteur-Type lait_Traitement thermique]],0),MATCH(Tableau47[[#Headers],[Montant pour acompte]],Tableau47[#Headers],0)),"")</f>
        <v/>
      </c>
      <c r="K18" s="123" t="str">
        <f>IFERROR(INDEX(Tableau47[#All],MATCH(Tableau12[[#This Row],[quinte]],Tableau47[[#All],[Quintuplé Année-Mois-Producteur-Type lait_Traitement thermique]],0),MATCH(Tableau47[[#Headers],[Montant après acompte]],Tableau47[#Headers],0)),"")</f>
        <v/>
      </c>
      <c r="L18" s="127" t="str">
        <f>IF(Tableau12[[#This Row],[Total]]="","",IF(Tableau12[[#This Row],[Total après acompte]]="","",Tableau12[[#This Row],[Total après acompte]]-Tableau12[[#This Row],[Total]]))</f>
        <v/>
      </c>
      <c r="M18" s="126" t="str">
        <f>IF(OR(Tableau12[[#This Row],[Mois]]="décembre",Tableau12[[#This Row],[Mois]]="novembre"),LEFT(cSaison,4),RIGHT(cSaison,4))</f>
        <v>2018</v>
      </c>
      <c r="N18" s="126" t="str">
        <f>CONCATENATE(Tableau12[[#This Row],[année]],"_",Tableau12[[#This Row],[Mois]],"-",cProducteur,"/",$B$6,"+",$B$5)</f>
        <v>2018_août-ESSAI/BIO+Cru</v>
      </c>
      <c r="O18" s="124"/>
      <c r="P18" s="128"/>
    </row>
    <row r="19" spans="1:17" ht="17.25" hidden="1" x14ac:dyDescent="0.3">
      <c r="A19" s="122"/>
      <c r="B19" s="122"/>
      <c r="C19" s="122"/>
      <c r="D19" s="122"/>
      <c r="E19" s="122"/>
      <c r="F19" s="122"/>
      <c r="G19" s="122"/>
      <c r="H19" s="122"/>
      <c r="I19" s="122" t="s">
        <v>157</v>
      </c>
      <c r="J19" s="123">
        <f>SUBTOTAL(109,Tableau12[Total])</f>
        <v>0</v>
      </c>
      <c r="K19" s="123"/>
      <c r="L19" s="81"/>
      <c r="M19" s="82"/>
      <c r="N19" s="82"/>
      <c r="P19" s="70"/>
    </row>
    <row r="20" spans="1:17" ht="9" customHeight="1" x14ac:dyDescent="0.3">
      <c r="A20" s="69"/>
      <c r="B20" s="69"/>
      <c r="C20" s="69"/>
      <c r="D20" s="69"/>
      <c r="E20" s="106"/>
      <c r="F20" s="68"/>
      <c r="G20" s="68"/>
      <c r="H20" s="68"/>
      <c r="I20" s="68"/>
      <c r="J20" s="68"/>
      <c r="K20" s="68"/>
      <c r="L20" s="69"/>
      <c r="M20" s="69"/>
    </row>
    <row r="21" spans="1:17" ht="26.25" hidden="1" customHeight="1" thickBot="1" x14ac:dyDescent="0.35">
      <c r="A21" s="137" t="s">
        <v>75</v>
      </c>
      <c r="B21" s="132" t="s">
        <v>81</v>
      </c>
      <c r="C21" s="69"/>
      <c r="D21" s="137" t="s">
        <v>175</v>
      </c>
      <c r="E21" s="139">
        <f>IFERROR(IF(cProducteur="","",INDEX(Tableau11[#All],MATCH(CONCATENATE(cSaison,$B22,$B21),'BDD PRIX LAIT'!$F:$F,0),MATCH(Base_avant_acompte,Tableau11[#Headers],0))),"")</f>
        <v>1</v>
      </c>
      <c r="F21" s="68"/>
      <c r="G21" s="68"/>
      <c r="H21" s="68"/>
      <c r="I21" s="68"/>
      <c r="J21" s="68"/>
      <c r="K21" s="68"/>
      <c r="L21" s="69"/>
      <c r="M21" s="69"/>
    </row>
    <row r="22" spans="1:17" ht="13.5" hidden="1" customHeight="1" thickBot="1" x14ac:dyDescent="0.35">
      <c r="A22" s="138" t="s">
        <v>3</v>
      </c>
      <c r="B22" s="136" t="s">
        <v>85</v>
      </c>
      <c r="C22" s="69"/>
      <c r="D22" s="140"/>
      <c r="E22" s="141"/>
      <c r="F22" s="68"/>
      <c r="G22" s="68"/>
      <c r="H22" s="68"/>
      <c r="I22" s="68"/>
      <c r="J22" s="68"/>
      <c r="K22" s="68"/>
      <c r="L22" s="69"/>
      <c r="M22" s="69"/>
    </row>
    <row r="23" spans="1:17" ht="5.25" hidden="1" customHeight="1" x14ac:dyDescent="0.3">
      <c r="A23" s="69"/>
      <c r="B23" s="69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7"/>
    </row>
    <row r="24" spans="1:17" s="54" customFormat="1" ht="33" hidden="1" x14ac:dyDescent="0.25">
      <c r="A24" s="54" t="s">
        <v>1</v>
      </c>
      <c r="B24" s="83" t="s">
        <v>71</v>
      </c>
      <c r="C24" s="83" t="s">
        <v>72</v>
      </c>
      <c r="D24" s="83" t="s">
        <v>155</v>
      </c>
      <c r="E24" s="83" t="s">
        <v>156</v>
      </c>
      <c r="F24" s="83" t="s">
        <v>160</v>
      </c>
      <c r="G24" s="83" t="s">
        <v>176</v>
      </c>
      <c r="H24" s="83" t="s">
        <v>166</v>
      </c>
      <c r="I24" s="83" t="s">
        <v>2</v>
      </c>
      <c r="J24" s="83" t="s">
        <v>157</v>
      </c>
      <c r="K24" s="83" t="s">
        <v>169</v>
      </c>
      <c r="L24" s="83" t="s">
        <v>170</v>
      </c>
      <c r="M24" s="83" t="s">
        <v>159</v>
      </c>
      <c r="N24" s="83" t="s">
        <v>158</v>
      </c>
      <c r="O24" s="84"/>
      <c r="P24" s="85"/>
      <c r="Q24" s="84"/>
    </row>
    <row r="25" spans="1:17" ht="17.25" hidden="1" x14ac:dyDescent="0.3">
      <c r="A25" s="119" t="s">
        <v>144</v>
      </c>
      <c r="B25" s="120" t="str">
        <f>IFERROR(INDEX(Tableau47[#All],MATCH(Tableau1214[[#This Row],[quinte]],Tableau47[[#All],[Quintuplé Année-Mois-Producteur-Type lait_Traitement thermique]],0),MATCH(Tableau47[[#Headers],[MG]],Tableau47[#Headers],0)),"")</f>
        <v/>
      </c>
      <c r="C25" s="120" t="str">
        <f>IFERROR(INDEX(Tableau47[#All],MATCH(Tableau1214[[#This Row],[quinte]],Tableau47[[#All],[Quintuplé Année-Mois-Producteur-Type lait_Traitement thermique]],0),MATCH(Tableau47[[#Headers],[MP]],Tableau47[#Headers],0)),"")</f>
        <v/>
      </c>
      <c r="D25" s="120" t="str">
        <f>IFERROR(INDEX(Tableau47[#All],MATCH(Tableau1214[[#This Row],[quinte]],Tableau47[[#All],[Quintuplé Année-Mois-Producteur-Type lait_Traitement thermique]],0),MATCH(Tableau47[[#Headers],[Classe CE]],Tableau47[#Headers],0)),"")</f>
        <v/>
      </c>
      <c r="E25" s="120" t="str">
        <f>IFERROR(INDEX(Tableau47[#All],MATCH(Tableau1214[[#This Row],[quinte]],Tableau47[[#All],[Quintuplé Année-Mois-Producteur-Type lait_Traitement thermique]],0),MATCH(Tableau47[[#Headers],[Classe BU]],Tableau47[#Headers],0)),"")</f>
        <v/>
      </c>
      <c r="F25" s="120" t="str">
        <f>IFERROR(INDEX(Tableau47[#All],MATCH(Tableau1214[[#This Row],[quinte]],Tableau47[[#All],[Quintuplé Année-Mois-Producteur-Type lait_Traitement thermique]],0),MATCH(Tableau47[[#Headers],[Classe CO]],Tableau47[#Headers],0)),"")</f>
        <v/>
      </c>
      <c r="G25" s="121" t="str">
        <f>IFERROR(INDEX(Tableau47[#All],MATCH(Tableau1214[[#This Row],[quinte]],Tableau47[[#All],[Quintuplé Année-Mois-Producteur-Type lait_Traitement thermique]],0),MATCH(Tableau47[[#Headers],[Prix au litre avant acompte modulé]],Tableau47[#Headers],0)),"")</f>
        <v/>
      </c>
      <c r="H25" s="121" t="str">
        <f>IFERROR(INDEX(Tableau47[#All],MATCH(Tableau1214[[#This Row],[quinte]],Tableau47[[#All],[Quintuplé Année-Mois-Producteur-Type lait_Traitement thermique]],0),MATCH(Tableau47[[#Headers],[Prix au litre après acompte modulé]],Tableau47[#Headers],0)),"")</f>
        <v/>
      </c>
      <c r="I25" s="122" t="str">
        <f>IFERROR(INDEX(Tableau47[#All],MATCH(Tableau1214[[#This Row],[quinte]],Tableau47[[#All],[Quintuplé Année-Mois-Producteur-Type lait_Traitement thermique]],0),MATCH(Tableau47[[#Headers],[Litrage]],Tableau47[#Headers],0)),"")</f>
        <v/>
      </c>
      <c r="J25" s="123" t="str">
        <f>IFERROR(INDEX(Tableau47[#All],MATCH(Tableau1214[[#This Row],[quinte]],Tableau47[[#All],[Quintuplé Année-Mois-Producteur-Type lait_Traitement thermique]],0),MATCH(Tableau47[[#Headers],[Montant pour acompte]],Tableau47[#Headers],0)),"")</f>
        <v/>
      </c>
      <c r="K25" s="123" t="str">
        <f>IFERROR(INDEX(Tableau47[#All],MATCH(Tableau1214[[#This Row],[quinte]],Tableau47[[#All],[Quintuplé Année-Mois-Producteur-Type lait_Traitement thermique]],0),MATCH(Tableau47[[#Headers],[Montant après acompte]],Tableau47[#Headers],0)),"")</f>
        <v/>
      </c>
      <c r="L25" s="55" t="str">
        <f>IF(Tableau1214[[#This Row],[Total]]="","",IF(Tableau1214[[#This Row],[Total après acompte]]="","",Tableau1214[[#This Row],[Total après acompte]]-Tableau1214[[#This Row],[Total]]))</f>
        <v/>
      </c>
      <c r="M25" s="71" t="str">
        <f>IF(OR(Tableau1214[[#This Row],[Mois]]="décembre",Tableau1214[[#This Row],[Mois]]="novembre"),LEFT(cSaison,4),RIGHT(cSaison,4))</f>
        <v>2017</v>
      </c>
      <c r="N25" s="71" t="str">
        <f>CONCATENATE(Tableau1214[[#This Row],[année]],"_",Tableau1214[[#This Row],[Mois]],"-",cProducteur,"/",$B$22,"+",$B$21)</f>
        <v>2017_novembre-ESSAI/Conventionnel+Cru</v>
      </c>
      <c r="P25" s="70"/>
    </row>
    <row r="26" spans="1:17" ht="17.25" hidden="1" x14ac:dyDescent="0.3">
      <c r="A26" s="119" t="s">
        <v>145</v>
      </c>
      <c r="B26" s="120" t="str">
        <f>IFERROR(INDEX(Tableau47[#All],MATCH(Tableau1214[[#This Row],[quinte]],Tableau47[[#All],[Quintuplé Année-Mois-Producteur-Type lait_Traitement thermique]],0),MATCH(Tableau47[[#Headers],[MG]],Tableau47[#Headers],0)),"")</f>
        <v/>
      </c>
      <c r="C26" s="120" t="str">
        <f>IFERROR(INDEX(Tableau47[#All],MATCH(Tableau1214[[#This Row],[quinte]],Tableau47[[#All],[Quintuplé Année-Mois-Producteur-Type lait_Traitement thermique]],0),MATCH(Tableau47[[#Headers],[MP]],Tableau47[#Headers],0)),"")</f>
        <v/>
      </c>
      <c r="D26" s="120" t="str">
        <f>IFERROR(INDEX(Tableau47[#All],MATCH(Tableau1214[[#This Row],[quinte]],Tableau47[[#All],[Quintuplé Année-Mois-Producteur-Type lait_Traitement thermique]],0),MATCH(Tableau47[[#Headers],[Classe CE]],Tableau47[#Headers],0)),"")</f>
        <v/>
      </c>
      <c r="E26" s="120" t="str">
        <f>IFERROR(INDEX(Tableau47[#All],MATCH(Tableau1214[[#This Row],[quinte]],Tableau47[[#All],[Quintuplé Année-Mois-Producteur-Type lait_Traitement thermique]],0),MATCH(Tableau47[[#Headers],[Classe BU]],Tableau47[#Headers],0)),"")</f>
        <v/>
      </c>
      <c r="F26" s="120" t="str">
        <f>IFERROR(INDEX(Tableau47[#All],MATCH(Tableau1214[[#This Row],[quinte]],Tableau47[[#All],[Quintuplé Année-Mois-Producteur-Type lait_Traitement thermique]],0),MATCH(Tableau47[[#Headers],[Classe CO]],Tableau47[#Headers],0)),"")</f>
        <v/>
      </c>
      <c r="G26" s="121" t="str">
        <f>IFERROR(INDEX(Tableau47[#All],MATCH(Tableau1214[[#This Row],[quinte]],Tableau47[[#All],[Quintuplé Année-Mois-Producteur-Type lait_Traitement thermique]],0),MATCH(Tableau47[[#Headers],[Prix au litre avant acompte modulé]],Tableau47[#Headers],0)),"")</f>
        <v/>
      </c>
      <c r="H26" s="121" t="str">
        <f>IFERROR(INDEX(Tableau47[#All],MATCH(Tableau1214[[#This Row],[quinte]],Tableau47[[#All],[Quintuplé Année-Mois-Producteur-Type lait_Traitement thermique]],0),MATCH(Tableau47[[#Headers],[Prix au litre après acompte modulé]],Tableau47[#Headers],0)),"")</f>
        <v/>
      </c>
      <c r="I26" s="122" t="str">
        <f>IFERROR(INDEX(Tableau47[#All],MATCH(Tableau1214[[#This Row],[quinte]],Tableau47[[#All],[Quintuplé Année-Mois-Producteur-Type lait_Traitement thermique]],0),MATCH(Tableau47[[#Headers],[Litrage]],Tableau47[#Headers],0)),"")</f>
        <v/>
      </c>
      <c r="J26" s="123" t="str">
        <f>IFERROR(INDEX(Tableau47[#All],MATCH(Tableau1214[[#This Row],[quinte]],Tableau47[[#All],[Quintuplé Année-Mois-Producteur-Type lait_Traitement thermique]],0),MATCH(Tableau47[[#Headers],[Montant pour acompte]],Tableau47[#Headers],0)),"")</f>
        <v/>
      </c>
      <c r="K26" s="123" t="str">
        <f>IFERROR(INDEX(Tableau47[#All],MATCH(Tableau1214[[#This Row],[quinte]],Tableau47[[#All],[Quintuplé Année-Mois-Producteur-Type lait_Traitement thermique]],0),MATCH(Tableau47[[#Headers],[Montant après acompte]],Tableau47[#Headers],0)),"")</f>
        <v/>
      </c>
      <c r="L26" s="55" t="str">
        <f>IF(Tableau1214[[#This Row],[Total]]="","",IF(Tableau1214[[#This Row],[Total après acompte]]="","",Tableau1214[[#This Row],[Total après acompte]]-Tableau1214[[#This Row],[Total]]))</f>
        <v/>
      </c>
      <c r="M26" s="71" t="str">
        <f>IF(OR(Tableau1214[[#This Row],[Mois]]="décembre",Tableau1214[[#This Row],[Mois]]="novembre"),LEFT(cSaison,4),RIGHT(cSaison,4))</f>
        <v>2017</v>
      </c>
      <c r="N26" s="71" t="str">
        <f>CONCATENATE(Tableau1214[[#This Row],[année]],"_",Tableau1214[[#This Row],[Mois]],"-",cProducteur,"/",$B$22,"+",$B$21)</f>
        <v>2017_décembre-ESSAI/Conventionnel+Cru</v>
      </c>
      <c r="P26" s="70"/>
    </row>
    <row r="27" spans="1:17" ht="17.25" hidden="1" x14ac:dyDescent="0.3">
      <c r="A27" s="119" t="s">
        <v>137</v>
      </c>
      <c r="B27" s="120" t="str">
        <f>IFERROR(INDEX(Tableau47[#All],MATCH(Tableau1214[[#This Row],[quinte]],Tableau47[[#All],[Quintuplé Année-Mois-Producteur-Type lait_Traitement thermique]],0),MATCH(Tableau47[[#Headers],[MG]],Tableau47[#Headers],0)),"")</f>
        <v/>
      </c>
      <c r="C27" s="120" t="str">
        <f>IFERROR(INDEX(Tableau47[#All],MATCH(Tableau1214[[#This Row],[quinte]],Tableau47[[#All],[Quintuplé Année-Mois-Producteur-Type lait_Traitement thermique]],0),MATCH(Tableau47[[#Headers],[MP]],Tableau47[#Headers],0)),"")</f>
        <v/>
      </c>
      <c r="D27" s="120" t="str">
        <f>IFERROR(INDEX(Tableau47[#All],MATCH(Tableau1214[[#This Row],[quinte]],Tableau47[[#All],[Quintuplé Année-Mois-Producteur-Type lait_Traitement thermique]],0),MATCH(Tableau47[[#Headers],[Classe CE]],Tableau47[#Headers],0)),"")</f>
        <v/>
      </c>
      <c r="E27" s="120" t="str">
        <f>IFERROR(INDEX(Tableau47[#All],MATCH(Tableau1214[[#This Row],[quinte]],Tableau47[[#All],[Quintuplé Année-Mois-Producteur-Type lait_Traitement thermique]],0),MATCH(Tableau47[[#Headers],[Classe BU]],Tableau47[#Headers],0)),"")</f>
        <v/>
      </c>
      <c r="F27" s="120" t="str">
        <f>IFERROR(INDEX(Tableau47[#All],MATCH(Tableau1214[[#This Row],[quinte]],Tableau47[[#All],[Quintuplé Année-Mois-Producteur-Type lait_Traitement thermique]],0),MATCH(Tableau47[[#Headers],[Classe CO]],Tableau47[#Headers],0)),"")</f>
        <v/>
      </c>
      <c r="G27" s="121" t="str">
        <f>IFERROR(INDEX(Tableau47[#All],MATCH(Tableau1214[[#This Row],[quinte]],Tableau47[[#All],[Quintuplé Année-Mois-Producteur-Type lait_Traitement thermique]],0),MATCH(Tableau47[[#Headers],[Prix au litre avant acompte modulé]],Tableau47[#Headers],0)),"")</f>
        <v/>
      </c>
      <c r="H27" s="121" t="str">
        <f>IFERROR(INDEX(Tableau47[#All],MATCH(Tableau1214[[#This Row],[quinte]],Tableau47[[#All],[Quintuplé Année-Mois-Producteur-Type lait_Traitement thermique]],0),MATCH(Tableau47[[#Headers],[Prix au litre après acompte modulé]],Tableau47[#Headers],0)),"")</f>
        <v/>
      </c>
      <c r="I27" s="122" t="str">
        <f>IFERROR(INDEX(Tableau47[#All],MATCH(Tableau1214[[#This Row],[quinte]],Tableau47[[#All],[Quintuplé Année-Mois-Producteur-Type lait_Traitement thermique]],0),MATCH(Tableau47[[#Headers],[Litrage]],Tableau47[#Headers],0)),"")</f>
        <v/>
      </c>
      <c r="J27" s="123" t="str">
        <f>IFERROR(INDEX(Tableau47[#All],MATCH(Tableau1214[[#This Row],[quinte]],Tableau47[[#All],[Quintuplé Année-Mois-Producteur-Type lait_Traitement thermique]],0),MATCH(Tableau47[[#Headers],[Montant pour acompte]],Tableau47[#Headers],0)),"")</f>
        <v/>
      </c>
      <c r="K27" s="123" t="str">
        <f>IFERROR(INDEX(Tableau47[#All],MATCH(Tableau1214[[#This Row],[quinte]],Tableau47[[#All],[Quintuplé Année-Mois-Producteur-Type lait_Traitement thermique]],0),MATCH(Tableau47[[#Headers],[Montant après acompte]],Tableau47[#Headers],0)),"")</f>
        <v/>
      </c>
      <c r="L27" s="55" t="str">
        <f>IF(Tableau1214[[#This Row],[Total]]="","",IF(Tableau1214[[#This Row],[Total après acompte]]="","",Tableau1214[[#This Row],[Total après acompte]]-Tableau1214[[#This Row],[Total]]))</f>
        <v/>
      </c>
      <c r="M27" s="71" t="str">
        <f>IF(OR(Tableau1214[[#This Row],[Mois]]="décembre",Tableau1214[[#This Row],[Mois]]="novembre"),LEFT(cSaison,4),RIGHT(cSaison,4))</f>
        <v>2018</v>
      </c>
      <c r="N27" s="71" t="str">
        <f>CONCATENATE(Tableau1214[[#This Row],[année]],"_",Tableau1214[[#This Row],[Mois]],"-",cProducteur,"/",$B$22,"+",$B$21)</f>
        <v>2018_janvier-ESSAI/Conventionnel+Cru</v>
      </c>
      <c r="P27" s="70"/>
    </row>
    <row r="28" spans="1:17" ht="17.25" hidden="1" x14ac:dyDescent="0.3">
      <c r="A28" s="119" t="s">
        <v>138</v>
      </c>
      <c r="B28" s="120" t="str">
        <f>IFERROR(INDEX(Tableau47[#All],MATCH(Tableau1214[[#This Row],[quinte]],Tableau47[[#All],[Quintuplé Année-Mois-Producteur-Type lait_Traitement thermique]],0),MATCH(Tableau47[[#Headers],[MG]],Tableau47[#Headers],0)),"")</f>
        <v/>
      </c>
      <c r="C28" s="120" t="str">
        <f>IFERROR(INDEX(Tableau47[#All],MATCH(Tableau1214[[#This Row],[quinte]],Tableau47[[#All],[Quintuplé Année-Mois-Producteur-Type lait_Traitement thermique]],0),MATCH(Tableau47[[#Headers],[MP]],Tableau47[#Headers],0)),"")</f>
        <v/>
      </c>
      <c r="D28" s="120" t="str">
        <f>IFERROR(INDEX(Tableau47[#All],MATCH(Tableau1214[[#This Row],[quinte]],Tableau47[[#All],[Quintuplé Année-Mois-Producteur-Type lait_Traitement thermique]],0),MATCH(Tableau47[[#Headers],[Classe CE]],Tableau47[#Headers],0)),"")</f>
        <v/>
      </c>
      <c r="E28" s="120" t="str">
        <f>IFERROR(INDEX(Tableau47[#All],MATCH(Tableau1214[[#This Row],[quinte]],Tableau47[[#All],[Quintuplé Année-Mois-Producteur-Type lait_Traitement thermique]],0),MATCH(Tableau47[[#Headers],[Classe BU]],Tableau47[#Headers],0)),"")</f>
        <v/>
      </c>
      <c r="F28" s="120" t="str">
        <f>IFERROR(INDEX(Tableau47[#All],MATCH(Tableau1214[[#This Row],[quinte]],Tableau47[[#All],[Quintuplé Année-Mois-Producteur-Type lait_Traitement thermique]],0),MATCH(Tableau47[[#Headers],[Classe CO]],Tableau47[#Headers],0)),"")</f>
        <v/>
      </c>
      <c r="G28" s="121" t="str">
        <f>IFERROR(INDEX(Tableau47[#All],MATCH(Tableau1214[[#This Row],[quinte]],Tableau47[[#All],[Quintuplé Année-Mois-Producteur-Type lait_Traitement thermique]],0),MATCH(Tableau47[[#Headers],[Prix au litre avant acompte modulé]],Tableau47[#Headers],0)),"")</f>
        <v/>
      </c>
      <c r="H28" s="121" t="str">
        <f>IFERROR(INDEX(Tableau47[#All],MATCH(Tableau1214[[#This Row],[quinte]],Tableau47[[#All],[Quintuplé Année-Mois-Producteur-Type lait_Traitement thermique]],0),MATCH(Tableau47[[#Headers],[Prix au litre après acompte modulé]],Tableau47[#Headers],0)),"")</f>
        <v/>
      </c>
      <c r="I28" s="122" t="str">
        <f>IFERROR(INDEX(Tableau47[#All],MATCH(Tableau1214[[#This Row],[quinte]],Tableau47[[#All],[Quintuplé Année-Mois-Producteur-Type lait_Traitement thermique]],0),MATCH(Tableau47[[#Headers],[Litrage]],Tableau47[#Headers],0)),"")</f>
        <v/>
      </c>
      <c r="J28" s="123" t="str">
        <f>IFERROR(INDEX(Tableau47[#All],MATCH(Tableau1214[[#This Row],[quinte]],Tableau47[[#All],[Quintuplé Année-Mois-Producteur-Type lait_Traitement thermique]],0),MATCH(Tableau47[[#Headers],[Montant pour acompte]],Tableau47[#Headers],0)),"")</f>
        <v/>
      </c>
      <c r="K28" s="123" t="str">
        <f>IFERROR(INDEX(Tableau47[#All],MATCH(Tableau1214[[#This Row],[quinte]],Tableau47[[#All],[Quintuplé Année-Mois-Producteur-Type lait_Traitement thermique]],0),MATCH(Tableau47[[#Headers],[Montant après acompte]],Tableau47[#Headers],0)),"")</f>
        <v/>
      </c>
      <c r="L28" s="55" t="str">
        <f>IF(Tableau1214[[#This Row],[Total]]="","",IF(Tableau1214[[#This Row],[Total après acompte]]="","",Tableau1214[[#This Row],[Total après acompte]]-Tableau1214[[#This Row],[Total]]))</f>
        <v/>
      </c>
      <c r="M28" s="71" t="str">
        <f>IF(OR(Tableau1214[[#This Row],[Mois]]="décembre",Tableau1214[[#This Row],[Mois]]="novembre"),LEFT(cSaison,4),RIGHT(cSaison,4))</f>
        <v>2018</v>
      </c>
      <c r="N28" s="71" t="str">
        <f>CONCATENATE(Tableau1214[[#This Row],[année]],"_",Tableau1214[[#This Row],[Mois]],"-",cProducteur,"/",$B$22,"+",$B$21)</f>
        <v>2018_février-ESSAI/Conventionnel+Cru</v>
      </c>
      <c r="P28" s="70"/>
    </row>
    <row r="29" spans="1:17" ht="17.25" hidden="1" x14ac:dyDescent="0.3">
      <c r="A29" s="119" t="s">
        <v>139</v>
      </c>
      <c r="B29" s="120" t="str">
        <f>IFERROR(INDEX(Tableau47[#All],MATCH(Tableau1214[[#This Row],[quinte]],Tableau47[[#All],[Quintuplé Année-Mois-Producteur-Type lait_Traitement thermique]],0),MATCH(Tableau47[[#Headers],[MG]],Tableau47[#Headers],0)),"")</f>
        <v/>
      </c>
      <c r="C29" s="120" t="str">
        <f>IFERROR(INDEX(Tableau47[#All],MATCH(Tableau1214[[#This Row],[quinte]],Tableau47[[#All],[Quintuplé Année-Mois-Producteur-Type lait_Traitement thermique]],0),MATCH(Tableau47[[#Headers],[MP]],Tableau47[#Headers],0)),"")</f>
        <v/>
      </c>
      <c r="D29" s="120" t="str">
        <f>IFERROR(INDEX(Tableau47[#All],MATCH(Tableau1214[[#This Row],[quinte]],Tableau47[[#All],[Quintuplé Année-Mois-Producteur-Type lait_Traitement thermique]],0),MATCH(Tableau47[[#Headers],[Classe CE]],Tableau47[#Headers],0)),"")</f>
        <v/>
      </c>
      <c r="E29" s="120" t="str">
        <f>IFERROR(INDEX(Tableau47[#All],MATCH(Tableau1214[[#This Row],[quinte]],Tableau47[[#All],[Quintuplé Année-Mois-Producteur-Type lait_Traitement thermique]],0),MATCH(Tableau47[[#Headers],[Classe BU]],Tableau47[#Headers],0)),"")</f>
        <v/>
      </c>
      <c r="F29" s="120" t="str">
        <f>IFERROR(INDEX(Tableau47[#All],MATCH(Tableau1214[[#This Row],[quinte]],Tableau47[[#All],[Quintuplé Année-Mois-Producteur-Type lait_Traitement thermique]],0),MATCH(Tableau47[[#Headers],[Classe CO]],Tableau47[#Headers],0)),"")</f>
        <v/>
      </c>
      <c r="G29" s="121" t="str">
        <f>IFERROR(INDEX(Tableau47[#All],MATCH(Tableau1214[[#This Row],[quinte]],Tableau47[[#All],[Quintuplé Année-Mois-Producteur-Type lait_Traitement thermique]],0),MATCH(Tableau47[[#Headers],[Prix au litre avant acompte modulé]],Tableau47[#Headers],0)),"")</f>
        <v/>
      </c>
      <c r="H29" s="121" t="str">
        <f>IFERROR(INDEX(Tableau47[#All],MATCH(Tableau1214[[#This Row],[quinte]],Tableau47[[#All],[Quintuplé Année-Mois-Producteur-Type lait_Traitement thermique]],0),MATCH(Tableau47[[#Headers],[Prix au litre après acompte modulé]],Tableau47[#Headers],0)),"")</f>
        <v/>
      </c>
      <c r="I29" s="122" t="str">
        <f>IFERROR(INDEX(Tableau47[#All],MATCH(Tableau1214[[#This Row],[quinte]],Tableau47[[#All],[Quintuplé Année-Mois-Producteur-Type lait_Traitement thermique]],0),MATCH(Tableau47[[#Headers],[Litrage]],Tableau47[#Headers],0)),"")</f>
        <v/>
      </c>
      <c r="J29" s="123" t="str">
        <f>IFERROR(INDEX(Tableau47[#All],MATCH(Tableau1214[[#This Row],[quinte]],Tableau47[[#All],[Quintuplé Année-Mois-Producteur-Type lait_Traitement thermique]],0),MATCH(Tableau47[[#Headers],[Montant pour acompte]],Tableau47[#Headers],0)),"")</f>
        <v/>
      </c>
      <c r="K29" s="123" t="str">
        <f>IFERROR(INDEX(Tableau47[#All],MATCH(Tableau1214[[#This Row],[quinte]],Tableau47[[#All],[Quintuplé Année-Mois-Producteur-Type lait_Traitement thermique]],0),MATCH(Tableau47[[#Headers],[Montant après acompte]],Tableau47[#Headers],0)),"")</f>
        <v/>
      </c>
      <c r="L29" s="55" t="str">
        <f>IF(Tableau1214[[#This Row],[Total]]="","",IF(Tableau1214[[#This Row],[Total après acompte]]="","",Tableau1214[[#This Row],[Total après acompte]]-Tableau1214[[#This Row],[Total]]))</f>
        <v/>
      </c>
      <c r="M29" s="71" t="str">
        <f>IF(OR(Tableau1214[[#This Row],[Mois]]="décembre",Tableau1214[[#This Row],[Mois]]="novembre"),LEFT(cSaison,4),RIGHT(cSaison,4))</f>
        <v>2018</v>
      </c>
      <c r="N29" s="71" t="str">
        <f>CONCATENATE(Tableau1214[[#This Row],[année]],"_",Tableau1214[[#This Row],[Mois]],"-",cProducteur,"/",$B$22,"+",$B$21)</f>
        <v>2018_mars-ESSAI/Conventionnel+Cru</v>
      </c>
      <c r="P29" s="70"/>
    </row>
    <row r="30" spans="1:17" ht="17.25" hidden="1" x14ac:dyDescent="0.3">
      <c r="A30" s="119" t="s">
        <v>89</v>
      </c>
      <c r="B30" s="120" t="str">
        <f>IFERROR(INDEX(Tableau47[#All],MATCH(Tableau1214[[#This Row],[quinte]],Tableau47[[#All],[Quintuplé Année-Mois-Producteur-Type lait_Traitement thermique]],0),MATCH(Tableau47[[#Headers],[MG]],Tableau47[#Headers],0)),"")</f>
        <v/>
      </c>
      <c r="C30" s="120" t="str">
        <f>IFERROR(INDEX(Tableau47[#All],MATCH(Tableau1214[[#This Row],[quinte]],Tableau47[[#All],[Quintuplé Année-Mois-Producteur-Type lait_Traitement thermique]],0),MATCH(Tableau47[[#Headers],[MP]],Tableau47[#Headers],0)),"")</f>
        <v/>
      </c>
      <c r="D30" s="120" t="str">
        <f>IFERROR(INDEX(Tableau47[#All],MATCH(Tableau1214[[#This Row],[quinte]],Tableau47[[#All],[Quintuplé Année-Mois-Producteur-Type lait_Traitement thermique]],0),MATCH(Tableau47[[#Headers],[Classe CE]],Tableau47[#Headers],0)),"")</f>
        <v/>
      </c>
      <c r="E30" s="120" t="str">
        <f>IFERROR(INDEX(Tableau47[#All],MATCH(Tableau1214[[#This Row],[quinte]],Tableau47[[#All],[Quintuplé Année-Mois-Producteur-Type lait_Traitement thermique]],0),MATCH(Tableau47[[#Headers],[Classe BU]],Tableau47[#Headers],0)),"")</f>
        <v/>
      </c>
      <c r="F30" s="120" t="str">
        <f>IFERROR(INDEX(Tableau47[#All],MATCH(Tableau1214[[#This Row],[quinte]],Tableau47[[#All],[Quintuplé Année-Mois-Producteur-Type lait_Traitement thermique]],0),MATCH(Tableau47[[#Headers],[Classe CO]],Tableau47[#Headers],0)),"")</f>
        <v/>
      </c>
      <c r="G30" s="121" t="str">
        <f>IFERROR(INDEX(Tableau47[#All],MATCH(Tableau1214[[#This Row],[quinte]],Tableau47[[#All],[Quintuplé Année-Mois-Producteur-Type lait_Traitement thermique]],0),MATCH(Tableau47[[#Headers],[Prix au litre avant acompte modulé]],Tableau47[#Headers],0)),"")</f>
        <v/>
      </c>
      <c r="H30" s="121" t="str">
        <f>IFERROR(INDEX(Tableau47[#All],MATCH(Tableau1214[[#This Row],[quinte]],Tableau47[[#All],[Quintuplé Année-Mois-Producteur-Type lait_Traitement thermique]],0),MATCH(Tableau47[[#Headers],[Prix au litre après acompte modulé]],Tableau47[#Headers],0)),"")</f>
        <v/>
      </c>
      <c r="I30" s="122" t="str">
        <f>IFERROR(INDEX(Tableau47[#All],MATCH(Tableau1214[[#This Row],[quinte]],Tableau47[[#All],[Quintuplé Année-Mois-Producteur-Type lait_Traitement thermique]],0),MATCH(Tableau47[[#Headers],[Litrage]],Tableau47[#Headers],0)),"")</f>
        <v/>
      </c>
      <c r="J30" s="123" t="str">
        <f>IFERROR(INDEX(Tableau47[#All],MATCH(Tableau1214[[#This Row],[quinte]],Tableau47[[#All],[Quintuplé Année-Mois-Producteur-Type lait_Traitement thermique]],0),MATCH(Tableau47[[#Headers],[Montant pour acompte]],Tableau47[#Headers],0)),"")</f>
        <v/>
      </c>
      <c r="K30" s="123" t="str">
        <f>IFERROR(INDEX(Tableau47[#All],MATCH(Tableau1214[[#This Row],[quinte]],Tableau47[[#All],[Quintuplé Année-Mois-Producteur-Type lait_Traitement thermique]],0),MATCH(Tableau47[[#Headers],[Montant après acompte]],Tableau47[#Headers],0)),"")</f>
        <v/>
      </c>
      <c r="L30" s="55" t="str">
        <f>IF(Tableau1214[[#This Row],[Total]]="","",IF(Tableau1214[[#This Row],[Total après acompte]]="","",Tableau1214[[#This Row],[Total après acompte]]-Tableau1214[[#This Row],[Total]]))</f>
        <v/>
      </c>
      <c r="M30" s="71" t="str">
        <f>IF(OR(Tableau1214[[#This Row],[Mois]]="décembre",Tableau1214[[#This Row],[Mois]]="novembre"),LEFT(cSaison,4),RIGHT(cSaison,4))</f>
        <v>2018</v>
      </c>
      <c r="N30" s="71" t="str">
        <f>CONCATENATE(Tableau1214[[#This Row],[année]],"_",Tableau1214[[#This Row],[Mois]],"-",cProducteur,"/",$B$22,"+",$B$21)</f>
        <v>2018_avril-ESSAI/Conventionnel+Cru</v>
      </c>
      <c r="P30" s="70"/>
    </row>
    <row r="31" spans="1:17" ht="17.25" hidden="1" x14ac:dyDescent="0.3">
      <c r="A31" s="119" t="s">
        <v>140</v>
      </c>
      <c r="B31" s="120" t="str">
        <f>IFERROR(INDEX(Tableau47[#All],MATCH(Tableau1214[[#This Row],[quinte]],Tableau47[[#All],[Quintuplé Année-Mois-Producteur-Type lait_Traitement thermique]],0),MATCH(Tableau47[[#Headers],[MG]],Tableau47[#Headers],0)),"")</f>
        <v/>
      </c>
      <c r="C31" s="120" t="str">
        <f>IFERROR(INDEX(Tableau47[#All],MATCH(Tableau1214[[#This Row],[quinte]],Tableau47[[#All],[Quintuplé Année-Mois-Producteur-Type lait_Traitement thermique]],0),MATCH(Tableau47[[#Headers],[MP]],Tableau47[#Headers],0)),"")</f>
        <v/>
      </c>
      <c r="D31" s="120" t="str">
        <f>IFERROR(INDEX(Tableau47[#All],MATCH(Tableau1214[[#This Row],[quinte]],Tableau47[[#All],[Quintuplé Année-Mois-Producteur-Type lait_Traitement thermique]],0),MATCH(Tableau47[[#Headers],[Classe CE]],Tableau47[#Headers],0)),"")</f>
        <v/>
      </c>
      <c r="E31" s="120" t="str">
        <f>IFERROR(INDEX(Tableau47[#All],MATCH(Tableau1214[[#This Row],[quinte]],Tableau47[[#All],[Quintuplé Année-Mois-Producteur-Type lait_Traitement thermique]],0),MATCH(Tableau47[[#Headers],[Classe BU]],Tableau47[#Headers],0)),"")</f>
        <v/>
      </c>
      <c r="F31" s="120" t="str">
        <f>IFERROR(INDEX(Tableau47[#All],MATCH(Tableau1214[[#This Row],[quinte]],Tableau47[[#All],[Quintuplé Année-Mois-Producteur-Type lait_Traitement thermique]],0),MATCH(Tableau47[[#Headers],[Classe CO]],Tableau47[#Headers],0)),"")</f>
        <v/>
      </c>
      <c r="G31" s="121" t="str">
        <f>IFERROR(INDEX(Tableau47[#All],MATCH(Tableau1214[[#This Row],[quinte]],Tableau47[[#All],[Quintuplé Année-Mois-Producteur-Type lait_Traitement thermique]],0),MATCH(Tableau47[[#Headers],[Prix au litre avant acompte modulé]],Tableau47[#Headers],0)),"")</f>
        <v/>
      </c>
      <c r="H31" s="121" t="str">
        <f>IFERROR(INDEX(Tableau47[#All],MATCH(Tableau1214[[#This Row],[quinte]],Tableau47[[#All],[Quintuplé Année-Mois-Producteur-Type lait_Traitement thermique]],0),MATCH(Tableau47[[#Headers],[Prix au litre après acompte modulé]],Tableau47[#Headers],0)),"")</f>
        <v/>
      </c>
      <c r="I31" s="122" t="str">
        <f>IFERROR(INDEX(Tableau47[#All],MATCH(Tableau1214[[#This Row],[quinte]],Tableau47[[#All],[Quintuplé Année-Mois-Producteur-Type lait_Traitement thermique]],0),MATCH(Tableau47[[#Headers],[Litrage]],Tableau47[#Headers],0)),"")</f>
        <v/>
      </c>
      <c r="J31" s="123" t="str">
        <f>IFERROR(INDEX(Tableau47[#All],MATCH(Tableau1214[[#This Row],[quinte]],Tableau47[[#All],[Quintuplé Année-Mois-Producteur-Type lait_Traitement thermique]],0),MATCH(Tableau47[[#Headers],[Montant pour acompte]],Tableau47[#Headers],0)),"")</f>
        <v/>
      </c>
      <c r="K31" s="123" t="str">
        <f>IFERROR(INDEX(Tableau47[#All],MATCH(Tableau1214[[#This Row],[quinte]],Tableau47[[#All],[Quintuplé Année-Mois-Producteur-Type lait_Traitement thermique]],0),MATCH(Tableau47[[#Headers],[Montant après acompte]],Tableau47[#Headers],0)),"")</f>
        <v/>
      </c>
      <c r="L31" s="55" t="str">
        <f>IF(Tableau1214[[#This Row],[Total]]="","",IF(Tableau1214[[#This Row],[Total après acompte]]="","",Tableau1214[[#This Row],[Total après acompte]]-Tableau1214[[#This Row],[Total]]))</f>
        <v/>
      </c>
      <c r="M31" s="71" t="str">
        <f>IF(OR(Tableau1214[[#This Row],[Mois]]="décembre",Tableau1214[[#This Row],[Mois]]="novembre"),LEFT(cSaison,4),RIGHT(cSaison,4))</f>
        <v>2018</v>
      </c>
      <c r="N31" s="71" t="str">
        <f>CONCATENATE(Tableau1214[[#This Row],[année]],"_",Tableau1214[[#This Row],[Mois]],"-",cProducteur,"/",$B$22,"+",$B$21)</f>
        <v>2018_mai-ESSAI/Conventionnel+Cru</v>
      </c>
      <c r="P31" s="70"/>
    </row>
    <row r="32" spans="1:17" ht="17.25" hidden="1" x14ac:dyDescent="0.3">
      <c r="A32" s="119" t="s">
        <v>141</v>
      </c>
      <c r="B32" s="120" t="str">
        <f>IFERROR(INDEX(Tableau47[#All],MATCH(Tableau1214[[#This Row],[quinte]],Tableau47[[#All],[Quintuplé Année-Mois-Producteur-Type lait_Traitement thermique]],0),MATCH(Tableau47[[#Headers],[MG]],Tableau47[#Headers],0)),"")</f>
        <v/>
      </c>
      <c r="C32" s="120" t="str">
        <f>IFERROR(INDEX(Tableau47[#All],MATCH(Tableau1214[[#This Row],[quinte]],Tableau47[[#All],[Quintuplé Année-Mois-Producteur-Type lait_Traitement thermique]],0),MATCH(Tableau47[[#Headers],[MP]],Tableau47[#Headers],0)),"")</f>
        <v/>
      </c>
      <c r="D32" s="120" t="str">
        <f>IFERROR(INDEX(Tableau47[#All],MATCH(Tableau1214[[#This Row],[quinte]],Tableau47[[#All],[Quintuplé Année-Mois-Producteur-Type lait_Traitement thermique]],0),MATCH(Tableau47[[#Headers],[Classe CE]],Tableau47[#Headers],0)),"")</f>
        <v/>
      </c>
      <c r="E32" s="120" t="str">
        <f>IFERROR(INDEX(Tableau47[#All],MATCH(Tableau1214[[#This Row],[quinte]],Tableau47[[#All],[Quintuplé Année-Mois-Producteur-Type lait_Traitement thermique]],0),MATCH(Tableau47[[#Headers],[Classe BU]],Tableau47[#Headers],0)),"")</f>
        <v/>
      </c>
      <c r="F32" s="120" t="str">
        <f>IFERROR(INDEX(Tableau47[#All],MATCH(Tableau1214[[#This Row],[quinte]],Tableau47[[#All],[Quintuplé Année-Mois-Producteur-Type lait_Traitement thermique]],0),MATCH(Tableau47[[#Headers],[Classe CO]],Tableau47[#Headers],0)),"")</f>
        <v/>
      </c>
      <c r="G32" s="121" t="str">
        <f>IFERROR(INDEX(Tableau47[#All],MATCH(Tableau1214[[#This Row],[quinte]],Tableau47[[#All],[Quintuplé Année-Mois-Producteur-Type lait_Traitement thermique]],0),MATCH(Tableau47[[#Headers],[Prix au litre avant acompte modulé]],Tableau47[#Headers],0)),"")</f>
        <v/>
      </c>
      <c r="H32" s="121" t="str">
        <f>IFERROR(INDEX(Tableau47[#All],MATCH(Tableau1214[[#This Row],[quinte]],Tableau47[[#All],[Quintuplé Année-Mois-Producteur-Type lait_Traitement thermique]],0),MATCH(Tableau47[[#Headers],[Prix au litre après acompte modulé]],Tableau47[#Headers],0)),"")</f>
        <v/>
      </c>
      <c r="I32" s="122" t="str">
        <f>IFERROR(INDEX(Tableau47[#All],MATCH(Tableau1214[[#This Row],[quinte]],Tableau47[[#All],[Quintuplé Année-Mois-Producteur-Type lait_Traitement thermique]],0),MATCH(Tableau47[[#Headers],[Litrage]],Tableau47[#Headers],0)),"")</f>
        <v/>
      </c>
      <c r="J32" s="123" t="str">
        <f>IFERROR(INDEX(Tableau47[#All],MATCH(Tableau1214[[#This Row],[quinte]],Tableau47[[#All],[Quintuplé Année-Mois-Producteur-Type lait_Traitement thermique]],0),MATCH(Tableau47[[#Headers],[Montant pour acompte]],Tableau47[#Headers],0)),"")</f>
        <v/>
      </c>
      <c r="K32" s="123" t="str">
        <f>IFERROR(INDEX(Tableau47[#All],MATCH(Tableau1214[[#This Row],[quinte]],Tableau47[[#All],[Quintuplé Année-Mois-Producteur-Type lait_Traitement thermique]],0),MATCH(Tableau47[[#Headers],[Montant après acompte]],Tableau47[#Headers],0)),"")</f>
        <v/>
      </c>
      <c r="L32" s="55" t="str">
        <f>IF(Tableau1214[[#This Row],[Total]]="","",IF(Tableau1214[[#This Row],[Total après acompte]]="","",Tableau1214[[#This Row],[Total après acompte]]-Tableau1214[[#This Row],[Total]]))</f>
        <v/>
      </c>
      <c r="M32" s="71" t="str">
        <f>IF(OR(Tableau1214[[#This Row],[Mois]]="décembre",Tableau1214[[#This Row],[Mois]]="novembre"),LEFT(cSaison,4),RIGHT(cSaison,4))</f>
        <v>2018</v>
      </c>
      <c r="N32" s="71" t="str">
        <f>CONCATENATE(Tableau1214[[#This Row],[année]],"_",Tableau1214[[#This Row],[Mois]],"-",cProducteur,"/",$B$22,"+",$B$21)</f>
        <v>2018_juin-ESSAI/Conventionnel+Cru</v>
      </c>
      <c r="P32" s="70"/>
    </row>
    <row r="33" spans="1:17" ht="17.25" hidden="1" x14ac:dyDescent="0.3">
      <c r="A33" s="119" t="s">
        <v>142</v>
      </c>
      <c r="B33" s="120" t="str">
        <f>IFERROR(INDEX(Tableau47[#All],MATCH(Tableau1214[[#This Row],[quinte]],Tableau47[[#All],[Quintuplé Année-Mois-Producteur-Type lait_Traitement thermique]],0),MATCH(Tableau47[[#Headers],[MG]],Tableau47[#Headers],0)),"")</f>
        <v/>
      </c>
      <c r="C33" s="120" t="str">
        <f>IFERROR(INDEX(Tableau47[#All],MATCH(Tableau1214[[#This Row],[quinte]],Tableau47[[#All],[Quintuplé Année-Mois-Producteur-Type lait_Traitement thermique]],0),MATCH(Tableau47[[#Headers],[MP]],Tableau47[#Headers],0)),"")</f>
        <v/>
      </c>
      <c r="D33" s="120" t="str">
        <f>IFERROR(INDEX(Tableau47[#All],MATCH(Tableau1214[[#This Row],[quinte]],Tableau47[[#All],[Quintuplé Année-Mois-Producteur-Type lait_Traitement thermique]],0),MATCH(Tableau47[[#Headers],[Classe CE]],Tableau47[#Headers],0)),"")</f>
        <v/>
      </c>
      <c r="E33" s="120" t="str">
        <f>IFERROR(INDEX(Tableau47[#All],MATCH(Tableau1214[[#This Row],[quinte]],Tableau47[[#All],[Quintuplé Année-Mois-Producteur-Type lait_Traitement thermique]],0),MATCH(Tableau47[[#Headers],[Classe BU]],Tableau47[#Headers],0)),"")</f>
        <v/>
      </c>
      <c r="F33" s="120" t="str">
        <f>IFERROR(INDEX(Tableau47[#All],MATCH(Tableau1214[[#This Row],[quinte]],Tableau47[[#All],[Quintuplé Année-Mois-Producteur-Type lait_Traitement thermique]],0),MATCH(Tableau47[[#Headers],[Classe CO]],Tableau47[#Headers],0)),"")</f>
        <v/>
      </c>
      <c r="G33" s="121" t="str">
        <f>IFERROR(INDEX(Tableau47[#All],MATCH(Tableau1214[[#This Row],[quinte]],Tableau47[[#All],[Quintuplé Année-Mois-Producteur-Type lait_Traitement thermique]],0),MATCH(Tableau47[[#Headers],[Prix au litre avant acompte modulé]],Tableau47[#Headers],0)),"")</f>
        <v/>
      </c>
      <c r="H33" s="121" t="str">
        <f>IFERROR(INDEX(Tableau47[#All],MATCH(Tableau1214[[#This Row],[quinte]],Tableau47[[#All],[Quintuplé Année-Mois-Producteur-Type lait_Traitement thermique]],0),MATCH(Tableau47[[#Headers],[Prix au litre après acompte modulé]],Tableau47[#Headers],0)),"")</f>
        <v/>
      </c>
      <c r="I33" s="122" t="str">
        <f>IFERROR(INDEX(Tableau47[#All],MATCH(Tableau1214[[#This Row],[quinte]],Tableau47[[#All],[Quintuplé Année-Mois-Producteur-Type lait_Traitement thermique]],0),MATCH(Tableau47[[#Headers],[Litrage]],Tableau47[#Headers],0)),"")</f>
        <v/>
      </c>
      <c r="J33" s="123" t="str">
        <f>IFERROR(INDEX(Tableau47[#All],MATCH(Tableau1214[[#This Row],[quinte]],Tableau47[[#All],[Quintuplé Année-Mois-Producteur-Type lait_Traitement thermique]],0),MATCH(Tableau47[[#Headers],[Montant pour acompte]],Tableau47[#Headers],0)),"")</f>
        <v/>
      </c>
      <c r="K33" s="123" t="str">
        <f>IFERROR(INDEX(Tableau47[#All],MATCH(Tableau1214[[#This Row],[quinte]],Tableau47[[#All],[Quintuplé Année-Mois-Producteur-Type lait_Traitement thermique]],0),MATCH(Tableau47[[#Headers],[Montant après acompte]],Tableau47[#Headers],0)),"")</f>
        <v/>
      </c>
      <c r="L33" s="55" t="str">
        <f>IF(Tableau1214[[#This Row],[Total]]="","",IF(Tableau1214[[#This Row],[Total après acompte]]="","",Tableau1214[[#This Row],[Total après acompte]]-Tableau1214[[#This Row],[Total]]))</f>
        <v/>
      </c>
      <c r="M33" s="71" t="str">
        <f>IF(OR(Tableau1214[[#This Row],[Mois]]="décembre",Tableau1214[[#This Row],[Mois]]="novembre"),LEFT(cSaison,4),RIGHT(cSaison,4))</f>
        <v>2018</v>
      </c>
      <c r="N33" s="71" t="str">
        <f>CONCATENATE(Tableau1214[[#This Row],[année]],"_",Tableau1214[[#This Row],[Mois]],"-",cProducteur,"/",$B$22,"+",$B$21)</f>
        <v>2018_juillet-ESSAI/Conventionnel+Cru</v>
      </c>
      <c r="P33" s="70"/>
    </row>
    <row r="34" spans="1:17" ht="17.25" hidden="1" x14ac:dyDescent="0.3">
      <c r="A34" s="119" t="s">
        <v>143</v>
      </c>
      <c r="B34" s="120" t="str">
        <f>IFERROR(INDEX(Tableau47[#All],MATCH(Tableau1214[[#This Row],[quinte]],Tableau47[[#All],[Quintuplé Année-Mois-Producteur-Type lait_Traitement thermique]],0),MATCH(Tableau47[[#Headers],[MG]],Tableau47[#Headers],0)),"")</f>
        <v/>
      </c>
      <c r="C34" s="120" t="str">
        <f>IFERROR(INDEX(Tableau47[#All],MATCH(Tableau1214[[#This Row],[quinte]],Tableau47[[#All],[Quintuplé Année-Mois-Producteur-Type lait_Traitement thermique]],0),MATCH(Tableau47[[#Headers],[MP]],Tableau47[#Headers],0)),"")</f>
        <v/>
      </c>
      <c r="D34" s="120" t="str">
        <f>IFERROR(INDEX(Tableau47[#All],MATCH(Tableau1214[[#This Row],[quinte]],Tableau47[[#All],[Quintuplé Année-Mois-Producteur-Type lait_Traitement thermique]],0),MATCH(Tableau47[[#Headers],[Classe CE]],Tableau47[#Headers],0)),"")</f>
        <v/>
      </c>
      <c r="E34" s="120" t="str">
        <f>IFERROR(INDEX(Tableau47[#All],MATCH(Tableau1214[[#This Row],[quinte]],Tableau47[[#All],[Quintuplé Année-Mois-Producteur-Type lait_Traitement thermique]],0),MATCH(Tableau47[[#Headers],[Classe BU]],Tableau47[#Headers],0)),"")</f>
        <v/>
      </c>
      <c r="F34" s="120" t="str">
        <f>IFERROR(INDEX(Tableau47[#All],MATCH(Tableau1214[[#This Row],[quinte]],Tableau47[[#All],[Quintuplé Année-Mois-Producteur-Type lait_Traitement thermique]],0),MATCH(Tableau47[[#Headers],[Classe CO]],Tableau47[#Headers],0)),"")</f>
        <v/>
      </c>
      <c r="G34" s="121" t="str">
        <f>IFERROR(INDEX(Tableau47[#All],MATCH(Tableau1214[[#This Row],[quinte]],Tableau47[[#All],[Quintuplé Année-Mois-Producteur-Type lait_Traitement thermique]],0),MATCH(Tableau47[[#Headers],[Prix au litre avant acompte modulé]],Tableau47[#Headers],0)),"")</f>
        <v/>
      </c>
      <c r="H34" s="121" t="str">
        <f>IFERROR(INDEX(Tableau47[#All],MATCH(Tableau1214[[#This Row],[quinte]],Tableau47[[#All],[Quintuplé Année-Mois-Producteur-Type lait_Traitement thermique]],0),MATCH(Tableau47[[#Headers],[Prix au litre après acompte modulé]],Tableau47[#Headers],0)),"")</f>
        <v/>
      </c>
      <c r="I34" s="122" t="str">
        <f>IFERROR(INDEX(Tableau47[#All],MATCH(Tableau1214[[#This Row],[quinte]],Tableau47[[#All],[Quintuplé Année-Mois-Producteur-Type lait_Traitement thermique]],0),MATCH(Tableau47[[#Headers],[Litrage]],Tableau47[#Headers],0)),"")</f>
        <v/>
      </c>
      <c r="J34" s="123" t="str">
        <f>IFERROR(INDEX(Tableau47[#All],MATCH(Tableau1214[[#This Row],[quinte]],Tableau47[[#All],[Quintuplé Année-Mois-Producteur-Type lait_Traitement thermique]],0),MATCH(Tableau47[[#Headers],[Montant pour acompte]],Tableau47[#Headers],0)),"")</f>
        <v/>
      </c>
      <c r="K34" s="123" t="str">
        <f>IFERROR(INDEX(Tableau47[#All],MATCH(Tableau1214[[#This Row],[quinte]],Tableau47[[#All],[Quintuplé Année-Mois-Producteur-Type lait_Traitement thermique]],0),MATCH(Tableau47[[#Headers],[Montant après acompte]],Tableau47[#Headers],0)),"")</f>
        <v/>
      </c>
      <c r="L34" s="55" t="str">
        <f>IF(Tableau1214[[#This Row],[Total]]="","",IF(Tableau1214[[#This Row],[Total après acompte]]="","",Tableau1214[[#This Row],[Total après acompte]]-Tableau1214[[#This Row],[Total]]))</f>
        <v/>
      </c>
      <c r="M34" s="71" t="str">
        <f>IF(OR(Tableau1214[[#This Row],[Mois]]="décembre",Tableau1214[[#This Row],[Mois]]="novembre"),LEFT(cSaison,4),RIGHT(cSaison,4))</f>
        <v>2018</v>
      </c>
      <c r="N34" s="71" t="str">
        <f>CONCATENATE(Tableau1214[[#This Row],[année]],"_",Tableau1214[[#This Row],[Mois]],"-",cProducteur,"/",$B$22,"+",$B$21)</f>
        <v>2018_août-ESSAI/Conventionnel+Cru</v>
      </c>
      <c r="P34" s="70"/>
    </row>
    <row r="35" spans="1:17" hidden="1" x14ac:dyDescent="0.3">
      <c r="A35" s="80"/>
      <c r="B35" s="80"/>
      <c r="C35" s="80"/>
      <c r="D35" s="80"/>
      <c r="E35" s="80"/>
      <c r="F35" s="80"/>
      <c r="G35" s="80"/>
      <c r="H35" s="80"/>
      <c r="I35" s="80" t="s">
        <v>157</v>
      </c>
      <c r="J35" s="81">
        <f>SUBTOTAL(109,Tableau1214[Total])</f>
        <v>0</v>
      </c>
      <c r="K35" s="81"/>
      <c r="L35" s="81"/>
      <c r="M35" s="82"/>
      <c r="N35" s="82"/>
      <c r="P35" s="70"/>
    </row>
    <row r="36" spans="1:17" ht="3.75" customHeight="1" x14ac:dyDescent="0.3">
      <c r="A36" s="69"/>
      <c r="B36" s="69"/>
      <c r="C36" s="69"/>
      <c r="D36" s="69"/>
      <c r="E36" s="68"/>
      <c r="F36" s="68"/>
      <c r="G36" s="68"/>
      <c r="H36" s="68"/>
      <c r="I36" s="68"/>
      <c r="J36" s="68"/>
      <c r="K36" s="69"/>
      <c r="L36" s="69"/>
      <c r="N36" s="69"/>
      <c r="O36" s="5"/>
    </row>
    <row r="37" spans="1:17" ht="32.25" hidden="1" customHeight="1" thickBot="1" x14ac:dyDescent="0.35">
      <c r="A37" s="137" t="s">
        <v>75</v>
      </c>
      <c r="B37" s="144" t="s">
        <v>86</v>
      </c>
      <c r="C37" s="69"/>
      <c r="D37" s="137" t="s">
        <v>165</v>
      </c>
      <c r="E37" s="139">
        <f>IFERROR(IF(cProducteur="","",INDEX(Tableau11[#All],MATCH(CONCATENATE(cSaison,$B38,$B37),'BDD PRIX LAIT'!$F:$F,0),MATCH(Base_avant_acompte,Tableau11[#Headers],0))),"")</f>
        <v>0.9</v>
      </c>
      <c r="F37" s="68"/>
      <c r="G37" s="68"/>
      <c r="H37" s="68"/>
      <c r="I37" s="68"/>
      <c r="J37" s="68"/>
      <c r="K37" s="69"/>
      <c r="L37" s="69"/>
      <c r="N37" s="69"/>
      <c r="O37" s="5"/>
    </row>
    <row r="38" spans="1:17" ht="22.5" hidden="1" customHeight="1" thickBot="1" x14ac:dyDescent="0.35">
      <c r="A38" s="138" t="s">
        <v>3</v>
      </c>
      <c r="B38" s="145" t="s">
        <v>85</v>
      </c>
      <c r="C38" s="69"/>
      <c r="D38" s="140"/>
      <c r="E38" s="141"/>
      <c r="F38" s="68"/>
      <c r="G38" s="68"/>
      <c r="H38" s="68"/>
      <c r="I38" s="68"/>
      <c r="J38" s="68"/>
      <c r="K38" s="69"/>
      <c r="L38" s="69"/>
      <c r="N38" s="69"/>
      <c r="O38" s="5"/>
    </row>
    <row r="39" spans="1:17" ht="6.75" hidden="1" customHeight="1" x14ac:dyDescent="0.3">
      <c r="A39" s="69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7"/>
      <c r="N39" s="69"/>
      <c r="O39" s="5"/>
    </row>
    <row r="40" spans="1:17" s="54" customFormat="1" ht="34.5" hidden="1" x14ac:dyDescent="0.25">
      <c r="A40" s="129" t="s">
        <v>1</v>
      </c>
      <c r="B40" s="130" t="s">
        <v>71</v>
      </c>
      <c r="C40" s="130" t="s">
        <v>72</v>
      </c>
      <c r="D40" s="130" t="s">
        <v>155</v>
      </c>
      <c r="E40" s="130" t="s">
        <v>156</v>
      </c>
      <c r="F40" s="130" t="s">
        <v>160</v>
      </c>
      <c r="G40" s="130" t="s">
        <v>176</v>
      </c>
      <c r="H40" s="130" t="s">
        <v>166</v>
      </c>
      <c r="I40" s="130" t="s">
        <v>2</v>
      </c>
      <c r="J40" s="130" t="s">
        <v>157</v>
      </c>
      <c r="K40" s="130" t="s">
        <v>169</v>
      </c>
      <c r="L40" s="83" t="s">
        <v>170</v>
      </c>
      <c r="M40" s="83" t="s">
        <v>159</v>
      </c>
      <c r="N40" s="83" t="s">
        <v>158</v>
      </c>
      <c r="O40" s="84"/>
      <c r="P40" s="85"/>
      <c r="Q40" s="84"/>
    </row>
    <row r="41" spans="1:17" ht="17.25" hidden="1" x14ac:dyDescent="0.3">
      <c r="A41" s="119" t="s">
        <v>144</v>
      </c>
      <c r="B41" s="120" t="str">
        <f>IFERROR(INDEX(Tableau47[#All],MATCH(Tableau121415[[#This Row],[quinte]],Tableau47[[#All],[Quintuplé Année-Mois-Producteur-Type lait_Traitement thermique]],0),MATCH(Tableau47[[#Headers],[MG]],Tableau47[#Headers],0)),"")</f>
        <v/>
      </c>
      <c r="C41" s="120" t="str">
        <f>IFERROR(INDEX(Tableau47[#All],MATCH(Tableau121415[[#This Row],[quinte]],Tableau47[[#All],[Quintuplé Année-Mois-Producteur-Type lait_Traitement thermique]],0),MATCH(Tableau47[[#Headers],[MP]],Tableau47[#Headers],0)),"")</f>
        <v/>
      </c>
      <c r="D41" s="120" t="str">
        <f>IFERROR(INDEX(Tableau47[#All],MATCH(Tableau121415[[#This Row],[quinte]],Tableau47[[#All],[Quintuplé Année-Mois-Producteur-Type lait_Traitement thermique]],0),MATCH(Tableau47[[#Headers],[Classe CE]],Tableau47[#Headers],0)),"")</f>
        <v/>
      </c>
      <c r="E41" s="120" t="str">
        <f>IFERROR(INDEX(Tableau47[#All],MATCH(Tableau121415[[#This Row],[quinte]],Tableau47[[#All],[Quintuplé Année-Mois-Producteur-Type lait_Traitement thermique]],0),MATCH(Tableau47[[#Headers],[Classe BU]],Tableau47[#Headers],0)),"")</f>
        <v/>
      </c>
      <c r="F41" s="120" t="str">
        <f>IFERROR(INDEX(Tableau47[#All],MATCH(Tableau121415[[#This Row],[quinte]],Tableau47[[#All],[Quintuplé Année-Mois-Producteur-Type lait_Traitement thermique]],0),MATCH(Tableau47[[#Headers],[Classe CO]],Tableau47[#Headers],0)),"")</f>
        <v/>
      </c>
      <c r="G41" s="121" t="str">
        <f>IFERROR(INDEX(Tableau47[#All],MATCH(Tableau121415[[#This Row],[quinte]],Tableau47[[#All],[Quintuplé Année-Mois-Producteur-Type lait_Traitement thermique]],0),MATCH(Tableau47[[#Headers],[Prix au litre avant acompte modulé]],Tableau47[#Headers],0)),"")</f>
        <v/>
      </c>
      <c r="H41" s="121" t="str">
        <f>IFERROR(INDEX(Tableau47[#All],MATCH(Tableau121415[[#This Row],[quinte]],Tableau47[[#All],[Quintuplé Année-Mois-Producteur-Type lait_Traitement thermique]],0),MATCH(Tableau47[[#Headers],[Prix au litre après acompte modulé]],Tableau47[#Headers],0)),"")</f>
        <v/>
      </c>
      <c r="I41" s="122" t="str">
        <f>IFERROR(INDEX(Tableau47[#All],MATCH(Tableau121415[[#This Row],[quinte]],Tableau47[[#All],[Quintuplé Année-Mois-Producteur-Type lait_Traitement thermique]],0),MATCH(Tableau47[[#Headers],[Litrage]],Tableau47[#Headers],0)),"")</f>
        <v/>
      </c>
      <c r="J41" s="123" t="str">
        <f>IFERROR(INDEX(Tableau47[#All],MATCH(Tableau121415[[#This Row],[quinte]],Tableau47[[#All],[Quintuplé Année-Mois-Producteur-Type lait_Traitement thermique]],0),MATCH(Tableau47[[#Headers],[Montant pour acompte]],Tableau47[#Headers],0)),"")</f>
        <v/>
      </c>
      <c r="K41" s="123" t="str">
        <f>IFERROR(INDEX(Tableau47[#All],MATCH(Tableau121415[[#This Row],[quinte]],Tableau47[[#All],[Quintuplé Année-Mois-Producteur-Type lait_Traitement thermique]],0),MATCH(Tableau47[[#Headers],[Montant après acompte]],Tableau47[#Headers],0)),"")</f>
        <v/>
      </c>
      <c r="L41" s="55" t="str">
        <f>IF(Tableau121415[[#This Row],[Total]]="","",IF(Tableau121415[[#This Row],[Total après acompte]]="","",Tableau121415[[#This Row],[Total après acompte]]-Tableau121415[[#This Row],[Total]]))</f>
        <v/>
      </c>
      <c r="M41" s="71" t="str">
        <f>IF(OR(Tableau121415[[#This Row],[Mois]]="décembre",Tableau121415[[#This Row],[Mois]]="novembre"),LEFT(cSaison,4),RIGHT(cSaison,4))</f>
        <v>2017</v>
      </c>
      <c r="N41" s="71" t="str">
        <f>CONCATENATE(Tableau121415[[#This Row],[année]],"_",Tableau121415[[#This Row],[Mois]],"-",cProducteur,"/",$B$38,"+",$B$37)</f>
        <v>2017_novembre-ESSAI/Conventionnel+Thermisé</v>
      </c>
      <c r="P41" s="70"/>
    </row>
    <row r="42" spans="1:17" ht="17.25" hidden="1" x14ac:dyDescent="0.3">
      <c r="A42" s="119" t="s">
        <v>145</v>
      </c>
      <c r="B42" s="120" t="str">
        <f>IFERROR(INDEX(Tableau47[#All],MATCH(Tableau121415[[#This Row],[quinte]],Tableau47[[#All],[Quintuplé Année-Mois-Producteur-Type lait_Traitement thermique]],0),MATCH(Tableau47[[#Headers],[MG]],Tableau47[#Headers],0)),"")</f>
        <v/>
      </c>
      <c r="C42" s="120" t="str">
        <f>IFERROR(INDEX(Tableau47[#All],MATCH(Tableau121415[[#This Row],[quinte]],Tableau47[[#All],[Quintuplé Année-Mois-Producteur-Type lait_Traitement thermique]],0),MATCH(Tableau47[[#Headers],[MP]],Tableau47[#Headers],0)),"")</f>
        <v/>
      </c>
      <c r="D42" s="120" t="str">
        <f>IFERROR(INDEX(Tableau47[#All],MATCH(Tableau121415[[#This Row],[quinte]],Tableau47[[#All],[Quintuplé Année-Mois-Producteur-Type lait_Traitement thermique]],0),MATCH(Tableau47[[#Headers],[Classe CE]],Tableau47[#Headers],0)),"")</f>
        <v/>
      </c>
      <c r="E42" s="120" t="str">
        <f>IFERROR(INDEX(Tableau47[#All],MATCH(Tableau121415[[#This Row],[quinte]],Tableau47[[#All],[Quintuplé Année-Mois-Producteur-Type lait_Traitement thermique]],0),MATCH(Tableau47[[#Headers],[Classe BU]],Tableau47[#Headers],0)),"")</f>
        <v/>
      </c>
      <c r="F42" s="120" t="str">
        <f>IFERROR(INDEX(Tableau47[#All],MATCH(Tableau121415[[#This Row],[quinte]],Tableau47[[#All],[Quintuplé Année-Mois-Producteur-Type lait_Traitement thermique]],0),MATCH(Tableau47[[#Headers],[Classe CO]],Tableau47[#Headers],0)),"")</f>
        <v/>
      </c>
      <c r="G42" s="121" t="str">
        <f>IFERROR(INDEX(Tableau47[#All],MATCH(Tableau121415[[#This Row],[quinte]],Tableau47[[#All],[Quintuplé Année-Mois-Producteur-Type lait_Traitement thermique]],0),MATCH(Tableau47[[#Headers],[Prix au litre avant acompte modulé]],Tableau47[#Headers],0)),"")</f>
        <v/>
      </c>
      <c r="H42" s="121" t="str">
        <f>IFERROR(INDEX(Tableau47[#All],MATCH(Tableau121415[[#This Row],[quinte]],Tableau47[[#All],[Quintuplé Année-Mois-Producteur-Type lait_Traitement thermique]],0),MATCH(Tableau47[[#Headers],[Prix au litre après acompte modulé]],Tableau47[#Headers],0)),"")</f>
        <v/>
      </c>
      <c r="I42" s="122" t="str">
        <f>IFERROR(INDEX(Tableau47[#All],MATCH(Tableau121415[[#This Row],[quinte]],Tableau47[[#All],[Quintuplé Année-Mois-Producteur-Type lait_Traitement thermique]],0),MATCH(Tableau47[[#Headers],[Litrage]],Tableau47[#Headers],0)),"")</f>
        <v/>
      </c>
      <c r="J42" s="123" t="str">
        <f>IFERROR(INDEX(Tableau47[#All],MATCH(Tableau121415[[#This Row],[quinte]],Tableau47[[#All],[Quintuplé Année-Mois-Producteur-Type lait_Traitement thermique]],0),MATCH(Tableau47[[#Headers],[Montant pour acompte]],Tableau47[#Headers],0)),"")</f>
        <v/>
      </c>
      <c r="K42" s="123" t="str">
        <f>IFERROR(INDEX(Tableau47[#All],MATCH(Tableau121415[[#This Row],[quinte]],Tableau47[[#All],[Quintuplé Année-Mois-Producteur-Type lait_Traitement thermique]],0),MATCH(Tableau47[[#Headers],[Montant après acompte]],Tableau47[#Headers],0)),"")</f>
        <v/>
      </c>
      <c r="L42" s="55" t="str">
        <f>IF(Tableau121415[[#This Row],[Total]]="","",IF(Tableau121415[[#This Row],[Total après acompte]]="","",Tableau121415[[#This Row],[Total après acompte]]-Tableau121415[[#This Row],[Total]]))</f>
        <v/>
      </c>
      <c r="M42" s="71" t="str">
        <f>IF(OR(Tableau121415[[#This Row],[Mois]]="décembre",Tableau121415[[#This Row],[Mois]]="novembre"),LEFT(cSaison,4),RIGHT(cSaison,4))</f>
        <v>2017</v>
      </c>
      <c r="N42" s="71" t="str">
        <f>CONCATENATE(Tableau121415[[#This Row],[année]],"_",Tableau121415[[#This Row],[Mois]],"-",cProducteur,"/",$B$38,"+",$B$37)</f>
        <v>2017_décembre-ESSAI/Conventionnel+Thermisé</v>
      </c>
      <c r="P42" s="70"/>
    </row>
    <row r="43" spans="1:17" ht="17.25" hidden="1" x14ac:dyDescent="0.3">
      <c r="A43" s="119" t="s">
        <v>137</v>
      </c>
      <c r="B43" s="120" t="str">
        <f>IFERROR(INDEX(Tableau47[#All],MATCH(Tableau121415[[#This Row],[quinte]],Tableau47[[#All],[Quintuplé Année-Mois-Producteur-Type lait_Traitement thermique]],0),MATCH(Tableau47[[#Headers],[MG]],Tableau47[#Headers],0)),"")</f>
        <v/>
      </c>
      <c r="C43" s="120" t="str">
        <f>IFERROR(INDEX(Tableau47[#All],MATCH(Tableau121415[[#This Row],[quinte]],Tableau47[[#All],[Quintuplé Année-Mois-Producteur-Type lait_Traitement thermique]],0),MATCH(Tableau47[[#Headers],[MP]],Tableau47[#Headers],0)),"")</f>
        <v/>
      </c>
      <c r="D43" s="120" t="str">
        <f>IFERROR(INDEX(Tableau47[#All],MATCH(Tableau121415[[#This Row],[quinte]],Tableau47[[#All],[Quintuplé Année-Mois-Producteur-Type lait_Traitement thermique]],0),MATCH(Tableau47[[#Headers],[Classe CE]],Tableau47[#Headers],0)),"")</f>
        <v/>
      </c>
      <c r="E43" s="120" t="str">
        <f>IFERROR(INDEX(Tableau47[#All],MATCH(Tableau121415[[#This Row],[quinte]],Tableau47[[#All],[Quintuplé Année-Mois-Producteur-Type lait_Traitement thermique]],0),MATCH(Tableau47[[#Headers],[Classe BU]],Tableau47[#Headers],0)),"")</f>
        <v/>
      </c>
      <c r="F43" s="120" t="str">
        <f>IFERROR(INDEX(Tableau47[#All],MATCH(Tableau121415[[#This Row],[quinte]],Tableau47[[#All],[Quintuplé Année-Mois-Producteur-Type lait_Traitement thermique]],0),MATCH(Tableau47[[#Headers],[Classe CO]],Tableau47[#Headers],0)),"")</f>
        <v/>
      </c>
      <c r="G43" s="121" t="str">
        <f>IFERROR(INDEX(Tableau47[#All],MATCH(Tableau121415[[#This Row],[quinte]],Tableau47[[#All],[Quintuplé Année-Mois-Producteur-Type lait_Traitement thermique]],0),MATCH(Tableau47[[#Headers],[Prix au litre avant acompte modulé]],Tableau47[#Headers],0)),"")</f>
        <v/>
      </c>
      <c r="H43" s="121" t="str">
        <f>IFERROR(INDEX(Tableau47[#All],MATCH(Tableau121415[[#This Row],[quinte]],Tableau47[[#All],[Quintuplé Année-Mois-Producteur-Type lait_Traitement thermique]],0),MATCH(Tableau47[[#Headers],[Prix au litre après acompte modulé]],Tableau47[#Headers],0)),"")</f>
        <v/>
      </c>
      <c r="I43" s="122" t="str">
        <f>IFERROR(INDEX(Tableau47[#All],MATCH(Tableau121415[[#This Row],[quinte]],Tableau47[[#All],[Quintuplé Année-Mois-Producteur-Type lait_Traitement thermique]],0),MATCH(Tableau47[[#Headers],[Litrage]],Tableau47[#Headers],0)),"")</f>
        <v/>
      </c>
      <c r="J43" s="123" t="str">
        <f>IFERROR(INDEX(Tableau47[#All],MATCH(Tableau121415[[#This Row],[quinte]],Tableau47[[#All],[Quintuplé Année-Mois-Producteur-Type lait_Traitement thermique]],0),MATCH(Tableau47[[#Headers],[Montant pour acompte]],Tableau47[#Headers],0)),"")</f>
        <v/>
      </c>
      <c r="K43" s="123" t="str">
        <f>IFERROR(INDEX(Tableau47[#All],MATCH(Tableau121415[[#This Row],[quinte]],Tableau47[[#All],[Quintuplé Année-Mois-Producteur-Type lait_Traitement thermique]],0),MATCH(Tableau47[[#Headers],[Montant après acompte]],Tableau47[#Headers],0)),"")</f>
        <v/>
      </c>
      <c r="L43" s="55" t="str">
        <f>IF(Tableau121415[[#This Row],[Total]]="","",IF(Tableau121415[[#This Row],[Total après acompte]]="","",Tableau121415[[#This Row],[Total après acompte]]-Tableau121415[[#This Row],[Total]]))</f>
        <v/>
      </c>
      <c r="M43" s="71" t="str">
        <f>IF(OR(Tableau121415[[#This Row],[Mois]]="décembre",Tableau121415[[#This Row],[Mois]]="novembre"),LEFT(cSaison,4),RIGHT(cSaison,4))</f>
        <v>2018</v>
      </c>
      <c r="N43" s="71" t="str">
        <f>CONCATENATE(Tableau121415[[#This Row],[année]],"_",Tableau121415[[#This Row],[Mois]],"-",cProducteur,"/",$B$38,"+",$B$37)</f>
        <v>2018_janvier-ESSAI/Conventionnel+Thermisé</v>
      </c>
      <c r="P43" s="70"/>
    </row>
    <row r="44" spans="1:17" ht="17.25" hidden="1" x14ac:dyDescent="0.3">
      <c r="A44" s="119" t="s">
        <v>138</v>
      </c>
      <c r="B44" s="120" t="str">
        <f>IFERROR(INDEX(Tableau47[#All],MATCH(Tableau121415[[#This Row],[quinte]],Tableau47[[#All],[Quintuplé Année-Mois-Producteur-Type lait_Traitement thermique]],0),MATCH(Tableau47[[#Headers],[MG]],Tableau47[#Headers],0)),"")</f>
        <v/>
      </c>
      <c r="C44" s="120" t="str">
        <f>IFERROR(INDEX(Tableau47[#All],MATCH(Tableau121415[[#This Row],[quinte]],Tableau47[[#All],[Quintuplé Année-Mois-Producteur-Type lait_Traitement thermique]],0),MATCH(Tableau47[[#Headers],[MP]],Tableau47[#Headers],0)),"")</f>
        <v/>
      </c>
      <c r="D44" s="120" t="str">
        <f>IFERROR(INDEX(Tableau47[#All],MATCH(Tableau121415[[#This Row],[quinte]],Tableau47[[#All],[Quintuplé Année-Mois-Producteur-Type lait_Traitement thermique]],0),MATCH(Tableau47[[#Headers],[Classe CE]],Tableau47[#Headers],0)),"")</f>
        <v/>
      </c>
      <c r="E44" s="120" t="str">
        <f>IFERROR(INDEX(Tableau47[#All],MATCH(Tableau121415[[#This Row],[quinte]],Tableau47[[#All],[Quintuplé Année-Mois-Producteur-Type lait_Traitement thermique]],0),MATCH(Tableau47[[#Headers],[Classe BU]],Tableau47[#Headers],0)),"")</f>
        <v/>
      </c>
      <c r="F44" s="120" t="str">
        <f>IFERROR(INDEX(Tableau47[#All],MATCH(Tableau121415[[#This Row],[quinte]],Tableau47[[#All],[Quintuplé Année-Mois-Producteur-Type lait_Traitement thermique]],0),MATCH(Tableau47[[#Headers],[Classe CO]],Tableau47[#Headers],0)),"")</f>
        <v/>
      </c>
      <c r="G44" s="121" t="str">
        <f>IFERROR(INDEX(Tableau47[#All],MATCH(Tableau121415[[#This Row],[quinte]],Tableau47[[#All],[Quintuplé Année-Mois-Producteur-Type lait_Traitement thermique]],0),MATCH(Tableau47[[#Headers],[Prix au litre avant acompte modulé]],Tableau47[#Headers],0)),"")</f>
        <v/>
      </c>
      <c r="H44" s="121" t="str">
        <f>IFERROR(INDEX(Tableau47[#All],MATCH(Tableau121415[[#This Row],[quinte]],Tableau47[[#All],[Quintuplé Année-Mois-Producteur-Type lait_Traitement thermique]],0),MATCH(Tableau47[[#Headers],[Prix au litre après acompte modulé]],Tableau47[#Headers],0)),"")</f>
        <v/>
      </c>
      <c r="I44" s="122" t="str">
        <f>IFERROR(INDEX(Tableau47[#All],MATCH(Tableau121415[[#This Row],[quinte]],Tableau47[[#All],[Quintuplé Année-Mois-Producteur-Type lait_Traitement thermique]],0),MATCH(Tableau47[[#Headers],[Litrage]],Tableau47[#Headers],0)),"")</f>
        <v/>
      </c>
      <c r="J44" s="123" t="str">
        <f>IFERROR(INDEX(Tableau47[#All],MATCH(Tableau121415[[#This Row],[quinte]],Tableau47[[#All],[Quintuplé Année-Mois-Producteur-Type lait_Traitement thermique]],0),MATCH(Tableau47[[#Headers],[Montant pour acompte]],Tableau47[#Headers],0)),"")</f>
        <v/>
      </c>
      <c r="K44" s="123" t="str">
        <f>IFERROR(INDEX(Tableau47[#All],MATCH(Tableau121415[[#This Row],[quinte]],Tableau47[[#All],[Quintuplé Année-Mois-Producteur-Type lait_Traitement thermique]],0),MATCH(Tableau47[[#Headers],[Montant après acompte]],Tableau47[#Headers],0)),"")</f>
        <v/>
      </c>
      <c r="L44" s="55" t="str">
        <f>IF(Tableau121415[[#This Row],[Total]]="","",IF(Tableau121415[[#This Row],[Total après acompte]]="","",Tableau121415[[#This Row],[Total après acompte]]-Tableau121415[[#This Row],[Total]]))</f>
        <v/>
      </c>
      <c r="M44" s="71" t="str">
        <f>IF(OR(Tableau121415[[#This Row],[Mois]]="décembre",Tableau121415[[#This Row],[Mois]]="novembre"),LEFT(cSaison,4),RIGHT(cSaison,4))</f>
        <v>2018</v>
      </c>
      <c r="N44" s="71" t="str">
        <f>CONCATENATE(Tableau121415[[#This Row],[année]],"_",Tableau121415[[#This Row],[Mois]],"-",cProducteur,"/",$B$38,"+",$B$37)</f>
        <v>2018_février-ESSAI/Conventionnel+Thermisé</v>
      </c>
      <c r="P44" s="70"/>
    </row>
    <row r="45" spans="1:17" ht="17.25" hidden="1" x14ac:dyDescent="0.3">
      <c r="A45" s="119" t="s">
        <v>139</v>
      </c>
      <c r="B45" s="120" t="str">
        <f>IFERROR(INDEX(Tableau47[#All],MATCH(Tableau121415[[#This Row],[quinte]],Tableau47[[#All],[Quintuplé Année-Mois-Producteur-Type lait_Traitement thermique]],0),MATCH(Tableau47[[#Headers],[MG]],Tableau47[#Headers],0)),"")</f>
        <v/>
      </c>
      <c r="C45" s="120" t="str">
        <f>IFERROR(INDEX(Tableau47[#All],MATCH(Tableau121415[[#This Row],[quinte]],Tableau47[[#All],[Quintuplé Année-Mois-Producteur-Type lait_Traitement thermique]],0),MATCH(Tableau47[[#Headers],[MP]],Tableau47[#Headers],0)),"")</f>
        <v/>
      </c>
      <c r="D45" s="120" t="str">
        <f>IFERROR(INDEX(Tableau47[#All],MATCH(Tableau121415[[#This Row],[quinte]],Tableau47[[#All],[Quintuplé Année-Mois-Producteur-Type lait_Traitement thermique]],0),MATCH(Tableau47[[#Headers],[Classe CE]],Tableau47[#Headers],0)),"")</f>
        <v/>
      </c>
      <c r="E45" s="120" t="str">
        <f>IFERROR(INDEX(Tableau47[#All],MATCH(Tableau121415[[#This Row],[quinte]],Tableau47[[#All],[Quintuplé Année-Mois-Producteur-Type lait_Traitement thermique]],0),MATCH(Tableau47[[#Headers],[Classe BU]],Tableau47[#Headers],0)),"")</f>
        <v/>
      </c>
      <c r="F45" s="120" t="str">
        <f>IFERROR(INDEX(Tableau47[#All],MATCH(Tableau121415[[#This Row],[quinte]],Tableau47[[#All],[Quintuplé Année-Mois-Producteur-Type lait_Traitement thermique]],0),MATCH(Tableau47[[#Headers],[Classe CO]],Tableau47[#Headers],0)),"")</f>
        <v/>
      </c>
      <c r="G45" s="121" t="str">
        <f>IFERROR(INDEX(Tableau47[#All],MATCH(Tableau121415[[#This Row],[quinte]],Tableau47[[#All],[Quintuplé Année-Mois-Producteur-Type lait_Traitement thermique]],0),MATCH(Tableau47[[#Headers],[Prix au litre avant acompte modulé]],Tableau47[#Headers],0)),"")</f>
        <v/>
      </c>
      <c r="H45" s="121" t="str">
        <f>IFERROR(INDEX(Tableau47[#All],MATCH(Tableau121415[[#This Row],[quinte]],Tableau47[[#All],[Quintuplé Année-Mois-Producteur-Type lait_Traitement thermique]],0),MATCH(Tableau47[[#Headers],[Prix au litre après acompte modulé]],Tableau47[#Headers],0)),"")</f>
        <v/>
      </c>
      <c r="I45" s="122" t="str">
        <f>IFERROR(INDEX(Tableau47[#All],MATCH(Tableau121415[[#This Row],[quinte]],Tableau47[[#All],[Quintuplé Année-Mois-Producteur-Type lait_Traitement thermique]],0),MATCH(Tableau47[[#Headers],[Litrage]],Tableau47[#Headers],0)),"")</f>
        <v/>
      </c>
      <c r="J45" s="123" t="str">
        <f>IFERROR(INDEX(Tableau47[#All],MATCH(Tableau121415[[#This Row],[quinte]],Tableau47[[#All],[Quintuplé Année-Mois-Producteur-Type lait_Traitement thermique]],0),MATCH(Tableau47[[#Headers],[Montant pour acompte]],Tableau47[#Headers],0)),"")</f>
        <v/>
      </c>
      <c r="K45" s="123" t="str">
        <f>IFERROR(INDEX(Tableau47[#All],MATCH(Tableau121415[[#This Row],[quinte]],Tableau47[[#All],[Quintuplé Année-Mois-Producteur-Type lait_Traitement thermique]],0),MATCH(Tableau47[[#Headers],[Montant après acompte]],Tableau47[#Headers],0)),"")</f>
        <v/>
      </c>
      <c r="L45" s="55" t="str">
        <f>IF(Tableau121415[[#This Row],[Total]]="","",IF(Tableau121415[[#This Row],[Total après acompte]]="","",Tableau121415[[#This Row],[Total après acompte]]-Tableau121415[[#This Row],[Total]]))</f>
        <v/>
      </c>
      <c r="M45" s="71" t="str">
        <f>IF(OR(Tableau121415[[#This Row],[Mois]]="décembre",Tableau121415[[#This Row],[Mois]]="novembre"),LEFT(cSaison,4),RIGHT(cSaison,4))</f>
        <v>2018</v>
      </c>
      <c r="N45" s="71" t="str">
        <f>CONCATENATE(Tableau121415[[#This Row],[année]],"_",Tableau121415[[#This Row],[Mois]],"-",cProducteur,"/",$B$38,"+",$B$37)</f>
        <v>2018_mars-ESSAI/Conventionnel+Thermisé</v>
      </c>
      <c r="P45" s="70"/>
    </row>
    <row r="46" spans="1:17" ht="17.25" hidden="1" x14ac:dyDescent="0.3">
      <c r="A46" s="119" t="s">
        <v>89</v>
      </c>
      <c r="B46" s="120" t="str">
        <f>IFERROR(INDEX(Tableau47[#All],MATCH(Tableau121415[[#This Row],[quinte]],Tableau47[[#All],[Quintuplé Année-Mois-Producteur-Type lait_Traitement thermique]],0),MATCH(Tableau47[[#Headers],[MG]],Tableau47[#Headers],0)),"")</f>
        <v/>
      </c>
      <c r="C46" s="120" t="str">
        <f>IFERROR(INDEX(Tableau47[#All],MATCH(Tableau121415[[#This Row],[quinte]],Tableau47[[#All],[Quintuplé Année-Mois-Producteur-Type lait_Traitement thermique]],0),MATCH(Tableau47[[#Headers],[MP]],Tableau47[#Headers],0)),"")</f>
        <v/>
      </c>
      <c r="D46" s="120" t="str">
        <f>IFERROR(INDEX(Tableau47[#All],MATCH(Tableau121415[[#This Row],[quinte]],Tableau47[[#All],[Quintuplé Année-Mois-Producteur-Type lait_Traitement thermique]],0),MATCH(Tableau47[[#Headers],[Classe CE]],Tableau47[#Headers],0)),"")</f>
        <v/>
      </c>
      <c r="E46" s="120" t="str">
        <f>IFERROR(INDEX(Tableau47[#All],MATCH(Tableau121415[[#This Row],[quinte]],Tableau47[[#All],[Quintuplé Année-Mois-Producteur-Type lait_Traitement thermique]],0),MATCH(Tableau47[[#Headers],[Classe BU]],Tableau47[#Headers],0)),"")</f>
        <v/>
      </c>
      <c r="F46" s="120" t="str">
        <f>IFERROR(INDEX(Tableau47[#All],MATCH(Tableau121415[[#This Row],[quinte]],Tableau47[[#All],[Quintuplé Année-Mois-Producteur-Type lait_Traitement thermique]],0),MATCH(Tableau47[[#Headers],[Classe CO]],Tableau47[#Headers],0)),"")</f>
        <v/>
      </c>
      <c r="G46" s="121" t="str">
        <f>IFERROR(INDEX(Tableau47[#All],MATCH(Tableau121415[[#This Row],[quinte]],Tableau47[[#All],[Quintuplé Année-Mois-Producteur-Type lait_Traitement thermique]],0),MATCH(Tableau47[[#Headers],[Prix au litre avant acompte modulé]],Tableau47[#Headers],0)),"")</f>
        <v/>
      </c>
      <c r="H46" s="121" t="str">
        <f>IFERROR(INDEX(Tableau47[#All],MATCH(Tableau121415[[#This Row],[quinte]],Tableau47[[#All],[Quintuplé Année-Mois-Producteur-Type lait_Traitement thermique]],0),MATCH(Tableau47[[#Headers],[Prix au litre après acompte modulé]],Tableau47[#Headers],0)),"")</f>
        <v/>
      </c>
      <c r="I46" s="122" t="str">
        <f>IFERROR(INDEX(Tableau47[#All],MATCH(Tableau121415[[#This Row],[quinte]],Tableau47[[#All],[Quintuplé Année-Mois-Producteur-Type lait_Traitement thermique]],0),MATCH(Tableau47[[#Headers],[Litrage]],Tableau47[#Headers],0)),"")</f>
        <v/>
      </c>
      <c r="J46" s="123" t="str">
        <f>IFERROR(INDEX(Tableau47[#All],MATCH(Tableau121415[[#This Row],[quinte]],Tableau47[[#All],[Quintuplé Année-Mois-Producteur-Type lait_Traitement thermique]],0),MATCH(Tableau47[[#Headers],[Montant pour acompte]],Tableau47[#Headers],0)),"")</f>
        <v/>
      </c>
      <c r="K46" s="123" t="str">
        <f>IFERROR(INDEX(Tableau47[#All],MATCH(Tableau121415[[#This Row],[quinte]],Tableau47[[#All],[Quintuplé Année-Mois-Producteur-Type lait_Traitement thermique]],0),MATCH(Tableau47[[#Headers],[Montant après acompte]],Tableau47[#Headers],0)),"")</f>
        <v/>
      </c>
      <c r="L46" s="55" t="str">
        <f>IF(Tableau121415[[#This Row],[Total]]="","",IF(Tableau121415[[#This Row],[Total après acompte]]="","",Tableau121415[[#This Row],[Total après acompte]]-Tableau121415[[#This Row],[Total]]))</f>
        <v/>
      </c>
      <c r="M46" s="71" t="str">
        <f>IF(OR(Tableau121415[[#This Row],[Mois]]="décembre",Tableau121415[[#This Row],[Mois]]="novembre"),LEFT(cSaison,4),RIGHT(cSaison,4))</f>
        <v>2018</v>
      </c>
      <c r="N46" s="71" t="str">
        <f>CONCATENATE(Tableau121415[[#This Row],[année]],"_",Tableau121415[[#This Row],[Mois]],"-",cProducteur,"/",$B$38,"+",$B$37)</f>
        <v>2018_avril-ESSAI/Conventionnel+Thermisé</v>
      </c>
      <c r="P46" s="70"/>
    </row>
    <row r="47" spans="1:17" ht="17.25" hidden="1" x14ac:dyDescent="0.3">
      <c r="A47" s="119" t="s">
        <v>140</v>
      </c>
      <c r="B47" s="120" t="str">
        <f>IFERROR(INDEX(Tableau47[#All],MATCH(Tableau121415[[#This Row],[quinte]],Tableau47[[#All],[Quintuplé Année-Mois-Producteur-Type lait_Traitement thermique]],0),MATCH(Tableau47[[#Headers],[MG]],Tableau47[#Headers],0)),"")</f>
        <v/>
      </c>
      <c r="C47" s="120" t="str">
        <f>IFERROR(INDEX(Tableau47[#All],MATCH(Tableau121415[[#This Row],[quinte]],Tableau47[[#All],[Quintuplé Année-Mois-Producteur-Type lait_Traitement thermique]],0),MATCH(Tableau47[[#Headers],[MP]],Tableau47[#Headers],0)),"")</f>
        <v/>
      </c>
      <c r="D47" s="120" t="str">
        <f>IFERROR(INDEX(Tableau47[#All],MATCH(Tableau121415[[#This Row],[quinte]],Tableau47[[#All],[Quintuplé Année-Mois-Producteur-Type lait_Traitement thermique]],0),MATCH(Tableau47[[#Headers],[Classe CE]],Tableau47[#Headers],0)),"")</f>
        <v/>
      </c>
      <c r="E47" s="120" t="str">
        <f>IFERROR(INDEX(Tableau47[#All],MATCH(Tableau121415[[#This Row],[quinte]],Tableau47[[#All],[Quintuplé Année-Mois-Producteur-Type lait_Traitement thermique]],0),MATCH(Tableau47[[#Headers],[Classe BU]],Tableau47[#Headers],0)),"")</f>
        <v/>
      </c>
      <c r="F47" s="120" t="str">
        <f>IFERROR(INDEX(Tableau47[#All],MATCH(Tableau121415[[#This Row],[quinte]],Tableau47[[#All],[Quintuplé Année-Mois-Producteur-Type lait_Traitement thermique]],0),MATCH(Tableau47[[#Headers],[Classe CO]],Tableau47[#Headers],0)),"")</f>
        <v/>
      </c>
      <c r="G47" s="121" t="str">
        <f>IFERROR(INDEX(Tableau47[#All],MATCH(Tableau121415[[#This Row],[quinte]],Tableau47[[#All],[Quintuplé Année-Mois-Producteur-Type lait_Traitement thermique]],0),MATCH(Tableau47[[#Headers],[Prix au litre avant acompte modulé]],Tableau47[#Headers],0)),"")</f>
        <v/>
      </c>
      <c r="H47" s="121" t="str">
        <f>IFERROR(INDEX(Tableau47[#All],MATCH(Tableau121415[[#This Row],[quinte]],Tableau47[[#All],[Quintuplé Année-Mois-Producteur-Type lait_Traitement thermique]],0),MATCH(Tableau47[[#Headers],[Prix au litre après acompte modulé]],Tableau47[#Headers],0)),"")</f>
        <v/>
      </c>
      <c r="I47" s="122" t="str">
        <f>IFERROR(INDEX(Tableau47[#All],MATCH(Tableau121415[[#This Row],[quinte]],Tableau47[[#All],[Quintuplé Année-Mois-Producteur-Type lait_Traitement thermique]],0),MATCH(Tableau47[[#Headers],[Litrage]],Tableau47[#Headers],0)),"")</f>
        <v/>
      </c>
      <c r="J47" s="123" t="str">
        <f>IFERROR(INDEX(Tableau47[#All],MATCH(Tableau121415[[#This Row],[quinte]],Tableau47[[#All],[Quintuplé Année-Mois-Producteur-Type lait_Traitement thermique]],0),MATCH(Tableau47[[#Headers],[Montant pour acompte]],Tableau47[#Headers],0)),"")</f>
        <v/>
      </c>
      <c r="K47" s="123" t="str">
        <f>IFERROR(INDEX(Tableau47[#All],MATCH(Tableau121415[[#This Row],[quinte]],Tableau47[[#All],[Quintuplé Année-Mois-Producteur-Type lait_Traitement thermique]],0),MATCH(Tableau47[[#Headers],[Montant après acompte]],Tableau47[#Headers],0)),"")</f>
        <v/>
      </c>
      <c r="L47" s="55" t="str">
        <f>IF(Tableau121415[[#This Row],[Total]]="","",IF(Tableau121415[[#This Row],[Total après acompte]]="","",Tableau121415[[#This Row],[Total après acompte]]-Tableau121415[[#This Row],[Total]]))</f>
        <v/>
      </c>
      <c r="M47" s="71" t="str">
        <f>IF(OR(Tableau121415[[#This Row],[Mois]]="décembre",Tableau121415[[#This Row],[Mois]]="novembre"),LEFT(cSaison,4),RIGHT(cSaison,4))</f>
        <v>2018</v>
      </c>
      <c r="N47" s="71" t="str">
        <f>CONCATENATE(Tableau121415[[#This Row],[année]],"_",Tableau121415[[#This Row],[Mois]],"-",cProducteur,"/",$B$38,"+",$B$37)</f>
        <v>2018_mai-ESSAI/Conventionnel+Thermisé</v>
      </c>
      <c r="P47" s="70"/>
    </row>
    <row r="48" spans="1:17" ht="17.25" hidden="1" x14ac:dyDescent="0.3">
      <c r="A48" s="119" t="s">
        <v>141</v>
      </c>
      <c r="B48" s="120" t="str">
        <f>IFERROR(INDEX(Tableau47[#All],MATCH(Tableau121415[[#This Row],[quinte]],Tableau47[[#All],[Quintuplé Année-Mois-Producteur-Type lait_Traitement thermique]],0),MATCH(Tableau47[[#Headers],[MG]],Tableau47[#Headers],0)),"")</f>
        <v/>
      </c>
      <c r="C48" s="120" t="str">
        <f>IFERROR(INDEX(Tableau47[#All],MATCH(Tableau121415[[#This Row],[quinte]],Tableau47[[#All],[Quintuplé Année-Mois-Producteur-Type lait_Traitement thermique]],0),MATCH(Tableau47[[#Headers],[MP]],Tableau47[#Headers],0)),"")</f>
        <v/>
      </c>
      <c r="D48" s="120" t="str">
        <f>IFERROR(INDEX(Tableau47[#All],MATCH(Tableau121415[[#This Row],[quinte]],Tableau47[[#All],[Quintuplé Année-Mois-Producteur-Type lait_Traitement thermique]],0),MATCH(Tableau47[[#Headers],[Classe CE]],Tableau47[#Headers],0)),"")</f>
        <v/>
      </c>
      <c r="E48" s="120" t="str">
        <f>IFERROR(INDEX(Tableau47[#All],MATCH(Tableau121415[[#This Row],[quinte]],Tableau47[[#All],[Quintuplé Année-Mois-Producteur-Type lait_Traitement thermique]],0),MATCH(Tableau47[[#Headers],[Classe BU]],Tableau47[#Headers],0)),"")</f>
        <v/>
      </c>
      <c r="F48" s="120" t="str">
        <f>IFERROR(INDEX(Tableau47[#All],MATCH(Tableau121415[[#This Row],[quinte]],Tableau47[[#All],[Quintuplé Année-Mois-Producteur-Type lait_Traitement thermique]],0),MATCH(Tableau47[[#Headers],[Classe CO]],Tableau47[#Headers],0)),"")</f>
        <v/>
      </c>
      <c r="G48" s="121" t="str">
        <f>IFERROR(INDEX(Tableau47[#All],MATCH(Tableau121415[[#This Row],[quinte]],Tableau47[[#All],[Quintuplé Année-Mois-Producteur-Type lait_Traitement thermique]],0),MATCH(Tableau47[[#Headers],[Prix au litre avant acompte modulé]],Tableau47[#Headers],0)),"")</f>
        <v/>
      </c>
      <c r="H48" s="121" t="str">
        <f>IFERROR(INDEX(Tableau47[#All],MATCH(Tableau121415[[#This Row],[quinte]],Tableau47[[#All],[Quintuplé Année-Mois-Producteur-Type lait_Traitement thermique]],0),MATCH(Tableau47[[#Headers],[Prix au litre après acompte modulé]],Tableau47[#Headers],0)),"")</f>
        <v/>
      </c>
      <c r="I48" s="122" t="str">
        <f>IFERROR(INDEX(Tableau47[#All],MATCH(Tableau121415[[#This Row],[quinte]],Tableau47[[#All],[Quintuplé Année-Mois-Producteur-Type lait_Traitement thermique]],0),MATCH(Tableau47[[#Headers],[Litrage]],Tableau47[#Headers],0)),"")</f>
        <v/>
      </c>
      <c r="J48" s="123" t="str">
        <f>IFERROR(INDEX(Tableau47[#All],MATCH(Tableau121415[[#This Row],[quinte]],Tableau47[[#All],[Quintuplé Année-Mois-Producteur-Type lait_Traitement thermique]],0),MATCH(Tableau47[[#Headers],[Montant pour acompte]],Tableau47[#Headers],0)),"")</f>
        <v/>
      </c>
      <c r="K48" s="123" t="str">
        <f>IFERROR(INDEX(Tableau47[#All],MATCH(Tableau121415[[#This Row],[quinte]],Tableau47[[#All],[Quintuplé Année-Mois-Producteur-Type lait_Traitement thermique]],0),MATCH(Tableau47[[#Headers],[Montant après acompte]],Tableau47[#Headers],0)),"")</f>
        <v/>
      </c>
      <c r="L48" s="55" t="str">
        <f>IF(Tableau121415[[#This Row],[Total]]="","",IF(Tableau121415[[#This Row],[Total après acompte]]="","",Tableau121415[[#This Row],[Total après acompte]]-Tableau121415[[#This Row],[Total]]))</f>
        <v/>
      </c>
      <c r="M48" s="71" t="str">
        <f>IF(OR(Tableau121415[[#This Row],[Mois]]="décembre",Tableau121415[[#This Row],[Mois]]="novembre"),LEFT(cSaison,4),RIGHT(cSaison,4))</f>
        <v>2018</v>
      </c>
      <c r="N48" s="71" t="str">
        <f>CONCATENATE(Tableau121415[[#This Row],[année]],"_",Tableau121415[[#This Row],[Mois]],"-",cProducteur,"/",$B$38,"+",$B$37)</f>
        <v>2018_juin-ESSAI/Conventionnel+Thermisé</v>
      </c>
      <c r="P48" s="70"/>
    </row>
    <row r="49" spans="1:16" ht="17.25" hidden="1" x14ac:dyDescent="0.3">
      <c r="A49" s="119" t="s">
        <v>142</v>
      </c>
      <c r="B49" s="120" t="str">
        <f>IFERROR(INDEX(Tableau47[#All],MATCH(Tableau121415[[#This Row],[quinte]],Tableau47[[#All],[Quintuplé Année-Mois-Producteur-Type lait_Traitement thermique]],0),MATCH(Tableau47[[#Headers],[MG]],Tableau47[#Headers],0)),"")</f>
        <v/>
      </c>
      <c r="C49" s="120" t="str">
        <f>IFERROR(INDEX(Tableau47[#All],MATCH(Tableau121415[[#This Row],[quinte]],Tableau47[[#All],[Quintuplé Année-Mois-Producteur-Type lait_Traitement thermique]],0),MATCH(Tableau47[[#Headers],[MP]],Tableau47[#Headers],0)),"")</f>
        <v/>
      </c>
      <c r="D49" s="120" t="str">
        <f>IFERROR(INDEX(Tableau47[#All],MATCH(Tableau121415[[#This Row],[quinte]],Tableau47[[#All],[Quintuplé Année-Mois-Producteur-Type lait_Traitement thermique]],0),MATCH(Tableau47[[#Headers],[Classe CE]],Tableau47[#Headers],0)),"")</f>
        <v/>
      </c>
      <c r="E49" s="120" t="str">
        <f>IFERROR(INDEX(Tableau47[#All],MATCH(Tableau121415[[#This Row],[quinte]],Tableau47[[#All],[Quintuplé Année-Mois-Producteur-Type lait_Traitement thermique]],0),MATCH(Tableau47[[#Headers],[Classe BU]],Tableau47[#Headers],0)),"")</f>
        <v/>
      </c>
      <c r="F49" s="120" t="str">
        <f>IFERROR(INDEX(Tableau47[#All],MATCH(Tableau121415[[#This Row],[quinte]],Tableau47[[#All],[Quintuplé Année-Mois-Producteur-Type lait_Traitement thermique]],0),MATCH(Tableau47[[#Headers],[Classe CO]],Tableau47[#Headers],0)),"")</f>
        <v/>
      </c>
      <c r="G49" s="121" t="str">
        <f>IFERROR(INDEX(Tableau47[#All],MATCH(Tableau121415[[#This Row],[quinte]],Tableau47[[#All],[Quintuplé Année-Mois-Producteur-Type lait_Traitement thermique]],0),MATCH(Tableau47[[#Headers],[Prix au litre avant acompte modulé]],Tableau47[#Headers],0)),"")</f>
        <v/>
      </c>
      <c r="H49" s="121" t="str">
        <f>IFERROR(INDEX(Tableau47[#All],MATCH(Tableau121415[[#This Row],[quinte]],Tableau47[[#All],[Quintuplé Année-Mois-Producteur-Type lait_Traitement thermique]],0),MATCH(Tableau47[[#Headers],[Prix au litre après acompte modulé]],Tableau47[#Headers],0)),"")</f>
        <v/>
      </c>
      <c r="I49" s="122" t="str">
        <f>IFERROR(INDEX(Tableau47[#All],MATCH(Tableau121415[[#This Row],[quinte]],Tableau47[[#All],[Quintuplé Année-Mois-Producteur-Type lait_Traitement thermique]],0),MATCH(Tableau47[[#Headers],[Litrage]],Tableau47[#Headers],0)),"")</f>
        <v/>
      </c>
      <c r="J49" s="123" t="str">
        <f>IFERROR(INDEX(Tableau47[#All],MATCH(Tableau121415[[#This Row],[quinte]],Tableau47[[#All],[Quintuplé Année-Mois-Producteur-Type lait_Traitement thermique]],0),MATCH(Tableau47[[#Headers],[Montant pour acompte]],Tableau47[#Headers],0)),"")</f>
        <v/>
      </c>
      <c r="K49" s="123" t="str">
        <f>IFERROR(INDEX(Tableau47[#All],MATCH(Tableau121415[[#This Row],[quinte]],Tableau47[[#All],[Quintuplé Année-Mois-Producteur-Type lait_Traitement thermique]],0),MATCH(Tableau47[[#Headers],[Montant après acompte]],Tableau47[#Headers],0)),"")</f>
        <v/>
      </c>
      <c r="L49" s="55" t="str">
        <f>IF(Tableau121415[[#This Row],[Total]]="","",IF(Tableau121415[[#This Row],[Total après acompte]]="","",Tableau121415[[#This Row],[Total après acompte]]-Tableau121415[[#This Row],[Total]]))</f>
        <v/>
      </c>
      <c r="M49" s="71" t="str">
        <f>IF(OR(Tableau121415[[#This Row],[Mois]]="décembre",Tableau121415[[#This Row],[Mois]]="novembre"),LEFT(cSaison,4),RIGHT(cSaison,4))</f>
        <v>2018</v>
      </c>
      <c r="N49" s="71" t="str">
        <f>CONCATENATE(Tableau121415[[#This Row],[année]],"_",Tableau121415[[#This Row],[Mois]],"-",cProducteur,"/",$B$38,"+",$B$37)</f>
        <v>2018_juillet-ESSAI/Conventionnel+Thermisé</v>
      </c>
      <c r="P49" s="70"/>
    </row>
    <row r="50" spans="1:16" ht="17.25" hidden="1" x14ac:dyDescent="0.3">
      <c r="A50" s="119" t="s">
        <v>143</v>
      </c>
      <c r="B50" s="120" t="str">
        <f>IFERROR(INDEX(Tableau47[#All],MATCH(Tableau121415[[#This Row],[quinte]],Tableau47[[#All],[Quintuplé Année-Mois-Producteur-Type lait_Traitement thermique]],0),MATCH(Tableau47[[#Headers],[MG]],Tableau47[#Headers],0)),"")</f>
        <v/>
      </c>
      <c r="C50" s="120" t="str">
        <f>IFERROR(INDEX(Tableau47[#All],MATCH(Tableau121415[[#This Row],[quinte]],Tableau47[[#All],[Quintuplé Année-Mois-Producteur-Type lait_Traitement thermique]],0),MATCH(Tableau47[[#Headers],[MP]],Tableau47[#Headers],0)),"")</f>
        <v/>
      </c>
      <c r="D50" s="120" t="str">
        <f>IFERROR(INDEX(Tableau47[#All],MATCH(Tableau121415[[#This Row],[quinte]],Tableau47[[#All],[Quintuplé Année-Mois-Producteur-Type lait_Traitement thermique]],0),MATCH(Tableau47[[#Headers],[Classe CE]],Tableau47[#Headers],0)),"")</f>
        <v/>
      </c>
      <c r="E50" s="120" t="str">
        <f>IFERROR(INDEX(Tableau47[#All],MATCH(Tableau121415[[#This Row],[quinte]],Tableau47[[#All],[Quintuplé Année-Mois-Producteur-Type lait_Traitement thermique]],0),MATCH(Tableau47[[#Headers],[Classe BU]],Tableau47[#Headers],0)),"")</f>
        <v/>
      </c>
      <c r="F50" s="120" t="str">
        <f>IFERROR(INDEX(Tableau47[#All],MATCH(Tableau121415[[#This Row],[quinte]],Tableau47[[#All],[Quintuplé Année-Mois-Producteur-Type lait_Traitement thermique]],0),MATCH(Tableau47[[#Headers],[Classe CO]],Tableau47[#Headers],0)),"")</f>
        <v/>
      </c>
      <c r="G50" s="121" t="str">
        <f>IFERROR(INDEX(Tableau47[#All],MATCH(Tableau121415[[#This Row],[quinte]],Tableau47[[#All],[Quintuplé Année-Mois-Producteur-Type lait_Traitement thermique]],0),MATCH(Tableau47[[#Headers],[Prix au litre avant acompte modulé]],Tableau47[#Headers],0)),"")</f>
        <v/>
      </c>
      <c r="H50" s="121" t="str">
        <f>IFERROR(INDEX(Tableau47[#All],MATCH(Tableau121415[[#This Row],[quinte]],Tableau47[[#All],[Quintuplé Année-Mois-Producteur-Type lait_Traitement thermique]],0),MATCH(Tableau47[[#Headers],[Prix au litre après acompte modulé]],Tableau47[#Headers],0)),"")</f>
        <v/>
      </c>
      <c r="I50" s="122" t="str">
        <f>IFERROR(INDEX(Tableau47[#All],MATCH(Tableau121415[[#This Row],[quinte]],Tableau47[[#All],[Quintuplé Année-Mois-Producteur-Type lait_Traitement thermique]],0),MATCH(Tableau47[[#Headers],[Litrage]],Tableau47[#Headers],0)),"")</f>
        <v/>
      </c>
      <c r="J50" s="123" t="str">
        <f>IFERROR(INDEX(Tableau47[#All],MATCH(Tableau121415[[#This Row],[quinte]],Tableau47[[#All],[Quintuplé Année-Mois-Producteur-Type lait_Traitement thermique]],0),MATCH(Tableau47[[#Headers],[Montant pour acompte]],Tableau47[#Headers],0)),"")</f>
        <v/>
      </c>
      <c r="K50" s="123" t="str">
        <f>IFERROR(INDEX(Tableau47[#All],MATCH(Tableau121415[[#This Row],[quinte]],Tableau47[[#All],[Quintuplé Année-Mois-Producteur-Type lait_Traitement thermique]],0),MATCH(Tableau47[[#Headers],[Montant après acompte]],Tableau47[#Headers],0)),"")</f>
        <v/>
      </c>
      <c r="L50" s="55" t="str">
        <f>IF(Tableau121415[[#This Row],[Total]]="","",IF(Tableau121415[[#This Row],[Total après acompte]]="","",Tableau121415[[#This Row],[Total après acompte]]-Tableau121415[[#This Row],[Total]]))</f>
        <v/>
      </c>
      <c r="M50" s="71" t="str">
        <f>IF(OR(Tableau121415[[#This Row],[Mois]]="décembre",Tableau121415[[#This Row],[Mois]]="novembre"),LEFT(cSaison,4),RIGHT(cSaison,4))</f>
        <v>2018</v>
      </c>
      <c r="N50" s="71" t="str">
        <f>CONCATENATE(Tableau121415[[#This Row],[année]],"_",Tableau121415[[#This Row],[Mois]],"-",cProducteur,"/",$B$38,"+",$B$37)</f>
        <v>2018_août-ESSAI/Conventionnel+Thermisé</v>
      </c>
      <c r="P50" s="70"/>
    </row>
    <row r="51" spans="1:16" ht="17.25" hidden="1" x14ac:dyDescent="0.3">
      <c r="A51" s="122"/>
      <c r="B51" s="122"/>
      <c r="C51" s="122"/>
      <c r="D51" s="122"/>
      <c r="E51" s="122"/>
      <c r="F51" s="122"/>
      <c r="G51" s="122"/>
      <c r="H51" s="122"/>
      <c r="I51" s="122" t="s">
        <v>157</v>
      </c>
      <c r="J51" s="123">
        <f>SUBTOTAL(109,Tableau121415[Total])</f>
        <v>0</v>
      </c>
      <c r="K51" s="123"/>
      <c r="L51" s="81"/>
      <c r="M51" s="82"/>
      <c r="N51" s="82"/>
      <c r="P51" s="70"/>
    </row>
    <row r="52" spans="1:16" x14ac:dyDescent="0.3">
      <c r="C52" s="69"/>
      <c r="D52" s="69"/>
      <c r="E52" s="69"/>
      <c r="F52" s="68"/>
      <c r="G52" s="68"/>
      <c r="H52" s="68"/>
      <c r="I52" s="68"/>
      <c r="J52" s="68"/>
      <c r="K52" s="68"/>
      <c r="L52" s="69"/>
      <c r="M52" s="69"/>
    </row>
    <row r="53" spans="1:16" x14ac:dyDescent="0.3">
      <c r="A53" s="69"/>
      <c r="B53" s="69"/>
      <c r="C53" s="69"/>
      <c r="D53" s="69"/>
      <c r="E53" s="69"/>
      <c r="F53" s="68"/>
      <c r="G53" s="68"/>
      <c r="H53" s="68"/>
      <c r="I53" s="68"/>
      <c r="J53" s="68"/>
      <c r="K53" s="68"/>
      <c r="L53" s="69"/>
      <c r="M53" s="10"/>
      <c r="N53" s="90" t="s">
        <v>172</v>
      </c>
    </row>
    <row r="54" spans="1:16" x14ac:dyDescent="0.3">
      <c r="A54" s="69"/>
      <c r="B54" s="69"/>
      <c r="C54" s="69"/>
      <c r="D54" s="69"/>
      <c r="E54" s="69"/>
      <c r="F54" s="68"/>
      <c r="G54" s="68"/>
      <c r="H54" s="68"/>
      <c r="I54" s="68"/>
      <c r="J54" s="68"/>
      <c r="K54" s="68"/>
      <c r="L54" s="69"/>
      <c r="M54" s="107">
        <v>3</v>
      </c>
      <c r="N54" s="108" t="str">
        <f ca="1">OFFSET('BDD AUTRES'!V2,cellule_pivot_tableaux,0,1,1)</f>
        <v>2017-2018</v>
      </c>
    </row>
    <row r="55" spans="1:16" x14ac:dyDescent="0.3">
      <c r="A55" s="69"/>
      <c r="B55" s="69"/>
      <c r="C55" s="69"/>
      <c r="D55" s="69"/>
      <c r="E55" s="69"/>
      <c r="F55" s="68"/>
      <c r="G55" s="68"/>
      <c r="H55" s="68"/>
      <c r="I55" s="68"/>
      <c r="J55" s="68"/>
      <c r="K55" s="68"/>
      <c r="L55" s="69"/>
      <c r="M55" s="10"/>
      <c r="N55" s="108" t="str">
        <f ca="1">OFFSET('BDD AUTRES'!V3,cellule_pivot_tableaux,0,1,1)</f>
        <v>2016-2017</v>
      </c>
    </row>
    <row r="56" spans="1:16" x14ac:dyDescent="0.3">
      <c r="A56" s="69"/>
      <c r="B56" s="69"/>
      <c r="C56" s="69"/>
      <c r="D56" s="69"/>
      <c r="E56" s="69"/>
      <c r="F56" s="68"/>
      <c r="G56" s="68"/>
      <c r="H56" s="68"/>
      <c r="I56" s="68"/>
      <c r="J56" s="68"/>
      <c r="K56" s="68"/>
      <c r="L56" s="69"/>
      <c r="M56" s="10"/>
      <c r="N56" s="108">
        <f ca="1">OFFSET('BDD AUTRES'!V4,cellule_pivot_tableaux,0,1,1)</f>
        <v>0</v>
      </c>
    </row>
    <row r="57" spans="1:16" x14ac:dyDescent="0.3">
      <c r="A57" s="69"/>
      <c r="B57" s="69"/>
      <c r="C57" s="69"/>
      <c r="D57" s="69"/>
      <c r="E57" s="69"/>
      <c r="F57" s="68"/>
      <c r="G57" s="68"/>
      <c r="H57" s="68"/>
      <c r="I57" s="68"/>
      <c r="J57" s="68"/>
      <c r="K57" s="68"/>
      <c r="L57" s="69"/>
      <c r="M57" s="69"/>
    </row>
    <row r="58" spans="1:16" x14ac:dyDescent="0.3">
      <c r="A58" s="69"/>
      <c r="B58" s="69"/>
      <c r="C58" s="69"/>
      <c r="D58" s="69"/>
      <c r="E58" s="69"/>
      <c r="F58" s="68"/>
      <c r="G58" s="68"/>
      <c r="H58" s="68"/>
      <c r="I58" s="68"/>
      <c r="J58" s="68"/>
      <c r="K58" s="68"/>
      <c r="L58" s="69"/>
      <c r="M58" s="69"/>
    </row>
    <row r="59" spans="1:16" x14ac:dyDescent="0.3">
      <c r="A59" s="69"/>
      <c r="B59" s="69"/>
      <c r="C59" s="69"/>
      <c r="D59" s="69"/>
      <c r="E59" s="69"/>
      <c r="F59" s="68"/>
      <c r="G59" s="68"/>
      <c r="H59" s="68"/>
      <c r="I59" s="68"/>
      <c r="J59" s="68"/>
      <c r="K59" s="68"/>
      <c r="L59" s="69"/>
      <c r="M59" s="69"/>
    </row>
    <row r="60" spans="1:16" x14ac:dyDescent="0.3">
      <c r="A60" s="69"/>
      <c r="B60" s="69"/>
      <c r="C60" s="69"/>
      <c r="D60" s="69"/>
      <c r="E60" s="69"/>
      <c r="F60" s="68"/>
      <c r="G60" s="68"/>
      <c r="H60" s="68"/>
      <c r="I60" s="68"/>
      <c r="J60" s="68"/>
      <c r="K60" s="68"/>
      <c r="L60" s="69"/>
      <c r="M60" s="69"/>
    </row>
    <row r="61" spans="1:16" x14ac:dyDescent="0.3">
      <c r="A61" s="69"/>
      <c r="B61" s="69"/>
      <c r="C61" s="69"/>
      <c r="D61" s="69"/>
      <c r="E61" s="69"/>
      <c r="F61" s="68"/>
      <c r="G61" s="68"/>
      <c r="H61" s="68"/>
      <c r="I61" s="68"/>
      <c r="J61" s="68"/>
      <c r="K61" s="68"/>
      <c r="L61" s="69"/>
      <c r="M61" s="69"/>
    </row>
    <row r="62" spans="1:16" x14ac:dyDescent="0.3">
      <c r="A62" s="69"/>
      <c r="B62" s="69"/>
      <c r="C62" s="69"/>
      <c r="D62" s="69"/>
      <c r="E62" s="69"/>
      <c r="F62" s="68"/>
      <c r="G62" s="68"/>
      <c r="H62" s="68"/>
      <c r="I62" s="68"/>
      <c r="J62" s="68"/>
      <c r="K62" s="68"/>
      <c r="L62" s="69"/>
      <c r="M62" s="69"/>
    </row>
    <row r="63" spans="1:16" x14ac:dyDescent="0.3">
      <c r="A63" s="69"/>
      <c r="B63" s="69"/>
      <c r="C63" s="69"/>
      <c r="D63" s="69"/>
      <c r="E63" s="69"/>
      <c r="F63" s="68"/>
      <c r="G63" s="68"/>
      <c r="H63" s="68"/>
      <c r="I63" s="68"/>
      <c r="J63" s="68"/>
      <c r="K63" s="68"/>
      <c r="L63" s="69"/>
      <c r="M63" s="69"/>
    </row>
    <row r="64" spans="1:16" x14ac:dyDescent="0.3">
      <c r="A64" s="69"/>
      <c r="B64" s="69"/>
      <c r="C64" s="69"/>
      <c r="D64" s="69"/>
      <c r="E64" s="69"/>
      <c r="F64" s="68"/>
      <c r="G64" s="68"/>
      <c r="H64" s="68"/>
      <c r="I64" s="68"/>
      <c r="J64" s="68"/>
      <c r="K64" s="68"/>
      <c r="L64" s="69"/>
      <c r="M64" s="69"/>
    </row>
    <row r="65" spans="1:14" x14ac:dyDescent="0.3">
      <c r="A65" s="69"/>
      <c r="B65" s="69"/>
      <c r="C65" s="69"/>
      <c r="D65" s="69"/>
      <c r="E65" s="69"/>
      <c r="F65" s="68"/>
      <c r="G65" s="68"/>
      <c r="H65" s="68"/>
      <c r="I65" s="68"/>
      <c r="J65" s="68"/>
      <c r="K65" s="68"/>
      <c r="L65" s="69"/>
      <c r="M65" s="69"/>
    </row>
    <row r="66" spans="1:14" x14ac:dyDescent="0.3">
      <c r="A66" s="69"/>
      <c r="B66" s="69"/>
      <c r="C66" s="69"/>
      <c r="D66" s="69"/>
      <c r="E66" s="69"/>
      <c r="F66" s="68"/>
      <c r="G66" s="68"/>
      <c r="H66" s="68"/>
      <c r="I66" s="68"/>
      <c r="J66" s="68"/>
      <c r="K66" s="68"/>
      <c r="L66" s="69"/>
      <c r="M66" s="69"/>
    </row>
    <row r="67" spans="1:14" x14ac:dyDescent="0.3">
      <c r="A67" s="69"/>
      <c r="B67" s="69"/>
      <c r="C67" s="69"/>
      <c r="D67" s="69"/>
      <c r="E67" s="69"/>
      <c r="F67" s="68"/>
      <c r="G67" s="68"/>
      <c r="H67" s="68"/>
      <c r="I67" s="68"/>
      <c r="J67" s="68"/>
      <c r="K67" s="68"/>
      <c r="L67" s="69"/>
      <c r="M67" s="69"/>
      <c r="N67" s="90" t="s">
        <v>174</v>
      </c>
    </row>
    <row r="68" spans="1:14" x14ac:dyDescent="0.3">
      <c r="A68" s="69"/>
      <c r="B68" s="69"/>
      <c r="C68" s="69"/>
      <c r="D68" s="69"/>
      <c r="E68" s="69"/>
      <c r="F68" s="68"/>
      <c r="G68" s="68"/>
      <c r="H68" s="68"/>
      <c r="I68" s="68"/>
      <c r="J68" s="68"/>
      <c r="K68" s="68"/>
      <c r="L68" s="69"/>
      <c r="M68">
        <v>9</v>
      </c>
      <c r="N68" s="108" t="str">
        <f ca="1">OFFSET('TABLEAUX SOURCES'!R6,pivot_mois,0,1,1)</f>
        <v>août</v>
      </c>
    </row>
    <row r="69" spans="1:14" ht="30" customHeight="1" x14ac:dyDescent="0.3">
      <c r="A69" s="69"/>
      <c r="B69" s="69"/>
      <c r="C69" s="69"/>
      <c r="D69" s="69"/>
      <c r="E69" s="69"/>
      <c r="F69" s="68"/>
      <c r="G69" s="68"/>
      <c r="H69" s="68"/>
      <c r="I69" s="68"/>
      <c r="J69" s="68"/>
      <c r="K69" s="68"/>
      <c r="L69" s="69"/>
      <c r="M69" s="69"/>
      <c r="N69" s="69"/>
    </row>
    <row r="70" spans="1:14" x14ac:dyDescent="0.3">
      <c r="C70" s="69"/>
      <c r="D70" s="69"/>
      <c r="E70" s="69"/>
      <c r="F70" s="68"/>
      <c r="G70" s="68"/>
      <c r="H70" s="68"/>
      <c r="I70" s="68"/>
      <c r="J70" s="68"/>
      <c r="K70" s="68"/>
      <c r="L70" s="69"/>
      <c r="M70" s="69"/>
    </row>
    <row r="71" spans="1:14" x14ac:dyDescent="0.3">
      <c r="C71" s="69"/>
      <c r="D71" s="69"/>
      <c r="E71" s="69"/>
      <c r="F71" s="68"/>
      <c r="G71" s="68"/>
      <c r="H71" s="68"/>
      <c r="I71" s="68"/>
      <c r="J71" s="68"/>
      <c r="K71" s="68"/>
      <c r="L71" s="69"/>
      <c r="M71" s="69"/>
    </row>
    <row r="72" spans="1:14" x14ac:dyDescent="0.3">
      <c r="A72" s="69"/>
      <c r="B72" s="69"/>
      <c r="C72" s="69"/>
      <c r="D72" s="69"/>
      <c r="E72" s="69"/>
      <c r="F72" s="68"/>
      <c r="G72" s="68"/>
      <c r="H72" s="68"/>
      <c r="I72" s="68"/>
      <c r="J72" s="68"/>
      <c r="K72" s="68"/>
      <c r="L72" s="69"/>
      <c r="M72" s="69"/>
    </row>
    <row r="73" spans="1:14" x14ac:dyDescent="0.3">
      <c r="A73" s="69"/>
      <c r="B73" s="69"/>
      <c r="C73" s="69"/>
      <c r="D73" s="69"/>
      <c r="E73" s="69"/>
      <c r="F73" s="68"/>
      <c r="G73" s="68"/>
      <c r="H73" s="68"/>
      <c r="I73" s="68"/>
      <c r="J73" s="68"/>
      <c r="K73" s="68"/>
      <c r="L73" s="69"/>
      <c r="M73" s="69"/>
    </row>
    <row r="74" spans="1:14" x14ac:dyDescent="0.3">
      <c r="A74" s="69"/>
      <c r="B74" s="69"/>
      <c r="C74" s="69"/>
      <c r="D74" s="69"/>
      <c r="E74" s="69"/>
      <c r="F74" s="68"/>
      <c r="G74" s="68"/>
      <c r="H74" s="68"/>
      <c r="I74" s="68"/>
      <c r="J74" s="68"/>
      <c r="K74" s="68"/>
      <c r="L74" s="69"/>
      <c r="M74" s="69"/>
    </row>
    <row r="75" spans="1:14" x14ac:dyDescent="0.3">
      <c r="A75" s="69"/>
      <c r="B75" s="69"/>
      <c r="C75" s="69"/>
      <c r="D75" s="69"/>
      <c r="E75" s="69"/>
      <c r="F75" s="68"/>
      <c r="G75" s="68"/>
      <c r="H75" s="68"/>
      <c r="I75" s="68"/>
      <c r="J75" s="68"/>
      <c r="K75" s="68"/>
      <c r="L75" s="69"/>
      <c r="M75" s="69"/>
    </row>
    <row r="76" spans="1:14" x14ac:dyDescent="0.3">
      <c r="A76" s="69"/>
      <c r="B76" s="69"/>
      <c r="C76" s="69"/>
      <c r="D76" s="69"/>
      <c r="E76" s="69"/>
      <c r="F76" s="68"/>
      <c r="G76" s="68"/>
      <c r="H76" s="68"/>
      <c r="I76" s="68"/>
      <c r="J76" s="68"/>
      <c r="K76" s="68"/>
      <c r="L76" s="69"/>
      <c r="M76" s="69"/>
    </row>
    <row r="77" spans="1:14" x14ac:dyDescent="0.3">
      <c r="A77" s="69"/>
      <c r="B77" s="69"/>
      <c r="C77" s="69"/>
      <c r="D77" s="69"/>
      <c r="E77" s="69"/>
      <c r="F77" s="68"/>
      <c r="G77" s="68"/>
      <c r="H77" s="68"/>
      <c r="I77" s="68"/>
      <c r="J77" s="68"/>
      <c r="K77" s="68"/>
      <c r="L77" s="69"/>
      <c r="M77" s="69"/>
    </row>
    <row r="78" spans="1:14" x14ac:dyDescent="0.3">
      <c r="A78" s="69"/>
      <c r="B78" s="69"/>
      <c r="C78" s="69"/>
      <c r="D78" s="69"/>
      <c r="E78" s="69"/>
      <c r="F78" s="68"/>
      <c r="G78" s="68"/>
      <c r="H78" s="68"/>
      <c r="I78" s="68"/>
      <c r="J78" s="68"/>
      <c r="K78" s="68"/>
      <c r="L78" s="69"/>
      <c r="M78" s="69"/>
    </row>
    <row r="79" spans="1:14" x14ac:dyDescent="0.3">
      <c r="A79" s="69"/>
      <c r="B79" s="69"/>
      <c r="C79" s="69"/>
      <c r="D79" s="69"/>
      <c r="E79" s="69"/>
      <c r="F79" s="68"/>
      <c r="G79" s="68"/>
      <c r="H79" s="68"/>
      <c r="I79" s="68"/>
      <c r="J79" s="68"/>
      <c r="K79" s="68"/>
      <c r="L79" s="69"/>
      <c r="M79" s="69"/>
    </row>
    <row r="80" spans="1:14" x14ac:dyDescent="0.3">
      <c r="A80" s="69"/>
      <c r="B80" s="69"/>
      <c r="C80" s="69"/>
      <c r="D80" s="69"/>
      <c r="E80" s="69"/>
      <c r="F80" s="68"/>
      <c r="G80" s="68"/>
      <c r="H80" s="68"/>
      <c r="I80" s="68"/>
      <c r="J80" s="68"/>
      <c r="K80" s="68"/>
      <c r="L80" s="69"/>
      <c r="M80" s="69"/>
    </row>
    <row r="81" spans="1:13" s="69" customFormat="1" x14ac:dyDescent="0.3">
      <c r="F81" s="68"/>
      <c r="G81" s="68"/>
      <c r="H81" s="68"/>
      <c r="I81" s="68"/>
      <c r="J81" s="68"/>
      <c r="K81" s="68"/>
    </row>
    <row r="82" spans="1:13" x14ac:dyDescent="0.3">
      <c r="A82" s="69"/>
      <c r="B82" s="69"/>
      <c r="C82" s="69"/>
      <c r="D82" s="69"/>
      <c r="E82" s="69"/>
      <c r="F82" s="68"/>
      <c r="G82" s="68"/>
      <c r="H82" s="68"/>
      <c r="I82" s="68"/>
      <c r="J82" s="68"/>
      <c r="K82" s="68"/>
      <c r="L82" s="69"/>
      <c r="M82" s="69"/>
    </row>
    <row r="83" spans="1:13" x14ac:dyDescent="0.3">
      <c r="A83" s="69"/>
      <c r="B83" s="69"/>
      <c r="C83" s="69"/>
      <c r="D83" s="69"/>
      <c r="E83" s="69"/>
      <c r="F83" s="68"/>
      <c r="G83" s="68"/>
      <c r="H83" s="68"/>
      <c r="I83" s="68"/>
      <c r="J83" s="68"/>
      <c r="K83" s="68"/>
      <c r="L83" s="69"/>
      <c r="M83" s="69"/>
    </row>
    <row r="84" spans="1:13" x14ac:dyDescent="0.3">
      <c r="A84" s="69"/>
      <c r="B84" s="69"/>
      <c r="C84" s="69"/>
      <c r="D84" s="69"/>
      <c r="E84" s="69"/>
      <c r="F84" s="68"/>
      <c r="G84" s="68"/>
      <c r="H84" s="68"/>
      <c r="I84" s="68"/>
      <c r="J84" s="68"/>
      <c r="K84" s="68"/>
      <c r="L84" s="69"/>
      <c r="M84" s="69"/>
    </row>
    <row r="85" spans="1:13" x14ac:dyDescent="0.3">
      <c r="A85" s="69"/>
      <c r="B85" s="69"/>
      <c r="C85" s="69"/>
      <c r="D85" s="69"/>
      <c r="E85" s="69"/>
      <c r="F85" s="68"/>
      <c r="G85" s="68"/>
      <c r="H85" s="68"/>
      <c r="I85" s="68"/>
      <c r="J85" s="68"/>
      <c r="K85" s="68"/>
      <c r="L85" s="69"/>
      <c r="M85" s="69"/>
    </row>
    <row r="86" spans="1:13" x14ac:dyDescent="0.3">
      <c r="A86" s="69"/>
      <c r="B86" s="69"/>
      <c r="C86" s="69"/>
      <c r="D86" s="69"/>
      <c r="E86" s="69"/>
      <c r="F86" s="68"/>
      <c r="G86" s="68"/>
      <c r="H86" s="68"/>
      <c r="I86" s="68"/>
      <c r="J86" s="68"/>
      <c r="K86" s="68"/>
      <c r="L86" s="69"/>
      <c r="M86" s="69"/>
    </row>
    <row r="87" spans="1:13" x14ac:dyDescent="0.3">
      <c r="A87" s="69"/>
      <c r="B87" s="69"/>
      <c r="C87" s="69"/>
      <c r="D87" s="69"/>
      <c r="E87" s="69"/>
      <c r="F87" s="68"/>
      <c r="G87" s="68"/>
      <c r="H87" s="68"/>
      <c r="I87" s="68"/>
      <c r="J87" s="68"/>
      <c r="K87" s="68"/>
      <c r="L87" s="69"/>
      <c r="M87" s="69"/>
    </row>
    <row r="88" spans="1:13" x14ac:dyDescent="0.3">
      <c r="A88" s="69"/>
      <c r="B88" s="69"/>
      <c r="C88" s="69"/>
      <c r="D88" s="69"/>
      <c r="E88" s="69"/>
      <c r="F88" s="68"/>
      <c r="G88" s="68"/>
      <c r="H88" s="68"/>
      <c r="I88" s="68"/>
      <c r="J88" s="68"/>
      <c r="K88" s="68"/>
      <c r="L88" s="69"/>
      <c r="M88" s="69"/>
    </row>
    <row r="89" spans="1:13" x14ac:dyDescent="0.3">
      <c r="A89" s="69"/>
      <c r="B89" s="69"/>
      <c r="C89" s="69"/>
      <c r="D89" s="69"/>
      <c r="E89" s="69"/>
      <c r="F89" s="68"/>
      <c r="G89" s="68"/>
      <c r="H89" s="68"/>
      <c r="I89" s="68"/>
      <c r="J89" s="68"/>
      <c r="K89" s="68"/>
      <c r="L89" s="69"/>
      <c r="M89" s="69"/>
    </row>
    <row r="90" spans="1:13" x14ac:dyDescent="0.3">
      <c r="A90" s="69"/>
      <c r="B90" s="69"/>
      <c r="C90" s="69"/>
      <c r="D90" s="69"/>
      <c r="E90" s="69"/>
      <c r="F90" s="68"/>
      <c r="G90" s="68"/>
      <c r="H90" s="68"/>
      <c r="I90" s="68"/>
      <c r="J90" s="68"/>
      <c r="K90" s="68"/>
      <c r="L90" s="69"/>
      <c r="M90" s="69"/>
    </row>
    <row r="91" spans="1:13" x14ac:dyDescent="0.3">
      <c r="A91" s="69"/>
      <c r="B91" s="69"/>
      <c r="C91" s="69"/>
      <c r="D91" s="69"/>
      <c r="E91" s="69"/>
      <c r="F91" s="68"/>
      <c r="G91" s="68"/>
      <c r="H91" s="68"/>
      <c r="I91" s="68"/>
      <c r="J91" s="68"/>
      <c r="K91" s="68"/>
      <c r="L91" s="69"/>
      <c r="M91" s="69"/>
    </row>
    <row r="92" spans="1:13" x14ac:dyDescent="0.3">
      <c r="A92" s="69"/>
      <c r="B92" s="69"/>
      <c r="C92" s="69"/>
      <c r="D92" s="69"/>
      <c r="E92" s="69"/>
      <c r="F92" s="68"/>
      <c r="G92" s="68"/>
      <c r="H92" s="68"/>
      <c r="I92" s="68"/>
      <c r="J92" s="68"/>
      <c r="K92" s="68"/>
      <c r="L92" s="69"/>
      <c r="M92" s="69"/>
    </row>
    <row r="93" spans="1:13" x14ac:dyDescent="0.3">
      <c r="A93" s="69"/>
      <c r="B93" s="69"/>
      <c r="C93" s="69"/>
      <c r="D93" s="69"/>
      <c r="E93" s="69"/>
      <c r="F93" s="68"/>
      <c r="G93" s="68"/>
      <c r="H93" s="68"/>
      <c r="I93" s="68"/>
      <c r="J93" s="68"/>
      <c r="K93" s="68"/>
      <c r="L93" s="69"/>
      <c r="M93" s="69"/>
    </row>
    <row r="94" spans="1:13" x14ac:dyDescent="0.3">
      <c r="A94" s="69"/>
      <c r="B94" s="69"/>
      <c r="C94" s="69"/>
      <c r="D94" s="69"/>
      <c r="E94" s="69"/>
      <c r="F94" s="68"/>
      <c r="G94" s="68"/>
      <c r="H94" s="68"/>
      <c r="I94" s="68"/>
      <c r="J94" s="68"/>
      <c r="K94" s="68"/>
      <c r="L94" s="69"/>
      <c r="M94" s="69"/>
    </row>
    <row r="95" spans="1:13" x14ac:dyDescent="0.3">
      <c r="A95" s="69"/>
      <c r="B95" s="69"/>
      <c r="C95" s="69"/>
      <c r="D95" s="69"/>
      <c r="E95" s="69"/>
      <c r="F95" s="68"/>
      <c r="G95" s="68"/>
      <c r="H95" s="68"/>
      <c r="I95" s="68"/>
      <c r="J95" s="68"/>
      <c r="K95" s="68"/>
      <c r="L95" s="69"/>
      <c r="M95" s="69"/>
    </row>
  </sheetData>
  <conditionalFormatting sqref="N54:N56">
    <cfRule type="cellIs" dxfId="5" priority="2" operator="equal">
      <formula>0</formula>
    </cfRule>
  </conditionalFormatting>
  <conditionalFormatting sqref="N68">
    <cfRule type="cellIs" dxfId="4" priority="1" operator="equal">
      <formula>0</formula>
    </cfRule>
  </conditionalFormatting>
  <dataValidations count="3">
    <dataValidation type="list" allowBlank="1" showInputMessage="1" showErrorMessage="1" sqref="B5:B6 B22 B38" xr:uid="{BEFE114F-32AE-41D9-9E2F-5721FE273ECF}">
      <formula1>QUALITE_DU_LAIT</formula1>
    </dataValidation>
    <dataValidation type="list" allowBlank="1" showInputMessage="1" showErrorMessage="1" sqref="B1 D2 D4 A5 A21 A37" xr:uid="{7ECCC4D6-C2D7-41DC-86F2-861D8F46A7B0}">
      <formula1>NOM_EXPLOITATION</formula1>
    </dataValidation>
    <dataValidation type="list" allowBlank="1" showInputMessage="1" showErrorMessage="1" sqref="B21 B37" xr:uid="{34573E3E-1CC2-49B4-A920-E7CC679B0151}">
      <formula1>LISTE_TRAITEMENTS_THERMIQUES</formula1>
    </dataValidation>
  </dataValidations>
  <printOptions horizontalCentered="1"/>
  <pageMargins left="0.19685039370078741" right="0.19685039370078741" top="0.19685039370078741" bottom="0.19685039370078741" header="0.11811023622047245" footer="0.11811023622047245"/>
  <pageSetup paperSize="9" scale="5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49" r:id="rId4" name="Scroll Bar 709">
              <controlPr defaultSize="0" autoPict="0">
                <anchor moveWithCells="1">
                  <from>
                    <xdr:col>12</xdr:col>
                    <xdr:colOff>409575</xdr:colOff>
                    <xdr:row>52</xdr:row>
                    <xdr:rowOff>200025</xdr:rowOff>
                  </from>
                  <to>
                    <xdr:col>13</xdr:col>
                    <xdr:colOff>314325</xdr:colOff>
                    <xdr:row>55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2" r:id="rId5" name="Scroll Bar 1024">
              <controlPr defaultSize="0" autoPict="0">
                <anchor moveWithCells="1">
                  <from>
                    <xdr:col>13</xdr:col>
                    <xdr:colOff>28575</xdr:colOff>
                    <xdr:row>65</xdr:row>
                    <xdr:rowOff>104775</xdr:rowOff>
                  </from>
                  <to>
                    <xdr:col>13</xdr:col>
                    <xdr:colOff>285750</xdr:colOff>
                    <xdr:row>68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3">
    <tablePart r:id="rId6"/>
    <tablePart r:id="rId7"/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6C8C6FC-17B4-4EE3-BB24-2B6195A67679}">
          <x14:formula1>
            <xm:f>'BDD AUTRES'!$U$2:$U$10</xm:f>
          </x14:formula1>
          <xm:sqref>B2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ACF3D-9D84-4B5C-B159-54261CF6E8F1}">
  <sheetPr codeName="Feuil11"/>
  <dimension ref="A1:BE76"/>
  <sheetViews>
    <sheetView workbookViewId="0">
      <selection activeCell="I19" sqref="I19"/>
    </sheetView>
  </sheetViews>
  <sheetFormatPr baseColWidth="10" defaultRowHeight="15" x14ac:dyDescent="0.25"/>
  <cols>
    <col min="1" max="1" width="20.140625" customWidth="1"/>
    <col min="2" max="2" width="16.42578125" style="89" customWidth="1"/>
    <col min="3" max="3" width="1" customWidth="1"/>
    <col min="4" max="4" width="11.5703125" customWidth="1"/>
    <col min="5" max="6" width="11.85546875" customWidth="1"/>
    <col min="8" max="8" width="10.140625" customWidth="1"/>
    <col min="14" max="14" width="14.140625" customWidth="1"/>
    <col min="16" max="16" width="11.42578125" style="29"/>
    <col min="26" max="26" width="19.28515625" bestFit="1" customWidth="1"/>
    <col min="39" max="39" width="14" bestFit="1" customWidth="1"/>
    <col min="52" max="52" width="14.140625" bestFit="1" customWidth="1"/>
  </cols>
  <sheetData>
    <row r="1" spans="1:57" x14ac:dyDescent="0.25">
      <c r="A1" s="114" t="str">
        <f>cProducteur</f>
        <v>ESSAI</v>
      </c>
    </row>
    <row r="2" spans="1:57" ht="15" customHeight="1" x14ac:dyDescent="0.25">
      <c r="D2" s="149" t="str">
        <f>CONCATENATE("Taux moyens de matière grasse"," ",cProducteur)</f>
        <v>Taux moyens de matière grasse ESSAI</v>
      </c>
      <c r="E2" s="149"/>
      <c r="F2" s="149"/>
      <c r="G2" s="149"/>
      <c r="K2" s="149" t="str">
        <f>CONCATENATE("Taux moyens de protéines ",cProducteur)</f>
        <v>Taux moyens de protéines ESSAI</v>
      </c>
      <c r="L2" s="149"/>
      <c r="M2" s="149"/>
      <c r="N2" s="149"/>
      <c r="R2" s="150" t="str">
        <f ca="1">CONCATENATE("Butyriques ",cProducteur," ",Z5)</f>
        <v>Butyriques ESSAI août</v>
      </c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G2" s="150" t="str">
        <f ca="1">CONCATENATE("Germes ",cProducteur," ",AM5)</f>
        <v>Germes ESSAI août</v>
      </c>
      <c r="AH2" s="150"/>
      <c r="AI2" s="150"/>
      <c r="AJ2" s="150"/>
      <c r="AK2" s="150"/>
      <c r="AL2" s="150"/>
      <c r="AM2" s="150"/>
      <c r="AN2" s="150"/>
      <c r="AO2" s="150"/>
      <c r="AP2" s="150"/>
      <c r="AQ2" s="150"/>
      <c r="AR2" s="150"/>
      <c r="AT2" s="150" t="str">
        <f ca="1">CONCATENATE("Coliformes ",cProducteur," ",AZ5)</f>
        <v>Coliformes ESSAI août</v>
      </c>
      <c r="AU2" s="150"/>
      <c r="AV2" s="150"/>
      <c r="AW2" s="150"/>
      <c r="AX2" s="150"/>
      <c r="AY2" s="150"/>
      <c r="AZ2" s="150"/>
      <c r="BA2" s="150"/>
      <c r="BB2" s="150"/>
      <c r="BC2" s="150"/>
      <c r="BD2" s="150"/>
      <c r="BE2" s="150"/>
    </row>
    <row r="4" spans="1:57" x14ac:dyDescent="0.25">
      <c r="B4" s="90" t="s">
        <v>172</v>
      </c>
      <c r="D4" s="95"/>
      <c r="E4" s="96" t="str">
        <f ca="1">B5</f>
        <v>2017-2018</v>
      </c>
      <c r="F4" s="93" t="str">
        <f ca="1">B6</f>
        <v>2016-2017</v>
      </c>
      <c r="G4" s="93">
        <f ca="1">B7</f>
        <v>0</v>
      </c>
      <c r="K4" s="95"/>
      <c r="L4" s="96" t="str">
        <f ca="1">B5</f>
        <v>2017-2018</v>
      </c>
      <c r="M4" s="93" t="str">
        <f ca="1">B6</f>
        <v>2016-2017</v>
      </c>
      <c r="N4" s="93">
        <f ca="1">B7</f>
        <v>0</v>
      </c>
      <c r="S4" s="151" t="str">
        <f ca="1">B5</f>
        <v>2017-2018</v>
      </c>
      <c r="T4" s="151"/>
      <c r="U4" s="151"/>
      <c r="V4" s="151"/>
      <c r="W4" s="151"/>
      <c r="X4" s="151"/>
      <c r="Z4" s="110"/>
      <c r="AA4" s="152"/>
      <c r="AB4" s="152"/>
      <c r="AC4" s="152"/>
      <c r="AD4" s="152"/>
      <c r="AE4" s="152"/>
      <c r="AH4" s="151" t="str">
        <f ca="1">B5</f>
        <v>2017-2018</v>
      </c>
      <c r="AI4" s="151"/>
      <c r="AJ4" s="151"/>
      <c r="AK4" s="151"/>
      <c r="AM4" s="110"/>
      <c r="AN4" s="152"/>
      <c r="AO4" s="152"/>
      <c r="AP4" s="152"/>
      <c r="AU4" s="151" t="str">
        <f ca="1">B5</f>
        <v>2017-2018</v>
      </c>
      <c r="AV4" s="151"/>
      <c r="AW4" s="151"/>
      <c r="AX4" s="151"/>
      <c r="AZ4" s="110"/>
      <c r="BA4" s="152"/>
      <c r="BB4" s="152"/>
      <c r="BC4" s="152"/>
    </row>
    <row r="5" spans="1:57" x14ac:dyDescent="0.25">
      <c r="A5" s="89">
        <v>7</v>
      </c>
      <c r="B5" s="91" t="str">
        <f ca="1">OFFSET('BDD AUTRES'!V2,A$5,0,1,1)</f>
        <v>2017-2018</v>
      </c>
      <c r="D5" s="97" t="s">
        <v>144</v>
      </c>
      <c r="E5" s="98" t="str">
        <f ca="1">IFERROR(AVERAGEIFS(Tableau3[MG g/l],Tableau3[Producteur],cProducteur,Tableau3[Saison],entete_MG_S1,Tableau3[Mois],'TABLEAUX SOURCES'!$D5),"")</f>
        <v/>
      </c>
      <c r="F5" s="98" t="str">
        <f ca="1">IFERROR(AVERAGEIFS(Tableau3[MG g/l],Tableau3[Producteur],cProducteur,Tableau3[Saison],entete_MG_S2,Tableau3[Mois],'TABLEAUX SOURCES'!$D5),"")</f>
        <v/>
      </c>
      <c r="G5" s="99" t="str">
        <f ca="1">IFERROR(AVERAGEIFS(Tableau3[MG g/l],Tableau3[Producteur],cProducteur,Tableau3[Saison],entete_MG_S3,Tableau3[Mois],'TABLEAUX SOURCES'!$D5),"")</f>
        <v/>
      </c>
      <c r="K5" s="97" t="s">
        <v>144</v>
      </c>
      <c r="L5" s="98" t="str">
        <f ca="1">IFERROR(AVERAGEIFS(Tableau3[MP g/l],Tableau3[Producteur],cProducteur,Tableau3[Saison],entete_MG_S1,Tableau3[Mois],'TABLEAUX SOURCES'!$D5),"")</f>
        <v/>
      </c>
      <c r="M5" s="98" t="str">
        <f ca="1">IFERROR(AVERAGEIFS(Tableau3[MP g/l],Tableau3[Producteur],cProducteur,Tableau3[Saison],entete_MG_S2,Tableau3[Mois],'TABLEAUX SOURCES'!$D5),"")</f>
        <v/>
      </c>
      <c r="N5" s="99" t="str">
        <f ca="1">IFERROR(AVERAGEIFS(Tableau3[MP g/l],Tableau3[Producteur],cProducteur,Tableau3[Saison],entete_MG_S3,Tableau3[Mois],'TABLEAUX SOURCES'!$D5),"")</f>
        <v/>
      </c>
      <c r="S5" s="109" t="s">
        <v>91</v>
      </c>
      <c r="T5" s="109" t="s">
        <v>79</v>
      </c>
      <c r="U5" s="109" t="s">
        <v>77</v>
      </c>
      <c r="V5" s="109" t="s">
        <v>80</v>
      </c>
      <c r="W5" s="109" t="s">
        <v>92</v>
      </c>
      <c r="X5" s="111" t="s">
        <v>173</v>
      </c>
      <c r="Z5" s="116" t="str">
        <f ca="1">OFFSET(R6,pivot_mois,0,1,1)</f>
        <v>août</v>
      </c>
      <c r="AA5" s="115" t="s">
        <v>91</v>
      </c>
      <c r="AB5" s="115" t="s">
        <v>79</v>
      </c>
      <c r="AC5" s="115" t="s">
        <v>77</v>
      </c>
      <c r="AD5" s="115" t="s">
        <v>80</v>
      </c>
      <c r="AE5" s="115" t="s">
        <v>92</v>
      </c>
      <c r="AH5" s="109" t="s">
        <v>79</v>
      </c>
      <c r="AI5" s="109" t="s">
        <v>77</v>
      </c>
      <c r="AJ5" s="109" t="s">
        <v>80</v>
      </c>
      <c r="AK5" s="111" t="s">
        <v>173</v>
      </c>
      <c r="AM5" s="116" t="str">
        <f ca="1">OFFSET(AG6,pivot_mois,0,1,1)</f>
        <v>août</v>
      </c>
      <c r="AN5" s="115" t="s">
        <v>79</v>
      </c>
      <c r="AO5" s="115" t="s">
        <v>77</v>
      </c>
      <c r="AP5" s="115" t="s">
        <v>80</v>
      </c>
      <c r="AU5" s="109" t="s">
        <v>79</v>
      </c>
      <c r="AV5" s="109" t="s">
        <v>77</v>
      </c>
      <c r="AW5" s="109" t="s">
        <v>80</v>
      </c>
      <c r="AX5" s="111" t="s">
        <v>173</v>
      </c>
      <c r="AZ5" s="116" t="str">
        <f ca="1">OFFSET(AT6,pivot_mois,0,1,1)</f>
        <v>août</v>
      </c>
      <c r="BA5" s="115" t="s">
        <v>79</v>
      </c>
      <c r="BB5" s="115" t="s">
        <v>77</v>
      </c>
      <c r="BC5" s="115" t="s">
        <v>80</v>
      </c>
    </row>
    <row r="6" spans="1:57" x14ac:dyDescent="0.25">
      <c r="B6" s="91" t="str">
        <f ca="1">OFFSET('BDD AUTRES'!V3,A$5,0,1,1)</f>
        <v>2016-2017</v>
      </c>
      <c r="D6" s="92" t="s">
        <v>145</v>
      </c>
      <c r="E6" s="100" t="str">
        <f ca="1">IFERROR(AVERAGEIFS(Tableau3[MG g/l],Tableau3[Producteur],cProducteur,Tableau3[Saison],entete_MG_S1,Tableau3[Mois],'TABLEAUX SOURCES'!$D6),"")</f>
        <v/>
      </c>
      <c r="F6" s="100" t="str">
        <f ca="1">IFERROR(AVERAGEIFS(Tableau3[MG g/l],Tableau3[Producteur],cProducteur,Tableau3[Saison],entete_MG_S2,Tableau3[Mois],'TABLEAUX SOURCES'!$D6),"")</f>
        <v/>
      </c>
      <c r="G6" s="101" t="str">
        <f ca="1">IFERROR(AVERAGEIFS(Tableau3[MG g/l],Tableau3[Producteur],cProducteur,Tableau3[Saison],entete_MG_S3,Tableau3[Mois],'TABLEAUX SOURCES'!$D6),"")</f>
        <v/>
      </c>
      <c r="K6" s="92" t="s">
        <v>145</v>
      </c>
      <c r="L6" s="100" t="str">
        <f ca="1">IFERROR(AVERAGEIFS(Tableau3[MP g/l],Tableau3[Producteur],cProducteur,Tableau3[Saison],entete_MG_S1,Tableau3[Mois],'TABLEAUX SOURCES'!$D6),"")</f>
        <v/>
      </c>
      <c r="M6" s="100" t="str">
        <f ca="1">IFERROR(AVERAGEIFS(Tableau3[MP g/l],Tableau3[Producteur],cProducteur,Tableau3[Saison],entete_MG_S2,Tableau3[Mois],'TABLEAUX SOURCES'!$D6),"")</f>
        <v/>
      </c>
      <c r="N6" s="101" t="str">
        <f ca="1">IFERROR(AVERAGEIFS(Tableau3[MP g/l],Tableau3[Producteur],cProducteur,Tableau3[Saison],entete_MG_S3,Tableau3[Mois],'TABLEAUX SOURCES'!$D6),"")</f>
        <v/>
      </c>
      <c r="R6" s="112" t="s">
        <v>144</v>
      </c>
      <c r="S6" s="113" t="str">
        <f ca="1">IFERROR(COUNTIFS(Tableau3[Classe BU],$S$5,Tableau3[Saison],$S$4,Tableau3[Mois],'TABLEAUX SOURCES'!$R6,Tableau3[Producteur],cProducteur)/X6,"")</f>
        <v/>
      </c>
      <c r="T6" s="113" t="str">
        <f ca="1">IFERROR(COUNTIFS(Tableau3[Classe BU],$T$5,Tableau3[Saison],$S$4,Tableau3[Mois],'TABLEAUX SOURCES'!$R6,Tableau3[Producteur],cProducteur)/X6,"")</f>
        <v/>
      </c>
      <c r="U6" s="113" t="str">
        <f ca="1">IFERROR(COUNTIFS(Tableau3[Classe BU],$U$5,Tableau3[Saison],$S$4,Tableau3[Mois],'TABLEAUX SOURCES'!$R6,Tableau3[Producteur],cProducteur)/X6,"")</f>
        <v/>
      </c>
      <c r="V6" s="113" t="str">
        <f ca="1">IFERROR(COUNTIFS(Tableau3[Classe BU],$V$5,Tableau3[Saison],$S$4,Tableau3[Mois],'TABLEAUX SOURCES'!$R6,Tableau3[Producteur],cProducteur)/X6,"")</f>
        <v/>
      </c>
      <c r="W6" s="113" t="str">
        <f ca="1">IFERROR(COUNTIFS(Tableau3[Classe BU],$W$5,Tableau3[Saison],$S$4,Tableau3[Mois],'TABLEAUX SOURCES'!$R6,Tableau3[Producteur],cProducteur)/X6,"")</f>
        <v/>
      </c>
      <c r="X6" s="112">
        <f ca="1">COUNTIFS(Tableau3[Classe BU],"&gt;&lt;",Tableau3[Saison],$S$4,Tableau3[Mois],'TABLEAUX SOURCES'!$R6,Tableau3[Producteur],cProducteur)</f>
        <v>0</v>
      </c>
      <c r="Z6" s="112" t="str">
        <f ca="1">CONCATENATE($Z$5," ",B5)</f>
        <v>août 2017-2018</v>
      </c>
      <c r="AA6" s="113" t="str">
        <f ca="1">INDEX($R$5:$X$15,MATCH($Z5,$R5:$R15,0),MATCH(AA5,$R5:$X5,0))</f>
        <v/>
      </c>
      <c r="AB6" s="113" t="str">
        <f ca="1">INDEX($R$5:$X$15,MATCH($Z5,$R5:$R15,0),MATCH(AB5,$R5:$X5,0))</f>
        <v/>
      </c>
      <c r="AC6" s="113" t="str">
        <f ca="1">INDEX($R$5:$X$15,MATCH($Z5,$R5:$R15,0),MATCH(AC5,$R5:$X5,0))</f>
        <v/>
      </c>
      <c r="AD6" s="113" t="str">
        <f ca="1">INDEX($R$5:$X$15,MATCH($Z5,$R5:$R15,0),MATCH(AD5,$R5:$X5,0))</f>
        <v/>
      </c>
      <c r="AE6" s="113" t="str">
        <f ca="1">INDEX($R$5:$X$15,MATCH($Z5,$R5:$R15,0),MATCH(AE5,$R5:$X5,0))</f>
        <v/>
      </c>
      <c r="AG6" s="112" t="s">
        <v>144</v>
      </c>
      <c r="AH6" s="113" t="str">
        <f ca="1">IFERROR(COUNTIFS(Tableau3[Classe CE],$AH$5,Tableau3[Saison],$AH$4,Tableau3[Mois],'TABLEAUX SOURCES'!$AG6,Tableau3[Producteur],cProducteur)/AK6,"")</f>
        <v/>
      </c>
      <c r="AI6" s="113" t="str">
        <f ca="1">IFERROR(COUNTIFS(Tableau3[Classe CE],$AI$5,Tableau3[Saison],$AH$4,Tableau3[Mois],'TABLEAUX SOURCES'!$AG6,Tableau3[Producteur],cProducteur)/AK6,"")</f>
        <v/>
      </c>
      <c r="AJ6" s="113" t="str">
        <f ca="1">IFERROR(COUNTIFS(Tableau3[Classe CE],$AJ$5,Tableau3[Saison],$AH$4,Tableau3[Mois],'TABLEAUX SOURCES'!$AG6,Tableau3[Producteur],cProducteur)/$AK6,"")</f>
        <v/>
      </c>
      <c r="AK6" s="112">
        <f ca="1">COUNTIFS(Tableau3[Classe CE],"&gt;&lt;",Tableau3[Saison],$AH$4,Tableau3[Mois],'TABLEAUX SOURCES'!$AG6,Tableau3[Producteur],cProducteur)</f>
        <v>0</v>
      </c>
      <c r="AM6" s="112" t="str">
        <f ca="1">CONCATENATE($AM$5," ",AH4)</f>
        <v>août 2017-2018</v>
      </c>
      <c r="AN6" s="113" t="str">
        <f ca="1">INDEX($AG$5:$AK$15,MATCH($AM$5,$AG$5:$AG$15,0),MATCH(AN5,$AG$5:$AK$5,0))</f>
        <v/>
      </c>
      <c r="AO6" s="113" t="str">
        <f t="shared" ref="AO6:AP6" ca="1" si="0">INDEX($AG$5:$AK$15,MATCH($AM$5,$AG$5:$AG$15,0),MATCH(AO5,$AG$5:$AK$5,0))</f>
        <v/>
      </c>
      <c r="AP6" s="113" t="str">
        <f t="shared" ca="1" si="0"/>
        <v/>
      </c>
      <c r="AT6" s="112" t="s">
        <v>144</v>
      </c>
      <c r="AU6" s="113" t="str">
        <f ca="1">IFERROR(COUNTIFS(Tableau3[Classe CO],$AU$5,Tableau3[Saison],$AU$4,Tableau3[Mois],'TABLEAUX SOURCES'!$AT6,Tableau3[Producteur],cProducteur)/AX6,"")</f>
        <v/>
      </c>
      <c r="AV6" s="113" t="str">
        <f ca="1">IFERROR(COUNTIFS(Tableau3[Classe CO],$AI$5,Tableau3[Saison],$AU$4,Tableau3[Mois],'TABLEAUX SOURCES'!$AT6,Tableau3[Producteur],cProducteur)/AX6,"")</f>
        <v/>
      </c>
      <c r="AW6" s="113" t="str">
        <f ca="1">IFERROR(COUNTIFS(Tableau3[Classe CO],$AJ$5,Tableau3[Saison],$AU$4,Tableau3[Mois],'TABLEAUX SOURCES'!$AT6,Tableau3[Producteur],cProducteur)/$AK6,"")</f>
        <v/>
      </c>
      <c r="AX6" s="112">
        <f ca="1">COUNTIFS(Tableau3[Classe CO],"&gt;&lt;",Tableau3[Saison],$AU$4,Tableau3[Mois],'TABLEAUX SOURCES'!$AT6,Tableau3[Producteur],cProducteur)</f>
        <v>0</v>
      </c>
      <c r="AZ6" s="112" t="str">
        <f ca="1">CONCATENATE($AM$5," ",AU4)</f>
        <v>août 2017-2018</v>
      </c>
      <c r="BA6" s="113" t="str">
        <f ca="1">INDEX($AT5:$AX15,MATCH($AZ$5,$AT5:$AT15,0),MATCH(BA5,$AT$5:$AX$5,0))</f>
        <v/>
      </c>
      <c r="BB6" s="113" t="str">
        <f t="shared" ref="BB6:BC6" ca="1" si="1">INDEX($AT5:$AX15,MATCH($AZ$5,$AT5:$AT15,0),MATCH(BB5,$AT$5:$AX$5,0))</f>
        <v/>
      </c>
      <c r="BC6" s="113" t="str">
        <f t="shared" ca="1" si="1"/>
        <v/>
      </c>
    </row>
    <row r="7" spans="1:57" x14ac:dyDescent="0.25">
      <c r="B7" s="91">
        <f ca="1">OFFSET('BDD AUTRES'!V4,A$5,0,1,1)</f>
        <v>0</v>
      </c>
      <c r="D7" s="94" t="s">
        <v>137</v>
      </c>
      <c r="E7" s="98" t="str">
        <f ca="1">IFERROR(AVERAGEIFS(Tableau3[MG g/l],Tableau3[Producteur],cProducteur,Tableau3[Saison],entete_MG_S1,Tableau3[Mois],'TABLEAUX SOURCES'!$D7),"")</f>
        <v/>
      </c>
      <c r="F7" s="98" t="str">
        <f ca="1">IFERROR(AVERAGEIFS(Tableau3[MG g/l],Tableau3[Producteur],cProducteur,Tableau3[Saison],entete_MG_S2,Tableau3[Mois],'TABLEAUX SOURCES'!$D7),"")</f>
        <v/>
      </c>
      <c r="G7" s="99" t="str">
        <f ca="1">IFERROR(AVERAGEIFS(Tableau3[MG g/l],Tableau3[Producteur],cProducteur,Tableau3[Saison],entete_MG_S3,Tableau3[Mois],'TABLEAUX SOURCES'!$D7),"")</f>
        <v/>
      </c>
      <c r="K7" s="94" t="s">
        <v>137</v>
      </c>
      <c r="L7" s="98" t="str">
        <f ca="1">IFERROR(AVERAGEIFS(Tableau3[MP g/l],Tableau3[Producteur],cProducteur,Tableau3[Saison],entete_MG_S1,Tableau3[Mois],'TABLEAUX SOURCES'!$D7),"")</f>
        <v/>
      </c>
      <c r="M7" s="98" t="str">
        <f ca="1">IFERROR(AVERAGEIFS(Tableau3[MP g/l],Tableau3[Producteur],cProducteur,Tableau3[Saison],entete_MG_S2,Tableau3[Mois],'TABLEAUX SOURCES'!$D7),"")</f>
        <v/>
      </c>
      <c r="N7" s="99" t="str">
        <f ca="1">IFERROR(AVERAGEIFS(Tableau3[MP g/l],Tableau3[Producteur],cProducteur,Tableau3[Saison],entete_MG_S3,Tableau3[Mois],'TABLEAUX SOURCES'!$D7),"")</f>
        <v/>
      </c>
      <c r="R7" s="112" t="s">
        <v>145</v>
      </c>
      <c r="S7" s="113" t="str">
        <f ca="1">IFERROR(COUNTIFS(Tableau3[Classe BU],$S$5,Tableau3[Saison],$S$4,Tableau3[Mois],'TABLEAUX SOURCES'!$R7,Tableau3[Producteur],cProducteur)/X7,"")</f>
        <v/>
      </c>
      <c r="T7" s="113" t="str">
        <f ca="1">IFERROR(COUNTIFS(Tableau3[Classe BU],$T$5,Tableau3[Saison],$S$4,Tableau3[Mois],'TABLEAUX SOURCES'!$R7,Tableau3[Producteur],cProducteur)/X7,"")</f>
        <v/>
      </c>
      <c r="U7" s="113" t="str">
        <f ca="1">IFERROR(COUNTIFS(Tableau3[Classe BU],$U$5,Tableau3[Saison],$S$4,Tableau3[Mois],'TABLEAUX SOURCES'!$R7,Tableau3[Producteur],cProducteur)/X7,"")</f>
        <v/>
      </c>
      <c r="V7" s="113" t="str">
        <f ca="1">IFERROR(COUNTIFS(Tableau3[Classe BU],$V$5,Tableau3[Saison],$S$4,Tableau3[Mois],'TABLEAUX SOURCES'!$R7,Tableau3[Producteur],cProducteur)/X7,"")</f>
        <v/>
      </c>
      <c r="W7" s="113" t="str">
        <f ca="1">IFERROR(COUNTIFS(Tableau3[Classe BU],$W$5,Tableau3[Saison],$S$4,Tableau3[Mois],'TABLEAUX SOURCES'!$R7,Tableau3[Producteur],cProducteur)/X7,"")</f>
        <v/>
      </c>
      <c r="X7" s="112">
        <f ca="1">COUNTIFS(Tableau3[Classe BU],"&gt;&lt;",Tableau3[Saison],$S$4,Tableau3[Mois],'TABLEAUX SOURCES'!$R7,Tableau3[Producteur],cProducteur)</f>
        <v>0</v>
      </c>
      <c r="Z7" s="112" t="str">
        <f ca="1">CONCATENATE($Z$5," ",B6)</f>
        <v>août 2016-2017</v>
      </c>
      <c r="AA7" s="113" t="str">
        <f ca="1">INDEX($R18:$W28,MATCH($Z5,$R18:$R28,0),MATCH(AA5,$R18:$X18,0))</f>
        <v/>
      </c>
      <c r="AB7" s="113" t="str">
        <f ca="1">INDEX($R18:$W28,MATCH($Z5,$R18:$R28,0),MATCH(AB5,$R18:$X18,0))</f>
        <v/>
      </c>
      <c r="AC7" s="113" t="str">
        <f ca="1">INDEX($R18:$W28,MATCH($Z5,$R18:$R28,0),MATCH(AC5,$R18:$X18,0))</f>
        <v/>
      </c>
      <c r="AD7" s="113" t="str">
        <f ca="1">INDEX($R18:$W28,MATCH($Z5,$R18:$R28,0),MATCH(AD5,$R18:$X18,0))</f>
        <v/>
      </c>
      <c r="AE7" s="113" t="str">
        <f ca="1">INDEX($R18:$W28,MATCH($Z5,$R18:$R28,0),MATCH(AE5,$R18:$X18,0))</f>
        <v/>
      </c>
      <c r="AG7" s="112" t="s">
        <v>145</v>
      </c>
      <c r="AH7" s="113" t="str">
        <f ca="1">IFERROR(COUNTIFS(Tableau3[Classe CE],$AH$5,Tableau3[Saison],$AH$4,Tableau3[Mois],'TABLEAUX SOURCES'!$AG7,Tableau3[Producteur],cProducteur)/AK7,"")</f>
        <v/>
      </c>
      <c r="AI7" s="113" t="str">
        <f ca="1">IFERROR(COUNTIFS(Tableau3[Classe CE],$AI$5,Tableau3[Saison],$AH$4,Tableau3[Mois],'TABLEAUX SOURCES'!$AG7,Tableau3[Producteur],cProducteur)/AK7,"")</f>
        <v/>
      </c>
      <c r="AJ7" s="113" t="str">
        <f ca="1">IFERROR(COUNTIFS(Tableau3[Classe CE],$AJ$5,Tableau3[Saison],$AH$4,Tableau3[Mois],'TABLEAUX SOURCES'!$AG7,Tableau3[Producteur],cProducteur)/$AK7,"")</f>
        <v/>
      </c>
      <c r="AK7" s="112">
        <f ca="1">COUNTIFS(Tableau3[Classe CE],"&gt;&lt;",Tableau3[Saison],$AH$4,Tableau3[Mois],'TABLEAUX SOURCES'!$AG7,Tableau3[Producteur],cProducteur)</f>
        <v>0</v>
      </c>
      <c r="AM7" s="112" t="str">
        <f ca="1">CONCATENATE($AM$5," ",AH17)</f>
        <v>août 2016-2017</v>
      </c>
      <c r="AN7" s="113" t="str">
        <f ca="1">INDEX($AG$18:$AK$28,MATCH($AM$5,$AG$18:$AG$28,0),MATCH(AN5,$AG$18:$AK$18,0))</f>
        <v/>
      </c>
      <c r="AO7" s="113" t="str">
        <f t="shared" ref="AO7:AP7" ca="1" si="2">INDEX($AG$18:$AK$28,MATCH($AM$5,$AG$18:$AG$28,0),MATCH(AO5,$AG$18:$AK$18,0))</f>
        <v/>
      </c>
      <c r="AP7" s="113" t="str">
        <f t="shared" ca="1" si="2"/>
        <v/>
      </c>
      <c r="AT7" s="112" t="s">
        <v>145</v>
      </c>
      <c r="AU7" s="113" t="str">
        <f ca="1">IFERROR(COUNTIFS(Tableau3[Classe CO],$AU$5,Tableau3[Saison],$AU$4,Tableau3[Mois],'TABLEAUX SOURCES'!$AT7,Tableau3[Producteur],cProducteur)/AX7,"")</f>
        <v/>
      </c>
      <c r="AV7" s="113" t="str">
        <f ca="1">IFERROR(COUNTIFS(Tableau3[Classe CO],$AI$5,Tableau3[Saison],$AU$4,Tableau3[Mois],'TABLEAUX SOURCES'!$AT7,Tableau3[Producteur],cProducteur)/AX7,"")</f>
        <v/>
      </c>
      <c r="AW7" s="113" t="str">
        <f ca="1">IFERROR(COUNTIFS(Tableau3[Classe CO],$AJ$5,Tableau3[Saison],$AU$4,Tableau3[Mois],'TABLEAUX SOURCES'!$AT7,Tableau3[Producteur],cProducteur)/$AK7,"")</f>
        <v/>
      </c>
      <c r="AX7" s="112">
        <f ca="1">COUNTIFS(Tableau3[Classe CO],"&gt;&lt;",Tableau3[Saison],$AU$4,Tableau3[Mois],'TABLEAUX SOURCES'!$AT7,Tableau3[Producteur],cProducteur)</f>
        <v>0</v>
      </c>
      <c r="AZ7" s="112" t="str">
        <f ca="1">CONCATENATE($AM$5," ",AU17)</f>
        <v>août 2016-2017</v>
      </c>
      <c r="BA7" s="113" t="str">
        <f ca="1">INDEX($AT18:$AX28,MATCH($AZ$5,$AT18:$AT28,0),MATCH(BA5,$AT18:$AX18,0))</f>
        <v/>
      </c>
      <c r="BB7" s="113" t="str">
        <f t="shared" ref="BB7:BC7" ca="1" si="3">INDEX($AT18:$AX28,MATCH($AZ$5,$AT18:$AT28,0),MATCH(BB5,$AT18:$AX18,0))</f>
        <v/>
      </c>
      <c r="BC7" s="113" t="str">
        <f t="shared" ca="1" si="3"/>
        <v/>
      </c>
    </row>
    <row r="8" spans="1:57" ht="16.5" x14ac:dyDescent="0.3">
      <c r="B8" s="88"/>
      <c r="D8" s="92" t="s">
        <v>138</v>
      </c>
      <c r="E8" s="100" t="str">
        <f ca="1">IFERROR(AVERAGEIFS(Tableau3[MG g/l],Tableau3[Producteur],cProducteur,Tableau3[Saison],entete_MG_S1,Tableau3[Mois],'TABLEAUX SOURCES'!$D8),"")</f>
        <v/>
      </c>
      <c r="F8" s="100" t="str">
        <f ca="1">IFERROR(AVERAGEIFS(Tableau3[MG g/l],Tableau3[Producteur],cProducteur,Tableau3[Saison],entete_MG_S2,Tableau3[Mois],'TABLEAUX SOURCES'!$D8),"")</f>
        <v/>
      </c>
      <c r="G8" s="101" t="str">
        <f ca="1">IFERROR(AVERAGEIFS(Tableau3[MG g/l],Tableau3[Producteur],cProducteur,Tableau3[Saison],entete_MG_S3,Tableau3[Mois],'TABLEAUX SOURCES'!$D8),"")</f>
        <v/>
      </c>
      <c r="K8" s="92" t="s">
        <v>138</v>
      </c>
      <c r="L8" s="100" t="str">
        <f ca="1">IFERROR(AVERAGEIFS(Tableau3[MP g/l],Tableau3[Producteur],cProducteur,Tableau3[Saison],entete_MG_S1,Tableau3[Mois],'TABLEAUX SOURCES'!$D8),"")</f>
        <v/>
      </c>
      <c r="M8" s="100" t="str">
        <f ca="1">IFERROR(AVERAGEIFS(Tableau3[MP g/l],Tableau3[Producteur],cProducteur,Tableau3[Saison],entete_MG_S2,Tableau3[Mois],'TABLEAUX SOURCES'!$D8),"")</f>
        <v/>
      </c>
      <c r="N8" s="101" t="str">
        <f ca="1">IFERROR(AVERAGEIFS(Tableau3[MP g/l],Tableau3[Producteur],cProducteur,Tableau3[Saison],entete_MG_S3,Tableau3[Mois],'TABLEAUX SOURCES'!$D8),"")</f>
        <v/>
      </c>
      <c r="R8" s="112" t="s">
        <v>137</v>
      </c>
      <c r="S8" s="113" t="str">
        <f ca="1">IFERROR(COUNTIFS(Tableau3[Classe BU],$S$5,Tableau3[Saison],$S$4,Tableau3[Mois],'TABLEAUX SOURCES'!$R8,Tableau3[Producteur],cProducteur)/X8,"")</f>
        <v/>
      </c>
      <c r="T8" s="113" t="str">
        <f ca="1">IFERROR(COUNTIFS(Tableau3[Classe BU],$T$5,Tableau3[Saison],$S$4,Tableau3[Mois],'TABLEAUX SOURCES'!$R8,Tableau3[Producteur],cProducteur)/X8,"")</f>
        <v/>
      </c>
      <c r="U8" s="113" t="str">
        <f ca="1">IFERROR(COUNTIFS(Tableau3[Classe BU],$U$5,Tableau3[Saison],$S$4,Tableau3[Mois],'TABLEAUX SOURCES'!$R8,Tableau3[Producteur],cProducteur)/X8,"")</f>
        <v/>
      </c>
      <c r="V8" s="113" t="str">
        <f ca="1">IFERROR(COUNTIFS(Tableau3[Classe BU],$V$5,Tableau3[Saison],$S$4,Tableau3[Mois],'TABLEAUX SOURCES'!$R8,Tableau3[Producteur],cProducteur)/X8,"")</f>
        <v/>
      </c>
      <c r="W8" s="113" t="str">
        <f ca="1">IFERROR(COUNTIFS(Tableau3[Classe BU],$W$5,Tableau3[Saison],$S$4,Tableau3[Mois],'TABLEAUX SOURCES'!$R8,Tableau3[Producteur],cProducteur)/X8,"")</f>
        <v/>
      </c>
      <c r="X8" s="112">
        <f ca="1">COUNTIFS(Tableau3[Classe BU],"&gt;&lt;",Tableau3[Saison],$S$4,Tableau3[Mois],'TABLEAUX SOURCES'!$R8,Tableau3[Producteur],cProducteur)</f>
        <v>0</v>
      </c>
      <c r="Z8" s="112" t="str">
        <f ca="1">CONCATENATE($Z$5," ",B7)</f>
        <v>août 0</v>
      </c>
      <c r="AA8" s="113" t="str">
        <f ca="1">INDEX($R31:$X41,MATCH($Z5,$R31:$R41,0),MATCH(AA5,$R31:$X31,0))</f>
        <v/>
      </c>
      <c r="AB8" s="113" t="str">
        <f ca="1">INDEX($R31:$X41,MATCH($Z5,$R31:$R41,0),MATCH(AB5,$R31:$X31,0))</f>
        <v/>
      </c>
      <c r="AC8" s="113" t="str">
        <f ca="1">INDEX($R31:$X41,MATCH($Z5,$R31:$R41,0),MATCH(AC5,$R31:$X31,0))</f>
        <v/>
      </c>
      <c r="AD8" s="113" t="str">
        <f ca="1">INDEX($R31:$X41,MATCH($Z5,$R31:$R41,0),MATCH(AD5,$R31:$X31,0))</f>
        <v/>
      </c>
      <c r="AE8" s="113" t="str">
        <f ca="1">INDEX($R31:$X41,MATCH($Z5,$R31:$R41,0),MATCH(AE5,$R31:$X31,0))</f>
        <v/>
      </c>
      <c r="AG8" s="112" t="s">
        <v>137</v>
      </c>
      <c r="AH8" s="113" t="str">
        <f ca="1">IFERROR(COUNTIFS(Tableau3[Classe CE],$AH$5,Tableau3[Saison],$AH$4,Tableau3[Mois],'TABLEAUX SOURCES'!$AG8,Tableau3[Producteur],cProducteur)/AK8,"")</f>
        <v/>
      </c>
      <c r="AI8" s="113" t="str">
        <f ca="1">IFERROR(COUNTIFS(Tableau3[Classe CE],$AI$5,Tableau3[Saison],$AH$4,Tableau3[Mois],'TABLEAUX SOURCES'!$AG8,Tableau3[Producteur],cProducteur)/AK8,"")</f>
        <v/>
      </c>
      <c r="AJ8" s="113" t="str">
        <f ca="1">IFERROR(COUNTIFS(Tableau3[Classe CE],$AJ$5,Tableau3[Saison],$AH$4,Tableau3[Mois],'TABLEAUX SOURCES'!$AG8,Tableau3[Producteur],cProducteur)/$AK8,"")</f>
        <v/>
      </c>
      <c r="AK8" s="112">
        <f ca="1">COUNTIFS(Tableau3[Classe CE],"&gt;&lt;",Tableau3[Saison],$AH$4,Tableau3[Mois],'TABLEAUX SOURCES'!$AG8,Tableau3[Producteur],cProducteur)</f>
        <v>0</v>
      </c>
      <c r="AM8" s="112" t="str">
        <f ca="1">CONCATENATE($AM$5," ",AH30)</f>
        <v>août 0</v>
      </c>
      <c r="AN8" s="113" t="str">
        <f ca="1">INDEX($AG$31:$AK$41,MATCH($AM$5,$AG$31:$AG$41,0),MATCH(AN5,$AG$31:$AK$31,0))</f>
        <v/>
      </c>
      <c r="AO8" s="113" t="str">
        <f t="shared" ref="AO8:AP8" ca="1" si="4">INDEX($AG$31:$AK$41,MATCH($AM$5,$AG$31:$AG$41,0),MATCH(AO5,$AG$31:$AK$31,0))</f>
        <v/>
      </c>
      <c r="AP8" s="113" t="str">
        <f t="shared" ca="1" si="4"/>
        <v/>
      </c>
      <c r="AT8" s="112" t="s">
        <v>137</v>
      </c>
      <c r="AU8" s="113" t="str">
        <f ca="1">IFERROR(COUNTIFS(Tableau3[Classe CO],$AU$5,Tableau3[Saison],$AU$4,Tableau3[Mois],'TABLEAUX SOURCES'!$AT8,Tableau3[Producteur],cProducteur)/AX8,"")</f>
        <v/>
      </c>
      <c r="AV8" s="113" t="str">
        <f ca="1">IFERROR(COUNTIFS(Tableau3[Classe CO],$AI$5,Tableau3[Saison],$AU$4,Tableau3[Mois],'TABLEAUX SOURCES'!$AT8,Tableau3[Producteur],cProducteur)/AX8,"")</f>
        <v/>
      </c>
      <c r="AW8" s="113" t="str">
        <f ca="1">IFERROR(COUNTIFS(Tableau3[Classe CO],$AJ$5,Tableau3[Saison],$AU$4,Tableau3[Mois],'TABLEAUX SOURCES'!$AT8,Tableau3[Producteur],cProducteur)/$AK8,"")</f>
        <v/>
      </c>
      <c r="AX8" s="112">
        <f ca="1">COUNTIFS(Tableau3[Classe CO],"&gt;&lt;",Tableau3[Saison],$AU$4,Tableau3[Mois],'TABLEAUX SOURCES'!$AT8,Tableau3[Producteur],cProducteur)</f>
        <v>0</v>
      </c>
      <c r="AZ8" s="112" t="str">
        <f ca="1">CONCATENATE($AM$5," ",AU30)</f>
        <v>août 0</v>
      </c>
      <c r="BA8" s="113" t="str">
        <f ca="1">INDEX($AT31:$AX41,MATCH($AZ$5,$AT31:$AT41,0),MATCH(BA5,$AT31:$AX31,0))</f>
        <v/>
      </c>
      <c r="BB8" s="113" t="str">
        <f t="shared" ref="BB8:BC8" ca="1" si="5">INDEX($AT31:$AX41,MATCH($AZ$5,$AT31:$AT41,0),MATCH(BB5,$AT31:$AX31,0))</f>
        <v/>
      </c>
      <c r="BC8" s="113" t="str">
        <f t="shared" ca="1" si="5"/>
        <v/>
      </c>
    </row>
    <row r="9" spans="1:57" x14ac:dyDescent="0.25">
      <c r="D9" s="94" t="s">
        <v>139</v>
      </c>
      <c r="E9" s="98" t="str">
        <f ca="1">IFERROR(AVERAGEIFS(Tableau3[MG g/l],Tableau3[Producteur],cProducteur,Tableau3[Saison],entete_MG_S1,Tableau3[Mois],'TABLEAUX SOURCES'!$D9),"")</f>
        <v/>
      </c>
      <c r="F9" s="98" t="str">
        <f ca="1">IFERROR(AVERAGEIFS(Tableau3[MG g/l],Tableau3[Producteur],cProducteur,Tableau3[Saison],entete_MG_S2,Tableau3[Mois],'TABLEAUX SOURCES'!$D9),"")</f>
        <v/>
      </c>
      <c r="G9" s="99" t="str">
        <f ca="1">IFERROR(AVERAGEIFS(Tableau3[MG g/l],Tableau3[Producteur],cProducteur,Tableau3[Saison],entete_MG_S3,Tableau3[Mois],'TABLEAUX SOURCES'!$D9),"")</f>
        <v/>
      </c>
      <c r="K9" s="94" t="s">
        <v>139</v>
      </c>
      <c r="L9" s="98" t="str">
        <f ca="1">IFERROR(AVERAGEIFS(Tableau3[MP g/l],Tableau3[Producteur],cProducteur,Tableau3[Saison],entete_MG_S1,Tableau3[Mois],'TABLEAUX SOURCES'!$D9),"")</f>
        <v/>
      </c>
      <c r="M9" s="98" t="str">
        <f ca="1">IFERROR(AVERAGEIFS(Tableau3[MP g/l],Tableau3[Producteur],cProducteur,Tableau3[Saison],entete_MG_S2,Tableau3[Mois],'TABLEAUX SOURCES'!$D9),"")</f>
        <v/>
      </c>
      <c r="N9" s="99" t="str">
        <f ca="1">IFERROR(AVERAGEIFS(Tableau3[MP g/l],Tableau3[Producteur],cProducteur,Tableau3[Saison],entete_MG_S3,Tableau3[Mois],'TABLEAUX SOURCES'!$D9),"")</f>
        <v/>
      </c>
      <c r="R9" s="112" t="s">
        <v>138</v>
      </c>
      <c r="S9" s="113" t="str">
        <f ca="1">IFERROR(COUNTIFS(Tableau3[Classe BU],$S$5,Tableau3[Saison],$S$4,Tableau3[Mois],'TABLEAUX SOURCES'!$R9,Tableau3[Producteur],cProducteur)/X9,"")</f>
        <v/>
      </c>
      <c r="T9" s="113" t="str">
        <f ca="1">IFERROR(COUNTIFS(Tableau3[Classe BU],$T$5,Tableau3[Saison],$S$4,Tableau3[Mois],'TABLEAUX SOURCES'!$R9,Tableau3[Producteur],cProducteur)/X9,"")</f>
        <v/>
      </c>
      <c r="U9" s="113" t="str">
        <f ca="1">IFERROR(COUNTIFS(Tableau3[Classe BU],$U$5,Tableau3[Saison],$S$4,Tableau3[Mois],'TABLEAUX SOURCES'!$R9,Tableau3[Producteur],cProducteur)/X9,"")</f>
        <v/>
      </c>
      <c r="V9" s="113" t="str">
        <f ca="1">IFERROR(COUNTIFS(Tableau3[Classe BU],$V$5,Tableau3[Saison],$S$4,Tableau3[Mois],'TABLEAUX SOURCES'!$R9,Tableau3[Producteur],cProducteur)/X9,"")</f>
        <v/>
      </c>
      <c r="W9" s="113" t="str">
        <f ca="1">IFERROR(COUNTIFS(Tableau3[Classe BU],$W$5,Tableau3[Saison],$S$4,Tableau3[Mois],'TABLEAUX SOURCES'!$R9,Tableau3[Producteur],cProducteur)/X9,"")</f>
        <v/>
      </c>
      <c r="X9" s="112">
        <f ca="1">COUNTIFS(Tableau3[Classe BU],"&gt;&lt;",Tableau3[Saison],$S$4,Tableau3[Mois],'TABLEAUX SOURCES'!$R9,Tableau3[Producteur],cProducteur)</f>
        <v>0</v>
      </c>
      <c r="AG9" s="112" t="s">
        <v>138</v>
      </c>
      <c r="AH9" s="113" t="str">
        <f ca="1">IFERROR(COUNTIFS(Tableau3[Classe CE],$AH$5,Tableau3[Saison],$AH$4,Tableau3[Mois],'TABLEAUX SOURCES'!$AG9,Tableau3[Producteur],cProducteur)/AK9,"")</f>
        <v/>
      </c>
      <c r="AI9" s="113" t="str">
        <f ca="1">IFERROR(COUNTIFS(Tableau3[Classe CE],$AI$5,Tableau3[Saison],$AH$4,Tableau3[Mois],'TABLEAUX SOURCES'!$AG9,Tableau3[Producteur],cProducteur)/AK9,"")</f>
        <v/>
      </c>
      <c r="AJ9" s="113" t="str">
        <f ca="1">IFERROR(COUNTIFS(Tableau3[Classe CE],$AJ$5,Tableau3[Saison],$AH$4,Tableau3[Mois],'TABLEAUX SOURCES'!$AG9,Tableau3[Producteur],cProducteur)/$AK9,"")</f>
        <v/>
      </c>
      <c r="AK9" s="112">
        <f ca="1">COUNTIFS(Tableau3[Classe CE],"&gt;&lt;",Tableau3[Saison],$AH$4,Tableau3[Mois],'TABLEAUX SOURCES'!$AG9,Tableau3[Producteur],cProducteur)</f>
        <v>0</v>
      </c>
      <c r="AT9" s="112" t="s">
        <v>138</v>
      </c>
      <c r="AU9" s="113" t="str">
        <f ca="1">IFERROR(COUNTIFS(Tableau3[Classe CO],$AU$5,Tableau3[Saison],$AU$4,Tableau3[Mois],'TABLEAUX SOURCES'!$AT9,Tableau3[Producteur],cProducteur)/AX9,"")</f>
        <v/>
      </c>
      <c r="AV9" s="113" t="str">
        <f ca="1">IFERROR(COUNTIFS(Tableau3[Classe CO],$AI$5,Tableau3[Saison],$AU$4,Tableau3[Mois],'TABLEAUX SOURCES'!$AT9,Tableau3[Producteur],cProducteur)/AX9,"")</f>
        <v/>
      </c>
      <c r="AW9" s="113" t="str">
        <f ca="1">IFERROR(COUNTIFS(Tableau3[Classe CO],$AJ$5,Tableau3[Saison],$AU$4,Tableau3[Mois],'TABLEAUX SOURCES'!$AT9,Tableau3[Producteur],cProducteur)/$AK9,"")</f>
        <v/>
      </c>
      <c r="AX9" s="112">
        <f ca="1">COUNTIFS(Tableau3[Classe CO],"&gt;&lt;",Tableau3[Saison],$AU$4,Tableau3[Mois],'TABLEAUX SOURCES'!$AT9,Tableau3[Producteur],cProducteur)</f>
        <v>0</v>
      </c>
    </row>
    <row r="10" spans="1:57" x14ac:dyDescent="0.25">
      <c r="D10" s="92" t="s">
        <v>89</v>
      </c>
      <c r="E10" s="100">
        <f ca="1">IFERROR(AVERAGEIFS(Tableau3[MG g/l],Tableau3[Producteur],cProducteur,Tableau3[Saison],entete_MG_S1,Tableau3[Mois],'TABLEAUX SOURCES'!$D10),"")</f>
        <v>82</v>
      </c>
      <c r="F10" s="100">
        <f ca="1">IFERROR(AVERAGEIFS(Tableau3[MG g/l],Tableau3[Producteur],cProducteur,Tableau3[Saison],entete_MG_S2,Tableau3[Mois],'TABLEAUX SOURCES'!$D10),"")</f>
        <v>67</v>
      </c>
      <c r="G10" s="101" t="str">
        <f ca="1">IFERROR(AVERAGEIFS(Tableau3[MG g/l],Tableau3[Producteur],cProducteur,Tableau3[Saison],entete_MG_S3,Tableau3[Mois],'TABLEAUX SOURCES'!$D10),"")</f>
        <v/>
      </c>
      <c r="K10" s="92" t="s">
        <v>89</v>
      </c>
      <c r="L10" s="100">
        <f ca="1">IFERROR(AVERAGEIFS(Tableau3[MP g/l],Tableau3[Producteur],cProducteur,Tableau3[Saison],entete_MG_S1,Tableau3[Mois],'TABLEAUX SOURCES'!$D10),"")</f>
        <v>54.3</v>
      </c>
      <c r="M10" s="100">
        <f ca="1">IFERROR(AVERAGEIFS(Tableau3[MP g/l],Tableau3[Producteur],cProducteur,Tableau3[Saison],entete_MG_S2,Tableau3[Mois],'TABLEAUX SOURCES'!$D10),"")</f>
        <v>54.3</v>
      </c>
      <c r="N10" s="101" t="str">
        <f ca="1">IFERROR(AVERAGEIFS(Tableau3[MP g/l],Tableau3[Producteur],cProducteur,Tableau3[Saison],entete_MG_S3,Tableau3[Mois],'TABLEAUX SOURCES'!$D10),"")</f>
        <v/>
      </c>
      <c r="R10" s="112" t="s">
        <v>139</v>
      </c>
      <c r="S10" s="113" t="str">
        <f ca="1">IFERROR(COUNTIFS(Tableau3[Classe BU],$S$5,Tableau3[Saison],$S$4,Tableau3[Mois],'TABLEAUX SOURCES'!$R10,Tableau3[Producteur],cProducteur)/X10,"")</f>
        <v/>
      </c>
      <c r="T10" s="113" t="str">
        <f ca="1">IFERROR(COUNTIFS(Tableau3[Classe BU],$T$5,Tableau3[Saison],$S$4,Tableau3[Mois],'TABLEAUX SOURCES'!$R10,Tableau3[Producteur],cProducteur)/X10,"")</f>
        <v/>
      </c>
      <c r="U10" s="113" t="str">
        <f ca="1">IFERROR(COUNTIFS(Tableau3[Classe BU],$U$5,Tableau3[Saison],$S$4,Tableau3[Mois],'TABLEAUX SOURCES'!$R10,Tableau3[Producteur],cProducteur)/X10,"")</f>
        <v/>
      </c>
      <c r="V10" s="113" t="str">
        <f ca="1">IFERROR(COUNTIFS(Tableau3[Classe BU],$V$5,Tableau3[Saison],$S$4,Tableau3[Mois],'TABLEAUX SOURCES'!$R10,Tableau3[Producteur],cProducteur)/X10,"")</f>
        <v/>
      </c>
      <c r="W10" s="113" t="str">
        <f ca="1">IFERROR(COUNTIFS(Tableau3[Classe BU],$W$5,Tableau3[Saison],$S$4,Tableau3[Mois],'TABLEAUX SOURCES'!$R10,Tableau3[Producteur],cProducteur)/X10,"")</f>
        <v/>
      </c>
      <c r="X10" s="112">
        <f ca="1">COUNTIFS(Tableau3[Classe BU],"&gt;&lt;",Tableau3[Saison],$S$4,Tableau3[Mois],'TABLEAUX SOURCES'!$R10,Tableau3[Producteur],cProducteur)</f>
        <v>0</v>
      </c>
      <c r="AG10" s="112" t="s">
        <v>139</v>
      </c>
      <c r="AH10" s="113" t="str">
        <f ca="1">IFERROR(COUNTIFS(Tableau3[Classe CE],$AH$5,Tableau3[Saison],$AH$4,Tableau3[Mois],'TABLEAUX SOURCES'!$AG10,Tableau3[Producteur],cProducteur)/AK10,"")</f>
        <v/>
      </c>
      <c r="AI10" s="113" t="str">
        <f ca="1">IFERROR(COUNTIFS(Tableau3[Classe CE],$AI$5,Tableau3[Saison],$AH$4,Tableau3[Mois],'TABLEAUX SOURCES'!$AG10,Tableau3[Producteur],cProducteur)/AK10,"")</f>
        <v/>
      </c>
      <c r="AJ10" s="113" t="str">
        <f ca="1">IFERROR(COUNTIFS(Tableau3[Classe CE],$AJ$5,Tableau3[Saison],$AH$4,Tableau3[Mois],'TABLEAUX SOURCES'!$AG10,Tableau3[Producteur],cProducteur)/$AK10,"")</f>
        <v/>
      </c>
      <c r="AK10" s="112">
        <f ca="1">COUNTIFS(Tableau3[Classe CE],"&gt;&lt;",Tableau3[Saison],$AH$4,Tableau3[Mois],'TABLEAUX SOURCES'!$AG10,Tableau3[Producteur],cProducteur)</f>
        <v>0</v>
      </c>
      <c r="AQ10" s="10"/>
      <c r="AT10" s="112" t="s">
        <v>139</v>
      </c>
      <c r="AU10" s="113" t="str">
        <f ca="1">IFERROR(COUNTIFS(Tableau3[Classe CO],$AU$5,Tableau3[Saison],$AU$4,Tableau3[Mois],'TABLEAUX SOURCES'!$AT10,Tableau3[Producteur],cProducteur)/AX10,"")</f>
        <v/>
      </c>
      <c r="AV10" s="113" t="str">
        <f ca="1">IFERROR(COUNTIFS(Tableau3[Classe CO],$AI$5,Tableau3[Saison],$AU$4,Tableau3[Mois],'TABLEAUX SOURCES'!$AT10,Tableau3[Producteur],cProducteur)/AX10,"")</f>
        <v/>
      </c>
      <c r="AW10" s="113" t="str">
        <f ca="1">IFERROR(COUNTIFS(Tableau3[Classe CO],$AJ$5,Tableau3[Saison],$AU$4,Tableau3[Mois],'TABLEAUX SOURCES'!$AT10,Tableau3[Producteur],cProducteur)/$AK10,"")</f>
        <v/>
      </c>
      <c r="AX10" s="112">
        <f ca="1">COUNTIFS(Tableau3[Classe CO],"&gt;&lt;",Tableau3[Saison],$AU$4,Tableau3[Mois],'TABLEAUX SOURCES'!$AT10,Tableau3[Producteur],cProducteur)</f>
        <v>0</v>
      </c>
      <c r="BD10" s="10"/>
    </row>
    <row r="11" spans="1:57" x14ac:dyDescent="0.25">
      <c r="D11" s="94" t="s">
        <v>140</v>
      </c>
      <c r="E11" s="98">
        <f ca="1">IFERROR(AVERAGEIFS(Tableau3[MG g/l],Tableau3[Producteur],cProducteur,Tableau3[Saison],entete_MG_S1,Tableau3[Mois],'TABLEAUX SOURCES'!$D11),"")</f>
        <v>97</v>
      </c>
      <c r="F11" s="98" t="str">
        <f ca="1">IFERROR(AVERAGEIFS(Tableau3[MG g/l],Tableau3[Producteur],cProducteur,Tableau3[Saison],entete_MG_S2,Tableau3[Mois],'TABLEAUX SOURCES'!$D11),"")</f>
        <v/>
      </c>
      <c r="G11" s="99" t="str">
        <f ca="1">IFERROR(AVERAGEIFS(Tableau3[MG g/l],Tableau3[Producteur],cProducteur,Tableau3[Saison],entete_MG_S3,Tableau3[Mois],'TABLEAUX SOURCES'!$D11),"")</f>
        <v/>
      </c>
      <c r="K11" s="94" t="s">
        <v>140</v>
      </c>
      <c r="L11" s="98">
        <f ca="1">IFERROR(AVERAGEIFS(Tableau3[MP g/l],Tableau3[Producteur],cProducteur,Tableau3[Saison],entete_MG_S1,Tableau3[Mois],'TABLEAUX SOURCES'!$D11),"")</f>
        <v>54.3</v>
      </c>
      <c r="M11" s="98" t="str">
        <f ca="1">IFERROR(AVERAGEIFS(Tableau3[MP g/l],Tableau3[Producteur],cProducteur,Tableau3[Saison],entete_MG_S2,Tableau3[Mois],'TABLEAUX SOURCES'!$D11),"")</f>
        <v/>
      </c>
      <c r="N11" s="99" t="str">
        <f ca="1">IFERROR(AVERAGEIFS(Tableau3[MP g/l],Tableau3[Producteur],cProducteur,Tableau3[Saison],entete_MG_S3,Tableau3[Mois],'TABLEAUX SOURCES'!$D11),"")</f>
        <v/>
      </c>
      <c r="R11" s="112" t="s">
        <v>89</v>
      </c>
      <c r="S11" s="113">
        <f ca="1">IFERROR(COUNTIFS(Tableau3[Classe BU],$S$5,Tableau3[Saison],$S$4,Tableau3[Mois],'TABLEAUX SOURCES'!$R11,Tableau3[Producteur],cProducteur)/X11,"")</f>
        <v>0</v>
      </c>
      <c r="T11" s="113">
        <f ca="1">IFERROR(COUNTIFS(Tableau3[Classe BU],$T$5,Tableau3[Saison],$S$4,Tableau3[Mois],'TABLEAUX SOURCES'!$R11,Tableau3[Producteur],cProducteur)/X11,"")</f>
        <v>1</v>
      </c>
      <c r="U11" s="113">
        <f ca="1">IFERROR(COUNTIFS(Tableau3[Classe BU],$U$5,Tableau3[Saison],$S$4,Tableau3[Mois],'TABLEAUX SOURCES'!$R11,Tableau3[Producteur],cProducteur)/X11,"")</f>
        <v>0</v>
      </c>
      <c r="V11" s="113">
        <f ca="1">IFERROR(COUNTIFS(Tableau3[Classe BU],$V$5,Tableau3[Saison],$S$4,Tableau3[Mois],'TABLEAUX SOURCES'!$R11,Tableau3[Producteur],cProducteur)/X11,"")</f>
        <v>0</v>
      </c>
      <c r="W11" s="113">
        <f ca="1">IFERROR(COUNTIFS(Tableau3[Classe BU],$W$5,Tableau3[Saison],$S$4,Tableau3[Mois],'TABLEAUX SOURCES'!$R11,Tableau3[Producteur],cProducteur)/X11,"")</f>
        <v>0</v>
      </c>
      <c r="X11" s="112">
        <f ca="1">COUNTIFS(Tableau3[Classe BU],"&gt;&lt;",Tableau3[Saison],$S$4,Tableau3[Mois],'TABLEAUX SOURCES'!$R11,Tableau3[Producteur],cProducteur)</f>
        <v>1</v>
      </c>
      <c r="Z11" s="114"/>
      <c r="AA11" s="114"/>
      <c r="AB11" s="114"/>
      <c r="AC11" s="114"/>
      <c r="AD11" s="114"/>
      <c r="AE11" s="114"/>
      <c r="AG11" s="112" t="s">
        <v>89</v>
      </c>
      <c r="AH11" s="113">
        <f ca="1">IFERROR(COUNTIFS(Tableau3[Classe CE],$AH$5,Tableau3[Saison],$AH$4,Tableau3[Mois],'TABLEAUX SOURCES'!$AG11,Tableau3[Producteur],cProducteur)/AK11,"")</f>
        <v>0</v>
      </c>
      <c r="AI11" s="113">
        <f ca="1">IFERROR(COUNTIFS(Tableau3[Classe CE],$AI$5,Tableau3[Saison],$AH$4,Tableau3[Mois],'TABLEAUX SOURCES'!$AG11,Tableau3[Producteur],cProducteur)/AK11,"")</f>
        <v>0</v>
      </c>
      <c r="AJ11" s="113">
        <f ca="1">IFERROR(COUNTIFS(Tableau3[Classe CE],$AJ$5,Tableau3[Saison],$AH$4,Tableau3[Mois],'TABLEAUX SOURCES'!$AG11,Tableau3[Producteur],cProducteur)/$AK11,"")</f>
        <v>1</v>
      </c>
      <c r="AK11" s="112">
        <f ca="1">COUNTIFS(Tableau3[Classe CE],"&gt;&lt;",Tableau3[Saison],$AH$4,Tableau3[Mois],'TABLEAUX SOURCES'!$AG11,Tableau3[Producteur],cProducteur)</f>
        <v>1</v>
      </c>
      <c r="AM11" s="114"/>
      <c r="AN11" s="114"/>
      <c r="AO11" s="114"/>
      <c r="AP11" s="114"/>
      <c r="AQ11" s="114"/>
      <c r="AR11" s="114"/>
      <c r="AT11" s="112" t="s">
        <v>89</v>
      </c>
      <c r="AU11" s="113">
        <f ca="1">IFERROR(COUNTIFS(Tableau3[Classe CO],$AU$5,Tableau3[Saison],$AU$4,Tableau3[Mois],'TABLEAUX SOURCES'!$AT11,Tableau3[Producteur],cProducteur)/AX11,"")</f>
        <v>0</v>
      </c>
      <c r="AV11" s="113">
        <f ca="1">IFERROR(COUNTIFS(Tableau3[Classe CO],$AI$5,Tableau3[Saison],$AU$4,Tableau3[Mois],'TABLEAUX SOURCES'!$AT11,Tableau3[Producteur],cProducteur)/AX11,"")</f>
        <v>1</v>
      </c>
      <c r="AW11" s="113">
        <f ca="1">IFERROR(COUNTIFS(Tableau3[Classe CO],$AJ$5,Tableau3[Saison],$AU$4,Tableau3[Mois],'TABLEAUX SOURCES'!$AT11,Tableau3[Producteur],cProducteur)/$AK11,"")</f>
        <v>0</v>
      </c>
      <c r="AX11" s="112">
        <f ca="1">COUNTIFS(Tableau3[Classe CO],"&gt;&lt;",Tableau3[Saison],$AU$4,Tableau3[Mois],'TABLEAUX SOURCES'!$AT11,Tableau3[Producteur],cProducteur)</f>
        <v>1</v>
      </c>
      <c r="AZ11" s="114"/>
      <c r="BA11" s="114"/>
      <c r="BB11" s="114"/>
      <c r="BC11" s="114"/>
      <c r="BD11" s="114"/>
      <c r="BE11" s="114"/>
    </row>
    <row r="12" spans="1:57" x14ac:dyDescent="0.25">
      <c r="D12" s="92" t="s">
        <v>141</v>
      </c>
      <c r="E12" s="100" t="str">
        <f ca="1">IFERROR(AVERAGEIFS(Tableau3[MG g/l],Tableau3[Producteur],cProducteur,Tableau3[Saison],entete_MG_S1,Tableau3[Mois],'TABLEAUX SOURCES'!$D12),"")</f>
        <v/>
      </c>
      <c r="F12" s="100" t="str">
        <f ca="1">IFERROR(AVERAGEIFS(Tableau3[MG g/l],Tableau3[Producteur],cProducteur,Tableau3[Saison],entete_MG_S2,Tableau3[Mois],'TABLEAUX SOURCES'!$D12),"")</f>
        <v/>
      </c>
      <c r="G12" s="101" t="str">
        <f ca="1">IFERROR(AVERAGEIFS(Tableau3[MG g/l],Tableau3[Producteur],cProducteur,Tableau3[Saison],entete_MG_S3,Tableau3[Mois],'TABLEAUX SOURCES'!$D12),"")</f>
        <v/>
      </c>
      <c r="K12" s="92" t="s">
        <v>141</v>
      </c>
      <c r="L12" s="100" t="str">
        <f ca="1">IFERROR(AVERAGEIFS(Tableau3[MP g/l],Tableau3[Producteur],cProducteur,Tableau3[Saison],entete_MG_S1,Tableau3[Mois],'TABLEAUX SOURCES'!$D12),"")</f>
        <v/>
      </c>
      <c r="M12" s="100" t="str">
        <f ca="1">IFERROR(AVERAGEIFS(Tableau3[MP g/l],Tableau3[Producteur],cProducteur,Tableau3[Saison],entete_MG_S2,Tableau3[Mois],'TABLEAUX SOURCES'!$D12),"")</f>
        <v/>
      </c>
      <c r="N12" s="101" t="str">
        <f ca="1">IFERROR(AVERAGEIFS(Tableau3[MP g/l],Tableau3[Producteur],cProducteur,Tableau3[Saison],entete_MG_S3,Tableau3[Mois],'TABLEAUX SOURCES'!$D12),"")</f>
        <v/>
      </c>
      <c r="R12" s="112" t="s">
        <v>140</v>
      </c>
      <c r="S12" s="113">
        <f ca="1">IFERROR(COUNTIFS(Tableau3[Classe BU],$S$5,Tableau3[Saison],$S$4,Tableau3[Mois],'TABLEAUX SOURCES'!$R12,Tableau3[Producteur],cProducteur)/X12,"")</f>
        <v>0</v>
      </c>
      <c r="T12" s="113">
        <f ca="1">IFERROR(COUNTIFS(Tableau3[Classe BU],$T$5,Tableau3[Saison],$S$4,Tableau3[Mois],'TABLEAUX SOURCES'!$R12,Tableau3[Producteur],cProducteur)/X12,"")</f>
        <v>1</v>
      </c>
      <c r="U12" s="113">
        <f ca="1">IFERROR(COUNTIFS(Tableau3[Classe BU],$U$5,Tableau3[Saison],$S$4,Tableau3[Mois],'TABLEAUX SOURCES'!$R12,Tableau3[Producteur],cProducteur)/X12,"")</f>
        <v>0</v>
      </c>
      <c r="V12" s="113">
        <f ca="1">IFERROR(COUNTIFS(Tableau3[Classe BU],$V$5,Tableau3[Saison],$S$4,Tableau3[Mois],'TABLEAUX SOURCES'!$R12,Tableau3[Producteur],cProducteur)/X12,"")</f>
        <v>0</v>
      </c>
      <c r="W12" s="113">
        <f ca="1">IFERROR(COUNTIFS(Tableau3[Classe BU],$W$5,Tableau3[Saison],$S$4,Tableau3[Mois],'TABLEAUX SOURCES'!$R12,Tableau3[Producteur],cProducteur)/X12,"")</f>
        <v>0</v>
      </c>
      <c r="X12" s="112">
        <f ca="1">COUNTIFS(Tableau3[Classe BU],"&gt;&lt;",Tableau3[Saison],$S$4,Tableau3[Mois],'TABLEAUX SOURCES'!$R12,Tableau3[Producteur],cProducteur)</f>
        <v>1</v>
      </c>
      <c r="Z12" s="114"/>
      <c r="AA12" s="114"/>
      <c r="AB12" s="114"/>
      <c r="AC12" s="114"/>
      <c r="AD12" s="114"/>
      <c r="AE12" s="114"/>
      <c r="AG12" s="112" t="s">
        <v>140</v>
      </c>
      <c r="AH12" s="113">
        <f ca="1">IFERROR(COUNTIFS(Tableau3[Classe CE],$AH$5,Tableau3[Saison],$AH$4,Tableau3[Mois],'TABLEAUX SOURCES'!$AG12,Tableau3[Producteur],cProducteur)/AK12,"")</f>
        <v>0</v>
      </c>
      <c r="AI12" s="113">
        <f ca="1">IFERROR(COUNTIFS(Tableau3[Classe CE],$AI$5,Tableau3[Saison],$AH$4,Tableau3[Mois],'TABLEAUX SOURCES'!$AG12,Tableau3[Producteur],cProducteur)/AK12,"")</f>
        <v>0</v>
      </c>
      <c r="AJ12" s="113">
        <f ca="1">IFERROR(COUNTIFS(Tableau3[Classe CE],$AJ$5,Tableau3[Saison],$AH$4,Tableau3[Mois],'TABLEAUX SOURCES'!$AG12,Tableau3[Producteur],cProducteur)/$AK12,"")</f>
        <v>1</v>
      </c>
      <c r="AK12" s="112">
        <f ca="1">COUNTIFS(Tableau3[Classe CE],"&gt;&lt;",Tableau3[Saison],$AH$4,Tableau3[Mois],'TABLEAUX SOURCES'!$AG12,Tableau3[Producteur],cProducteur)</f>
        <v>1</v>
      </c>
      <c r="AM12" s="114"/>
      <c r="AN12" s="114"/>
      <c r="AO12" s="114"/>
      <c r="AP12" s="114"/>
      <c r="AQ12" s="114"/>
      <c r="AR12" s="114"/>
      <c r="AT12" s="112" t="s">
        <v>140</v>
      </c>
      <c r="AU12" s="113">
        <f ca="1">IFERROR(COUNTIFS(Tableau3[Classe CO],$AU$5,Tableau3[Saison],$AU$4,Tableau3[Mois],'TABLEAUX SOURCES'!$AT12,Tableau3[Producteur],cProducteur)/AX12,"")</f>
        <v>1</v>
      </c>
      <c r="AV12" s="113">
        <f ca="1">IFERROR(COUNTIFS(Tableau3[Classe CO],$AI$5,Tableau3[Saison],$AU$4,Tableau3[Mois],'TABLEAUX SOURCES'!$AT12,Tableau3[Producteur],cProducteur)/AX12,"")</f>
        <v>0</v>
      </c>
      <c r="AW12" s="113">
        <f ca="1">IFERROR(COUNTIFS(Tableau3[Classe CO],$AJ$5,Tableau3[Saison],$AU$4,Tableau3[Mois],'TABLEAUX SOURCES'!$AT12,Tableau3[Producteur],cProducteur)/$AK12,"")</f>
        <v>0</v>
      </c>
      <c r="AX12" s="112">
        <f ca="1">COUNTIFS(Tableau3[Classe CO],"&gt;&lt;",Tableau3[Saison],$AU$4,Tableau3[Mois],'TABLEAUX SOURCES'!$AT12,Tableau3[Producteur],cProducteur)</f>
        <v>1</v>
      </c>
      <c r="AZ12" s="114"/>
      <c r="BA12" s="114"/>
      <c r="BB12" s="114"/>
      <c r="BC12" s="114"/>
      <c r="BD12" s="114"/>
      <c r="BE12" s="114"/>
    </row>
    <row r="13" spans="1:57" x14ac:dyDescent="0.25">
      <c r="D13" s="94" t="s">
        <v>142</v>
      </c>
      <c r="E13" s="98" t="str">
        <f ca="1">IFERROR(AVERAGEIFS(Tableau3[MG g/l],Tableau3[Producteur],cProducteur,Tableau3[Saison],entete_MG_S1,Tableau3[Mois],'TABLEAUX SOURCES'!$D13),"")</f>
        <v/>
      </c>
      <c r="F13" s="98" t="str">
        <f ca="1">IFERROR(AVERAGEIFS(Tableau3[MG g/l],Tableau3[Producteur],cProducteur,Tableau3[Saison],entete_MG_S2,Tableau3[Mois],'TABLEAUX SOURCES'!$D13),"")</f>
        <v/>
      </c>
      <c r="G13" s="99" t="str">
        <f ca="1">IFERROR(AVERAGEIFS(Tableau3[MG g/l],Tableau3[Producteur],cProducteur,Tableau3[Saison],entete_MG_S3,Tableau3[Mois],'TABLEAUX SOURCES'!$D13),"")</f>
        <v/>
      </c>
      <c r="K13" s="94" t="s">
        <v>142</v>
      </c>
      <c r="L13" s="98" t="str">
        <f ca="1">IFERROR(AVERAGEIFS(Tableau3[MP g/l],Tableau3[Producteur],cProducteur,Tableau3[Saison],entete_MG_S1,Tableau3[Mois],'TABLEAUX SOURCES'!$D13),"")</f>
        <v/>
      </c>
      <c r="M13" s="98" t="str">
        <f ca="1">IFERROR(AVERAGEIFS(Tableau3[MP g/l],Tableau3[Producteur],cProducteur,Tableau3[Saison],entete_MG_S2,Tableau3[Mois],'TABLEAUX SOURCES'!$D13),"")</f>
        <v/>
      </c>
      <c r="N13" s="99" t="str">
        <f ca="1">IFERROR(AVERAGEIFS(Tableau3[MP g/l],Tableau3[Producteur],cProducteur,Tableau3[Saison],entete_MG_S3,Tableau3[Mois],'TABLEAUX SOURCES'!$D13),"")</f>
        <v/>
      </c>
      <c r="R13" s="112" t="s">
        <v>141</v>
      </c>
      <c r="S13" s="113" t="str">
        <f ca="1">IFERROR(COUNTIFS(Tableau3[Classe BU],$S$5,Tableau3[Saison],$S$4,Tableau3[Mois],'TABLEAUX SOURCES'!$R13,Tableau3[Producteur],cProducteur)/X13,"")</f>
        <v/>
      </c>
      <c r="T13" s="113" t="str">
        <f ca="1">IFERROR(COUNTIFS(Tableau3[Classe BU],$T$5,Tableau3[Saison],$S$4,Tableau3[Mois],'TABLEAUX SOURCES'!$R13,Tableau3[Producteur],cProducteur)/X13,"")</f>
        <v/>
      </c>
      <c r="U13" s="113" t="str">
        <f ca="1">IFERROR(COUNTIFS(Tableau3[Classe BU],$U$5,Tableau3[Saison],$S$4,Tableau3[Mois],'TABLEAUX SOURCES'!$R13,Tableau3[Producteur],cProducteur)/X13,"")</f>
        <v/>
      </c>
      <c r="V13" s="113" t="str">
        <f ca="1">IFERROR(COUNTIFS(Tableau3[Classe BU],$V$5,Tableau3[Saison],$S$4,Tableau3[Mois],'TABLEAUX SOURCES'!$R13,Tableau3[Producteur],cProducteur)/X13,"")</f>
        <v/>
      </c>
      <c r="W13" s="113" t="str">
        <f ca="1">IFERROR(COUNTIFS(Tableau3[Classe BU],$W$5,Tableau3[Saison],$S$4,Tableau3[Mois],'TABLEAUX SOURCES'!$R13,Tableau3[Producteur],cProducteur)/X13,"")</f>
        <v/>
      </c>
      <c r="X13" s="112">
        <f ca="1">COUNTIFS(Tableau3[Classe BU],"&gt;&lt;",Tableau3[Saison],$S$4,Tableau3[Mois],'TABLEAUX SOURCES'!$R13,Tableau3[Producteur],cProducteur)</f>
        <v>0</v>
      </c>
      <c r="Z13" s="114"/>
      <c r="AA13" s="114"/>
      <c r="AB13" s="114"/>
      <c r="AC13" s="114"/>
      <c r="AD13" s="114"/>
      <c r="AE13" s="114"/>
      <c r="AG13" s="112" t="s">
        <v>141</v>
      </c>
      <c r="AH13" s="113" t="str">
        <f ca="1">IFERROR(COUNTIFS(Tableau3[Classe CE],$AH$5,Tableau3[Saison],$AH$4,Tableau3[Mois],'TABLEAUX SOURCES'!$AG13,Tableau3[Producteur],cProducteur)/AK13,"")</f>
        <v/>
      </c>
      <c r="AI13" s="113" t="str">
        <f ca="1">IFERROR(COUNTIFS(Tableau3[Classe CE],$AI$5,Tableau3[Saison],$AH$4,Tableau3[Mois],'TABLEAUX SOURCES'!$AG13,Tableau3[Producteur],cProducteur)/AK13,"")</f>
        <v/>
      </c>
      <c r="AJ13" s="113" t="str">
        <f ca="1">IFERROR(COUNTIFS(Tableau3[Classe CE],$AJ$5,Tableau3[Saison],$AH$4,Tableau3[Mois],'TABLEAUX SOURCES'!$AG13,Tableau3[Producteur],cProducteur)/$AK13,"")</f>
        <v/>
      </c>
      <c r="AK13" s="112">
        <f ca="1">COUNTIFS(Tableau3[Classe CE],"&gt;&lt;",Tableau3[Saison],$AH$4,Tableau3[Mois],'TABLEAUX SOURCES'!$AG13,Tableau3[Producteur],cProducteur)</f>
        <v>0</v>
      </c>
      <c r="AM13" s="114"/>
      <c r="AN13" s="114"/>
      <c r="AO13" s="114"/>
      <c r="AP13" s="114"/>
      <c r="AQ13" s="114"/>
      <c r="AR13" s="114"/>
      <c r="AT13" s="112" t="s">
        <v>141</v>
      </c>
      <c r="AU13" s="113" t="str">
        <f ca="1">IFERROR(COUNTIFS(Tableau3[Classe CO],$AU$5,Tableau3[Saison],$AU$4,Tableau3[Mois],'TABLEAUX SOURCES'!$AT13,Tableau3[Producteur],cProducteur)/AX13,"")</f>
        <v/>
      </c>
      <c r="AV13" s="113" t="str">
        <f ca="1">IFERROR(COUNTIFS(Tableau3[Classe CO],$AI$5,Tableau3[Saison],$AU$4,Tableau3[Mois],'TABLEAUX SOURCES'!$AT13,Tableau3[Producteur],cProducteur)/AX13,"")</f>
        <v/>
      </c>
      <c r="AW13" s="113" t="str">
        <f ca="1">IFERROR(COUNTIFS(Tableau3[Classe CO],$AJ$5,Tableau3[Saison],$AU$4,Tableau3[Mois],'TABLEAUX SOURCES'!$AT13,Tableau3[Producteur],cProducteur)/$AK13,"")</f>
        <v/>
      </c>
      <c r="AX13" s="112">
        <f ca="1">COUNTIFS(Tableau3[Classe CO],"&gt;&lt;",Tableau3[Saison],$AU$4,Tableau3[Mois],'TABLEAUX SOURCES'!$AT13,Tableau3[Producteur],cProducteur)</f>
        <v>0</v>
      </c>
      <c r="AZ13" s="114"/>
      <c r="BA13" s="114"/>
      <c r="BB13" s="114"/>
      <c r="BC13" s="114"/>
      <c r="BD13" s="114"/>
      <c r="BE13" s="114"/>
    </row>
    <row r="14" spans="1:57" x14ac:dyDescent="0.25">
      <c r="D14" s="78" t="s">
        <v>143</v>
      </c>
      <c r="E14" s="102" t="str">
        <f ca="1">IFERROR(AVERAGEIFS(Tableau3[MG g/l],Tableau3[Producteur],cProducteur,Tableau3[Saison],entete_MG_S1,Tableau3[Mois],'TABLEAUX SOURCES'!$D14),"")</f>
        <v/>
      </c>
      <c r="F14" s="102" t="str">
        <f ca="1">IFERROR(AVERAGEIFS(Tableau3[MG g/l],Tableau3[Producteur],cProducteur,Tableau3[Saison],entete_MG_S2,Tableau3[Mois],'TABLEAUX SOURCES'!$D14),"")</f>
        <v/>
      </c>
      <c r="G14" s="103" t="str">
        <f ca="1">IFERROR(AVERAGEIFS(Tableau3[MG g/l],Tableau3[Producteur],cProducteur,Tableau3[Saison],entete_MG_S3,Tableau3[Mois],'TABLEAUX SOURCES'!$D14),"")</f>
        <v/>
      </c>
      <c r="K14" s="78" t="s">
        <v>143</v>
      </c>
      <c r="L14" s="102" t="str">
        <f ca="1">IFERROR(AVERAGEIFS(Tableau3[MP g/l],Tableau3[Producteur],cProducteur,Tableau3[Saison],entete_MG_S1,Tableau3[Mois],'TABLEAUX SOURCES'!$D14),"")</f>
        <v/>
      </c>
      <c r="M14" s="102" t="str">
        <f ca="1">IFERROR(AVERAGEIFS(Tableau3[MP g/l],Tableau3[Producteur],cProducteur,Tableau3[Saison],entete_MG_S2,Tableau3[Mois],'TABLEAUX SOURCES'!$D14),"")</f>
        <v/>
      </c>
      <c r="N14" s="103" t="str">
        <f ca="1">IFERROR(AVERAGEIFS(Tableau3[MP g/l],Tableau3[Producteur],cProducteur,Tableau3[Saison],entete_MG_S3,Tableau3[Mois],'TABLEAUX SOURCES'!$D14),"")</f>
        <v/>
      </c>
      <c r="R14" s="112" t="s">
        <v>142</v>
      </c>
      <c r="S14" s="113" t="str">
        <f ca="1">IFERROR(COUNTIFS(Tableau3[Classe BU],$S$5,Tableau3[Saison],$S$4,Tableau3[Mois],'TABLEAUX SOURCES'!$R14,Tableau3[Producteur],cProducteur)/X14,"")</f>
        <v/>
      </c>
      <c r="T14" s="113" t="str">
        <f ca="1">IFERROR(COUNTIFS(Tableau3[Classe BU],$T$5,Tableau3[Saison],$S$4,Tableau3[Mois],'TABLEAUX SOURCES'!$R14,Tableau3[Producteur],cProducteur)/X14,"")</f>
        <v/>
      </c>
      <c r="U14" s="113" t="str">
        <f ca="1">IFERROR(COUNTIFS(Tableau3[Classe BU],$U$5,Tableau3[Saison],$S$4,Tableau3[Mois],'TABLEAUX SOURCES'!$R14,Tableau3[Producteur],cProducteur)/X14,"")</f>
        <v/>
      </c>
      <c r="V14" s="113" t="str">
        <f ca="1">IFERROR(COUNTIFS(Tableau3[Classe BU],$V$5,Tableau3[Saison],$S$4,Tableau3[Mois],'TABLEAUX SOURCES'!$R14,Tableau3[Producteur],cProducteur)/X14,"")</f>
        <v/>
      </c>
      <c r="W14" s="113" t="str">
        <f ca="1">IFERROR(COUNTIFS(Tableau3[Classe BU],$W$5,Tableau3[Saison],$S$4,Tableau3[Mois],'TABLEAUX SOURCES'!$R14,Tableau3[Producteur],cProducteur)/X14,"")</f>
        <v/>
      </c>
      <c r="X14" s="112">
        <f ca="1">COUNTIFS(Tableau3[Classe BU],"&gt;&lt;",Tableau3[Saison],$S$4,Tableau3[Mois],'TABLEAUX SOURCES'!$R14,Tableau3[Producteur],cProducteur)</f>
        <v>0</v>
      </c>
      <c r="Z14" s="114"/>
      <c r="AA14" s="114"/>
      <c r="AB14" s="114"/>
      <c r="AC14" s="114"/>
      <c r="AD14" s="114"/>
      <c r="AE14" s="114"/>
      <c r="AG14" s="112" t="s">
        <v>142</v>
      </c>
      <c r="AH14" s="113" t="str">
        <f ca="1">IFERROR(COUNTIFS(Tableau3[Classe CE],$AH$5,Tableau3[Saison],$AH$4,Tableau3[Mois],'TABLEAUX SOURCES'!$AG14,Tableau3[Producteur],cProducteur)/AK14,"")</f>
        <v/>
      </c>
      <c r="AI14" s="113" t="str">
        <f ca="1">IFERROR(COUNTIFS(Tableau3[Classe CE],$AI$5,Tableau3[Saison],$AH$4,Tableau3[Mois],'TABLEAUX SOURCES'!$AG14,Tableau3[Producteur],cProducteur)/AK14,"")</f>
        <v/>
      </c>
      <c r="AJ14" s="113" t="str">
        <f ca="1">IFERROR(COUNTIFS(Tableau3[Classe CE],$AJ$5,Tableau3[Saison],$AH$4,Tableau3[Mois],'TABLEAUX SOURCES'!$AG14,Tableau3[Producteur],cProducteur)/$AK14,"")</f>
        <v/>
      </c>
      <c r="AK14" s="112">
        <f ca="1">COUNTIFS(Tableau3[Classe CE],"&gt;&lt;",Tableau3[Saison],$AH$4,Tableau3[Mois],'TABLEAUX SOURCES'!$AG14,Tableau3[Producteur],cProducteur)</f>
        <v>0</v>
      </c>
      <c r="AM14" s="114"/>
      <c r="AN14" s="114"/>
      <c r="AO14" s="114"/>
      <c r="AP14" s="114"/>
      <c r="AQ14" s="114"/>
      <c r="AR14" s="114"/>
      <c r="AT14" s="112" t="s">
        <v>142</v>
      </c>
      <c r="AU14" s="113" t="str">
        <f ca="1">IFERROR(COUNTIFS(Tableau3[Classe CO],$AU$5,Tableau3[Saison],$AU$4,Tableau3[Mois],'TABLEAUX SOURCES'!$AT14,Tableau3[Producteur],cProducteur)/AX14,"")</f>
        <v/>
      </c>
      <c r="AV14" s="113" t="str">
        <f ca="1">IFERROR(COUNTIFS(Tableau3[Classe CO],$AI$5,Tableau3[Saison],$AU$4,Tableau3[Mois],'TABLEAUX SOURCES'!$AT14,Tableau3[Producteur],cProducteur)/AX14,"")</f>
        <v/>
      </c>
      <c r="AW14" s="113" t="str">
        <f ca="1">IFERROR(COUNTIFS(Tableau3[Classe CO],$AJ$5,Tableau3[Saison],$AU$4,Tableau3[Mois],'TABLEAUX SOURCES'!$AT14,Tableau3[Producteur],cProducteur)/$AK14,"")</f>
        <v/>
      </c>
      <c r="AX14" s="112">
        <f ca="1">COUNTIFS(Tableau3[Classe CO],"&gt;&lt;",Tableau3[Saison],$AU$4,Tableau3[Mois],'TABLEAUX SOURCES'!$AT14,Tableau3[Producteur],cProducteur)</f>
        <v>0</v>
      </c>
      <c r="AZ14" s="114"/>
      <c r="BA14" s="114"/>
      <c r="BB14" s="114"/>
      <c r="BC14" s="114"/>
      <c r="BD14" s="114"/>
      <c r="BE14" s="114"/>
    </row>
    <row r="15" spans="1:57" x14ac:dyDescent="0.25">
      <c r="R15" s="112" t="s">
        <v>143</v>
      </c>
      <c r="S15" s="113" t="str">
        <f ca="1">IFERROR(COUNTIFS(Tableau3[Classe BU],$S$5,Tableau3[Saison],$S$4,Tableau3[Mois],'TABLEAUX SOURCES'!$R15,Tableau3[Producteur],cProducteur)/X15,"")</f>
        <v/>
      </c>
      <c r="T15" s="113" t="str">
        <f ca="1">IFERROR(COUNTIFS(Tableau3[Classe BU],$T$5,Tableau3[Saison],$S$4,Tableau3[Mois],'TABLEAUX SOURCES'!$R15,Tableau3[Producteur],cProducteur)/X15,"")</f>
        <v/>
      </c>
      <c r="U15" s="113" t="str">
        <f ca="1">IFERROR(COUNTIFS(Tableau3[Classe BU],$U$5,Tableau3[Saison],$S$4,Tableau3[Mois],'TABLEAUX SOURCES'!$R15,Tableau3[Producteur],cProducteur)/X15,"")</f>
        <v/>
      </c>
      <c r="V15" s="113" t="str">
        <f ca="1">IFERROR(COUNTIFS(Tableau3[Classe BU],$V$5,Tableau3[Saison],$S$4,Tableau3[Mois],'TABLEAUX SOURCES'!$R15,Tableau3[Producteur],cProducteur)/X15,"")</f>
        <v/>
      </c>
      <c r="W15" s="113" t="str">
        <f ca="1">IFERROR(COUNTIFS(Tableau3[Classe BU],$W$5,Tableau3[Saison],$S$4,Tableau3[Mois],'TABLEAUX SOURCES'!$R15,Tableau3[Producteur],cProducteur)/X15,"")</f>
        <v/>
      </c>
      <c r="X15" s="112">
        <f ca="1">COUNTIFS(Tableau3[Classe BU],"&gt;&lt;",Tableau3[Saison],$S$4,Tableau3[Mois],'TABLEAUX SOURCES'!$R15,Tableau3[Producteur],cProducteur)</f>
        <v>0</v>
      </c>
      <c r="Z15" s="114"/>
      <c r="AA15" s="114"/>
      <c r="AB15" s="114"/>
      <c r="AC15" s="114"/>
      <c r="AD15" s="114"/>
      <c r="AE15" s="114"/>
      <c r="AG15" s="112" t="s">
        <v>143</v>
      </c>
      <c r="AH15" s="113" t="str">
        <f ca="1">IFERROR(COUNTIFS(Tableau3[Classe CE],$AH$5,Tableau3[Saison],$AH$4,Tableau3[Mois],'TABLEAUX SOURCES'!$AG15,Tableau3[Producteur],cProducteur)/AK15,"")</f>
        <v/>
      </c>
      <c r="AI15" s="113" t="str">
        <f ca="1">IFERROR(COUNTIFS(Tableau3[Classe CE],$AI$5,Tableau3[Saison],$AH$4,Tableau3[Mois],'TABLEAUX SOURCES'!$AG15,Tableau3[Producteur],cProducteur)/AK15,"")</f>
        <v/>
      </c>
      <c r="AJ15" s="113" t="str">
        <f ca="1">IFERROR(COUNTIFS(Tableau3[Classe CE],$AJ$5,Tableau3[Saison],$AH$4,Tableau3[Mois],'TABLEAUX SOURCES'!$AG15,Tableau3[Producteur],cProducteur)/$AK15,"")</f>
        <v/>
      </c>
      <c r="AK15" s="112">
        <f ca="1">COUNTIFS(Tableau3[Classe CE],"&gt;&lt;",Tableau3[Saison],$AH$4,Tableau3[Mois],'TABLEAUX SOURCES'!$AG15,Tableau3[Producteur],cProducteur)</f>
        <v>0</v>
      </c>
      <c r="AM15" s="114"/>
      <c r="AN15" s="114"/>
      <c r="AO15" s="114"/>
      <c r="AP15" s="114"/>
      <c r="AQ15" s="114"/>
      <c r="AR15" s="114"/>
      <c r="AT15" s="112" t="s">
        <v>143</v>
      </c>
      <c r="AU15" s="113" t="str">
        <f ca="1">IFERROR(COUNTIFS(Tableau3[Classe CO],$AU$5,Tableau3[Saison],$AU$4,Tableau3[Mois],'TABLEAUX SOURCES'!$AT15,Tableau3[Producteur],cProducteur)/AX15,"")</f>
        <v/>
      </c>
      <c r="AV15" s="113" t="str">
        <f ca="1">IFERROR(COUNTIFS(Tableau3[Classe CO],$AI$5,Tableau3[Saison],$AU$4,Tableau3[Mois],'TABLEAUX SOURCES'!$AT15,Tableau3[Producteur],cProducteur)/AX15,"")</f>
        <v/>
      </c>
      <c r="AW15" s="113" t="str">
        <f ca="1">IFERROR(COUNTIFS(Tableau3[Classe CO],$AJ$5,Tableau3[Saison],$AU$4,Tableau3[Mois],'TABLEAUX SOURCES'!$AT15,Tableau3[Producteur],cProducteur)/$AK15,"")</f>
        <v/>
      </c>
      <c r="AX15" s="112">
        <f ca="1">COUNTIFS(Tableau3[Classe CO],"&gt;&lt;",Tableau3[Saison],$AU$4,Tableau3[Mois],'TABLEAUX SOURCES'!$AT15,Tableau3[Producteur],cProducteur)</f>
        <v>0</v>
      </c>
      <c r="AZ15" s="114"/>
      <c r="BA15" s="114"/>
      <c r="BB15" s="114"/>
      <c r="BC15" s="114"/>
      <c r="BD15" s="114"/>
      <c r="BE15" s="114"/>
    </row>
    <row r="16" spans="1:57" x14ac:dyDescent="0.25">
      <c r="C16" s="104"/>
      <c r="D16" s="104"/>
      <c r="E16" s="104"/>
      <c r="F16" s="104"/>
      <c r="G16" s="104"/>
      <c r="H16" s="104"/>
      <c r="J16" s="104"/>
      <c r="K16" s="104"/>
      <c r="L16" s="104"/>
      <c r="M16" s="104"/>
      <c r="N16" s="104"/>
      <c r="Z16" s="114"/>
      <c r="AA16" s="114"/>
      <c r="AB16" s="114"/>
      <c r="AC16" s="114"/>
      <c r="AD16" s="114"/>
      <c r="AE16" s="114"/>
      <c r="AM16" s="114"/>
      <c r="AN16" s="114"/>
      <c r="AO16" s="114"/>
      <c r="AP16" s="114"/>
      <c r="AQ16" s="114"/>
      <c r="AR16" s="114"/>
      <c r="AZ16" s="114"/>
      <c r="BA16" s="114"/>
      <c r="BB16" s="114"/>
      <c r="BC16" s="114"/>
      <c r="BD16" s="114"/>
      <c r="BE16" s="114"/>
    </row>
    <row r="17" spans="3:57" x14ac:dyDescent="0.25">
      <c r="C17" s="104"/>
      <c r="D17" s="104"/>
      <c r="E17" s="104"/>
      <c r="F17" s="104"/>
      <c r="G17" s="104"/>
      <c r="H17" s="104"/>
      <c r="J17" s="104"/>
      <c r="K17" s="104"/>
      <c r="L17" s="104"/>
      <c r="M17" s="104"/>
      <c r="N17" s="104"/>
      <c r="S17" s="151" t="str">
        <f ca="1">B6</f>
        <v>2016-2017</v>
      </c>
      <c r="T17" s="151"/>
      <c r="U17" s="151"/>
      <c r="V17" s="151"/>
      <c r="W17" s="151"/>
      <c r="X17" s="151"/>
      <c r="Z17" s="114"/>
      <c r="AA17" s="114"/>
      <c r="AB17" s="114"/>
      <c r="AC17" s="114"/>
      <c r="AD17" s="114"/>
      <c r="AE17" s="114"/>
      <c r="AH17" s="151" t="str">
        <f ca="1">B6</f>
        <v>2016-2017</v>
      </c>
      <c r="AI17" s="151"/>
      <c r="AJ17" s="151"/>
      <c r="AK17" s="151"/>
      <c r="AM17" s="114"/>
      <c r="AN17" s="114"/>
      <c r="AO17" s="114"/>
      <c r="AP17" s="114"/>
      <c r="AQ17" s="114"/>
      <c r="AR17" s="114"/>
      <c r="AU17" s="151" t="str">
        <f ca="1">B6</f>
        <v>2016-2017</v>
      </c>
      <c r="AV17" s="151"/>
      <c r="AW17" s="151"/>
      <c r="AX17" s="151"/>
      <c r="AZ17" s="114"/>
      <c r="BA17" s="114"/>
      <c r="BB17" s="114"/>
      <c r="BC17" s="114"/>
      <c r="BD17" s="114"/>
      <c r="BE17" s="114"/>
    </row>
    <row r="18" spans="3:57" x14ac:dyDescent="0.25">
      <c r="C18" s="104"/>
      <c r="D18" s="104"/>
      <c r="E18" s="104"/>
      <c r="F18" s="104"/>
      <c r="G18" s="104"/>
      <c r="H18" s="104"/>
      <c r="J18" s="104"/>
      <c r="K18" s="104"/>
      <c r="L18" s="104"/>
      <c r="M18" s="104"/>
      <c r="N18" s="104"/>
      <c r="S18" s="109" t="s">
        <v>91</v>
      </c>
      <c r="T18" s="109" t="s">
        <v>79</v>
      </c>
      <c r="U18" s="109" t="s">
        <v>77</v>
      </c>
      <c r="V18" s="109" t="s">
        <v>80</v>
      </c>
      <c r="W18" s="109" t="s">
        <v>92</v>
      </c>
      <c r="X18" s="111" t="s">
        <v>173</v>
      </c>
      <c r="Z18" s="114"/>
      <c r="AA18" s="114"/>
      <c r="AB18" s="114"/>
      <c r="AC18" s="114"/>
      <c r="AD18" s="114"/>
      <c r="AE18" s="114"/>
      <c r="AH18" s="109" t="s">
        <v>79</v>
      </c>
      <c r="AI18" s="109" t="s">
        <v>77</v>
      </c>
      <c r="AJ18" s="109" t="s">
        <v>80</v>
      </c>
      <c r="AK18" s="111" t="s">
        <v>173</v>
      </c>
      <c r="AM18" s="114"/>
      <c r="AN18" s="114"/>
      <c r="AO18" s="114"/>
      <c r="AP18" s="114"/>
      <c r="AQ18" s="114"/>
      <c r="AR18" s="114"/>
      <c r="AU18" s="109" t="s">
        <v>79</v>
      </c>
      <c r="AV18" s="109" t="s">
        <v>77</v>
      </c>
      <c r="AW18" s="109" t="s">
        <v>80</v>
      </c>
      <c r="AX18" s="111" t="s">
        <v>173</v>
      </c>
      <c r="AZ18" s="114"/>
      <c r="BA18" s="114"/>
      <c r="BB18" s="114"/>
      <c r="BC18" s="114"/>
      <c r="BD18" s="114"/>
      <c r="BE18" s="114"/>
    </row>
    <row r="19" spans="3:57" x14ac:dyDescent="0.25">
      <c r="C19" s="104"/>
      <c r="D19" s="104"/>
      <c r="E19" s="104"/>
      <c r="F19" s="104"/>
      <c r="G19" s="104"/>
      <c r="H19" s="104"/>
      <c r="J19" s="104"/>
      <c r="K19" s="104"/>
      <c r="L19" s="104"/>
      <c r="M19" s="104"/>
      <c r="N19" s="104"/>
      <c r="R19" s="112" t="s">
        <v>144</v>
      </c>
      <c r="S19" s="113" t="str">
        <f ca="1">IFERROR(COUNTIFS(Tableau3[Classe BU],$S$18,Tableau3[Saison],$S$17,Tableau3[Mois],'TABLEAUX SOURCES'!$R19,Tableau3[Producteur],cProducteur)/X19,"")</f>
        <v/>
      </c>
      <c r="T19" s="113" t="str">
        <f ca="1">IFERROR(COUNTIFS(Tableau3[Classe BU],$T$18,Tableau3[Saison],$S$17,Tableau3[Mois],'TABLEAUX SOURCES'!$R19,Tableau3[Producteur],cProducteur)/X19,"")</f>
        <v/>
      </c>
      <c r="U19" s="113" t="str">
        <f ca="1">IFERROR(COUNTIFS(Tableau3[Classe BU],$U$18,Tableau3[Saison],$S$17,Tableau3[Mois],'TABLEAUX SOURCES'!$R19,Tableau3[Producteur],cProducteur)/X19,"")</f>
        <v/>
      </c>
      <c r="V19" s="113" t="str">
        <f ca="1">IFERROR(COUNTIFS(Tableau3[CE cellules/ml],$V$18,Tableau3[Saison],$S$17,Tableau3[Mois],'TABLEAUX SOURCES'!$R19,Tableau3[Producteur],cProducteur)/X19,"")</f>
        <v/>
      </c>
      <c r="W19" s="113" t="str">
        <f ca="1">IFERROR(COUNTIFS(Tableau3[Classe BU],$W$18,Tableau3[Saison],$S$17,Tableau3[Mois],'TABLEAUX SOURCES'!$R19,Tableau3[Producteur],cProducteur)/X19,"")</f>
        <v/>
      </c>
      <c r="X19" s="112">
        <f ca="1">COUNTIFS(Tableau3[Classe BU],"&gt;&lt;",Tableau3[Saison],$S$17,Tableau3[Mois],'TABLEAUX SOURCES'!$R19,Tableau3[Producteur],cProducteur)</f>
        <v>0</v>
      </c>
      <c r="Z19" s="114"/>
      <c r="AA19" s="114"/>
      <c r="AB19" s="114"/>
      <c r="AC19" s="114"/>
      <c r="AD19" s="114"/>
      <c r="AE19" s="114"/>
      <c r="AG19" s="112" t="s">
        <v>144</v>
      </c>
      <c r="AH19" s="113" t="str">
        <f ca="1">IFERROR(COUNTIFS(Tableau3[Classe CE],$AH$18,Tableau3[Saison],$AH$17,Tableau3[Mois],'TABLEAUX SOURCES'!$AG19,Tableau3[Producteur],cProducteur)/AK19,"")</f>
        <v/>
      </c>
      <c r="AI19" s="113" t="str">
        <f ca="1">IFERROR(COUNTIFS(Tableau3[Classe CE],$AI$18,Tableau3[Saison],$AH$17,Tableau3[Mois],'TABLEAUX SOURCES'!$AG19,Tableau3[Producteur],cProducteur)/AK19,"")</f>
        <v/>
      </c>
      <c r="AJ19" s="113" t="str">
        <f ca="1">IFERROR(COUNTIFS(Tableau3[Classe CE],$AJ$18,Tableau3[Saison],$AH$17,Tableau3[Mois],'TABLEAUX SOURCES'!$AG19,Tableau3[Producteur],cProducteur)/$AK19,"")</f>
        <v/>
      </c>
      <c r="AK19" s="112">
        <f ca="1">COUNTIFS(Tableau3[Classe CE],"&gt;&lt;",Tableau3[Saison],$AH$17,Tableau3[Mois],'TABLEAUX SOURCES'!$AG19,Tableau3[Producteur],cProducteur)</f>
        <v>0</v>
      </c>
      <c r="AM19" s="114"/>
      <c r="AN19" s="114"/>
      <c r="AO19" s="114"/>
      <c r="AP19" s="114"/>
      <c r="AQ19" s="114"/>
      <c r="AR19" s="114"/>
      <c r="AT19" s="112" t="s">
        <v>144</v>
      </c>
      <c r="AU19" s="113" t="str">
        <f ca="1">IFERROR(COUNTIFS(Tableau3[Classe CO],$AU$18,Tableau3[Saison],$AU$17,Tableau3[Mois],'TABLEAUX SOURCES'!$AT19,Tableau3[Producteur],cProducteur)/AX19,"")</f>
        <v/>
      </c>
      <c r="AV19" s="113" t="str">
        <f ca="1">IFERROR(COUNTIFS(Tableau3[Classe CO],$AI$18,Tableau3[Saison],$AU$17,Tableau3[Mois],'TABLEAUX SOURCES'!$AT19,Tableau3[Producteur],cProducteur)/AX19,"")</f>
        <v/>
      </c>
      <c r="AW19" s="113" t="str">
        <f ca="1">IFERROR(COUNTIFS(Tableau3[Classe CO],$AJ$18,Tableau3[Saison],$AU$17,Tableau3[Mois],'TABLEAUX SOURCES'!$AT19,Tableau3[Producteur],cProducteur)/$AK19,"")</f>
        <v/>
      </c>
      <c r="AX19" s="112">
        <f ca="1">COUNTIFS(Tableau3[Classe CO],"&gt;&lt;",Tableau3[Saison],$AU$17,Tableau3[Mois],'TABLEAUX SOURCES'!$AT19,Tableau3[Producteur],cProducteur)</f>
        <v>0</v>
      </c>
      <c r="AZ19" s="114"/>
      <c r="BA19" s="114"/>
      <c r="BB19" s="114"/>
      <c r="BC19" s="114"/>
      <c r="BD19" s="114"/>
      <c r="BE19" s="114"/>
    </row>
    <row r="20" spans="3:57" x14ac:dyDescent="0.25">
      <c r="C20" s="104"/>
      <c r="D20" s="104"/>
      <c r="E20" s="104"/>
      <c r="F20" s="104"/>
      <c r="G20" s="104"/>
      <c r="H20" s="104"/>
      <c r="J20" s="104"/>
      <c r="K20" s="104"/>
      <c r="L20" s="104"/>
      <c r="M20" s="104"/>
      <c r="N20" s="104"/>
      <c r="R20" s="112" t="s">
        <v>145</v>
      </c>
      <c r="S20" s="113" t="str">
        <f ca="1">IFERROR(COUNTIFS(Tableau3[Classe BU],$S$18,Tableau3[Saison],$S$17,Tableau3[Mois],'TABLEAUX SOURCES'!$R20,Tableau3[Producteur],cProducteur)/X20,"")</f>
        <v/>
      </c>
      <c r="T20" s="113" t="str">
        <f ca="1">IFERROR(COUNTIFS(Tableau3[Classe BU],$T$18,Tableau3[Saison],$S$17,Tableau3[Mois],'TABLEAUX SOURCES'!$R20,Tableau3[Producteur],cProducteur)/X20,"")</f>
        <v/>
      </c>
      <c r="U20" s="113" t="str">
        <f ca="1">IFERROR(COUNTIFS(Tableau3[Classe BU],$U$18,Tableau3[Saison],$S$17,Tableau3[Mois],'TABLEAUX SOURCES'!$R20,Tableau3[Producteur],cProducteur)/X20,"")</f>
        <v/>
      </c>
      <c r="V20" s="113" t="str">
        <f ca="1">IFERROR(COUNTIFS(Tableau3[CE cellules/ml],$V$18,Tableau3[Saison],$S$17,Tableau3[Mois],'TABLEAUX SOURCES'!$R20,Tableau3[Producteur],cProducteur)/X20,"")</f>
        <v/>
      </c>
      <c r="W20" s="113" t="str">
        <f ca="1">IFERROR(COUNTIFS(Tableau3[Classe BU],$W$18,Tableau3[Saison],$S$17,Tableau3[Mois],'TABLEAUX SOURCES'!$R20,Tableau3[Producteur],cProducteur)/X20,"")</f>
        <v/>
      </c>
      <c r="X20" s="112">
        <f ca="1">COUNTIFS(Tableau3[Classe BU],"&gt;&lt;",Tableau3[Saison],$S$17,Tableau3[Mois],'TABLEAUX SOURCES'!$R20,Tableau3[Producteur],cProducteur)</f>
        <v>0</v>
      </c>
      <c r="Z20" s="114"/>
      <c r="AA20" s="114"/>
      <c r="AB20" s="114"/>
      <c r="AC20" s="114"/>
      <c r="AD20" s="114"/>
      <c r="AE20" s="114"/>
      <c r="AG20" s="112" t="s">
        <v>145</v>
      </c>
      <c r="AH20" s="113" t="str">
        <f ca="1">IFERROR(COUNTIFS(Tableau3[Classe CE],$AH$18,Tableau3[Saison],$AH$17,Tableau3[Mois],'TABLEAUX SOURCES'!$AG20,Tableau3[Producteur],cProducteur)/AK20,"")</f>
        <v/>
      </c>
      <c r="AI20" s="113" t="str">
        <f ca="1">IFERROR(COUNTIFS(Tableau3[Classe CE],$AI$18,Tableau3[Saison],$AH$17,Tableau3[Mois],'TABLEAUX SOURCES'!$AG20,Tableau3[Producteur],cProducteur)/AK20,"")</f>
        <v/>
      </c>
      <c r="AJ20" s="113" t="str">
        <f ca="1">IFERROR(COUNTIFS(Tableau3[Classe CE],$AJ$18,Tableau3[Saison],$AH$17,Tableau3[Mois],'TABLEAUX SOURCES'!$AG20,Tableau3[Producteur],cProducteur)/$AK20,"")</f>
        <v/>
      </c>
      <c r="AK20" s="112">
        <f ca="1">COUNTIFS(Tableau3[Classe CE],"&gt;&lt;",Tableau3[Saison],$AH$17,Tableau3[Mois],'TABLEAUX SOURCES'!$AG20,Tableau3[Producteur],cProducteur)</f>
        <v>0</v>
      </c>
      <c r="AM20" s="114"/>
      <c r="AN20" s="114"/>
      <c r="AO20" s="114"/>
      <c r="AP20" s="114"/>
      <c r="AQ20" s="114"/>
      <c r="AR20" s="114"/>
      <c r="AT20" s="112" t="s">
        <v>145</v>
      </c>
      <c r="AU20" s="113" t="str">
        <f ca="1">IFERROR(COUNTIFS(Tableau3[Classe CO],$AU$18,Tableau3[Saison],$AU$17,Tableau3[Mois],'TABLEAUX SOURCES'!$AT20,Tableau3[Producteur],cProducteur)/AX20,"")</f>
        <v/>
      </c>
      <c r="AV20" s="113" t="str">
        <f ca="1">IFERROR(COUNTIFS(Tableau3[Classe CO],$AI$18,Tableau3[Saison],$AU$17,Tableau3[Mois],'TABLEAUX SOURCES'!$AT20,Tableau3[Producteur],cProducteur)/AX20,"")</f>
        <v/>
      </c>
      <c r="AW20" s="113" t="str">
        <f ca="1">IFERROR(COUNTIFS(Tableau3[Classe CO],$AJ$18,Tableau3[Saison],$AU$17,Tableau3[Mois],'TABLEAUX SOURCES'!$AT20,Tableau3[Producteur],cProducteur)/$AK20,"")</f>
        <v/>
      </c>
      <c r="AX20" s="112">
        <f ca="1">COUNTIFS(Tableau3[Classe CO],"&gt;&lt;",Tableau3[Saison],$AU$17,Tableau3[Mois],'TABLEAUX SOURCES'!$AT20,Tableau3[Producteur],cProducteur)</f>
        <v>0</v>
      </c>
      <c r="AZ20" s="114"/>
      <c r="BA20" s="114"/>
      <c r="BB20" s="114"/>
      <c r="BC20" s="114"/>
      <c r="BD20" s="114"/>
      <c r="BE20" s="114"/>
    </row>
    <row r="21" spans="3:57" x14ac:dyDescent="0.25">
      <c r="C21" s="104"/>
      <c r="D21" s="104"/>
      <c r="E21" s="104"/>
      <c r="F21" s="104"/>
      <c r="G21" s="104"/>
      <c r="H21" s="104"/>
      <c r="J21" s="104"/>
      <c r="K21" s="104"/>
      <c r="L21" s="104"/>
      <c r="M21" s="104"/>
      <c r="N21" s="104"/>
      <c r="R21" s="112" t="s">
        <v>137</v>
      </c>
      <c r="S21" s="113" t="str">
        <f ca="1">IFERROR(COUNTIFS(Tableau3[Classe BU],$S$18,Tableau3[Saison],$S$17,Tableau3[Mois],'TABLEAUX SOURCES'!$R21,Tableau3[Producteur],cProducteur)/X21,"")</f>
        <v/>
      </c>
      <c r="T21" s="113" t="str">
        <f ca="1">IFERROR(COUNTIFS(Tableau3[Classe BU],$T$18,Tableau3[Saison],$S$17,Tableau3[Mois],'TABLEAUX SOURCES'!$R21,Tableau3[Producteur],cProducteur)/X21,"")</f>
        <v/>
      </c>
      <c r="U21" s="113" t="str">
        <f ca="1">IFERROR(COUNTIFS(Tableau3[Classe BU],$U$18,Tableau3[Saison],$S$17,Tableau3[Mois],'TABLEAUX SOURCES'!$R21,Tableau3[Producteur],cProducteur)/X21,"")</f>
        <v/>
      </c>
      <c r="V21" s="113" t="str">
        <f ca="1">IFERROR(COUNTIFS(Tableau3[CE cellules/ml],$V$18,Tableau3[Saison],$S$17,Tableau3[Mois],'TABLEAUX SOURCES'!$R21,Tableau3[Producteur],cProducteur)/X21,"")</f>
        <v/>
      </c>
      <c r="W21" s="113" t="str">
        <f ca="1">IFERROR(COUNTIFS(Tableau3[Classe BU],$W$18,Tableau3[Saison],$S$17,Tableau3[Mois],'TABLEAUX SOURCES'!$R21,Tableau3[Producteur],cProducteur)/X21,"")</f>
        <v/>
      </c>
      <c r="X21" s="112">
        <f ca="1">COUNTIFS(Tableau3[Classe BU],"&gt;&lt;",Tableau3[Saison],$S$17,Tableau3[Mois],'TABLEAUX SOURCES'!$R21,Tableau3[Producteur],cProducteur)</f>
        <v>0</v>
      </c>
      <c r="Z21" s="114"/>
      <c r="AA21" s="114"/>
      <c r="AB21" s="114"/>
      <c r="AC21" s="114"/>
      <c r="AD21" s="114"/>
      <c r="AE21" s="114"/>
      <c r="AG21" s="112" t="s">
        <v>137</v>
      </c>
      <c r="AH21" s="113" t="str">
        <f ca="1">IFERROR(COUNTIFS(Tableau3[Classe CE],$AH$18,Tableau3[Saison],$AH$17,Tableau3[Mois],'TABLEAUX SOURCES'!$AG21,Tableau3[Producteur],cProducteur)/AK21,"")</f>
        <v/>
      </c>
      <c r="AI21" s="113" t="str">
        <f ca="1">IFERROR(COUNTIFS(Tableau3[Classe CE],$AI$18,Tableau3[Saison],$AH$17,Tableau3[Mois],'TABLEAUX SOURCES'!$AG21,Tableau3[Producteur],cProducteur)/AK21,"")</f>
        <v/>
      </c>
      <c r="AJ21" s="113" t="str">
        <f ca="1">IFERROR(COUNTIFS(Tableau3[Classe CE],$AJ$18,Tableau3[Saison],$AH$17,Tableau3[Mois],'TABLEAUX SOURCES'!$AG21,Tableau3[Producteur],cProducteur)/$AK21,"")</f>
        <v/>
      </c>
      <c r="AK21" s="112">
        <f ca="1">COUNTIFS(Tableau3[Classe CE],"&gt;&lt;",Tableau3[Saison],$AH$17,Tableau3[Mois],'TABLEAUX SOURCES'!$AG21,Tableau3[Producteur],cProducteur)</f>
        <v>0</v>
      </c>
      <c r="AM21" s="114"/>
      <c r="AN21" s="114"/>
      <c r="AO21" s="114"/>
      <c r="AP21" s="114"/>
      <c r="AQ21" s="114"/>
      <c r="AR21" s="114"/>
      <c r="AT21" s="112" t="s">
        <v>137</v>
      </c>
      <c r="AU21" s="113" t="str">
        <f ca="1">IFERROR(COUNTIFS(Tableau3[Classe CO],$AU$18,Tableau3[Saison],$AU$17,Tableau3[Mois],'TABLEAUX SOURCES'!$AT21,Tableau3[Producteur],cProducteur)/AX21,"")</f>
        <v/>
      </c>
      <c r="AV21" s="113" t="str">
        <f ca="1">IFERROR(COUNTIFS(Tableau3[Classe CO],$AI$18,Tableau3[Saison],$AU$17,Tableau3[Mois],'TABLEAUX SOURCES'!$AT21,Tableau3[Producteur],cProducteur)/AX21,"")</f>
        <v/>
      </c>
      <c r="AW21" s="113" t="str">
        <f ca="1">IFERROR(COUNTIFS(Tableau3[Classe CO],$AJ$18,Tableau3[Saison],$AU$17,Tableau3[Mois],'TABLEAUX SOURCES'!$AT21,Tableau3[Producteur],cProducteur)/$AK21,"")</f>
        <v/>
      </c>
      <c r="AX21" s="112">
        <f ca="1">COUNTIFS(Tableau3[Classe CO],"&gt;&lt;",Tableau3[Saison],$AU$17,Tableau3[Mois],'TABLEAUX SOURCES'!$AT21,Tableau3[Producteur],cProducteur)</f>
        <v>0</v>
      </c>
      <c r="AZ21" s="114"/>
      <c r="BA21" s="114"/>
      <c r="BB21" s="114"/>
      <c r="BC21" s="114"/>
      <c r="BD21" s="114"/>
      <c r="BE21" s="114"/>
    </row>
    <row r="22" spans="3:57" x14ac:dyDescent="0.25">
      <c r="C22" s="104"/>
      <c r="D22" s="104"/>
      <c r="E22" s="104"/>
      <c r="F22" s="104"/>
      <c r="G22" s="104"/>
      <c r="H22" s="104"/>
      <c r="J22" s="104"/>
      <c r="K22" s="104"/>
      <c r="L22" s="104"/>
      <c r="M22" s="104"/>
      <c r="N22" s="104"/>
      <c r="R22" s="112" t="s">
        <v>138</v>
      </c>
      <c r="S22" s="113" t="str">
        <f ca="1">IFERROR(COUNTIFS(Tableau3[Classe BU],$S$18,Tableau3[Saison],$S$17,Tableau3[Mois],'TABLEAUX SOURCES'!$R22,Tableau3[Producteur],cProducteur)/X22,"")</f>
        <v/>
      </c>
      <c r="T22" s="113" t="str">
        <f ca="1">IFERROR(COUNTIFS(Tableau3[Classe BU],$T$18,Tableau3[Saison],$S$17,Tableau3[Mois],'TABLEAUX SOURCES'!$R22,Tableau3[Producteur],cProducteur)/X22,"")</f>
        <v/>
      </c>
      <c r="U22" s="113" t="str">
        <f ca="1">IFERROR(COUNTIFS(Tableau3[Classe BU],$U$18,Tableau3[Saison],$S$17,Tableau3[Mois],'TABLEAUX SOURCES'!$R22,Tableau3[Producteur],cProducteur)/X22,"")</f>
        <v/>
      </c>
      <c r="V22" s="113" t="str">
        <f ca="1">IFERROR(COUNTIFS(Tableau3[CE cellules/ml],$V$18,Tableau3[Saison],$S$17,Tableau3[Mois],'TABLEAUX SOURCES'!$R22,Tableau3[Producteur],cProducteur)/X22,"")</f>
        <v/>
      </c>
      <c r="W22" s="113" t="str">
        <f ca="1">IFERROR(COUNTIFS(Tableau3[Classe BU],$W$18,Tableau3[Saison],$S$17,Tableau3[Mois],'TABLEAUX SOURCES'!$R22,Tableau3[Producteur],cProducteur)/X22,"")</f>
        <v/>
      </c>
      <c r="X22" s="112">
        <f ca="1">COUNTIFS(Tableau3[Classe BU],"&gt;&lt;",Tableau3[Saison],$S$17,Tableau3[Mois],'TABLEAUX SOURCES'!$R22,Tableau3[Producteur],cProducteur)</f>
        <v>0</v>
      </c>
      <c r="Z22" s="114"/>
      <c r="AA22" s="114"/>
      <c r="AB22" s="114"/>
      <c r="AC22" s="114"/>
      <c r="AD22" s="114"/>
      <c r="AE22" s="114"/>
      <c r="AG22" s="112" t="s">
        <v>138</v>
      </c>
      <c r="AH22" s="113" t="str">
        <f ca="1">IFERROR(COUNTIFS(Tableau3[Classe CE],$AH$18,Tableau3[Saison],$AH$17,Tableau3[Mois],'TABLEAUX SOURCES'!$AG22,Tableau3[Producteur],cProducteur)/AK22,"")</f>
        <v/>
      </c>
      <c r="AI22" s="113" t="str">
        <f ca="1">IFERROR(COUNTIFS(Tableau3[Classe CE],$AI$18,Tableau3[Saison],$AH$17,Tableau3[Mois],'TABLEAUX SOURCES'!$AG22,Tableau3[Producteur],cProducteur)/AK22,"")</f>
        <v/>
      </c>
      <c r="AJ22" s="113" t="str">
        <f ca="1">IFERROR(COUNTIFS(Tableau3[Classe CE],$AJ$18,Tableau3[Saison],$AH$17,Tableau3[Mois],'TABLEAUX SOURCES'!$AG22,Tableau3[Producteur],cProducteur)/$AK22,"")</f>
        <v/>
      </c>
      <c r="AK22" s="112">
        <f ca="1">COUNTIFS(Tableau3[Classe CE],"&gt;&lt;",Tableau3[Saison],$AH$17,Tableau3[Mois],'TABLEAUX SOURCES'!$AG22,Tableau3[Producteur],cProducteur)</f>
        <v>0</v>
      </c>
      <c r="AM22" s="114"/>
      <c r="AN22" s="114"/>
      <c r="AO22" s="114"/>
      <c r="AP22" s="114"/>
      <c r="AQ22" s="114"/>
      <c r="AR22" s="114"/>
      <c r="AT22" s="112" t="s">
        <v>138</v>
      </c>
      <c r="AU22" s="113" t="str">
        <f ca="1">IFERROR(COUNTIFS(Tableau3[Classe CO],$AU$18,Tableau3[Saison],$AU$17,Tableau3[Mois],'TABLEAUX SOURCES'!$AT22,Tableau3[Producteur],cProducteur)/AX22,"")</f>
        <v/>
      </c>
      <c r="AV22" s="113" t="str">
        <f ca="1">IFERROR(COUNTIFS(Tableau3[Classe CO],$AI$18,Tableau3[Saison],$AU$17,Tableau3[Mois],'TABLEAUX SOURCES'!$AT22,Tableau3[Producteur],cProducteur)/AX22,"")</f>
        <v/>
      </c>
      <c r="AW22" s="113" t="str">
        <f ca="1">IFERROR(COUNTIFS(Tableau3[Classe CO],$AJ$18,Tableau3[Saison],$AU$17,Tableau3[Mois],'TABLEAUX SOURCES'!$AT22,Tableau3[Producteur],cProducteur)/$AK22,"")</f>
        <v/>
      </c>
      <c r="AX22" s="112">
        <f ca="1">COUNTIFS(Tableau3[Classe CO],"&gt;&lt;",Tableau3[Saison],$AU$17,Tableau3[Mois],'TABLEAUX SOURCES'!$AT22,Tableau3[Producteur],cProducteur)</f>
        <v>0</v>
      </c>
      <c r="AZ22" s="114"/>
      <c r="BA22" s="114"/>
      <c r="BB22" s="114"/>
      <c r="BC22" s="114"/>
      <c r="BD22" s="114"/>
      <c r="BE22" s="114"/>
    </row>
    <row r="23" spans="3:57" x14ac:dyDescent="0.25">
      <c r="C23" s="104"/>
      <c r="D23" s="104"/>
      <c r="E23" s="104"/>
      <c r="F23" s="104"/>
      <c r="G23" s="104"/>
      <c r="H23" s="104"/>
      <c r="J23" s="104"/>
      <c r="K23" s="104"/>
      <c r="L23" s="104"/>
      <c r="M23" s="104"/>
      <c r="N23" s="104"/>
      <c r="R23" s="112" t="s">
        <v>139</v>
      </c>
      <c r="S23" s="113" t="str">
        <f ca="1">IFERROR(COUNTIFS(Tableau3[Classe BU],$S$18,Tableau3[Saison],$S$17,Tableau3[Mois],'TABLEAUX SOURCES'!$R23,Tableau3[Producteur],cProducteur)/X23,"")</f>
        <v/>
      </c>
      <c r="T23" s="113" t="str">
        <f ca="1">IFERROR(COUNTIFS(Tableau3[Classe BU],$T$18,Tableau3[Saison],$S$17,Tableau3[Mois],'TABLEAUX SOURCES'!$R23,Tableau3[Producteur],cProducteur)/X23,"")</f>
        <v/>
      </c>
      <c r="U23" s="113" t="str">
        <f ca="1">IFERROR(COUNTIFS(Tableau3[Classe BU],$U$18,Tableau3[Saison],$S$17,Tableau3[Mois],'TABLEAUX SOURCES'!$R23,Tableau3[Producteur],cProducteur)/X23,"")</f>
        <v/>
      </c>
      <c r="V23" s="113" t="str">
        <f ca="1">IFERROR(COUNTIFS(Tableau3[CE cellules/ml],$V$18,Tableau3[Saison],$S$17,Tableau3[Mois],'TABLEAUX SOURCES'!$R23,Tableau3[Producteur],cProducteur)/X23,"")</f>
        <v/>
      </c>
      <c r="W23" s="113" t="str">
        <f ca="1">IFERROR(COUNTIFS(Tableau3[Classe BU],$W$18,Tableau3[Saison],$S$17,Tableau3[Mois],'TABLEAUX SOURCES'!$R23,Tableau3[Producteur],cProducteur)/X23,"")</f>
        <v/>
      </c>
      <c r="X23" s="112">
        <f ca="1">COUNTIFS(Tableau3[Classe BU],"&gt;&lt;",Tableau3[Saison],$S$17,Tableau3[Mois],'TABLEAUX SOURCES'!$R23,Tableau3[Producteur],cProducteur)</f>
        <v>0</v>
      </c>
      <c r="Z23" s="114"/>
      <c r="AA23" s="114"/>
      <c r="AB23" s="114"/>
      <c r="AC23" s="114"/>
      <c r="AD23" s="114"/>
      <c r="AE23" s="114"/>
      <c r="AG23" s="112" t="s">
        <v>139</v>
      </c>
      <c r="AH23" s="113" t="str">
        <f ca="1">IFERROR(COUNTIFS(Tableau3[Classe CE],$AH$18,Tableau3[Saison],$AH$17,Tableau3[Mois],'TABLEAUX SOURCES'!$AG23,Tableau3[Producteur],cProducteur)/AK23,"")</f>
        <v/>
      </c>
      <c r="AI23" s="113" t="str">
        <f ca="1">IFERROR(COUNTIFS(Tableau3[Classe CE],$AI$18,Tableau3[Saison],$AH$17,Tableau3[Mois],'TABLEAUX SOURCES'!$AG23,Tableau3[Producteur],cProducteur)/AK23,"")</f>
        <v/>
      </c>
      <c r="AJ23" s="113" t="str">
        <f ca="1">IFERROR(COUNTIFS(Tableau3[Classe CE],$AJ$18,Tableau3[Saison],$AH$17,Tableau3[Mois],'TABLEAUX SOURCES'!$AG23,Tableau3[Producteur],cProducteur)/$AK23,"")</f>
        <v/>
      </c>
      <c r="AK23" s="112">
        <f ca="1">COUNTIFS(Tableau3[Classe CE],"&gt;&lt;",Tableau3[Saison],$AH$17,Tableau3[Mois],'TABLEAUX SOURCES'!$AG23,Tableau3[Producteur],cProducteur)</f>
        <v>0</v>
      </c>
      <c r="AM23" s="114"/>
      <c r="AN23" s="114"/>
      <c r="AO23" s="114"/>
      <c r="AP23" s="114"/>
      <c r="AQ23" s="114"/>
      <c r="AR23" s="114"/>
      <c r="AT23" s="112" t="s">
        <v>139</v>
      </c>
      <c r="AU23" s="113" t="str">
        <f ca="1">IFERROR(COUNTIFS(Tableau3[Classe CO],$AU$18,Tableau3[Saison],$AU$17,Tableau3[Mois],'TABLEAUX SOURCES'!$AT23,Tableau3[Producteur],cProducteur)/AX23,"")</f>
        <v/>
      </c>
      <c r="AV23" s="113" t="str">
        <f ca="1">IFERROR(COUNTIFS(Tableau3[Classe CO],$AI$18,Tableau3[Saison],$AU$17,Tableau3[Mois],'TABLEAUX SOURCES'!$AT23,Tableau3[Producteur],cProducteur)/AX23,"")</f>
        <v/>
      </c>
      <c r="AW23" s="113" t="str">
        <f ca="1">IFERROR(COUNTIFS(Tableau3[Classe CO],$AJ$18,Tableau3[Saison],$AU$17,Tableau3[Mois],'TABLEAUX SOURCES'!$AT23,Tableau3[Producteur],cProducteur)/$AK23,"")</f>
        <v/>
      </c>
      <c r="AX23" s="112">
        <f ca="1">COUNTIFS(Tableau3[Classe CO],"&gt;&lt;",Tableau3[Saison],$AU$17,Tableau3[Mois],'TABLEAUX SOURCES'!$AT23,Tableau3[Producteur],cProducteur)</f>
        <v>0</v>
      </c>
      <c r="AZ23" s="114"/>
      <c r="BA23" s="114"/>
      <c r="BB23" s="114"/>
      <c r="BC23" s="114"/>
      <c r="BD23" s="114"/>
      <c r="BE23" s="114"/>
    </row>
    <row r="24" spans="3:57" x14ac:dyDescent="0.25">
      <c r="C24" s="104"/>
      <c r="D24" s="104"/>
      <c r="E24" s="104"/>
      <c r="F24" s="104"/>
      <c r="G24" s="104"/>
      <c r="H24" s="104"/>
      <c r="J24" s="104"/>
      <c r="K24" s="104"/>
      <c r="L24" s="104"/>
      <c r="M24" s="104"/>
      <c r="N24" s="104"/>
      <c r="R24" s="112" t="s">
        <v>89</v>
      </c>
      <c r="S24" s="113">
        <f ca="1">IFERROR(COUNTIFS(Tableau3[Classe BU],$S$18,Tableau3[Saison],$S$17,Tableau3[Mois],'TABLEAUX SOURCES'!$R24,Tableau3[Producteur],cProducteur)/X24,"")</f>
        <v>0</v>
      </c>
      <c r="T24" s="113">
        <f ca="1">IFERROR(COUNTIFS(Tableau3[Classe BU],$T$18,Tableau3[Saison],$S$17,Tableau3[Mois],'TABLEAUX SOURCES'!$R24,Tableau3[Producteur],cProducteur)/X24,"")</f>
        <v>0</v>
      </c>
      <c r="U24" s="113">
        <f ca="1">IFERROR(COUNTIFS(Tableau3[Classe BU],$U$18,Tableau3[Saison],$S$17,Tableau3[Mois],'TABLEAUX SOURCES'!$R24,Tableau3[Producteur],cProducteur)/X24,"")</f>
        <v>1</v>
      </c>
      <c r="V24" s="113">
        <f ca="1">IFERROR(COUNTIFS(Tableau3[CE cellules/ml],$V$18,Tableau3[Saison],$S$17,Tableau3[Mois],'TABLEAUX SOURCES'!$R24,Tableau3[Producteur],cProducteur)/X24,"")</f>
        <v>0</v>
      </c>
      <c r="W24" s="113">
        <f ca="1">IFERROR(COUNTIFS(Tableau3[Classe BU],$W$18,Tableau3[Saison],$S$17,Tableau3[Mois],'TABLEAUX SOURCES'!$R24,Tableau3[Producteur],cProducteur)/X24,"")</f>
        <v>0</v>
      </c>
      <c r="X24" s="112">
        <f ca="1">COUNTIFS(Tableau3[Classe BU],"&gt;&lt;",Tableau3[Saison],$S$17,Tableau3[Mois],'TABLEAUX SOURCES'!$R24,Tableau3[Producteur],cProducteur)</f>
        <v>1</v>
      </c>
      <c r="Z24" s="114"/>
      <c r="AA24" s="114"/>
      <c r="AB24" s="114"/>
      <c r="AC24" s="114"/>
      <c r="AD24" s="114"/>
      <c r="AE24" s="114"/>
      <c r="AG24" s="112" t="s">
        <v>89</v>
      </c>
      <c r="AH24" s="113">
        <f ca="1">IFERROR(COUNTIFS(Tableau3[Classe CE],$AH$18,Tableau3[Saison],$AH$17,Tableau3[Mois],'TABLEAUX SOURCES'!$AG24,Tableau3[Producteur],cProducteur)/AK24,"")</f>
        <v>0</v>
      </c>
      <c r="AI24" s="113">
        <f ca="1">IFERROR(COUNTIFS(Tableau3[Classe CE],$AI$18,Tableau3[Saison],$AH$17,Tableau3[Mois],'TABLEAUX SOURCES'!$AG24,Tableau3[Producteur],cProducteur)/AK24,"")</f>
        <v>0</v>
      </c>
      <c r="AJ24" s="113">
        <f ca="1">IFERROR(COUNTIFS(Tableau3[Classe CE],$AJ$18,Tableau3[Saison],$AH$17,Tableau3[Mois],'TABLEAUX SOURCES'!$AG24,Tableau3[Producteur],cProducteur)/$AK24,"")</f>
        <v>1</v>
      </c>
      <c r="AK24" s="112">
        <f ca="1">COUNTIFS(Tableau3[Classe CE],"&gt;&lt;",Tableau3[Saison],$AH$17,Tableau3[Mois],'TABLEAUX SOURCES'!$AG24,Tableau3[Producteur],cProducteur)</f>
        <v>1</v>
      </c>
      <c r="AM24" s="114"/>
      <c r="AN24" s="114"/>
      <c r="AO24" s="114"/>
      <c r="AP24" s="114"/>
      <c r="AQ24" s="114"/>
      <c r="AR24" s="114"/>
      <c r="AT24" s="112" t="s">
        <v>89</v>
      </c>
      <c r="AU24" s="113">
        <f ca="1">IFERROR(COUNTIFS(Tableau3[Classe CO],$AU$18,Tableau3[Saison],$AU$17,Tableau3[Mois],'TABLEAUX SOURCES'!$AT24,Tableau3[Producteur],cProducteur)/AX24,"")</f>
        <v>0</v>
      </c>
      <c r="AV24" s="113">
        <f ca="1">IFERROR(COUNTIFS(Tableau3[Classe CO],$AI$18,Tableau3[Saison],$AU$17,Tableau3[Mois],'TABLEAUX SOURCES'!$AT24,Tableau3[Producteur],cProducteur)/AX24,"")</f>
        <v>1</v>
      </c>
      <c r="AW24" s="113">
        <f ca="1">IFERROR(COUNTIFS(Tableau3[Classe CO],$AJ$18,Tableau3[Saison],$AU$17,Tableau3[Mois],'TABLEAUX SOURCES'!$AT24,Tableau3[Producteur],cProducteur)/$AK24,"")</f>
        <v>0</v>
      </c>
      <c r="AX24" s="112">
        <f ca="1">COUNTIFS(Tableau3[Classe CO],"&gt;&lt;",Tableau3[Saison],$AU$17,Tableau3[Mois],'TABLEAUX SOURCES'!$AT24,Tableau3[Producteur],cProducteur)</f>
        <v>1</v>
      </c>
      <c r="AZ24" s="114"/>
      <c r="BA24" s="114"/>
      <c r="BB24" s="114"/>
      <c r="BC24" s="114"/>
      <c r="BD24" s="114"/>
      <c r="BE24" s="114"/>
    </row>
    <row r="25" spans="3:57" x14ac:dyDescent="0.25">
      <c r="C25" s="104"/>
      <c r="D25" s="104"/>
      <c r="E25" s="104"/>
      <c r="F25" s="104"/>
      <c r="G25" s="104"/>
      <c r="H25" s="104"/>
      <c r="J25" s="104"/>
      <c r="K25" s="104"/>
      <c r="L25" s="104"/>
      <c r="M25" s="104"/>
      <c r="N25" s="104"/>
      <c r="R25" s="112" t="s">
        <v>140</v>
      </c>
      <c r="S25" s="113" t="str">
        <f ca="1">IFERROR(COUNTIFS(Tableau3[Classe BU],$S$18,Tableau3[Saison],$S$17,Tableau3[Mois],'TABLEAUX SOURCES'!$R25,Tableau3[Producteur],cProducteur)/X25,"")</f>
        <v/>
      </c>
      <c r="T25" s="113" t="str">
        <f ca="1">IFERROR(COUNTIFS(Tableau3[Classe BU],$T$18,Tableau3[Saison],$S$17,Tableau3[Mois],'TABLEAUX SOURCES'!$R25,Tableau3[Producteur],cProducteur)/X25,"")</f>
        <v/>
      </c>
      <c r="U25" s="113" t="str">
        <f ca="1">IFERROR(COUNTIFS(Tableau3[Classe BU],$U$18,Tableau3[Saison],$S$17,Tableau3[Mois],'TABLEAUX SOURCES'!$R25,Tableau3[Producteur],cProducteur)/X25,"")</f>
        <v/>
      </c>
      <c r="V25" s="113" t="str">
        <f ca="1">IFERROR(COUNTIFS(Tableau3[CE cellules/ml],$V$18,Tableau3[Saison],$S$17,Tableau3[Mois],'TABLEAUX SOURCES'!$R25,Tableau3[Producteur],cProducteur)/X25,"")</f>
        <v/>
      </c>
      <c r="W25" s="113" t="str">
        <f ca="1">IFERROR(COUNTIFS(Tableau3[Classe BU],$W$18,Tableau3[Saison],$S$17,Tableau3[Mois],'TABLEAUX SOURCES'!$R25,Tableau3[Producteur],cProducteur)/X25,"")</f>
        <v/>
      </c>
      <c r="X25" s="112">
        <f ca="1">COUNTIFS(Tableau3[Classe BU],"&gt;&lt;",Tableau3[Saison],$S$17,Tableau3[Mois],'TABLEAUX SOURCES'!$R25,Tableau3[Producteur],cProducteur)</f>
        <v>0</v>
      </c>
      <c r="Z25" s="114"/>
      <c r="AA25" s="114"/>
      <c r="AB25" s="114"/>
      <c r="AC25" s="114"/>
      <c r="AD25" s="114"/>
      <c r="AE25" s="114"/>
      <c r="AG25" s="112" t="s">
        <v>140</v>
      </c>
      <c r="AH25" s="113" t="str">
        <f ca="1">IFERROR(COUNTIFS(Tableau3[Classe CE],$AH$18,Tableau3[Saison],$AH$17,Tableau3[Mois],'TABLEAUX SOURCES'!$AG25,Tableau3[Producteur],cProducteur)/AK25,"")</f>
        <v/>
      </c>
      <c r="AI25" s="113" t="str">
        <f ca="1">IFERROR(COUNTIFS(Tableau3[Classe CE],$AI$18,Tableau3[Saison],$AH$17,Tableau3[Mois],'TABLEAUX SOURCES'!$AG25,Tableau3[Producteur],cProducteur)/AK25,"")</f>
        <v/>
      </c>
      <c r="AJ25" s="113" t="str">
        <f ca="1">IFERROR(COUNTIFS(Tableau3[Classe CE],$AJ$18,Tableau3[Saison],$AH$17,Tableau3[Mois],'TABLEAUX SOURCES'!$AG25,Tableau3[Producteur],cProducteur)/$AK25,"")</f>
        <v/>
      </c>
      <c r="AK25" s="112">
        <f ca="1">COUNTIFS(Tableau3[Classe CE],"&gt;&lt;",Tableau3[Saison],$AH$17,Tableau3[Mois],'TABLEAUX SOURCES'!$AG25,Tableau3[Producteur],cProducteur)</f>
        <v>0</v>
      </c>
      <c r="AM25" s="114"/>
      <c r="AN25" s="114"/>
      <c r="AO25" s="114"/>
      <c r="AP25" s="114"/>
      <c r="AQ25" s="114"/>
      <c r="AR25" s="114"/>
      <c r="AT25" s="112" t="s">
        <v>140</v>
      </c>
      <c r="AU25" s="113" t="str">
        <f ca="1">IFERROR(COUNTIFS(Tableau3[Classe CO],$AU$18,Tableau3[Saison],$AU$17,Tableau3[Mois],'TABLEAUX SOURCES'!$AT25,Tableau3[Producteur],cProducteur)/AX25,"")</f>
        <v/>
      </c>
      <c r="AV25" s="113" t="str">
        <f ca="1">IFERROR(COUNTIFS(Tableau3[Classe CO],$AI$18,Tableau3[Saison],$AU$17,Tableau3[Mois],'TABLEAUX SOURCES'!$AT25,Tableau3[Producteur],cProducteur)/AX25,"")</f>
        <v/>
      </c>
      <c r="AW25" s="113" t="str">
        <f ca="1">IFERROR(COUNTIFS(Tableau3[Classe CO],$AJ$18,Tableau3[Saison],$AU$17,Tableau3[Mois],'TABLEAUX SOURCES'!$AT25,Tableau3[Producteur],cProducteur)/$AK25,"")</f>
        <v/>
      </c>
      <c r="AX25" s="112">
        <f ca="1">COUNTIFS(Tableau3[Classe CO],"&gt;&lt;",Tableau3[Saison],$AU$17,Tableau3[Mois],'TABLEAUX SOURCES'!$AT25,Tableau3[Producteur],cProducteur)</f>
        <v>0</v>
      </c>
      <c r="AZ25" s="114"/>
      <c r="BA25" s="114"/>
      <c r="BB25" s="114"/>
      <c r="BC25" s="114"/>
      <c r="BD25" s="114"/>
      <c r="BE25" s="114"/>
    </row>
    <row r="26" spans="3:57" x14ac:dyDescent="0.25">
      <c r="C26" s="104"/>
      <c r="D26" s="104"/>
      <c r="E26" s="104"/>
      <c r="F26" s="104"/>
      <c r="G26" s="104"/>
      <c r="H26" s="104"/>
      <c r="J26" s="104"/>
      <c r="K26" s="104"/>
      <c r="L26" s="104"/>
      <c r="M26" s="104"/>
      <c r="N26" s="104"/>
      <c r="R26" s="112" t="s">
        <v>141</v>
      </c>
      <c r="S26" s="113" t="str">
        <f ca="1">IFERROR(COUNTIFS(Tableau3[Classe BU],$S$18,Tableau3[Saison],$S$17,Tableau3[Mois],'TABLEAUX SOURCES'!$R26,Tableau3[Producteur],cProducteur)/X26,"")</f>
        <v/>
      </c>
      <c r="T26" s="113" t="str">
        <f ca="1">IFERROR(COUNTIFS(Tableau3[Classe BU],$T$18,Tableau3[Saison],$S$17,Tableau3[Mois],'TABLEAUX SOURCES'!$R26,Tableau3[Producteur],cProducteur)/X26,"")</f>
        <v/>
      </c>
      <c r="U26" s="113" t="str">
        <f ca="1">IFERROR(COUNTIFS(Tableau3[Classe BU],$U$18,Tableau3[Saison],$S$17,Tableau3[Mois],'TABLEAUX SOURCES'!$R26,Tableau3[Producteur],cProducteur)/X26,"")</f>
        <v/>
      </c>
      <c r="V26" s="113" t="str">
        <f ca="1">IFERROR(COUNTIFS(Tableau3[CE cellules/ml],$V$18,Tableau3[Saison],$S$17,Tableau3[Mois],'TABLEAUX SOURCES'!$R26,Tableau3[Producteur],cProducteur)/X26,"")</f>
        <v/>
      </c>
      <c r="W26" s="113" t="str">
        <f ca="1">IFERROR(COUNTIFS(Tableau3[Classe BU],$W$18,Tableau3[Saison],$S$17,Tableau3[Mois],'TABLEAUX SOURCES'!$R26,Tableau3[Producteur],cProducteur)/X26,"")</f>
        <v/>
      </c>
      <c r="X26" s="112">
        <f ca="1">COUNTIFS(Tableau3[Classe BU],"&gt;&lt;",Tableau3[Saison],$S$17,Tableau3[Mois],'TABLEAUX SOURCES'!$R26,Tableau3[Producteur],cProducteur)</f>
        <v>0</v>
      </c>
      <c r="AG26" s="112" t="s">
        <v>141</v>
      </c>
      <c r="AH26" s="113" t="str">
        <f ca="1">IFERROR(COUNTIFS(Tableau3[Classe CE],$AH$18,Tableau3[Saison],$AH$17,Tableau3[Mois],'TABLEAUX SOURCES'!$AG26,Tableau3[Producteur],cProducteur)/AK26,"")</f>
        <v/>
      </c>
      <c r="AI26" s="113" t="str">
        <f ca="1">IFERROR(COUNTIFS(Tableau3[Classe CE],$AI$18,Tableau3[Saison],$AH$17,Tableau3[Mois],'TABLEAUX SOURCES'!$AG26,Tableau3[Producteur],cProducteur)/AK26,"")</f>
        <v/>
      </c>
      <c r="AJ26" s="113" t="str">
        <f ca="1">IFERROR(COUNTIFS(Tableau3[Classe CE],$AJ$18,Tableau3[Saison],$AH$17,Tableau3[Mois],'TABLEAUX SOURCES'!$AG26,Tableau3[Producteur],cProducteur)/$AK26,"")</f>
        <v/>
      </c>
      <c r="AK26" s="112">
        <f ca="1">COUNTIFS(Tableau3[Classe CE],"&gt;&lt;",Tableau3[Saison],$AH$17,Tableau3[Mois],'TABLEAUX SOURCES'!$AG26,Tableau3[Producteur],cProducteur)</f>
        <v>0</v>
      </c>
      <c r="AQ26" s="10"/>
      <c r="AT26" s="112" t="s">
        <v>141</v>
      </c>
      <c r="AU26" s="113" t="str">
        <f ca="1">IFERROR(COUNTIFS(Tableau3[Classe CO],$AU$18,Tableau3[Saison],$AU$17,Tableau3[Mois],'TABLEAUX SOURCES'!$AT26,Tableau3[Producteur],cProducteur)/AX26,"")</f>
        <v/>
      </c>
      <c r="AV26" s="113" t="str">
        <f ca="1">IFERROR(COUNTIFS(Tableau3[Classe CO],$AI$18,Tableau3[Saison],$AU$17,Tableau3[Mois],'TABLEAUX SOURCES'!$AT26,Tableau3[Producteur],cProducteur)/AX26,"")</f>
        <v/>
      </c>
      <c r="AW26" s="113" t="str">
        <f ca="1">IFERROR(COUNTIFS(Tableau3[Classe CO],$AJ$18,Tableau3[Saison],$AU$17,Tableau3[Mois],'TABLEAUX SOURCES'!$AT26,Tableau3[Producteur],cProducteur)/$AK26,"")</f>
        <v/>
      </c>
      <c r="AX26" s="112">
        <f ca="1">COUNTIFS(Tableau3[Classe CO],"&gt;&lt;",Tableau3[Saison],$AU$17,Tableau3[Mois],'TABLEAUX SOURCES'!$AT26,Tableau3[Producteur],cProducteur)</f>
        <v>0</v>
      </c>
      <c r="BD26" s="10"/>
    </row>
    <row r="27" spans="3:57" x14ac:dyDescent="0.25">
      <c r="C27" s="104"/>
      <c r="D27" s="104"/>
      <c r="E27" s="104"/>
      <c r="F27" s="104"/>
      <c r="G27" s="104"/>
      <c r="H27" s="104"/>
      <c r="J27" s="104"/>
      <c r="K27" s="104"/>
      <c r="L27" s="104"/>
      <c r="M27" s="104"/>
      <c r="N27" s="104"/>
      <c r="R27" s="112" t="s">
        <v>142</v>
      </c>
      <c r="S27" s="113" t="str">
        <f ca="1">IFERROR(COUNTIFS(Tableau3[Classe BU],$S$18,Tableau3[Saison],$S$17,Tableau3[Mois],'TABLEAUX SOURCES'!$R27,Tableau3[Producteur],cProducteur)/X27,"")</f>
        <v/>
      </c>
      <c r="T27" s="113" t="str">
        <f ca="1">IFERROR(COUNTIFS(Tableau3[Classe BU],$T$18,Tableau3[Saison],$S$17,Tableau3[Mois],'TABLEAUX SOURCES'!$R27,Tableau3[Producteur],cProducteur)/X27,"")</f>
        <v/>
      </c>
      <c r="U27" s="113" t="str">
        <f ca="1">IFERROR(COUNTIFS(Tableau3[Classe BU],$U$18,Tableau3[Saison],$S$17,Tableau3[Mois],'TABLEAUX SOURCES'!$R27,Tableau3[Producteur],cProducteur)/X27,"")</f>
        <v/>
      </c>
      <c r="V27" s="113" t="str">
        <f ca="1">IFERROR(COUNTIFS(Tableau3[CE cellules/ml],$V$18,Tableau3[Saison],$S$17,Tableau3[Mois],'TABLEAUX SOURCES'!$R27,Tableau3[Producteur],cProducteur)/X27,"")</f>
        <v/>
      </c>
      <c r="W27" s="113" t="str">
        <f ca="1">IFERROR(COUNTIFS(Tableau3[Classe BU],$W$18,Tableau3[Saison],$S$17,Tableau3[Mois],'TABLEAUX SOURCES'!$R27,Tableau3[Producteur],cProducteur)/X27,"")</f>
        <v/>
      </c>
      <c r="X27" s="112">
        <f ca="1">COUNTIFS(Tableau3[Classe BU],"&gt;&lt;",Tableau3[Saison],$S$17,Tableau3[Mois],'TABLEAUX SOURCES'!$R27,Tableau3[Producteur],cProducteur)</f>
        <v>0</v>
      </c>
      <c r="AG27" s="112" t="s">
        <v>142</v>
      </c>
      <c r="AH27" s="113" t="str">
        <f ca="1">IFERROR(COUNTIFS(Tableau3[Classe CE],$AH$18,Tableau3[Saison],$AH$17,Tableau3[Mois],'TABLEAUX SOURCES'!$AG27,Tableau3[Producteur],cProducteur)/AK27,"")</f>
        <v/>
      </c>
      <c r="AI27" s="113" t="str">
        <f ca="1">IFERROR(COUNTIFS(Tableau3[Classe CE],$AI$18,Tableau3[Saison],$AH$17,Tableau3[Mois],'TABLEAUX SOURCES'!$AG27,Tableau3[Producteur],cProducteur)/AK27,"")</f>
        <v/>
      </c>
      <c r="AJ27" s="113" t="str">
        <f ca="1">IFERROR(COUNTIFS(Tableau3[Classe CE],$AJ$18,Tableau3[Saison],$AH$17,Tableau3[Mois],'TABLEAUX SOURCES'!$AG27,Tableau3[Producteur],cProducteur)/$AK27,"")</f>
        <v/>
      </c>
      <c r="AK27" s="112">
        <f ca="1">COUNTIFS(Tableau3[Classe CE],"&gt;&lt;",Tableau3[Saison],$AH$17,Tableau3[Mois],'TABLEAUX SOURCES'!$AG27,Tableau3[Producteur],cProducteur)</f>
        <v>0</v>
      </c>
      <c r="AQ27" s="10"/>
      <c r="AT27" s="112" t="s">
        <v>142</v>
      </c>
      <c r="AU27" s="113" t="str">
        <f ca="1">IFERROR(COUNTIFS(Tableau3[Classe CO],$AU$18,Tableau3[Saison],$AU$17,Tableau3[Mois],'TABLEAUX SOURCES'!$AT27,Tableau3[Producteur],cProducteur)/AX27,"")</f>
        <v/>
      </c>
      <c r="AV27" s="113" t="str">
        <f ca="1">IFERROR(COUNTIFS(Tableau3[Classe CO],$AI$18,Tableau3[Saison],$AU$17,Tableau3[Mois],'TABLEAUX SOURCES'!$AT27,Tableau3[Producteur],cProducteur)/AX27,"")</f>
        <v/>
      </c>
      <c r="AW27" s="113" t="str">
        <f ca="1">IFERROR(COUNTIFS(Tableau3[Classe CO],$AJ$18,Tableau3[Saison],$AU$17,Tableau3[Mois],'TABLEAUX SOURCES'!$AT27,Tableau3[Producteur],cProducteur)/$AK27,"")</f>
        <v/>
      </c>
      <c r="AX27" s="112">
        <f ca="1">COUNTIFS(Tableau3[Classe CO],"&gt;&lt;",Tableau3[Saison],$AU$17,Tableau3[Mois],'TABLEAUX SOURCES'!$AT27,Tableau3[Producteur],cProducteur)</f>
        <v>0</v>
      </c>
      <c r="BD27" s="10"/>
    </row>
    <row r="28" spans="3:57" x14ac:dyDescent="0.25">
      <c r="R28" s="112" t="s">
        <v>143</v>
      </c>
      <c r="S28" s="113" t="str">
        <f ca="1">IFERROR(COUNTIFS(Tableau3[Classe BU],$S$18,Tableau3[Saison],$S$17,Tableau3[Mois],'TABLEAUX SOURCES'!$R28,Tableau3[Producteur],cProducteur)/X28,"")</f>
        <v/>
      </c>
      <c r="T28" s="113" t="str">
        <f ca="1">IFERROR(COUNTIFS(Tableau3[Classe BU],$T$18,Tableau3[Saison],$S$17,Tableau3[Mois],'TABLEAUX SOURCES'!$R28,Tableau3[Producteur],cProducteur)/X28,"")</f>
        <v/>
      </c>
      <c r="U28" s="113" t="str">
        <f ca="1">IFERROR(COUNTIFS(Tableau3[Classe BU],$U$18,Tableau3[Saison],$S$17,Tableau3[Mois],'TABLEAUX SOURCES'!$R28,Tableau3[Producteur],cProducteur)/X28,"")</f>
        <v/>
      </c>
      <c r="V28" s="113" t="str">
        <f ca="1">IFERROR(COUNTIFS(Tableau3[CE cellules/ml],$V$18,Tableau3[Saison],$S$17,Tableau3[Mois],'TABLEAUX SOURCES'!$R28,Tableau3[Producteur],cProducteur)/X28,"")</f>
        <v/>
      </c>
      <c r="W28" s="113" t="str">
        <f ca="1">IFERROR(COUNTIFS(Tableau3[Classe BU],$W$18,Tableau3[Saison],$S$17,Tableau3[Mois],'TABLEAUX SOURCES'!$R28,Tableau3[Producteur],cProducteur)/X28,"")</f>
        <v/>
      </c>
      <c r="X28" s="112">
        <f ca="1">COUNTIFS(Tableau3[Classe BU],"&gt;&lt;",Tableau3[Saison],$S$17,Tableau3[Mois],'TABLEAUX SOURCES'!$R28,Tableau3[Producteur],cProducteur)</f>
        <v>0</v>
      </c>
      <c r="AG28" s="112" t="s">
        <v>143</v>
      </c>
      <c r="AH28" s="113" t="str">
        <f ca="1">IFERROR(COUNTIFS(Tableau3[Classe CE],$AH$18,Tableau3[Saison],$AH$17,Tableau3[Mois],'TABLEAUX SOURCES'!$AG28,Tableau3[Producteur],cProducteur)/AK28,"")</f>
        <v/>
      </c>
      <c r="AI28" s="113" t="str">
        <f ca="1">IFERROR(COUNTIFS(Tableau3[Classe CE],$AI$18,Tableau3[Saison],$AH$17,Tableau3[Mois],'TABLEAUX SOURCES'!$AG28,Tableau3[Producteur],cProducteur)/AK28,"")</f>
        <v/>
      </c>
      <c r="AJ28" s="113" t="str">
        <f ca="1">IFERROR(COUNTIFS(Tableau3[Classe CE],$AJ$18,Tableau3[Saison],$AH$17,Tableau3[Mois],'TABLEAUX SOURCES'!$AG28,Tableau3[Producteur],cProducteur)/$AK28,"")</f>
        <v/>
      </c>
      <c r="AK28" s="112">
        <f ca="1">COUNTIFS(Tableau3[Classe CE],"&gt;&lt;",Tableau3[Saison],$AH$17,Tableau3[Mois],'TABLEAUX SOURCES'!$AG28,Tableau3[Producteur],cProducteur)</f>
        <v>0</v>
      </c>
      <c r="AQ28" s="10"/>
      <c r="AT28" s="112" t="s">
        <v>143</v>
      </c>
      <c r="AU28" s="113" t="str">
        <f ca="1">IFERROR(COUNTIFS(Tableau3[Classe CO],$AU$18,Tableau3[Saison],$AU$17,Tableau3[Mois],'TABLEAUX SOURCES'!$AT28,Tableau3[Producteur],cProducteur)/AX28,"")</f>
        <v/>
      </c>
      <c r="AV28" s="113" t="str">
        <f ca="1">IFERROR(COUNTIFS(Tableau3[Classe CO],$AI$18,Tableau3[Saison],$AU$17,Tableau3[Mois],'TABLEAUX SOURCES'!$AT28,Tableau3[Producteur],cProducteur)/AX28,"")</f>
        <v/>
      </c>
      <c r="AW28" s="113" t="str">
        <f ca="1">IFERROR(COUNTIFS(Tableau3[Classe CO],$AJ$18,Tableau3[Saison],$AU$17,Tableau3[Mois],'TABLEAUX SOURCES'!$AT28,Tableau3[Producteur],cProducteur)/$AK28,"")</f>
        <v/>
      </c>
      <c r="AX28" s="112">
        <f ca="1">COUNTIFS(Tableau3[Classe CO],"&gt;&lt;",Tableau3[Saison],$AU$17,Tableau3[Mois],'TABLEAUX SOURCES'!$AT28,Tableau3[Producteur],cProducteur)</f>
        <v>0</v>
      </c>
      <c r="BD28" s="10"/>
    </row>
    <row r="29" spans="3:57" x14ac:dyDescent="0.25">
      <c r="AQ29" s="10"/>
      <c r="BD29" s="10"/>
    </row>
    <row r="30" spans="3:57" x14ac:dyDescent="0.25">
      <c r="S30" s="151">
        <f ca="1">B7</f>
        <v>0</v>
      </c>
      <c r="T30" s="151"/>
      <c r="U30" s="151"/>
      <c r="V30" s="151"/>
      <c r="W30" s="151"/>
      <c r="X30" s="151"/>
      <c r="AH30" s="151">
        <f ca="1">B7</f>
        <v>0</v>
      </c>
      <c r="AI30" s="151"/>
      <c r="AJ30" s="151"/>
      <c r="AK30" s="151"/>
      <c r="AQ30" s="10"/>
      <c r="AU30" s="151">
        <f ca="1">B7</f>
        <v>0</v>
      </c>
      <c r="AV30" s="151"/>
      <c r="AW30" s="151"/>
      <c r="AX30" s="151"/>
      <c r="BD30" s="10"/>
    </row>
    <row r="31" spans="3:57" x14ac:dyDescent="0.25">
      <c r="S31" s="109" t="s">
        <v>91</v>
      </c>
      <c r="T31" s="109" t="s">
        <v>79</v>
      </c>
      <c r="U31" s="109" t="s">
        <v>77</v>
      </c>
      <c r="V31" s="109" t="s">
        <v>80</v>
      </c>
      <c r="W31" s="109" t="s">
        <v>92</v>
      </c>
      <c r="X31" s="111" t="s">
        <v>173</v>
      </c>
      <c r="AH31" s="109" t="s">
        <v>79</v>
      </c>
      <c r="AI31" s="109" t="s">
        <v>77</v>
      </c>
      <c r="AJ31" s="109" t="s">
        <v>80</v>
      </c>
      <c r="AK31" s="111" t="s">
        <v>173</v>
      </c>
      <c r="AU31" s="109" t="s">
        <v>79</v>
      </c>
      <c r="AV31" s="109" t="s">
        <v>77</v>
      </c>
      <c r="AW31" s="109" t="s">
        <v>80</v>
      </c>
      <c r="AX31" s="111" t="s">
        <v>173</v>
      </c>
    </row>
    <row r="32" spans="3:57" x14ac:dyDescent="0.25">
      <c r="R32" s="112" t="s">
        <v>144</v>
      </c>
      <c r="S32" s="113" t="str">
        <f ca="1">IFERROR(COUNTIFS(Tableau3[Classe BU],$S$31,Tableau3[Saison],$S$30,Tableau3[Mois],'TABLEAUX SOURCES'!$R32,Tableau3[Producteur],cProducteur)/X32,"")</f>
        <v/>
      </c>
      <c r="T32" s="113" t="str">
        <f ca="1">IFERROR(COUNTIFS(Tableau3[Classe BU],$T$31,Tableau3[Saison],$S$30,Tableau3[Mois],'TABLEAUX SOURCES'!$R32,Tableau3[Producteur],cProducteur)/X32,"")</f>
        <v/>
      </c>
      <c r="U32" s="113" t="str">
        <f ca="1">IFERROR(COUNTIFS(Tableau3[Classe BU],$U$31,Tableau3[Saison],$S$30,Tableau3[Mois],'TABLEAUX SOURCES'!$R32,Tableau3[Producteur],cProducteur)/X32,"")</f>
        <v/>
      </c>
      <c r="V32" s="113" t="str">
        <f ca="1">IFERROR(COUNTIFS(Tableau3[Classe BU],$V$31,Tableau3[Saison],$S$30,Tableau3[Mois],'TABLEAUX SOURCES'!$R32,Tableau3[Producteur],cProducteur)/X32,"")</f>
        <v/>
      </c>
      <c r="W32" s="113" t="str">
        <f ca="1">IFERROR(COUNTIFS(Tableau3[Classe BU],$W$31,Tableau3[Saison],$S$30,Tableau3[Mois],'TABLEAUX SOURCES'!$R32,Tableau3[Producteur],cProducteur)/X32,"")</f>
        <v/>
      </c>
      <c r="X32" s="112">
        <f ca="1">COUNTIFS(Tableau3[Classe BU],"&gt;&lt;",Tableau3[Saison],$S$30,Tableau3[Mois],'TABLEAUX SOURCES'!$R32,Tableau3[Producteur],cProducteur)</f>
        <v>0</v>
      </c>
      <c r="AG32" s="112" t="s">
        <v>144</v>
      </c>
      <c r="AH32" s="113" t="str">
        <f ca="1">IFERROR(COUNTIFS(Tableau3[Classe CE],$AH$31,Tableau3[Saison],$AH$30,Tableau3[Mois],'TABLEAUX SOURCES'!$AG32,Tableau3[Producteur],cProducteur)/AK32,"")</f>
        <v/>
      </c>
      <c r="AI32" s="113" t="str">
        <f ca="1">IFERROR(COUNTIFS(Tableau3[Classe CE],$AI$31,Tableau3[Saison],$AH$30,Tableau3[Mois],'TABLEAUX SOURCES'!$AG32,Tableau3[Producteur],cProducteur)/AK32,"")</f>
        <v/>
      </c>
      <c r="AJ32" s="113" t="str">
        <f ca="1">IFERROR(COUNTIFS(Tableau3[Classe CE],$AJ$31,Tableau3[Saison],$AH$30,Tableau3[Mois],'TABLEAUX SOURCES'!$AG32,Tableau3[Producteur],cProducteur)/$AK32,"")</f>
        <v/>
      </c>
      <c r="AK32" s="112">
        <f ca="1">COUNTIFS(Tableau3[Classe CE],"&gt;&lt;",Tableau3[Saison],$AH$30,Tableau3[Mois],'TABLEAUX SOURCES'!$AG32,Tableau3[Producteur],cProducteur)</f>
        <v>0</v>
      </c>
      <c r="AT32" s="112" t="s">
        <v>144</v>
      </c>
      <c r="AU32" s="113" t="str">
        <f ca="1">IFERROR(COUNTIFS(Tableau3[Classe CO],$AU$31,Tableau3[Saison],$AU$30,Tableau3[Mois],'TABLEAUX SOURCES'!$AT32,Tableau3[Producteur],cProducteur)/AX32,"")</f>
        <v/>
      </c>
      <c r="AV32" s="113" t="str">
        <f ca="1">IFERROR(COUNTIFS(Tableau3[Classe CO],$AI$31,Tableau3[Saison],$AU$30,Tableau3[Mois],'TABLEAUX SOURCES'!$AT32,Tableau3[Producteur],cProducteur)/AX32,"")</f>
        <v/>
      </c>
      <c r="AW32" s="113" t="str">
        <f ca="1">IFERROR(COUNTIFS(Tableau3[Classe CO],$AJ$31,Tableau3[Saison],$AU$30,Tableau3[Mois],'TABLEAUX SOURCES'!$AT32,Tableau3[Producteur],cProducteur)/$AK32,"")</f>
        <v/>
      </c>
      <c r="AX32" s="112">
        <f ca="1">COUNTIFS(Tableau3[Classe CO],"&gt;&lt;",Tableau3[Saison],$AU$30,Tableau3[Mois],'TABLEAUX SOURCES'!$AT32,Tableau3[Producteur],cProducteur)</f>
        <v>0</v>
      </c>
    </row>
    <row r="33" spans="18:50" x14ac:dyDescent="0.25">
      <c r="R33" s="112" t="s">
        <v>145</v>
      </c>
      <c r="S33" s="113" t="str">
        <f ca="1">IFERROR(COUNTIFS(Tableau3[Classe BU],$S$31,Tableau3[Saison],$S$30,Tableau3[Mois],'TABLEAUX SOURCES'!$R33,Tableau3[Producteur],cProducteur)/X33,"")</f>
        <v/>
      </c>
      <c r="T33" s="113" t="str">
        <f ca="1">IFERROR(COUNTIFS(Tableau3[Classe BU],$T$31,Tableau3[Saison],$S$30,Tableau3[Mois],'TABLEAUX SOURCES'!$R33,Tableau3[Producteur],cProducteur)/X33,"")</f>
        <v/>
      </c>
      <c r="U33" s="113" t="str">
        <f ca="1">IFERROR(COUNTIFS(Tableau3[Classe BU],$U$31,Tableau3[Saison],$S$30,Tableau3[Mois],'TABLEAUX SOURCES'!$R33,Tableau3[Producteur],cProducteur)/X33,"")</f>
        <v/>
      </c>
      <c r="V33" s="113" t="str">
        <f ca="1">IFERROR(COUNTIFS(Tableau3[Classe BU],$V$31,Tableau3[Saison],$S$30,Tableau3[Mois],'TABLEAUX SOURCES'!$R33,Tableau3[Producteur],cProducteur)/X33,"")</f>
        <v/>
      </c>
      <c r="W33" s="113" t="str">
        <f ca="1">IFERROR(COUNTIFS(Tableau3[Classe BU],$W$31,Tableau3[Saison],$S$30,Tableau3[Mois],'TABLEAUX SOURCES'!$R33,Tableau3[Producteur],cProducteur)/X33,"")</f>
        <v/>
      </c>
      <c r="X33" s="112">
        <f ca="1">COUNTIFS(Tableau3[Classe BU],"&gt;&lt;",Tableau3[Saison],$S$30,Tableau3[Mois],'TABLEAUX SOURCES'!$R33,Tableau3[Producteur],cProducteur)</f>
        <v>0</v>
      </c>
      <c r="AG33" s="112" t="s">
        <v>145</v>
      </c>
      <c r="AH33" s="113" t="str">
        <f ca="1">IFERROR(COUNTIFS(Tableau3[Classe CE],$AH$31,Tableau3[Saison],$AH$30,Tableau3[Mois],'TABLEAUX SOURCES'!$AG33,Tableau3[Producteur],cProducteur)/AK33,"")</f>
        <v/>
      </c>
      <c r="AI33" s="113" t="str">
        <f ca="1">IFERROR(COUNTIFS(Tableau3[Classe CE],$AI$31,Tableau3[Saison],$AH$30,Tableau3[Mois],'TABLEAUX SOURCES'!$AG33,Tableau3[Producteur],cProducteur)/AK33,"")</f>
        <v/>
      </c>
      <c r="AJ33" s="113" t="str">
        <f ca="1">IFERROR(COUNTIFS(Tableau3[Classe CE],$AJ$31,Tableau3[Saison],$AH$30,Tableau3[Mois],'TABLEAUX SOURCES'!$AG33,Tableau3[Producteur],cProducteur)/$AK33,"")</f>
        <v/>
      </c>
      <c r="AK33" s="112">
        <f ca="1">COUNTIFS(Tableau3[Classe CE],"&gt;&lt;",Tableau3[Saison],$AH$30,Tableau3[Mois],'TABLEAUX SOURCES'!$AG33,Tableau3[Producteur],cProducteur)</f>
        <v>0</v>
      </c>
      <c r="AT33" s="112" t="s">
        <v>145</v>
      </c>
      <c r="AU33" s="113" t="str">
        <f ca="1">IFERROR(COUNTIFS(Tableau3[Classe CO],$AU$31,Tableau3[Saison],$AU$30,Tableau3[Mois],'TABLEAUX SOURCES'!$AT33,Tableau3[Producteur],cProducteur)/AX33,"")</f>
        <v/>
      </c>
      <c r="AV33" s="113" t="str">
        <f ca="1">IFERROR(COUNTIFS(Tableau3[Classe CO],$AI$31,Tableau3[Saison],$AU$30,Tableau3[Mois],'TABLEAUX SOURCES'!$AT33,Tableau3[Producteur],cProducteur)/AX33,"")</f>
        <v/>
      </c>
      <c r="AW33" s="113" t="str">
        <f ca="1">IFERROR(COUNTIFS(Tableau3[Classe CO],$AJ$31,Tableau3[Saison],$AU$30,Tableau3[Mois],'TABLEAUX SOURCES'!$AT33,Tableau3[Producteur],cProducteur)/$AK33,"")</f>
        <v/>
      </c>
      <c r="AX33" s="112">
        <f ca="1">COUNTIFS(Tableau3[Classe CO],"&gt;&lt;",Tableau3[Saison],$AU$30,Tableau3[Mois],'TABLEAUX SOURCES'!$AT33,Tableau3[Producteur],cProducteur)</f>
        <v>0</v>
      </c>
    </row>
    <row r="34" spans="18:50" x14ac:dyDescent="0.25">
      <c r="R34" s="112" t="s">
        <v>137</v>
      </c>
      <c r="S34" s="113" t="str">
        <f ca="1">IFERROR(COUNTIFS(Tableau3[Classe BU],$S$31,Tableau3[Saison],$S$30,Tableau3[Mois],'TABLEAUX SOURCES'!$R34,Tableau3[Producteur],cProducteur)/X34,"")</f>
        <v/>
      </c>
      <c r="T34" s="113" t="str">
        <f ca="1">IFERROR(COUNTIFS(Tableau3[Classe BU],$T$31,Tableau3[Saison],$S$30,Tableau3[Mois],'TABLEAUX SOURCES'!$R34,Tableau3[Producteur],cProducteur)/X34,"")</f>
        <v/>
      </c>
      <c r="U34" s="113" t="str">
        <f ca="1">IFERROR(COUNTIFS(Tableau3[Classe BU],$U$31,Tableau3[Saison],$S$30,Tableau3[Mois],'TABLEAUX SOURCES'!$R34,Tableau3[Producteur],cProducteur)/X34,"")</f>
        <v/>
      </c>
      <c r="V34" s="113" t="str">
        <f ca="1">IFERROR(COUNTIFS(Tableau3[Classe BU],$V$31,Tableau3[Saison],$S$30,Tableau3[Mois],'TABLEAUX SOURCES'!$R34,Tableau3[Producteur],cProducteur)/X34,"")</f>
        <v/>
      </c>
      <c r="W34" s="113" t="str">
        <f ca="1">IFERROR(COUNTIFS(Tableau3[Classe BU],$W$31,Tableau3[Saison],$S$30,Tableau3[Mois],'TABLEAUX SOURCES'!$R34,Tableau3[Producteur],cProducteur)/X34,"")</f>
        <v/>
      </c>
      <c r="X34" s="112">
        <f ca="1">COUNTIFS(Tableau3[Classe BU],"&gt;&lt;",Tableau3[Saison],$S$30,Tableau3[Mois],'TABLEAUX SOURCES'!$R34,Tableau3[Producteur],cProducteur)</f>
        <v>0</v>
      </c>
      <c r="AG34" s="112" t="s">
        <v>137</v>
      </c>
      <c r="AH34" s="113" t="str">
        <f ca="1">IFERROR(COUNTIFS(Tableau3[Classe CE],$AH$31,Tableau3[Saison],$AH$30,Tableau3[Mois],'TABLEAUX SOURCES'!$AG34,Tableau3[Producteur],cProducteur)/AK34,"")</f>
        <v/>
      </c>
      <c r="AI34" s="113" t="str">
        <f ca="1">IFERROR(COUNTIFS(Tableau3[Classe CE],$AI$31,Tableau3[Saison],$AH$30,Tableau3[Mois],'TABLEAUX SOURCES'!$AG34,Tableau3[Producteur],cProducteur)/AK34,"")</f>
        <v/>
      </c>
      <c r="AJ34" s="113" t="str">
        <f ca="1">IFERROR(COUNTIFS(Tableau3[Classe CE],$AJ$31,Tableau3[Saison],$AH$30,Tableau3[Mois],'TABLEAUX SOURCES'!$AG34,Tableau3[Producteur],cProducteur)/$AK34,"")</f>
        <v/>
      </c>
      <c r="AK34" s="112">
        <f ca="1">COUNTIFS(Tableau3[Classe CE],"&gt;&lt;",Tableau3[Saison],$AH$30,Tableau3[Mois],'TABLEAUX SOURCES'!$AG34,Tableau3[Producteur],cProducteur)</f>
        <v>0</v>
      </c>
      <c r="AT34" s="112" t="s">
        <v>137</v>
      </c>
      <c r="AU34" s="113" t="str">
        <f ca="1">IFERROR(COUNTIFS(Tableau3[Classe CO],$AU$31,Tableau3[Saison],$AU$30,Tableau3[Mois],'TABLEAUX SOURCES'!$AT34,Tableau3[Producteur],cProducteur)/AX34,"")</f>
        <v/>
      </c>
      <c r="AV34" s="113" t="str">
        <f ca="1">IFERROR(COUNTIFS(Tableau3[Classe CO],$AI$31,Tableau3[Saison],$AU$30,Tableau3[Mois],'TABLEAUX SOURCES'!$AT34,Tableau3[Producteur],cProducteur)/AX34,"")</f>
        <v/>
      </c>
      <c r="AW34" s="113" t="str">
        <f ca="1">IFERROR(COUNTIFS(Tableau3[Classe CO],$AJ$31,Tableau3[Saison],$AU$30,Tableau3[Mois],'TABLEAUX SOURCES'!$AT34,Tableau3[Producteur],cProducteur)/$AK34,"")</f>
        <v/>
      </c>
      <c r="AX34" s="112">
        <f ca="1">COUNTIFS(Tableau3[Classe CO],"&gt;&lt;",Tableau3[Saison],$AU$30,Tableau3[Mois],'TABLEAUX SOURCES'!$AT34,Tableau3[Producteur],cProducteur)</f>
        <v>0</v>
      </c>
    </row>
    <row r="35" spans="18:50" x14ac:dyDescent="0.25">
      <c r="R35" s="112" t="s">
        <v>138</v>
      </c>
      <c r="S35" s="113" t="str">
        <f ca="1">IFERROR(COUNTIFS(Tableau3[Classe BU],$S$31,Tableau3[Saison],$S$30,Tableau3[Mois],'TABLEAUX SOURCES'!$R35,Tableau3[Producteur],cProducteur)/X35,"")</f>
        <v/>
      </c>
      <c r="T35" s="113" t="str">
        <f ca="1">IFERROR(COUNTIFS(Tableau3[Classe BU],$T$31,Tableau3[Saison],$S$30,Tableau3[Mois],'TABLEAUX SOURCES'!$R35,Tableau3[Producteur],cProducteur)/X35,"")</f>
        <v/>
      </c>
      <c r="U35" s="113" t="str">
        <f ca="1">IFERROR(COUNTIFS(Tableau3[Classe BU],$U$31,Tableau3[Saison],$S$30,Tableau3[Mois],'TABLEAUX SOURCES'!$R35,Tableau3[Producteur],cProducteur)/X35,"")</f>
        <v/>
      </c>
      <c r="V35" s="113" t="str">
        <f ca="1">IFERROR(COUNTIFS(Tableau3[Classe BU],$V$31,Tableau3[Saison],$S$30,Tableau3[Mois],'TABLEAUX SOURCES'!$R35,Tableau3[Producteur],cProducteur)/X35,"")</f>
        <v/>
      </c>
      <c r="W35" s="113" t="str">
        <f ca="1">IFERROR(COUNTIFS(Tableau3[Classe BU],$W$31,Tableau3[Saison],$S$30,Tableau3[Mois],'TABLEAUX SOURCES'!$R35,Tableau3[Producteur],cProducteur)/X35,"")</f>
        <v/>
      </c>
      <c r="X35" s="112">
        <f ca="1">COUNTIFS(Tableau3[Classe BU],"&gt;&lt;",Tableau3[Saison],$S$30,Tableau3[Mois],'TABLEAUX SOURCES'!$R35,Tableau3[Producteur],cProducteur)</f>
        <v>0</v>
      </c>
      <c r="AG35" s="112" t="s">
        <v>138</v>
      </c>
      <c r="AH35" s="113" t="str">
        <f ca="1">IFERROR(COUNTIFS(Tableau3[Classe CE],$AH$31,Tableau3[Saison],$AH$30,Tableau3[Mois],'TABLEAUX SOURCES'!$AG35,Tableau3[Producteur],cProducteur)/AK35,"")</f>
        <v/>
      </c>
      <c r="AI35" s="113" t="str">
        <f ca="1">IFERROR(COUNTIFS(Tableau3[Classe CE],$AI$31,Tableau3[Saison],$AH$30,Tableau3[Mois],'TABLEAUX SOURCES'!$AG35,Tableau3[Producteur],cProducteur)/AK35,"")</f>
        <v/>
      </c>
      <c r="AJ35" s="113" t="str">
        <f ca="1">IFERROR(COUNTIFS(Tableau3[Classe CE],$AJ$31,Tableau3[Saison],$AH$30,Tableau3[Mois],'TABLEAUX SOURCES'!$AG35,Tableau3[Producteur],cProducteur)/$AK35,"")</f>
        <v/>
      </c>
      <c r="AK35" s="112">
        <f ca="1">COUNTIFS(Tableau3[Classe CE],"&gt;&lt;",Tableau3[Saison],$AH$30,Tableau3[Mois],'TABLEAUX SOURCES'!$AG35,Tableau3[Producteur],cProducteur)</f>
        <v>0</v>
      </c>
      <c r="AT35" s="112" t="s">
        <v>138</v>
      </c>
      <c r="AU35" s="113" t="str">
        <f ca="1">IFERROR(COUNTIFS(Tableau3[Classe CO],$AU$31,Tableau3[Saison],$AU$30,Tableau3[Mois],'TABLEAUX SOURCES'!$AT35,Tableau3[Producteur],cProducteur)/AX35,"")</f>
        <v/>
      </c>
      <c r="AV35" s="113" t="str">
        <f ca="1">IFERROR(COUNTIFS(Tableau3[Classe CO],$AI$31,Tableau3[Saison],$AU$30,Tableau3[Mois],'TABLEAUX SOURCES'!$AT35,Tableau3[Producteur],cProducteur)/AX35,"")</f>
        <v/>
      </c>
      <c r="AW35" s="113" t="str">
        <f ca="1">IFERROR(COUNTIFS(Tableau3[Classe CO],$AJ$31,Tableau3[Saison],$AU$30,Tableau3[Mois],'TABLEAUX SOURCES'!$AT35,Tableau3[Producteur],cProducteur)/$AK35,"")</f>
        <v/>
      </c>
      <c r="AX35" s="112">
        <f ca="1">COUNTIFS(Tableau3[Classe CO],"&gt;&lt;",Tableau3[Saison],$AU$30,Tableau3[Mois],'TABLEAUX SOURCES'!$AT35,Tableau3[Producteur],cProducteur)</f>
        <v>0</v>
      </c>
    </row>
    <row r="36" spans="18:50" x14ac:dyDescent="0.25">
      <c r="R36" s="112" t="s">
        <v>139</v>
      </c>
      <c r="S36" s="113" t="str">
        <f ca="1">IFERROR(COUNTIFS(Tableau3[Classe BU],$S$31,Tableau3[Saison],$S$30,Tableau3[Mois],'TABLEAUX SOURCES'!$R36,Tableau3[Producteur],cProducteur)/X36,"")</f>
        <v/>
      </c>
      <c r="T36" s="113" t="str">
        <f ca="1">IFERROR(COUNTIFS(Tableau3[Classe BU],$T$31,Tableau3[Saison],$S$30,Tableau3[Mois],'TABLEAUX SOURCES'!$R36,Tableau3[Producteur],cProducteur)/X36,"")</f>
        <v/>
      </c>
      <c r="U36" s="113" t="str">
        <f ca="1">IFERROR(COUNTIFS(Tableau3[Classe BU],$U$31,Tableau3[Saison],$S$30,Tableau3[Mois],'TABLEAUX SOURCES'!$R36,Tableau3[Producteur],cProducteur)/X36,"")</f>
        <v/>
      </c>
      <c r="V36" s="113" t="str">
        <f ca="1">IFERROR(COUNTIFS(Tableau3[Classe BU],$V$31,Tableau3[Saison],$S$30,Tableau3[Mois],'TABLEAUX SOURCES'!$R36,Tableau3[Producteur],cProducteur)/X36,"")</f>
        <v/>
      </c>
      <c r="W36" s="113" t="str">
        <f ca="1">IFERROR(COUNTIFS(Tableau3[Classe BU],$W$31,Tableau3[Saison],$S$30,Tableau3[Mois],'TABLEAUX SOURCES'!$R36,Tableau3[Producteur],cProducteur)/X36,"")</f>
        <v/>
      </c>
      <c r="X36" s="112">
        <f ca="1">COUNTIFS(Tableau3[Classe BU],"&gt;&lt;",Tableau3[Saison],$S$30,Tableau3[Mois],'TABLEAUX SOURCES'!$R36,Tableau3[Producteur],cProducteur)</f>
        <v>0</v>
      </c>
      <c r="AG36" s="112" t="s">
        <v>139</v>
      </c>
      <c r="AH36" s="113" t="str">
        <f ca="1">IFERROR(COUNTIFS(Tableau3[Classe CE],$AH$31,Tableau3[Saison],$AH$30,Tableau3[Mois],'TABLEAUX SOURCES'!$AG36,Tableau3[Producteur],cProducteur)/AK36,"")</f>
        <v/>
      </c>
      <c r="AI36" s="113" t="str">
        <f ca="1">IFERROR(COUNTIFS(Tableau3[Classe CE],$AI$31,Tableau3[Saison],$AH$30,Tableau3[Mois],'TABLEAUX SOURCES'!$AG36,Tableau3[Producteur],cProducteur)/AK36,"")</f>
        <v/>
      </c>
      <c r="AJ36" s="113" t="str">
        <f ca="1">IFERROR(COUNTIFS(Tableau3[Classe CE],$AJ$31,Tableau3[Saison],$AH$30,Tableau3[Mois],'TABLEAUX SOURCES'!$AG36,Tableau3[Producteur],cProducteur)/$AK36,"")</f>
        <v/>
      </c>
      <c r="AK36" s="112">
        <f ca="1">COUNTIFS(Tableau3[Classe CE],"&gt;&lt;",Tableau3[Saison],$AH$30,Tableau3[Mois],'TABLEAUX SOURCES'!$AG36,Tableau3[Producteur],cProducteur)</f>
        <v>0</v>
      </c>
      <c r="AT36" s="112" t="s">
        <v>139</v>
      </c>
      <c r="AU36" s="113" t="str">
        <f ca="1">IFERROR(COUNTIFS(Tableau3[Classe CO],$AU$31,Tableau3[Saison],$AU$30,Tableau3[Mois],'TABLEAUX SOURCES'!$AT36,Tableau3[Producteur],cProducteur)/AX36,"")</f>
        <v/>
      </c>
      <c r="AV36" s="113" t="str">
        <f ca="1">IFERROR(COUNTIFS(Tableau3[Classe CO],$AI$31,Tableau3[Saison],$AU$30,Tableau3[Mois],'TABLEAUX SOURCES'!$AT36,Tableau3[Producteur],cProducteur)/AX36,"")</f>
        <v/>
      </c>
      <c r="AW36" s="113" t="str">
        <f ca="1">IFERROR(COUNTIFS(Tableau3[Classe CO],$AJ$31,Tableau3[Saison],$AU$30,Tableau3[Mois],'TABLEAUX SOURCES'!$AT36,Tableau3[Producteur],cProducteur)/$AK36,"")</f>
        <v/>
      </c>
      <c r="AX36" s="112">
        <f ca="1">COUNTIFS(Tableau3[Classe CO],"&gt;&lt;",Tableau3[Saison],$AU$30,Tableau3[Mois],'TABLEAUX SOURCES'!$AT36,Tableau3[Producteur],cProducteur)</f>
        <v>0</v>
      </c>
    </row>
    <row r="37" spans="18:50" x14ac:dyDescent="0.25">
      <c r="R37" s="112" t="s">
        <v>89</v>
      </c>
      <c r="S37" s="113" t="str">
        <f ca="1">IFERROR(COUNTIFS(Tableau3[Classe BU],$S$31,Tableau3[Saison],$S$30,Tableau3[Mois],'TABLEAUX SOURCES'!$R37,Tableau3[Producteur],cProducteur)/X37,"")</f>
        <v/>
      </c>
      <c r="T37" s="113" t="str">
        <f ca="1">IFERROR(COUNTIFS(Tableau3[Classe BU],$T$31,Tableau3[Saison],$S$30,Tableau3[Mois],'TABLEAUX SOURCES'!$R37,Tableau3[Producteur],cProducteur)/X37,"")</f>
        <v/>
      </c>
      <c r="U37" s="113" t="str">
        <f ca="1">IFERROR(COUNTIFS(Tableau3[Classe BU],$U$31,Tableau3[Saison],$S$30,Tableau3[Mois],'TABLEAUX SOURCES'!$R37,Tableau3[Producteur],cProducteur)/X37,"")</f>
        <v/>
      </c>
      <c r="V37" s="113" t="str">
        <f ca="1">IFERROR(COUNTIFS(Tableau3[Classe BU],$V$31,Tableau3[Saison],$S$30,Tableau3[Mois],'TABLEAUX SOURCES'!$R37,Tableau3[Producteur],cProducteur)/X37,"")</f>
        <v/>
      </c>
      <c r="W37" s="113" t="str">
        <f ca="1">IFERROR(COUNTIFS(Tableau3[Classe BU],$W$31,Tableau3[Saison],$S$30,Tableau3[Mois],'TABLEAUX SOURCES'!$R37,Tableau3[Producteur],cProducteur)/X37,"")</f>
        <v/>
      </c>
      <c r="X37" s="112">
        <f ca="1">COUNTIFS(Tableau3[Classe BU],"&gt;&lt;",Tableau3[Saison],$S$30,Tableau3[Mois],'TABLEAUX SOURCES'!$R37,Tableau3[Producteur],cProducteur)</f>
        <v>0</v>
      </c>
      <c r="AG37" s="112" t="s">
        <v>89</v>
      </c>
      <c r="AH37" s="113" t="str">
        <f ca="1">IFERROR(COUNTIFS(Tableau3[Classe CE],$AH$31,Tableau3[Saison],$AH$30,Tableau3[Mois],'TABLEAUX SOURCES'!$AG37,Tableau3[Producteur],cProducteur)/AK37,"")</f>
        <v/>
      </c>
      <c r="AI37" s="113" t="str">
        <f ca="1">IFERROR(COUNTIFS(Tableau3[Classe CE],$AI$31,Tableau3[Saison],$AH$30,Tableau3[Mois],'TABLEAUX SOURCES'!$AG37,Tableau3[Producteur],cProducteur)/AK37,"")</f>
        <v/>
      </c>
      <c r="AJ37" s="113" t="str">
        <f ca="1">IFERROR(COUNTIFS(Tableau3[Classe CE],$AJ$31,Tableau3[Saison],$AH$30,Tableau3[Mois],'TABLEAUX SOURCES'!$AG37,Tableau3[Producteur],cProducteur)/$AK37,"")</f>
        <v/>
      </c>
      <c r="AK37" s="112">
        <f ca="1">COUNTIFS(Tableau3[Classe CE],"&gt;&lt;",Tableau3[Saison],$AH$30,Tableau3[Mois],'TABLEAUX SOURCES'!$AG37,Tableau3[Producteur],cProducteur)</f>
        <v>0</v>
      </c>
      <c r="AT37" s="112" t="s">
        <v>89</v>
      </c>
      <c r="AU37" s="113" t="str">
        <f ca="1">IFERROR(COUNTIFS(Tableau3[Classe CO],$AU$31,Tableau3[Saison],$AU$30,Tableau3[Mois],'TABLEAUX SOURCES'!$AT37,Tableau3[Producteur],cProducteur)/AX37,"")</f>
        <v/>
      </c>
      <c r="AV37" s="113" t="str">
        <f ca="1">IFERROR(COUNTIFS(Tableau3[Classe CO],$AI$31,Tableau3[Saison],$AU$30,Tableau3[Mois],'TABLEAUX SOURCES'!$AT37,Tableau3[Producteur],cProducteur)/AX37,"")</f>
        <v/>
      </c>
      <c r="AW37" s="113" t="str">
        <f ca="1">IFERROR(COUNTIFS(Tableau3[Classe CO],$AJ$31,Tableau3[Saison],$AU$30,Tableau3[Mois],'TABLEAUX SOURCES'!$AT37,Tableau3[Producteur],cProducteur)/$AK37,"")</f>
        <v/>
      </c>
      <c r="AX37" s="112">
        <f ca="1">COUNTIFS(Tableau3[Classe CO],"&gt;&lt;",Tableau3[Saison],$AU$30,Tableau3[Mois],'TABLEAUX SOURCES'!$AT37,Tableau3[Producteur],cProducteur)</f>
        <v>0</v>
      </c>
    </row>
    <row r="38" spans="18:50" x14ac:dyDescent="0.25">
      <c r="R38" s="112" t="s">
        <v>140</v>
      </c>
      <c r="S38" s="113" t="str">
        <f ca="1">IFERROR(COUNTIFS(Tableau3[Classe BU],$S$31,Tableau3[Saison],$S$30,Tableau3[Mois],'TABLEAUX SOURCES'!$R38,Tableau3[Producteur],cProducteur)/X38,"")</f>
        <v/>
      </c>
      <c r="T38" s="113" t="str">
        <f ca="1">IFERROR(COUNTIFS(Tableau3[Classe BU],$T$31,Tableau3[Saison],$S$30,Tableau3[Mois],'TABLEAUX SOURCES'!$R38,Tableau3[Producteur],cProducteur)/X38,"")</f>
        <v/>
      </c>
      <c r="U38" s="113" t="str">
        <f ca="1">IFERROR(COUNTIFS(Tableau3[Classe BU],$U$31,Tableau3[Saison],$S$30,Tableau3[Mois],'TABLEAUX SOURCES'!$R38,Tableau3[Producteur],cProducteur)/X38,"")</f>
        <v/>
      </c>
      <c r="V38" s="113" t="str">
        <f ca="1">IFERROR(COUNTIFS(Tableau3[Classe BU],$V$31,Tableau3[Saison],$S$30,Tableau3[Mois],'TABLEAUX SOURCES'!$R38,Tableau3[Producteur],cProducteur)/X38,"")</f>
        <v/>
      </c>
      <c r="W38" s="113" t="str">
        <f ca="1">IFERROR(COUNTIFS(Tableau3[Classe BU],$W$31,Tableau3[Saison],$S$30,Tableau3[Mois],'TABLEAUX SOURCES'!$R38,Tableau3[Producteur],cProducteur)/X38,"")</f>
        <v/>
      </c>
      <c r="X38" s="112">
        <f ca="1">COUNTIFS(Tableau3[Classe BU],"&gt;&lt;",Tableau3[Saison],$S$30,Tableau3[Mois],'TABLEAUX SOURCES'!$R38,Tableau3[Producteur],cProducteur)</f>
        <v>0</v>
      </c>
      <c r="AG38" s="112" t="s">
        <v>140</v>
      </c>
      <c r="AH38" s="113" t="str">
        <f ca="1">IFERROR(COUNTIFS(Tableau3[Classe CE],$AH$31,Tableau3[Saison],$AH$30,Tableau3[Mois],'TABLEAUX SOURCES'!$AG38,Tableau3[Producteur],cProducteur)/AK38,"")</f>
        <v/>
      </c>
      <c r="AI38" s="113" t="str">
        <f ca="1">IFERROR(COUNTIFS(Tableau3[Classe CE],$AI$31,Tableau3[Saison],$AH$30,Tableau3[Mois],'TABLEAUX SOURCES'!$AG38,Tableau3[Producteur],cProducteur)/AK38,"")</f>
        <v/>
      </c>
      <c r="AJ38" s="113" t="str">
        <f ca="1">IFERROR(COUNTIFS(Tableau3[Classe CE],$AJ$31,Tableau3[Saison],$AH$30,Tableau3[Mois],'TABLEAUX SOURCES'!$AG38,Tableau3[Producteur],cProducteur)/$AK38,"")</f>
        <v/>
      </c>
      <c r="AK38" s="112">
        <f ca="1">COUNTIFS(Tableau3[Classe CE],"&gt;&lt;",Tableau3[Saison],$AH$30,Tableau3[Mois],'TABLEAUX SOURCES'!$AG38,Tableau3[Producteur],cProducteur)</f>
        <v>0</v>
      </c>
      <c r="AT38" s="112" t="s">
        <v>140</v>
      </c>
      <c r="AU38" s="113" t="str">
        <f ca="1">IFERROR(COUNTIFS(Tableau3[Classe CO],$AU$31,Tableau3[Saison],$AU$30,Tableau3[Mois],'TABLEAUX SOURCES'!$AT38,Tableau3[Producteur],cProducteur)/AX38,"")</f>
        <v/>
      </c>
      <c r="AV38" s="113" t="str">
        <f ca="1">IFERROR(COUNTIFS(Tableau3[Classe CO],$AI$31,Tableau3[Saison],$AU$30,Tableau3[Mois],'TABLEAUX SOURCES'!$AT38,Tableau3[Producteur],cProducteur)/AX38,"")</f>
        <v/>
      </c>
      <c r="AW38" s="113" t="str">
        <f ca="1">IFERROR(COUNTIFS(Tableau3[Classe CO],$AJ$31,Tableau3[Saison],$AU$30,Tableau3[Mois],'TABLEAUX SOURCES'!$AT38,Tableau3[Producteur],cProducteur)/$AK38,"")</f>
        <v/>
      </c>
      <c r="AX38" s="112">
        <f ca="1">COUNTIFS(Tableau3[Classe CO],"&gt;&lt;",Tableau3[Saison],$AU$30,Tableau3[Mois],'TABLEAUX SOURCES'!$AT38,Tableau3[Producteur],cProducteur)</f>
        <v>0</v>
      </c>
    </row>
    <row r="39" spans="18:50" x14ac:dyDescent="0.25">
      <c r="R39" s="112" t="s">
        <v>141</v>
      </c>
      <c r="S39" s="113" t="str">
        <f ca="1">IFERROR(COUNTIFS(Tableau3[Classe BU],$S$31,Tableau3[Saison],$S$30,Tableau3[Mois],'TABLEAUX SOURCES'!$R39,Tableau3[Producteur],cProducteur)/X39,"")</f>
        <v/>
      </c>
      <c r="T39" s="113" t="str">
        <f ca="1">IFERROR(COUNTIFS(Tableau3[Classe BU],$T$31,Tableau3[Saison],$S$30,Tableau3[Mois],'TABLEAUX SOURCES'!$R39,Tableau3[Producteur],cProducteur)/X39,"")</f>
        <v/>
      </c>
      <c r="U39" s="113" t="str">
        <f ca="1">IFERROR(COUNTIFS(Tableau3[Classe BU],$U$31,Tableau3[Saison],$S$30,Tableau3[Mois],'TABLEAUX SOURCES'!$R39,Tableau3[Producteur],cProducteur)/X39,"")</f>
        <v/>
      </c>
      <c r="V39" s="113" t="str">
        <f ca="1">IFERROR(COUNTIFS(Tableau3[Classe BU],$V$31,Tableau3[Saison],$S$30,Tableau3[Mois],'TABLEAUX SOURCES'!$R39,Tableau3[Producteur],cProducteur)/X39,"")</f>
        <v/>
      </c>
      <c r="W39" s="113" t="str">
        <f ca="1">IFERROR(COUNTIFS(Tableau3[Classe BU],$W$31,Tableau3[Saison],$S$30,Tableau3[Mois],'TABLEAUX SOURCES'!$R39,Tableau3[Producteur],cProducteur)/X39,"")</f>
        <v/>
      </c>
      <c r="X39" s="112">
        <f ca="1">COUNTIFS(Tableau3[Classe BU],"&gt;&lt;",Tableau3[Saison],$S$30,Tableau3[Mois],'TABLEAUX SOURCES'!$R39,Tableau3[Producteur],cProducteur)</f>
        <v>0</v>
      </c>
      <c r="AG39" s="112" t="s">
        <v>141</v>
      </c>
      <c r="AH39" s="113" t="str">
        <f ca="1">IFERROR(COUNTIFS(Tableau3[Classe CE],$AH$31,Tableau3[Saison],$AH$30,Tableau3[Mois],'TABLEAUX SOURCES'!$AG39,Tableau3[Producteur],cProducteur)/AK39,"")</f>
        <v/>
      </c>
      <c r="AI39" s="113" t="str">
        <f ca="1">IFERROR(COUNTIFS(Tableau3[Classe CE],$AI$31,Tableau3[Saison],$AH$30,Tableau3[Mois],'TABLEAUX SOURCES'!$AG39,Tableau3[Producteur],cProducteur)/AK39,"")</f>
        <v/>
      </c>
      <c r="AJ39" s="113" t="str">
        <f ca="1">IFERROR(COUNTIFS(Tableau3[Classe CE],$AJ$31,Tableau3[Saison],$AH$30,Tableau3[Mois],'TABLEAUX SOURCES'!$AG39,Tableau3[Producteur],cProducteur)/$AK39,"")</f>
        <v/>
      </c>
      <c r="AK39" s="112">
        <f ca="1">COUNTIFS(Tableau3[Classe CE],"&gt;&lt;",Tableau3[Saison],$AH$30,Tableau3[Mois],'TABLEAUX SOURCES'!$AG39,Tableau3[Producteur],cProducteur)</f>
        <v>0</v>
      </c>
      <c r="AT39" s="112" t="s">
        <v>141</v>
      </c>
      <c r="AU39" s="113" t="str">
        <f ca="1">IFERROR(COUNTIFS(Tableau3[Classe CO],$AU$31,Tableau3[Saison],$AU$30,Tableau3[Mois],'TABLEAUX SOURCES'!$AT39,Tableau3[Producteur],cProducteur)/AX39,"")</f>
        <v/>
      </c>
      <c r="AV39" s="113" t="str">
        <f ca="1">IFERROR(COUNTIFS(Tableau3[Classe CO],$AI$31,Tableau3[Saison],$AU$30,Tableau3[Mois],'TABLEAUX SOURCES'!$AT39,Tableau3[Producteur],cProducteur)/AX39,"")</f>
        <v/>
      </c>
      <c r="AW39" s="113" t="str">
        <f ca="1">IFERROR(COUNTIFS(Tableau3[Classe CO],$AJ$31,Tableau3[Saison],$AU$30,Tableau3[Mois],'TABLEAUX SOURCES'!$AT39,Tableau3[Producteur],cProducteur)/$AK39,"")</f>
        <v/>
      </c>
      <c r="AX39" s="112">
        <f ca="1">COUNTIFS(Tableau3[Classe CO],"&gt;&lt;",Tableau3[Saison],$AU$30,Tableau3[Mois],'TABLEAUX SOURCES'!$AT39,Tableau3[Producteur],cProducteur)</f>
        <v>0</v>
      </c>
    </row>
    <row r="40" spans="18:50" x14ac:dyDescent="0.25">
      <c r="R40" s="112" t="s">
        <v>142</v>
      </c>
      <c r="S40" s="113" t="str">
        <f ca="1">IFERROR(COUNTIFS(Tableau3[Classe BU],$S$31,Tableau3[Saison],$S$30,Tableau3[Mois],'TABLEAUX SOURCES'!$R40,Tableau3[Producteur],cProducteur)/X40,"")</f>
        <v/>
      </c>
      <c r="T40" s="113" t="str">
        <f ca="1">IFERROR(COUNTIFS(Tableau3[Classe BU],$T$31,Tableau3[Saison],$S$30,Tableau3[Mois],'TABLEAUX SOURCES'!$R40,Tableau3[Producteur],cProducteur)/X40,"")</f>
        <v/>
      </c>
      <c r="U40" s="113" t="str">
        <f ca="1">IFERROR(COUNTIFS(Tableau3[Classe BU],$U$31,Tableau3[Saison],$S$30,Tableau3[Mois],'TABLEAUX SOURCES'!$R40,Tableau3[Producteur],cProducteur)/X40,"")</f>
        <v/>
      </c>
      <c r="V40" s="113" t="str">
        <f ca="1">IFERROR(COUNTIFS(Tableau3[Classe BU],$V$31,Tableau3[Saison],$S$30,Tableau3[Mois],'TABLEAUX SOURCES'!$R40,Tableau3[Producteur],cProducteur)/X40,"")</f>
        <v/>
      </c>
      <c r="W40" s="113" t="str">
        <f ca="1">IFERROR(COUNTIFS(Tableau3[Classe BU],$W$31,Tableau3[Saison],$S$30,Tableau3[Mois],'TABLEAUX SOURCES'!$R40,Tableau3[Producteur],cProducteur)/X40,"")</f>
        <v/>
      </c>
      <c r="X40" s="112">
        <f ca="1">COUNTIFS(Tableau3[Classe BU],"&gt;&lt;",Tableau3[Saison],$S$30,Tableau3[Mois],'TABLEAUX SOURCES'!$R40,Tableau3[Producteur],cProducteur)</f>
        <v>0</v>
      </c>
      <c r="AG40" s="112" t="s">
        <v>142</v>
      </c>
      <c r="AH40" s="113" t="str">
        <f ca="1">IFERROR(COUNTIFS(Tableau3[Classe CE],$AH$31,Tableau3[Saison],$AH$30,Tableau3[Mois],'TABLEAUX SOURCES'!$AG40,Tableau3[Producteur],cProducteur)/AK40,"")</f>
        <v/>
      </c>
      <c r="AI40" s="113" t="str">
        <f ca="1">IFERROR(COUNTIFS(Tableau3[Classe CE],$AI$31,Tableau3[Saison],$AH$30,Tableau3[Mois],'TABLEAUX SOURCES'!$AG40,Tableau3[Producteur],cProducteur)/AK40,"")</f>
        <v/>
      </c>
      <c r="AJ40" s="113" t="str">
        <f ca="1">IFERROR(COUNTIFS(Tableau3[Classe CE],$AJ$31,Tableau3[Saison],$AH$30,Tableau3[Mois],'TABLEAUX SOURCES'!$AG40,Tableau3[Producteur],cProducteur)/$AK40,"")</f>
        <v/>
      </c>
      <c r="AK40" s="112">
        <f ca="1">COUNTIFS(Tableau3[Classe CE],"&gt;&lt;",Tableau3[Saison],$AH$30,Tableau3[Mois],'TABLEAUX SOURCES'!$AG40,Tableau3[Producteur],cProducteur)</f>
        <v>0</v>
      </c>
      <c r="AT40" s="112" t="s">
        <v>142</v>
      </c>
      <c r="AU40" s="113" t="str">
        <f ca="1">IFERROR(COUNTIFS(Tableau3[Classe CO],$AU$31,Tableau3[Saison],$AU$30,Tableau3[Mois],'TABLEAUX SOURCES'!$AT40,Tableau3[Producteur],cProducteur)/AX40,"")</f>
        <v/>
      </c>
      <c r="AV40" s="113" t="str">
        <f ca="1">IFERROR(COUNTIFS(Tableau3[Classe CO],$AI$31,Tableau3[Saison],$AU$30,Tableau3[Mois],'TABLEAUX SOURCES'!$AT40,Tableau3[Producteur],cProducteur)/AX40,"")</f>
        <v/>
      </c>
      <c r="AW40" s="113" t="str">
        <f ca="1">IFERROR(COUNTIFS(Tableau3[Classe CO],$AJ$31,Tableau3[Saison],$AU$30,Tableau3[Mois],'TABLEAUX SOURCES'!$AT40,Tableau3[Producteur],cProducteur)/$AK40,"")</f>
        <v/>
      </c>
      <c r="AX40" s="112">
        <f ca="1">COUNTIFS(Tableau3[Classe CO],"&gt;&lt;",Tableau3[Saison],$AU$30,Tableau3[Mois],'TABLEAUX SOURCES'!$AT40,Tableau3[Producteur],cProducteur)</f>
        <v>0</v>
      </c>
    </row>
    <row r="41" spans="18:50" x14ac:dyDescent="0.25">
      <c r="R41" s="112" t="s">
        <v>143</v>
      </c>
      <c r="S41" s="113" t="str">
        <f ca="1">IFERROR(COUNTIFS(Tableau3[Classe BU],$S$31,Tableau3[Saison],$S$30,Tableau3[Mois],'TABLEAUX SOURCES'!$R41,Tableau3[Producteur],cProducteur)/X41,"")</f>
        <v/>
      </c>
      <c r="T41" s="113" t="str">
        <f ca="1">IFERROR(COUNTIFS(Tableau3[Classe BU],$T$31,Tableau3[Saison],$S$30,Tableau3[Mois],'TABLEAUX SOURCES'!$R41,Tableau3[Producteur],cProducteur)/X41,"")</f>
        <v/>
      </c>
      <c r="U41" s="113" t="str">
        <f ca="1">IFERROR(COUNTIFS(Tableau3[Classe BU],$U$31,Tableau3[Saison],$S$30,Tableau3[Mois],'TABLEAUX SOURCES'!$R41,Tableau3[Producteur],cProducteur)/X41,"")</f>
        <v/>
      </c>
      <c r="V41" s="113" t="str">
        <f ca="1">IFERROR(COUNTIFS(Tableau3[Classe BU],$V$31,Tableau3[Saison],$S$30,Tableau3[Mois],'TABLEAUX SOURCES'!$R41,Tableau3[Producteur],cProducteur)/X41,"")</f>
        <v/>
      </c>
      <c r="W41" s="113" t="str">
        <f ca="1">IFERROR(COUNTIFS(Tableau3[Classe BU],$W$31,Tableau3[Saison],$S$30,Tableau3[Mois],'TABLEAUX SOURCES'!$R41,Tableau3[Producteur],cProducteur)/X41,"")</f>
        <v/>
      </c>
      <c r="X41" s="112">
        <f ca="1">COUNTIFS(Tableau3[Classe BU],"&gt;&lt;",Tableau3[Saison],$S$30,Tableau3[Mois],'TABLEAUX SOURCES'!$R41,Tableau3[Producteur],cProducteur)</f>
        <v>0</v>
      </c>
      <c r="AG41" s="112" t="s">
        <v>143</v>
      </c>
      <c r="AH41" s="113" t="str">
        <f ca="1">IFERROR(COUNTIFS(Tableau3[Classe CE],$AH$31,Tableau3[Saison],$AH$30,Tableau3[Mois],'TABLEAUX SOURCES'!$AG41,Tableau3[Producteur],cProducteur)/AK41,"")</f>
        <v/>
      </c>
      <c r="AI41" s="113" t="str">
        <f ca="1">IFERROR(COUNTIFS(Tableau3[Classe CE],$AI$31,Tableau3[Saison],$AH$30,Tableau3[Mois],'TABLEAUX SOURCES'!$AG41,Tableau3[Producteur],cProducteur)/AK41,"")</f>
        <v/>
      </c>
      <c r="AJ41" s="113" t="str">
        <f ca="1">IFERROR(COUNTIFS(Tableau3[Classe CE],$AJ$31,Tableau3[Saison],$AH$30,Tableau3[Mois],'TABLEAUX SOURCES'!$AG41,Tableau3[Producteur],cProducteur)/$AK41,"")</f>
        <v/>
      </c>
      <c r="AK41" s="112">
        <f ca="1">COUNTIFS(Tableau3[Classe CE],"&gt;&lt;",Tableau3[Saison],$AH$30,Tableau3[Mois],'TABLEAUX SOURCES'!$AG41,Tableau3[Producteur],cProducteur)</f>
        <v>0</v>
      </c>
      <c r="AT41" s="112" t="s">
        <v>143</v>
      </c>
      <c r="AU41" s="113" t="str">
        <f ca="1">IFERROR(COUNTIFS(Tableau3[Classe CO],$AU$31,Tableau3[Saison],$AU$30,Tableau3[Mois],'TABLEAUX SOURCES'!$AT41,Tableau3[Producteur],cProducteur)/AX41,"")</f>
        <v/>
      </c>
      <c r="AV41" s="113" t="str">
        <f ca="1">IFERROR(COUNTIFS(Tableau3[Classe CO],$AI$31,Tableau3[Saison],$AU$30,Tableau3[Mois],'TABLEAUX SOURCES'!$AT41,Tableau3[Producteur],cProducteur)/AX41,"")</f>
        <v/>
      </c>
      <c r="AW41" s="113" t="str">
        <f ca="1">IFERROR(COUNTIFS(Tableau3[Classe CO],$AJ$31,Tableau3[Saison],$AU$30,Tableau3[Mois],'TABLEAUX SOURCES'!$AT41,Tableau3[Producteur],cProducteur)/$AK41,"")</f>
        <v/>
      </c>
      <c r="AX41" s="112">
        <f ca="1">COUNTIFS(Tableau3[Classe CO],"&gt;&lt;",Tableau3[Saison],$AU$30,Tableau3[Mois],'TABLEAUX SOURCES'!$AT41,Tableau3[Producteur],cProducteur)</f>
        <v>0</v>
      </c>
    </row>
    <row r="76" spans="2:2" x14ac:dyDescent="0.25">
      <c r="B76" s="89">
        <v>3</v>
      </c>
    </row>
  </sheetData>
  <mergeCells count="17">
    <mergeCell ref="AT2:BE2"/>
    <mergeCell ref="AU4:AX4"/>
    <mergeCell ref="BA4:BC4"/>
    <mergeCell ref="AU17:AX17"/>
    <mergeCell ref="AU30:AX30"/>
    <mergeCell ref="S17:X17"/>
    <mergeCell ref="S30:X30"/>
    <mergeCell ref="AA4:AE4"/>
    <mergeCell ref="S4:X4"/>
    <mergeCell ref="AH17:AK17"/>
    <mergeCell ref="AH30:AK30"/>
    <mergeCell ref="D2:G2"/>
    <mergeCell ref="K2:N2"/>
    <mergeCell ref="R2:AE2"/>
    <mergeCell ref="AH4:AK4"/>
    <mergeCell ref="AN4:AP4"/>
    <mergeCell ref="AG2:AR2"/>
  </mergeCells>
  <conditionalFormatting sqref="B5:B7">
    <cfRule type="cellIs" dxfId="3" priority="2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4" name="Scroll Bar 2">
              <controlPr defaultSize="0" autoPict="0">
                <anchor moveWithCells="1">
                  <from>
                    <xdr:col>0</xdr:col>
                    <xdr:colOff>1000125</xdr:colOff>
                    <xdr:row>2</xdr:row>
                    <xdr:rowOff>180975</xdr:rowOff>
                  </from>
                  <to>
                    <xdr:col>0</xdr:col>
                    <xdr:colOff>1304925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37A23-6131-4504-AEDB-F24CBD27DFAA}">
  <sheetPr codeName="Feuil9"/>
  <dimension ref="A1:AH1048274"/>
  <sheetViews>
    <sheetView topLeftCell="B1" workbookViewId="0">
      <selection activeCell="F9" sqref="F9"/>
    </sheetView>
  </sheetViews>
  <sheetFormatPr baseColWidth="10" defaultRowHeight="16.5" x14ac:dyDescent="0.3"/>
  <cols>
    <col min="1" max="1" width="73.5703125" style="15" customWidth="1"/>
    <col min="2" max="2" width="10.85546875" style="26" bestFit="1" customWidth="1"/>
    <col min="3" max="3" width="11.140625" style="28" bestFit="1" customWidth="1"/>
    <col min="4" max="4" width="9.42578125" style="26" bestFit="1" customWidth="1"/>
    <col min="5" max="5" width="29.42578125" style="15" bestFit="1" customWidth="1"/>
    <col min="6" max="6" width="19.140625" style="15" bestFit="1" customWidth="1"/>
    <col min="7" max="7" width="28" style="15" bestFit="1" customWidth="1"/>
    <col min="8" max="9" width="11.28515625" style="15" bestFit="1" customWidth="1"/>
    <col min="10" max="10" width="15.7109375" style="15" bestFit="1" customWidth="1"/>
    <col min="11" max="11" width="9" style="15" bestFit="1" customWidth="1"/>
    <col min="12" max="12" width="15.85546875" style="15" bestFit="1" customWidth="1"/>
    <col min="13" max="13" width="9.140625" style="15" bestFit="1" customWidth="1"/>
    <col min="14" max="14" width="16.5703125" style="15" bestFit="1" customWidth="1"/>
    <col min="15" max="15" width="8.5703125" style="15" bestFit="1" customWidth="1"/>
    <col min="16" max="16" width="7.7109375" style="15" bestFit="1" customWidth="1"/>
    <col min="17" max="17" width="9.42578125" style="15" bestFit="1" customWidth="1"/>
    <col min="18" max="18" width="8.7109375" style="15" bestFit="1" customWidth="1"/>
    <col min="19" max="19" width="8.5703125" style="15" bestFit="1" customWidth="1"/>
    <col min="20" max="20" width="11.28515625" style="15" bestFit="1" customWidth="1"/>
    <col min="21" max="21" width="30.140625" style="15" bestFit="1" customWidth="1"/>
    <col min="22" max="22" width="31.28515625" bestFit="1" customWidth="1"/>
    <col min="23" max="23" width="41.7109375" style="15" bestFit="1" customWidth="1"/>
    <col min="24" max="24" width="30.140625" style="15" customWidth="1"/>
    <col min="25" max="25" width="20.5703125" style="30" customWidth="1"/>
    <col min="26" max="26" width="20.85546875" style="2" customWidth="1"/>
    <col min="27" max="28" width="20.5703125" style="30" customWidth="1"/>
    <col min="29" max="29" width="18.140625" style="2" customWidth="1"/>
    <col min="30" max="30" width="21.140625" style="15" bestFit="1" customWidth="1"/>
    <col min="31" max="31" width="21.85546875" style="15" bestFit="1" customWidth="1"/>
    <col min="32" max="32" width="21" style="15" bestFit="1" customWidth="1"/>
    <col min="33" max="33" width="22.85546875" style="15" bestFit="1" customWidth="1"/>
    <col min="34" max="34" width="24" style="15" bestFit="1" customWidth="1"/>
    <col min="35" max="35" width="22.5703125" style="15" bestFit="1" customWidth="1"/>
    <col min="36" max="16384" width="11.42578125" style="15"/>
  </cols>
  <sheetData>
    <row r="1" spans="1:34" ht="69" customHeight="1" x14ac:dyDescent="0.3">
      <c r="A1" s="15" t="s">
        <v>88</v>
      </c>
      <c r="B1" s="26" t="s">
        <v>124</v>
      </c>
      <c r="C1" s="27" t="s">
        <v>0</v>
      </c>
      <c r="D1" s="26" t="s">
        <v>1</v>
      </c>
      <c r="E1" s="15" t="s">
        <v>42</v>
      </c>
      <c r="F1" s="15" t="s">
        <v>3</v>
      </c>
      <c r="G1" s="15" t="s">
        <v>75</v>
      </c>
      <c r="H1" s="15" t="s">
        <v>2</v>
      </c>
      <c r="I1" s="15" t="s">
        <v>66</v>
      </c>
      <c r="J1" s="15" t="s">
        <v>90</v>
      </c>
      <c r="K1" s="15" t="s">
        <v>67</v>
      </c>
      <c r="L1" s="15" t="s">
        <v>106</v>
      </c>
      <c r="M1" s="15" t="s">
        <v>68</v>
      </c>
      <c r="N1" s="15" t="s">
        <v>108</v>
      </c>
      <c r="O1" s="15" t="s">
        <v>69</v>
      </c>
      <c r="P1" s="15" t="s">
        <v>70</v>
      </c>
      <c r="Q1" s="15" t="s">
        <v>71</v>
      </c>
      <c r="R1" s="15" t="s">
        <v>72</v>
      </c>
      <c r="S1" s="15" t="s">
        <v>73</v>
      </c>
      <c r="T1" s="15" t="s">
        <v>74</v>
      </c>
      <c r="U1" s="15" t="s">
        <v>118</v>
      </c>
      <c r="V1" s="15" t="s">
        <v>133</v>
      </c>
      <c r="W1" s="15" t="s">
        <v>132</v>
      </c>
      <c r="X1" s="15" t="s">
        <v>131</v>
      </c>
      <c r="Y1" s="30" t="s">
        <v>116</v>
      </c>
      <c r="Z1" s="30" t="s">
        <v>134</v>
      </c>
      <c r="AA1" s="30" t="s">
        <v>117</v>
      </c>
      <c r="AB1" s="30" t="s">
        <v>135</v>
      </c>
      <c r="AC1" s="15" t="s">
        <v>109</v>
      </c>
      <c r="AD1" s="15" t="s">
        <v>110</v>
      </c>
      <c r="AE1" s="15" t="s">
        <v>111</v>
      </c>
      <c r="AF1" s="15" t="s">
        <v>113</v>
      </c>
      <c r="AG1" s="15" t="s">
        <v>114</v>
      </c>
      <c r="AH1" s="15" t="s">
        <v>115</v>
      </c>
    </row>
    <row r="2" spans="1:34" x14ac:dyDescent="0.3">
      <c r="B2" s="26" t="str">
        <f>IFERROR(IF(OR(Tableau47[[#This Row],[Mois]]="décembre",Tableau47[[#This Row],[Mois]]="novembre"),CONCATENATE(Tableau47[[#This Row],[Année]],"-",Tableau47[[#This Row],[Année]]+1),CONCATENATE(Tableau47[[#This Row],[Année]]-1,"-",Tableau47[[#This Row],[Année]])),"")</f>
        <v/>
      </c>
      <c r="C2" s="27" t="str">
        <f>IFERROR(LEFT(Tableau47[Quintuplé Année-Mois-Producteur-Type lait_Traitement thermique],4),"")</f>
        <v/>
      </c>
      <c r="D2" s="26" t="str">
        <f>IFERROR(MID(Tableau47[[#This Row],[Quintuplé Année-Mois-Producteur-Type lait_Traitement thermique]],SEARCH("_",Tableau47[[#This Row],[Quintuplé Année-Mois-Producteur-Type lait_Traitement thermique]],1)+1,SEARCH("-",Tableau47[[#This Row],[Quintuplé Année-Mois-Producteur-Type lait_Traitement thermique]],1)-SEARCH("_",Tableau47[[#This Row],[Quintuplé Année-Mois-Producteur-Type lait_Traitement thermique]],1)-1),"")</f>
        <v/>
      </c>
      <c r="E2" s="15" t="str">
        <f>IFERROR(MID(Tableau47[[#This Row],[Quintuplé Année-Mois-Producteur-Type lait_Traitement thermique]],SEARCH("-",Tableau47[[#This Row],[Quintuplé Année-Mois-Producteur-Type lait_Traitement thermique]],1)+1,SEARCH("/",Tableau47[[#This Row],[Quintuplé Année-Mois-Producteur-Type lait_Traitement thermique]],1)-SEARCH("-",Tableau47[[#This Row],[Quintuplé Année-Mois-Producteur-Type lait_Traitement thermique]],1)-1),"")</f>
        <v/>
      </c>
      <c r="F2" s="15" t="str">
        <f>IFERROR(MID(Tableau47[[#This Row],[Quintuplé Année-Mois-Producteur-Type lait_Traitement thermique]],SEARCH("/",Tableau47[[#This Row],[Quintuplé Année-Mois-Producteur-Type lait_Traitement thermique]],1)+1,SEARCH("+",Tableau47[[#This Row],[Quintuplé Année-Mois-Producteur-Type lait_Traitement thermique]],1)-SEARCH("/",Tableau47[[#This Row],[Quintuplé Année-Mois-Producteur-Type lait_Traitement thermique]],1)-1),"")</f>
        <v/>
      </c>
      <c r="G2" s="15" t="str">
        <f>IFERROR(RIGHT(Tableau47[Quintuplé Année-Mois-Producteur-Type lait_Traitement thermique],LEN(Tableau47[Quintuplé Année-Mois-Producteur-Type lait_Traitement thermique])-SEARCH("+",Tableau47[Quintuplé Année-Mois-Producteur-Type lait_Traitement thermique],1)),"")</f>
        <v/>
      </c>
      <c r="H2" s="15">
        <f>SUMIFS(Tableau1[Litrage],Tableau1[Année],Tableau47[[#This Row],[Année]],Tableau1[Mois],Tableau47[[#This Row],[Mois]],Tableau1[Producteur],Tableau47[[#This Row],[Producteur]],Tableau1[Type de lait],Tableau47[[#This Row],[Type de lait]],Tableau1[Traitement thermique],Tableau47[[#This Row],[Traitement thermique]])</f>
        <v>0</v>
      </c>
      <c r="I2" s="15" t="str">
        <f>IF($A2="","",IFERROR(AVERAGEIFS(Tableau3[BU spores/l],Tableau3[Année],Tableau47[Année],Tableau3[Mois],Tableau47[Mois],Tableau3[Producteur],Tableau47[Producteur],Tableau3[BIO-CONVENTIONNEL],Tableau47[Type de lait],Tableau3[Traitement thermique],Tableau47[Traitement thermique]),""))</f>
        <v/>
      </c>
      <c r="J2" s="15" t="str">
        <f ca="1">IF(Tableau47[[#This Row],[BU]]="","",IF(I2&lt;INDIRECT("BU_A_PLUS"),VLOOKUP("BU_A_PLUS",Tableau10[],3,FALSE),IF(I2&lt;INDIRECT("BU_A"),VLOOKUP("BU_A",Tableau10[],3,FALSE),IF(I2&lt;INDIRECT("BU_B"),VLOOKUP("BU_B",Tableau10[],3,FALSE),IF(I2&lt;INDIRECT("BU_C"),VLOOKUP("BU_C",Tableau10[],3,FALSE),IF(I2&lt;INDIRECT("BU_C_PLUS"),VLOOKUP("BU_C_PLUS",Tableau10[],3,FALSE),""))))))</f>
        <v/>
      </c>
      <c r="K2" s="15" t="str">
        <f>IF($A2="","",IFERROR(AVERAGEIFS(Tableau3[CE cellules/ml],Tableau3[Année],Tableau47[Année],Tableau3[Mois],Tableau47[Mois],Tableau3[Producteur],Tableau47[Producteur],Tableau3[BIO-CONVENTIONNEL],Tableau47[Type de lait],Tableau3[Traitement thermique],Tableau47[Traitement thermique]),""))</f>
        <v/>
      </c>
      <c r="L2" s="15" t="str">
        <f ca="1">IF(Tableau47[[#This Row],[CE]]="","",IF(K2&lt;INDIRECT("CE_A"),VLOOKUP("CE_A",Tableau10[],3,FALSE),IF(K2&lt;INDIRECT("CE_B"),VLOOKUP("CE_B",Tableau10[],3,FALSE),IF(K2&lt;INDIRECT("CE_C"),VLOOKUP("CE_C",Tableau10[],3,FALSE),""))))</f>
        <v/>
      </c>
      <c r="M2" s="15" t="str">
        <f>IF($A2="","",IFERROR(AVERAGEIFS(Tableau3[CO ufc/ml],Tableau3[Année],Tableau47[Année],Tableau3[Mois],Tableau47[Mois],Tableau3[Producteur],Tableau47[Producteur],Tableau3[BIO-CONVENTIONNEL],Tableau47[Type de lait],Tableau3[Traitement thermique],Tableau47[Traitement thermique]),""))</f>
        <v/>
      </c>
      <c r="N2" s="15" t="str">
        <f ca="1">IF(Tableau47[[#This Row],[CO]]="","",IF(M2&lt;INDIRECT("CO_A"),VLOOKUP("CO_A",Tableau10[],3,FALSE),IF(M2&lt;INDIRECT("CO_B"),VLOOKUP("CO_B",Tableau10[],3,FALSE),IF(M2&lt;INDIRECT("CO_C"),VLOOKUP("CO_C",Tableau10[],3,FALSE),""))))</f>
        <v/>
      </c>
      <c r="O2" s="15" t="str">
        <f>IF($A2="","",IFERROR(AVERAGEIFS(Tableau3[CR Degre celcius],Tableau3[Année],Tableau47[Année],Tableau3[Mois],Tableau47[Mois],Tableau3[Producteur],Tableau47[Producteur],Tableau3[BIO-CONVENTIONNEL],Tableau47[Type de lait],Tableau3[Traitement thermique],Tableau47[Traitement thermique]),""))</f>
        <v/>
      </c>
      <c r="P2" s="15" t="str">
        <f>IF($A2="","",IFERROR(AVERAGEIFS('RESULTATS ANALYSES'!M2:M2,Tableau3[Année],Tableau47[Année],Tableau3[Mois],Tableau47[Mois],Tableau3[Producteur],Tableau47[Producteur],Tableau3[BIO-CONVENTIONNEL],Tableau47[Type de lait],Tableau3[Traitement thermique],Tableau47[Traitement thermique]),""))</f>
        <v/>
      </c>
      <c r="Q2" s="15" t="str">
        <f>IF($A2="","",IFERROR(AVERAGEIFS(Tableau3[MG g/l],Tableau3[Année],Tableau47[Année],Tableau3[Mois],Tableau47[Mois],Tableau3[Producteur],Tableau47[Producteur],Tableau3[BIO-CONVENTIONNEL],Tableau47[Type de lait],Tableau3[Traitement thermique],Tableau47[Traitement thermique]),""))</f>
        <v/>
      </c>
      <c r="R2" s="15" t="str">
        <f>IF($A2="","",IFERROR(AVERAGEIFS(Tableau3[MP g/l],Tableau3[Année],Tableau47[Année],Tableau3[Mois],Tableau47[Mois],Tableau3[Producteur],Tableau47[Producteur],Tableau3[BIO-CONVENTIONNEL],Tableau47[Type de lait],Tableau3[Traitement thermique],Tableau47[Traitement thermique]),""))</f>
        <v/>
      </c>
      <c r="S2" s="15" t="str">
        <f>IF($A2="","",IFERROR(AVERAGEIFS(Tableau3[NU ufc/ml],Tableau3[Année],Tableau47[Année],Tableau3[Mois],Tableau47[Mois],Tableau3[Producteur],Tableau47[Producteur],Tableau3[BIO-CONVENTIONNEL],Tableau47[Type de lait],Tableau3[Traitement thermique],Tableau47[Traitement thermique]),""))</f>
        <v/>
      </c>
      <c r="T2" s="15" t="str">
        <f>IF($A2="","",IFERROR(AVERAGEIFS(Tableau3[UR mg/l],Tableau3[Année],Tableau47[Année],Tableau3[Mois],Tableau47[Mois],Tableau3[Producteur],Tableau47[Producteur],Tableau3[BIO-CONVENTIONNEL],Tableau47[Type de lait],Tableau3[Traitement thermique],Tableau47[Traitement thermique]),""))</f>
        <v/>
      </c>
      <c r="U2" s="25" t="str">
        <f>IF($A2="","",IFERROR(Tableau47[[#This Row],[Litrage]]*Tableau47[[#This Row],[Prix de base du lait pour acompte]]+Tableau47[[#This Row],[Modulation CE]]+Tableau47[[#This Row],[Modulation CO]]+Tableau47[[#This Row],[Modulation BU]]+Tableau47[[#This Row],[Modulation MSU]]+Tableau47[[#This Row],[Modulation MG]]+Tableau47[[#This Row],[Modulation PRO]],""))</f>
        <v/>
      </c>
      <c r="V2" s="25" t="str">
        <f>IF($A2="","",IFERROR(Tableau47[[#This Row],[Litrage]]*Tableau47[[#This Row],[Prix de base du lait après acompte]]+Tableau47[[#This Row],[Modulation CE]]+Tableau47[[#This Row],[Modulation CO]]+Tableau47[[#This Row],[Modulation BU]]+Tableau47[[#This Row],[Modulation MSU]]+Tableau47[[#This Row],[Modulation MG]]+Tableau47[[#This Row],[Modulation PRO]],""))</f>
        <v/>
      </c>
      <c r="W2" s="25" t="str">
        <f ca="1">IFERROR(Tableau47[[#This Row],[Montant après acompte]]-Tableau47[[#This Row],[Montant pour acompte]]+Tableau47[[#This Row],[Modulation CE]]+Tableau47[[#This Row],[Modulation CO]]+Tableau47[[#This Row],[Modulation BU]]+Tableau47[[#This Row],[Modulation MSU]]+Tableau47[[#This Row],[Modulation MG]]+Tableau47[[#This Row],[Modulation PRO]],"")</f>
        <v/>
      </c>
      <c r="X2" s="15" t="str">
        <f>IF($A2="","",CONCATENATE(Tableau47[[#This Row],[Saison]],Tableau47[[#This Row],[Type de lait]],Tableau47[[#This Row],[Traitement thermique]]))</f>
        <v/>
      </c>
      <c r="Y2" s="32" t="str">
        <f>IF($A2="","",IFERROR(INDEX(Tableau11[#All],MATCH(Tableau47[[#This Row],[Trinome saison_type_tt]],Tableau11[[#All],[Trinômes saison_qualite_traitement thermique]],0),MATCH(Base_avant_acompte,Tableau11[#Headers],0)),""))</f>
        <v/>
      </c>
      <c r="Z2" s="31" t="str">
        <f>IFERROR(Tableau47[[#This Row],[Montant pour acompte]]/Tableau47[[#This Row],[Litrage]],"")</f>
        <v/>
      </c>
      <c r="AA2" s="33" t="str">
        <f>IF($A2="","",IFERROR(INDEX(Tableau11[#All],MATCH(Tableau47[[#This Row],[Trinome saison_type_tt]],Tableau11[[#All],[Trinômes saison_qualite_traitement thermique]],0),MATCH(Base_après_acompte,Tableau11[#Headers],0)),""))</f>
        <v/>
      </c>
      <c r="AB2" s="33" t="str">
        <f>IFERROR(Tableau47[[#This Row],[Montant après acompte]]/Tableau47[[#This Row],[Litrage]],"")</f>
        <v/>
      </c>
      <c r="AC2" s="25" t="str">
        <f ca="1">IF(Tableau47[[#This Row],[Classe CE]]="","",(VLOOKUP(Tableau47[[#This Row],[Classe CE]],'BDD AUTRES'!$F$2:$G$4,2,FALSE))*Tableau47[[#This Row],[Litrage]])</f>
        <v/>
      </c>
      <c r="AD2" s="25" t="str">
        <f ca="1">IF(Tableau47[[#This Row],[Classe CO]]="","",(VLOOKUP(Tableau47[[#This Row],[Classe CO]],'BDD AUTRES'!$F$5:$G$7,2,FALSE))*Tableau47[[#This Row],[Litrage]])</f>
        <v/>
      </c>
      <c r="AE2" s="25" t="str">
        <f ca="1">IF(Tableau47[[#This Row],[Classe BU]]="","",(VLOOKUP(Tableau47[[#This Row],[Classe BU]],'BDD AUTRES'!$F$8:$G$12,2,FALSE))*Tableau47[[#This Row],[Litrage]])</f>
        <v/>
      </c>
      <c r="AG2" s="25" t="str">
        <f>IFERROR(IF($A2="","",(Tableau47[[#This Row],[MG]]-MG)*TAUX_MODULATION_MG*Tableau47[[#This Row],[MG]]),"")</f>
        <v/>
      </c>
      <c r="AH2" s="25" t="str">
        <f>IFERROR(IF($A2="","",(Tableau47[[#This Row],[MP]]-PROT)*TAUX_MODULATION_PROT*Tableau47[[#This Row],[MP]]),"")</f>
        <v/>
      </c>
    </row>
    <row r="3" spans="1:34" x14ac:dyDescent="0.3">
      <c r="A3" s="15" t="s">
        <v>178</v>
      </c>
      <c r="B3" s="26" t="str">
        <f>IFERROR(IF(OR(Tableau47[[#This Row],[Mois]]="décembre",Tableau47[[#This Row],[Mois]]="novembre"),CONCATENATE(Tableau47[[#This Row],[Année]],"-",Tableau47[[#This Row],[Année]]+1),CONCATENATE(Tableau47[[#This Row],[Année]]-1,"-",Tableau47[[#This Row],[Année]])),"")</f>
        <v>2016-2017</v>
      </c>
      <c r="C3" s="27" t="str">
        <f>IFERROR(LEFT(Tableau47[Quintuplé Année-Mois-Producteur-Type lait_Traitement thermique],4),"")</f>
        <v>2017</v>
      </c>
      <c r="D3" s="26" t="str">
        <f>IFERROR(MID(Tableau47[[#This Row],[Quintuplé Année-Mois-Producteur-Type lait_Traitement thermique]],SEARCH("_",Tableau47[[#This Row],[Quintuplé Année-Mois-Producteur-Type lait_Traitement thermique]],1)+1,SEARCH("-",Tableau47[[#This Row],[Quintuplé Année-Mois-Producteur-Type lait_Traitement thermique]],1)-SEARCH("_",Tableau47[[#This Row],[Quintuplé Année-Mois-Producteur-Type lait_Traitement thermique]],1)-1),"")</f>
        <v>avril</v>
      </c>
      <c r="E3" s="15" t="s">
        <v>177</v>
      </c>
      <c r="F3" s="15" t="str">
        <f>IFERROR(MID(Tableau47[[#This Row],[Quintuplé Année-Mois-Producteur-Type lait_Traitement thermique]],SEARCH("/",Tableau47[[#This Row],[Quintuplé Année-Mois-Producteur-Type lait_Traitement thermique]],1)+1,SEARCH("+",Tableau47[[#This Row],[Quintuplé Année-Mois-Producteur-Type lait_Traitement thermique]],1)-SEARCH("/",Tableau47[[#This Row],[Quintuplé Année-Mois-Producteur-Type lait_Traitement thermique]],1)-1),"")</f>
        <v>BIO</v>
      </c>
      <c r="G3" s="15" t="str">
        <f>IFERROR(RIGHT(Tableau47[Quintuplé Année-Mois-Producteur-Type lait_Traitement thermique],LEN(Tableau47[Quintuplé Année-Mois-Producteur-Type lait_Traitement thermique])-SEARCH("+",Tableau47[Quintuplé Année-Mois-Producteur-Type lait_Traitement thermique],1)),"")</f>
        <v>Cru</v>
      </c>
      <c r="H3" s="15">
        <f>SUMIFS(Tableau1[Litrage],Tableau1[Année],Tableau47[[#This Row],[Année]],Tableau1[Mois],Tableau47[[#This Row],[Mois]],Tableau1[Producteur],Tableau47[[#This Row],[Producteur]],Tableau1[Type de lait],Tableau47[[#This Row],[Type de lait]],Tableau1[Traitement thermique],Tableau47[[#This Row],[Traitement thermique]])</f>
        <v>0</v>
      </c>
      <c r="I3" s="15">
        <f>IF($A3="","",IFERROR(AVERAGEIFS(Tableau3[BU spores/l],Tableau3[Année],Tableau47[Année],Tableau3[Mois],Tableau47[Mois],Tableau3[Producteur],Tableau47[Producteur],Tableau3[BIO-CONVENTIONNEL],Tableau47[Type de lait],Tableau3[Traitement thermique],Tableau47[Traitement thermique]),""))</f>
        <v>1074</v>
      </c>
      <c r="J3" s="15" t="str">
        <f ca="1">IF(Tableau47[[#This Row],[BU]]="","",IF(I3&lt;INDIRECT("BU_A_PLUS"),VLOOKUP("BU_A_PLUS",Tableau10[],3,FALSE),IF(I3&lt;INDIRECT("BU_A"),VLOOKUP("BU_A",Tableau10[],3,FALSE),IF(I3&lt;INDIRECT("BU_B"),VLOOKUP("BU_B",Tableau10[],3,FALSE),IF(I3&lt;INDIRECT("BU_C"),VLOOKUP("BU_C",Tableau10[],3,FALSE),IF(I3&lt;INDIRECT("BU_C_PLUS"),VLOOKUP("BU_C_PLUS",Tableau10[],3,FALSE),""))))))</f>
        <v>B</v>
      </c>
      <c r="K3" s="15">
        <f>IF($A3="","",IFERROR(AVERAGEIFS(Tableau3[CE cellules/ml],Tableau3[Année],Tableau47[Année],Tableau3[Mois],Tableau47[Mois],Tableau3[Producteur],Tableau47[Producteur],Tableau3[BIO-CONVENTIONNEL],Tableau47[Type de lait],Tableau3[Traitement thermique],Tableau47[Traitement thermique]),""))</f>
        <v>1659932</v>
      </c>
      <c r="L3" s="15" t="str">
        <f ca="1">IF(Tableau47[[#This Row],[CE]]="","",IF(K3&lt;INDIRECT("CE_A"),VLOOKUP("CE_A",Tableau10[],3,FALSE),IF(K3&lt;INDIRECT("CE_B"),VLOOKUP("CE_B",Tableau10[],3,FALSE),IF(K3&lt;INDIRECT("CE_C"),VLOOKUP("CE_C",Tableau10[],3,FALSE),""))))</f>
        <v>C</v>
      </c>
      <c r="M3" s="15">
        <f>IF(C3="","",IFERROR(AVERAGEIFS(Tableau3[CO ufc/ml],Tableau3[Année],Tableau47[Année],Tableau3[Mois],Tableau47[Mois],Tableau3[Producteur],Tableau47[Producteur],Tableau3[BIO-CONVENTIONNEL],Tableau47[Type de lait],Tableau3[Traitement thermique],Tableau47[Traitement thermique]),""))</f>
        <v>1804</v>
      </c>
      <c r="N3" s="15" t="str">
        <f ca="1">IF(Tableau47[[#This Row],[CO]]="","",IF(M3&lt;INDIRECT("CO_A"),VLOOKUP("CO_A",Tableau10[],3,FALSE),IF(M3&lt;INDIRECT("CO_B"),VLOOKUP("CO_B",Tableau10[],3,FALSE),IF(M3&lt;INDIRECT("CO_C"),VLOOKUP("CO_C",Tableau10[],3,FALSE),""))))</f>
        <v>B</v>
      </c>
      <c r="O3" s="15">
        <f>IF($A3="","",IFERROR(AVERAGEIFS(Tableau3[CR Degre celcius],Tableau3[Année],Tableau47[Année],Tableau3[Mois],Tableau47[Mois],Tableau3[Producteur],Tableau47[Producteur],Tableau3[BIO-CONVENTIONNEL],Tableau47[Type de lait],Tableau3[Traitement thermique],Tableau47[Traitement thermique]),""))</f>
        <v>-0.55000000000000004</v>
      </c>
      <c r="P3" s="15" t="str">
        <f>IF($A3="","",IFERROR(AVERAGEIFS('RESULTATS ANALYSES'!M3:M3,Tableau3[Année],Tableau47[Année],Tableau3[Mois],Tableau47[Mois],Tableau3[Producteur],Tableau47[Producteur],Tableau3[BIO-CONVENTIONNEL],Tableau47[Type de lait],Tableau3[Traitement thermique],Tableau47[Traitement thermique]),""))</f>
        <v/>
      </c>
      <c r="Q3" s="15">
        <f>IF($A3="","",IFERROR(AVERAGEIFS(Tableau3[MG g/l],Tableau3[Année],Tableau47[Année],Tableau3[Mois],Tableau47[Mois],Tableau3[Producteur],Tableau47[Producteur],Tableau3[BIO-CONVENTIONNEL],Tableau47[Type de lait],Tableau3[Traitement thermique],Tableau47[Traitement thermique]),""))</f>
        <v>67</v>
      </c>
      <c r="R3" s="15">
        <f>IF($A3="","",IFERROR(AVERAGEIFS(Tableau3[MP g/l],Tableau3[Année],Tableau47[Année],Tableau3[Mois],Tableau47[Mois],Tableau3[Producteur],Tableau47[Producteur],Tableau3[BIO-CONVENTIONNEL],Tableau47[Type de lait],Tableau3[Traitement thermique],Tableau47[Traitement thermique]),""))</f>
        <v>54.3</v>
      </c>
      <c r="S3" s="15">
        <f>IF($A3="","",IFERROR(AVERAGEIFS(Tableau3[NU ufc/ml],Tableau3[Année],Tableau47[Année],Tableau3[Mois],Tableau47[Mois],Tableau3[Producteur],Tableau47[Producteur],Tableau3[BIO-CONVENTIONNEL],Tableau47[Type de lait],Tableau3[Traitement thermique],Tableau47[Traitement thermique]),""))</f>
        <v>35000</v>
      </c>
      <c r="T3" s="15">
        <f>IF($A3="","",IFERROR(AVERAGEIFS(Tableau3[UR mg/l],Tableau3[Année],Tableau47[Année],Tableau3[Mois],Tableau47[Mois],Tableau3[Producteur],Tableau47[Producteur],Tableau3[BIO-CONVENTIONNEL],Tableau47[Type de lait],Tableau3[Traitement thermique],Tableau47[Traitement thermique]),""))</f>
        <v>414</v>
      </c>
      <c r="U3" s="25">
        <f ca="1">IF($A3="","",IFERROR(Tableau47[[#This Row],[Litrage]]*Tableau47[[#This Row],[Prix de base du lait pour acompte]]+Tableau47[[#This Row],[Modulation CE]]+Tableau47[[#This Row],[Modulation CO]]+Tableau47[[#This Row],[Modulation BU]]+Tableau47[[#This Row],[Modulation MSU]]+Tableau47[[#This Row],[Modulation MG]]+Tableau47[[#This Row],[Modulation PRO]],""))</f>
        <v>-2.711876600000001</v>
      </c>
      <c r="V3" s="15">
        <f ca="1">IF($A3="","",IFERROR(Tableau47[[#This Row],[Litrage]]*Tableau47[[#This Row],[Prix de base du lait après acompte]]+Tableau47[[#This Row],[Modulation CE]]+Tableau47[[#This Row],[Modulation CO]]+Tableau47[[#This Row],[Modulation BU]]+Tableau47[[#This Row],[Modulation MSU]]+Tableau47[[#This Row],[Modulation MG]]+Tableau47[[#This Row],[Modulation PRO]],""))</f>
        <v>-2.711876600000001</v>
      </c>
      <c r="W3" s="25">
        <f ca="1">IFERROR(Tableau47[[#This Row],[Montant après acompte]]-Tableau47[[#This Row],[Montant pour acompte]],"")</f>
        <v>0</v>
      </c>
      <c r="X3" s="15" t="str">
        <f>IF($A3="","",CONCATENATE(Tableau47[[#This Row],[Saison]],Tableau47[[#This Row],[Type de lait]],Tableau47[[#This Row],[Traitement thermique]]))</f>
        <v>2016-2017BIOCru</v>
      </c>
      <c r="Y3" s="32">
        <f>IF($A3="","",IFERROR(INDEX(Tableau11[#All],MATCH(Tableau47[[#This Row],[Trinome saison_type_tt]],Tableau11[[#All],[Trinômes saison_qualite_traitement thermique]],0),MATCH(Base_avant_acompte,Tableau11[#Headers],0)),""))</f>
        <v>1.08</v>
      </c>
      <c r="Z3" s="75" t="str">
        <f ca="1">IFERROR(Tableau47[[#This Row],[Montant pour acompte]]/Tableau47[[#This Row],[Litrage]],"")</f>
        <v/>
      </c>
      <c r="AA3" s="33">
        <f>IF($A3="","",IFERROR(INDEX(Tableau11[#All],MATCH(Tableau47[[#This Row],[Trinome saison_type_tt]],Tableau11[[#All],[Trinômes saison_qualite_traitement thermique]],0),MATCH(Base_après_acompte,Tableau11[#Headers],0)),""))</f>
        <v>1.25</v>
      </c>
      <c r="AB3" s="33" t="str">
        <f ca="1">IFERROR(Tableau47[[#This Row],[Montant après acompte]]/Tableau47[[#This Row],[Litrage]],"")</f>
        <v/>
      </c>
      <c r="AC3" s="25">
        <f ca="1">IF(Tableau47[[#This Row],[Classe CE]]="","",(VLOOKUP(Tableau47[[#This Row],[Classe CE]],'BDD AUTRES'!$F$2:$G$4,2,FALSE))*Tableau47[[#This Row],[Litrage]])</f>
        <v>0</v>
      </c>
      <c r="AD3" s="15">
        <f ca="1">IF(Tableau47[[#This Row],[Classe CO]]="","",(VLOOKUP(Tableau47[[#This Row],[Classe CO]],'BDD AUTRES'!$F$5:$G$7,2,FALSE))*Tableau47[[#This Row],[Litrage]])</f>
        <v>0</v>
      </c>
      <c r="AE3" s="15">
        <f ca="1">IF(Tableau47[[#This Row],[Classe BU]]="","",(VLOOKUP(Tableau47[[#This Row],[Classe BU]],'BDD AUTRES'!$F$8:$G$12,2,FALSE))*Tableau47[[#This Row],[Litrage]])</f>
        <v>0</v>
      </c>
      <c r="AG3" s="25">
        <f>IFERROR(IF($A3="","",(Tableau47[[#This Row],[MG]]-MG)*TAUX_MODULATION_MG*Tableau47[[#This Row],[MG]]),"")</f>
        <v>-2.4511279999999998</v>
      </c>
      <c r="AH3" s="15">
        <f>IFERROR(IF($A3="","",(Tableau47[[#This Row],[MP]]-PROT)*TAUX_MODULATION_PROT*Tableau47[[#This Row],[MP]]),"")</f>
        <v>-0.260748600000001</v>
      </c>
    </row>
    <row r="4" spans="1:34" x14ac:dyDescent="0.3">
      <c r="A4" s="15" t="s">
        <v>179</v>
      </c>
      <c r="B4" s="26" t="str">
        <f>IFERROR(IF(OR(Tableau47[[#This Row],[Mois]]="décembre",Tableau47[[#This Row],[Mois]]="novembre"),CONCATENATE(Tableau47[[#This Row],[Année]],"-",Tableau47[[#This Row],[Année]]+1),CONCATENATE(Tableau47[[#This Row],[Année]]-1,"-",Tableau47[[#This Row],[Année]])),"")</f>
        <v>2017-2018</v>
      </c>
      <c r="C4" s="27" t="str">
        <f>IFERROR(LEFT(Tableau47[Quintuplé Année-Mois-Producteur-Type lait_Traitement thermique],4),"")</f>
        <v>2018</v>
      </c>
      <c r="D4" s="26" t="str">
        <f>IFERROR(MID(Tableau47[[#This Row],[Quintuplé Année-Mois-Producteur-Type lait_Traitement thermique]],SEARCH("_",Tableau47[[#This Row],[Quintuplé Année-Mois-Producteur-Type lait_Traitement thermique]],1)+1,SEARCH("-",Tableau47[[#This Row],[Quintuplé Année-Mois-Producteur-Type lait_Traitement thermique]],1)-SEARCH("_",Tableau47[[#This Row],[Quintuplé Année-Mois-Producteur-Type lait_Traitement thermique]],1)-1),"")</f>
        <v>avril</v>
      </c>
      <c r="E4" s="15" t="s">
        <v>177</v>
      </c>
      <c r="F4" s="15" t="str">
        <f>IFERROR(MID(Tableau47[[#This Row],[Quintuplé Année-Mois-Producteur-Type lait_Traitement thermique]],SEARCH("/",Tableau47[[#This Row],[Quintuplé Année-Mois-Producteur-Type lait_Traitement thermique]],1)+1,SEARCH("+",Tableau47[[#This Row],[Quintuplé Année-Mois-Producteur-Type lait_Traitement thermique]],1)-SEARCH("/",Tableau47[[#This Row],[Quintuplé Année-Mois-Producteur-Type lait_Traitement thermique]],1)-1),"")</f>
        <v>BIO</v>
      </c>
      <c r="G4" s="15" t="str">
        <f>IFERROR(RIGHT(Tableau47[Quintuplé Année-Mois-Producteur-Type lait_Traitement thermique],LEN(Tableau47[Quintuplé Année-Mois-Producteur-Type lait_Traitement thermique])-SEARCH("+",Tableau47[Quintuplé Année-Mois-Producteur-Type lait_Traitement thermique],1)),"")</f>
        <v>Cru</v>
      </c>
      <c r="H4" s="15">
        <f>SUMIFS(Tableau1[Litrage],Tableau1[Année],Tableau47[[#This Row],[Année]],Tableau1[Mois],Tableau47[[#This Row],[Mois]],Tableau1[Producteur],Tableau47[[#This Row],[Producteur]],Tableau1[Type de lait],Tableau47[[#This Row],[Type de lait]],Tableau1[Traitement thermique],Tableau47[[#This Row],[Traitement thermique]])</f>
        <v>0</v>
      </c>
      <c r="I4" s="15">
        <f>IF($A4="","",IFERROR(AVERAGEIFS(Tableau3[BU spores/l],Tableau3[Année],Tableau47[Année],Tableau3[Mois],Tableau47[Mois],Tableau3[Producteur],Tableau47[Producteur],Tableau3[BIO-CONVENTIONNEL],Tableau47[Type de lait],Tableau3[Traitement thermique],Tableau47[Traitement thermique]),""))</f>
        <v>916</v>
      </c>
      <c r="J4" s="15" t="str">
        <f ca="1">IF(Tableau47[[#This Row],[BU]]="","",IF(I4&lt;INDIRECT("BU_A_PLUS"),VLOOKUP("BU_A_PLUS",Tableau10[],3,FALSE),IF(I4&lt;INDIRECT("BU_A"),VLOOKUP("BU_A",Tableau10[],3,FALSE),IF(I4&lt;INDIRECT("BU_B"),VLOOKUP("BU_B",Tableau10[],3,FALSE),IF(I4&lt;INDIRECT("BU_C"),VLOOKUP("BU_C",Tableau10[],3,FALSE),IF(I4&lt;INDIRECT("BU_C_PLUS"),VLOOKUP("BU_C_PLUS",Tableau10[],3,FALSE),""))))))</f>
        <v>A</v>
      </c>
      <c r="K4" s="15">
        <f>IF($A4="","",IFERROR(AVERAGEIFS(Tableau3[CE cellules/ml],Tableau3[Année],Tableau47[Année],Tableau3[Mois],Tableau47[Mois],Tableau3[Producteur],Tableau47[Producteur],Tableau3[BIO-CONVENTIONNEL],Tableau47[Type de lait],Tableau3[Traitement thermique],Tableau47[Traitement thermique]),""))</f>
        <v>1645411</v>
      </c>
      <c r="L4" s="15" t="str">
        <f ca="1">IF(Tableau47[[#This Row],[CE]]="","",IF(K4&lt;INDIRECT("CE_A"),VLOOKUP("CE_A",Tableau10[],3,FALSE),IF(K4&lt;INDIRECT("CE_B"),VLOOKUP("CE_B",Tableau10[],3,FALSE),IF(K4&lt;INDIRECT("CE_C"),VLOOKUP("CE_C",Tableau10[],3,FALSE),""))))</f>
        <v>C</v>
      </c>
      <c r="M4" s="15">
        <f>IF(C4="","",IFERROR(AVERAGEIFS(Tableau3[CO ufc/ml],Tableau3[Année],Tableau47[Année],Tableau3[Mois],Tableau47[Mois],Tableau3[Producteur],Tableau47[Producteur],Tableau3[BIO-CONVENTIONNEL],Tableau47[Type de lait],Tableau3[Traitement thermique],Tableau47[Traitement thermique]),""))</f>
        <v>1762</v>
      </c>
      <c r="N4" s="15" t="str">
        <f ca="1">IF(Tableau47[[#This Row],[CO]]="","",IF(M4&lt;INDIRECT("CO_A"),VLOOKUP("CO_A",Tableau10[],3,FALSE),IF(M4&lt;INDIRECT("CO_B"),VLOOKUP("CO_B",Tableau10[],3,FALSE),IF(M4&lt;INDIRECT("CO_C"),VLOOKUP("CO_C",Tableau10[],3,FALSE),""))))</f>
        <v>B</v>
      </c>
      <c r="O4" s="15">
        <f>IF($A4="","",IFERROR(AVERAGEIFS(Tableau3[CR Degre celcius],Tableau3[Année],Tableau47[Année],Tableau3[Mois],Tableau47[Mois],Tableau3[Producteur],Tableau47[Producteur],Tableau3[BIO-CONVENTIONNEL],Tableau47[Type de lait],Tableau3[Traitement thermique],Tableau47[Traitement thermique]),""))</f>
        <v>-0.55000000000000004</v>
      </c>
      <c r="P4" s="15" t="str">
        <f>IF($A4="","",IFERROR(AVERAGEIFS('RESULTATS ANALYSES'!M4:M7,Tableau3[Année],Tableau47[Année],Tableau3[Mois],Tableau47[Mois],Tableau3[Producteur],Tableau47[Producteur],Tableau3[BIO-CONVENTIONNEL],Tableau47[Type de lait],Tableau3[Traitement thermique],Tableau47[Traitement thermique]),""))</f>
        <v/>
      </c>
      <c r="Q4" s="15">
        <f>IF($A4="","",IFERROR(AVERAGEIFS(Tableau3[MG g/l],Tableau3[Année],Tableau47[Année],Tableau3[Mois],Tableau47[Mois],Tableau3[Producteur],Tableau47[Producteur],Tableau3[BIO-CONVENTIONNEL],Tableau47[Type de lait],Tableau3[Traitement thermique],Tableau47[Traitement thermique]),""))</f>
        <v>82</v>
      </c>
      <c r="R4" s="15">
        <f>IF($A4="","",IFERROR(AVERAGEIFS(Tableau3[MP g/l],Tableau3[Année],Tableau47[Année],Tableau3[Mois],Tableau47[Mois],Tableau3[Producteur],Tableau47[Producteur],Tableau3[BIO-CONVENTIONNEL],Tableau47[Type de lait],Tableau3[Traitement thermique],Tableau47[Traitement thermique]),""))</f>
        <v>54.3</v>
      </c>
      <c r="S4" s="15">
        <f>IF($A4="","",IFERROR(AVERAGEIFS(Tableau3[NU ufc/ml],Tableau3[Année],Tableau47[Année],Tableau3[Mois],Tableau47[Mois],Tableau3[Producteur],Tableau47[Producteur],Tableau3[BIO-CONVENTIONNEL],Tableau47[Type de lait],Tableau3[Traitement thermique],Tableau47[Traitement thermique]),""))</f>
        <v>35000</v>
      </c>
      <c r="T4" s="15">
        <f>IF($A4="","",IFERROR(AVERAGEIFS(Tableau3[UR mg/l],Tableau3[Année],Tableau47[Année],Tableau3[Mois],Tableau47[Mois],Tableau3[Producteur],Tableau47[Producteur],Tableau3[BIO-CONVENTIONNEL],Tableau47[Type de lait],Tableau3[Traitement thermique],Tableau47[Traitement thermique]),""))</f>
        <v>414</v>
      </c>
      <c r="U4" s="25">
        <f ca="1">IF($A4="","",IFERROR(Tableau47[[#This Row],[Litrage]]*Tableau47[[#This Row],[Prix de base du lait pour acompte]]+Tableau47[[#This Row],[Modulation CE]]+Tableau47[[#This Row],[Modulation CO]]+Tableau47[[#This Row],[Modulation BU]]+Tableau47[[#This Row],[Modulation MSU]]+Tableau47[[#This Row],[Modulation MG]]+Tableau47[[#This Row],[Modulation PRO]],""))</f>
        <v>2.3641533999999984</v>
      </c>
      <c r="V4" s="15">
        <f ca="1">IF($A4="","",IFERROR(Tableau47[[#This Row],[Litrage]]*Tableau47[[#This Row],[Prix de base du lait après acompte]]+Tableau47[[#This Row],[Modulation CE]]+Tableau47[[#This Row],[Modulation CO]]+Tableau47[[#This Row],[Modulation BU]]+Tableau47[[#This Row],[Modulation MSU]]+Tableau47[[#This Row],[Modulation MG]]+Tableau47[[#This Row],[Modulation PRO]],""))</f>
        <v>2.3641533999999984</v>
      </c>
      <c r="W4" s="25">
        <f ca="1">IFERROR(Tableau47[[#This Row],[Montant après acompte]]-Tableau47[[#This Row],[Montant pour acompte]],"")</f>
        <v>0</v>
      </c>
      <c r="X4" s="15" t="str">
        <f>IF($A4="","",CONCATENATE(Tableau47[[#This Row],[Saison]],Tableau47[[#This Row],[Type de lait]],Tableau47[[#This Row],[Traitement thermique]]))</f>
        <v>2017-2018BIOCru</v>
      </c>
      <c r="Y4" s="32">
        <f>IF($A4="","",IFERROR(INDEX(Tableau11[#All],MATCH(Tableau47[[#This Row],[Trinome saison_type_tt]],Tableau11[[#All],[Trinômes saison_qualite_traitement thermique]],0),MATCH(Base_avant_acompte,Tableau11[#Headers],0)),""))</f>
        <v>1.1000000000000001</v>
      </c>
      <c r="Z4" s="75" t="str">
        <f ca="1">IFERROR(Tableau47[[#This Row],[Montant pour acompte]]/Tableau47[[#This Row],[Litrage]],"")</f>
        <v/>
      </c>
      <c r="AA4" s="33">
        <f>IF($A4="","",IFERROR(INDEX(Tableau11[#All],MATCH(Tableau47[[#This Row],[Trinome saison_type_tt]],Tableau11[[#All],[Trinômes saison_qualite_traitement thermique]],0),MATCH(Base_après_acompte,Tableau11[#Headers],0)),""))</f>
        <v>1.35</v>
      </c>
      <c r="AB4" s="33" t="str">
        <f ca="1">IFERROR(Tableau47[[#This Row],[Montant après acompte]]/Tableau47[[#This Row],[Litrage]],"")</f>
        <v/>
      </c>
      <c r="AC4" s="25">
        <f ca="1">IF(Tableau47[[#This Row],[Classe CE]]="","",(VLOOKUP(Tableau47[[#This Row],[Classe CE]],'BDD AUTRES'!$F$2:$G$4,2,FALSE))*Tableau47[[#This Row],[Litrage]])</f>
        <v>0</v>
      </c>
      <c r="AD4" s="15">
        <f ca="1">IF(Tableau47[[#This Row],[Classe CO]]="","",(VLOOKUP(Tableau47[[#This Row],[Classe CO]],'BDD AUTRES'!$F$5:$G$7,2,FALSE))*Tableau47[[#This Row],[Litrage]])</f>
        <v>0</v>
      </c>
      <c r="AE4" s="15">
        <f ca="1">IF(Tableau47[[#This Row],[Classe BU]]="","",(VLOOKUP(Tableau47[[#This Row],[Classe BU]],'BDD AUTRES'!$F$8:$G$12,2,FALSE))*Tableau47[[#This Row],[Litrage]])</f>
        <v>0</v>
      </c>
      <c r="AG4" s="25">
        <f>IFERROR(IF($A4="","",(Tableau47[[#This Row],[MG]]-MG)*TAUX_MODULATION_MG*Tableau47[[#This Row],[MG]]),"")</f>
        <v>2.6249019999999996</v>
      </c>
      <c r="AH4" s="15">
        <f>IFERROR(IF($A4="","",(Tableau47[[#This Row],[MP]]-PROT)*TAUX_MODULATION_PROT*Tableau47[[#This Row],[MP]]),"")</f>
        <v>-0.260748600000001</v>
      </c>
    </row>
    <row r="5" spans="1:34" x14ac:dyDescent="0.3">
      <c r="A5" s="15" t="s">
        <v>180</v>
      </c>
      <c r="B5" s="26" t="str">
        <f>IFERROR(IF(OR(Tableau47[[#This Row],[Mois]]="décembre",Tableau47[[#This Row],[Mois]]="novembre"),CONCATENATE(Tableau47[[#This Row],[Année]],"-",Tableau47[[#This Row],[Année]]+1),CONCATENATE(Tableau47[[#This Row],[Année]]-1,"-",Tableau47[[#This Row],[Année]])),"")</f>
        <v>2017-2018</v>
      </c>
      <c r="C5" s="27" t="str">
        <f>IFERROR(LEFT(Tableau47[Quintuplé Année-Mois-Producteur-Type lait_Traitement thermique],4),"")</f>
        <v>2018</v>
      </c>
      <c r="D5" s="26" t="str">
        <f>IFERROR(MID(Tableau47[[#This Row],[Quintuplé Année-Mois-Producteur-Type lait_Traitement thermique]],SEARCH("_",Tableau47[[#This Row],[Quintuplé Année-Mois-Producteur-Type lait_Traitement thermique]],1)+1,SEARCH("-",Tableau47[[#This Row],[Quintuplé Année-Mois-Producteur-Type lait_Traitement thermique]],1)-SEARCH("_",Tableau47[[#This Row],[Quintuplé Année-Mois-Producteur-Type lait_Traitement thermique]],1)-1),"")</f>
        <v>mai</v>
      </c>
      <c r="E5" s="15" t="s">
        <v>177</v>
      </c>
      <c r="F5" s="15" t="str">
        <f>IFERROR(MID(Tableau47[[#This Row],[Quintuplé Année-Mois-Producteur-Type lait_Traitement thermique]],SEARCH("/",Tableau47[[#This Row],[Quintuplé Année-Mois-Producteur-Type lait_Traitement thermique]],1)+1,SEARCH("+",Tableau47[[#This Row],[Quintuplé Année-Mois-Producteur-Type lait_Traitement thermique]],1)-SEARCH("/",Tableau47[[#This Row],[Quintuplé Année-Mois-Producteur-Type lait_Traitement thermique]],1)-1),"")</f>
        <v>BIO</v>
      </c>
      <c r="G5" s="15" t="str">
        <f>IFERROR(RIGHT(Tableau47[Quintuplé Année-Mois-Producteur-Type lait_Traitement thermique],LEN(Tableau47[Quintuplé Année-Mois-Producteur-Type lait_Traitement thermique])-SEARCH("+",Tableau47[Quintuplé Année-Mois-Producteur-Type lait_Traitement thermique],1)),"")</f>
        <v>Cru</v>
      </c>
      <c r="H5" s="15">
        <f>SUMIFS(Tableau1[Litrage],Tableau1[Année],Tableau47[[#This Row],[Année]],Tableau1[Mois],Tableau47[[#This Row],[Mois]],Tableau1[Producteur],Tableau47[[#This Row],[Producteur]],Tableau1[Type de lait],Tableau47[[#This Row],[Type de lait]],Tableau1[Traitement thermique],Tableau47[[#This Row],[Traitement thermique]])</f>
        <v>0</v>
      </c>
      <c r="I5" s="15">
        <f>IF($A5="","",IFERROR(AVERAGEIFS(Tableau3[BU spores/l],Tableau3[Année],Tableau47[Année],Tableau3[Mois],Tableau47[Mois],Tableau3[Producteur],Tableau47[Producteur],Tableau3[BIO-CONVENTIONNEL],Tableau47[Type de lait],Tableau3[Traitement thermique],Tableau47[Traitement thermique]),""))</f>
        <v>790</v>
      </c>
      <c r="J5" s="15" t="str">
        <f ca="1">IF(Tableau47[[#This Row],[BU]]="","",IF(I5&lt;INDIRECT("BU_A_PLUS"),VLOOKUP("BU_A_PLUS",Tableau10[],3,FALSE),IF(I5&lt;INDIRECT("BU_A"),VLOOKUP("BU_A",Tableau10[],3,FALSE),IF(I5&lt;INDIRECT("BU_B"),VLOOKUP("BU_B",Tableau10[],3,FALSE),IF(I5&lt;INDIRECT("BU_C"),VLOOKUP("BU_C",Tableau10[],3,FALSE),IF(I5&lt;INDIRECT("BU_C_PLUS"),VLOOKUP("BU_C_PLUS",Tableau10[],3,FALSE),""))))))</f>
        <v>A</v>
      </c>
      <c r="K5" s="15">
        <f>IF($A5="","",IFERROR(AVERAGEIFS(Tableau3[CE cellules/ml],Tableau3[Année],Tableau47[Année],Tableau3[Mois],Tableau47[Mois],Tableau3[Producteur],Tableau47[Producteur],Tableau3[BIO-CONVENTIONNEL],Tableau47[Type de lait],Tableau3[Traitement thermique],Tableau47[Traitement thermique]),""))</f>
        <v>1622000</v>
      </c>
      <c r="L5" s="15" t="str">
        <f ca="1">IF(Tableau47[[#This Row],[CE]]="","",IF(K5&lt;INDIRECT("CE_A"),VLOOKUP("CE_A",Tableau10[],3,FALSE),IF(K5&lt;INDIRECT("CE_B"),VLOOKUP("CE_B",Tableau10[],3,FALSE),IF(K5&lt;INDIRECT("CE_C"),VLOOKUP("CE_C",Tableau10[],3,FALSE),""))))</f>
        <v>C</v>
      </c>
      <c r="M5" s="15">
        <f>IF(C5="","",IFERROR(AVERAGEIFS(Tableau3[CO ufc/ml],Tableau3[Année],Tableau47[Année],Tableau3[Mois],Tableau47[Mois],Tableau3[Producteur],Tableau47[Producteur],Tableau3[BIO-CONVENTIONNEL],Tableau47[Type de lait],Tableau3[Traitement thermique],Tableau47[Traitement thermique]),""))</f>
        <v>450</v>
      </c>
      <c r="N5" s="15" t="str">
        <f ca="1">IF(Tableau47[[#This Row],[CO]]="","",IF(M5&lt;INDIRECT("CO_A"),VLOOKUP("CO_A",Tableau10[],3,FALSE),IF(M5&lt;INDIRECT("CO_B"),VLOOKUP("CO_B",Tableau10[],3,FALSE),IF(M5&lt;INDIRECT("CO_C"),VLOOKUP("CO_C",Tableau10[],3,FALSE),""))))</f>
        <v>A</v>
      </c>
      <c r="O5" s="15">
        <f>IF($A5="","",IFERROR(AVERAGEIFS(Tableau3[CR Degre celcius],Tableau3[Année],Tableau47[Année],Tableau3[Mois],Tableau47[Mois],Tableau3[Producteur],Tableau47[Producteur],Tableau3[BIO-CONVENTIONNEL],Tableau47[Type de lait],Tableau3[Traitement thermique],Tableau47[Traitement thermique]),""))</f>
        <v>-0.55000000000000004</v>
      </c>
      <c r="P5" s="15" t="str">
        <f>IF($A5="","",IFERROR(AVERAGEIFS('RESULTATS ANALYSES'!M5:M37,Tableau3[Année],Tableau47[Année],Tableau3[Mois],Tableau47[Mois],Tableau3[Producteur],Tableau47[Producteur],Tableau3[BIO-CONVENTIONNEL],Tableau47[Type de lait],Tableau3[Traitement thermique],Tableau47[Traitement thermique]),""))</f>
        <v/>
      </c>
      <c r="Q5" s="15">
        <f>IF($A5="","",IFERROR(AVERAGEIFS(Tableau3[MG g/l],Tableau3[Année],Tableau47[Année],Tableau3[Mois],Tableau47[Mois],Tableau3[Producteur],Tableau47[Producteur],Tableau3[BIO-CONVENTIONNEL],Tableau47[Type de lait],Tableau3[Traitement thermique],Tableau47[Traitement thermique]),""))</f>
        <v>97</v>
      </c>
      <c r="R5" s="15">
        <f>IF($A5="","",IFERROR(AVERAGEIFS(Tableau3[MP g/l],Tableau3[Année],Tableau47[Année],Tableau3[Mois],Tableau47[Mois],Tableau3[Producteur],Tableau47[Producteur],Tableau3[BIO-CONVENTIONNEL],Tableau47[Type de lait],Tableau3[Traitement thermique],Tableau47[Traitement thermique]),""))</f>
        <v>54.3</v>
      </c>
      <c r="S5" s="15">
        <f>IF($A5="","",IFERROR(AVERAGEIFS(Tableau3[NU ufc/ml],Tableau3[Année],Tableau47[Année],Tableau3[Mois],Tableau47[Mois],Tableau3[Producteur],Tableau47[Producteur],Tableau3[BIO-CONVENTIONNEL],Tableau47[Type de lait],Tableau3[Traitement thermique],Tableau47[Traitement thermique]),""))</f>
        <v>35000</v>
      </c>
      <c r="T5" s="15">
        <f>IF($A5="","",IFERROR(AVERAGEIFS(Tableau3[UR mg/l],Tableau3[Année],Tableau47[Année],Tableau3[Mois],Tableau47[Mois],Tableau3[Producteur],Tableau47[Producteur],Tableau3[BIO-CONVENTIONNEL],Tableau47[Type de lait],Tableau3[Traitement thermique],Tableau47[Traitement thermique]),""))</f>
        <v>414</v>
      </c>
      <c r="U5" s="25">
        <f ca="1">IF($A5="","",IFERROR(Tableau47[[#This Row],[Litrage]]*Tableau47[[#This Row],[Prix de base du lait pour acompte]]+Tableau47[[#This Row],[Modulation CE]]+Tableau47[[#This Row],[Modulation CO]]+Tableau47[[#This Row],[Modulation BU]]+Tableau47[[#This Row],[Modulation MSU]]+Tableau47[[#This Row],[Modulation MG]]+Tableau47[[#This Row],[Modulation PRO]],""))</f>
        <v>9.4980333999999988</v>
      </c>
      <c r="V5" s="15">
        <f ca="1">IF($A5="","",IFERROR(Tableau47[[#This Row],[Litrage]]*Tableau47[[#This Row],[Prix de base du lait après acompte]]+Tableau47[[#This Row],[Modulation CE]]+Tableau47[[#This Row],[Modulation CO]]+Tableau47[[#This Row],[Modulation BU]]+Tableau47[[#This Row],[Modulation MSU]]+Tableau47[[#This Row],[Modulation MG]]+Tableau47[[#This Row],[Modulation PRO]],""))</f>
        <v>9.4980333999999988</v>
      </c>
      <c r="W5" s="25">
        <f ca="1">IFERROR(Tableau47[[#This Row],[Montant après acompte]]-Tableau47[[#This Row],[Montant pour acompte]],"")</f>
        <v>0</v>
      </c>
      <c r="X5" s="15" t="str">
        <f>IF($A5="","",CONCATENATE(Tableau47[[#This Row],[Saison]],Tableau47[[#This Row],[Type de lait]],Tableau47[[#This Row],[Traitement thermique]]))</f>
        <v>2017-2018BIOCru</v>
      </c>
      <c r="Y5" s="32">
        <f>IF($A5="","",IFERROR(INDEX(Tableau11[#All],MATCH(Tableau47[[#This Row],[Trinome saison_type_tt]],Tableau11[[#All],[Trinômes saison_qualite_traitement thermique]],0),MATCH(Base_avant_acompte,Tableau11[#Headers],0)),""))</f>
        <v>1.1000000000000001</v>
      </c>
      <c r="Z5" s="75" t="str">
        <f ca="1">IFERROR(Tableau47[[#This Row],[Montant pour acompte]]/Tableau47[[#This Row],[Litrage]],"")</f>
        <v/>
      </c>
      <c r="AA5" s="33">
        <f>IF($A5="","",IFERROR(INDEX(Tableau11[#All],MATCH(Tableau47[[#This Row],[Trinome saison_type_tt]],Tableau11[[#All],[Trinômes saison_qualite_traitement thermique]],0),MATCH(Base_après_acompte,Tableau11[#Headers],0)),""))</f>
        <v>1.35</v>
      </c>
      <c r="AB5" s="33" t="str">
        <f ca="1">IFERROR(Tableau47[[#This Row],[Montant après acompte]]/Tableau47[[#This Row],[Litrage]],"")</f>
        <v/>
      </c>
      <c r="AC5" s="25">
        <f ca="1">IF(Tableau47[[#This Row],[Classe CE]]="","",(VLOOKUP(Tableau47[[#This Row],[Classe CE]],'BDD AUTRES'!$F$2:$G$4,2,FALSE))*Tableau47[[#This Row],[Litrage]])</f>
        <v>0</v>
      </c>
      <c r="AD5" s="15">
        <f ca="1">IF(Tableau47[[#This Row],[Classe CO]]="","",(VLOOKUP(Tableau47[[#This Row],[Classe CO]],'BDD AUTRES'!$F$5:$G$7,2,FALSE))*Tableau47[[#This Row],[Litrage]])</f>
        <v>0</v>
      </c>
      <c r="AE5" s="15">
        <f ca="1">IF(Tableau47[[#This Row],[Classe BU]]="","",(VLOOKUP(Tableau47[[#This Row],[Classe BU]],'BDD AUTRES'!$F$8:$G$12,2,FALSE))*Tableau47[[#This Row],[Litrage]])</f>
        <v>0</v>
      </c>
      <c r="AG5" s="25">
        <f>IFERROR(IF($A5="","",(Tableau47[[#This Row],[MG]]-MG)*TAUX_MODULATION_MG*Tableau47[[#This Row],[MG]]),"")</f>
        <v>9.7587820000000001</v>
      </c>
      <c r="AH5" s="15">
        <f>IFERROR(IF($A5="","",(Tableau47[[#This Row],[MP]]-PROT)*TAUX_MODULATION_PROT*Tableau47[[#This Row],[MP]]),"")</f>
        <v>-0.260748600000001</v>
      </c>
    </row>
    <row r="1048274" spans="1:1" x14ac:dyDescent="0.3">
      <c r="A1048274" s="86"/>
    </row>
  </sheetData>
  <conditionalFormatting sqref="J2:J5 L2:L5 N2:N5">
    <cfRule type="containsText" dxfId="2" priority="13" operator="containsText" text="C">
      <formula>NOT(ISERROR(SEARCH("C",J2)))</formula>
    </cfRule>
    <cfRule type="containsText" dxfId="1" priority="14" operator="containsText" text="A">
      <formula>NOT(ISERROR(SEARCH("A",J2)))</formula>
    </cfRule>
  </conditionalFormatting>
  <conditionalFormatting sqref="U2:U5">
    <cfRule type="containsErrors" dxfId="0" priority="18">
      <formula>ISERROR(U2)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9FA45-D77D-4256-B832-32C324EF059A}">
  <sheetPr codeName="Feuil6"/>
  <dimension ref="A1:AS1048007"/>
  <sheetViews>
    <sheetView tabSelected="1" zoomScale="77" zoomScaleNormal="77" workbookViewId="0">
      <selection activeCell="A6" sqref="A6:XFD8"/>
    </sheetView>
  </sheetViews>
  <sheetFormatPr baseColWidth="10" defaultRowHeight="16.5" x14ac:dyDescent="0.3"/>
  <cols>
    <col min="1" max="1" width="19.42578125" style="7" customWidth="1"/>
    <col min="2" max="2" width="14.7109375" style="7" customWidth="1"/>
    <col min="3" max="3" width="14.5703125" style="7" bestFit="1" customWidth="1"/>
    <col min="4" max="5" width="18.28515625" style="7" customWidth="1"/>
    <col min="6" max="6" width="14.85546875" bestFit="1" customWidth="1"/>
    <col min="7" max="7" width="13.42578125" bestFit="1" customWidth="1"/>
    <col min="9" max="9" width="13.5703125" bestFit="1" customWidth="1"/>
    <col min="11" max="11" width="14.28515625" bestFit="1" customWidth="1"/>
    <col min="16" max="16" width="14.7109375" style="7" customWidth="1"/>
    <col min="17" max="17" width="14.7109375" style="9" customWidth="1"/>
    <col min="20" max="21" width="14.140625" style="7" customWidth="1"/>
    <col min="22" max="22" width="21.42578125" style="7" customWidth="1"/>
    <col min="23" max="23" width="13" style="7" customWidth="1"/>
    <col min="24" max="24" width="10.5703125" style="7" customWidth="1"/>
    <col min="25" max="25" width="9.85546875" style="7" customWidth="1"/>
    <col min="26" max="26" width="13.5703125" style="7" customWidth="1"/>
    <col min="27" max="27" width="22.85546875" style="7" bestFit="1" customWidth="1"/>
    <col min="28" max="28" width="25.7109375" style="7" bestFit="1" customWidth="1"/>
    <col min="29" max="29" width="25.7109375" style="7" customWidth="1"/>
    <col min="30" max="30" width="17.7109375" style="7" bestFit="1" customWidth="1"/>
    <col min="31" max="31" width="16.140625" style="9" customWidth="1"/>
    <col min="32" max="32" width="16.85546875" style="39" customWidth="1"/>
    <col min="34" max="34" width="20.85546875" style="7" customWidth="1"/>
    <col min="35" max="35" width="21" style="7" customWidth="1"/>
    <col min="36" max="36" width="14" style="7" customWidth="1"/>
    <col min="37" max="37" width="11" style="7" customWidth="1"/>
    <col min="38" max="38" width="24.7109375" style="8" customWidth="1"/>
    <col min="39" max="39" width="13" style="7" customWidth="1"/>
    <col min="40" max="40" width="18.42578125" style="7" customWidth="1"/>
    <col min="42" max="42" width="19.42578125" style="7" customWidth="1"/>
    <col min="44" max="45" width="11.42578125" style="7"/>
    <col min="46" max="46" width="66.42578125" style="5" bestFit="1" customWidth="1"/>
    <col min="47" max="16384" width="11.42578125" style="5"/>
  </cols>
  <sheetData>
    <row r="1" spans="1:32" s="44" customFormat="1" ht="88.5" customHeight="1" thickBot="1" x14ac:dyDescent="0.35">
      <c r="A1" s="40" t="s">
        <v>124</v>
      </c>
      <c r="B1" s="40" t="s">
        <v>1</v>
      </c>
      <c r="C1" s="40" t="s">
        <v>42</v>
      </c>
      <c r="D1" s="40" t="s">
        <v>75</v>
      </c>
      <c r="E1" s="40" t="s">
        <v>76</v>
      </c>
      <c r="F1" s="40" t="s">
        <v>55</v>
      </c>
      <c r="G1" s="41" t="s">
        <v>90</v>
      </c>
      <c r="H1" s="40" t="s">
        <v>56</v>
      </c>
      <c r="I1" s="40" t="s">
        <v>106</v>
      </c>
      <c r="J1" s="40" t="s">
        <v>57</v>
      </c>
      <c r="K1" s="40" t="s">
        <v>108</v>
      </c>
      <c r="L1" s="40" t="s">
        <v>58</v>
      </c>
      <c r="M1" s="40" t="s">
        <v>59</v>
      </c>
      <c r="N1" s="40" t="s">
        <v>60</v>
      </c>
      <c r="O1" s="40" t="s">
        <v>61</v>
      </c>
      <c r="P1" s="40" t="s">
        <v>62</v>
      </c>
      <c r="Q1" s="40" t="s">
        <v>63</v>
      </c>
      <c r="R1" s="40" t="s">
        <v>2</v>
      </c>
      <c r="S1" s="41" t="s">
        <v>64</v>
      </c>
      <c r="T1" s="40" t="s">
        <v>46</v>
      </c>
      <c r="U1" s="40" t="s">
        <v>47</v>
      </c>
      <c r="V1" s="40" t="s">
        <v>41</v>
      </c>
      <c r="W1" s="40" t="s">
        <v>48</v>
      </c>
      <c r="X1" s="40" t="s">
        <v>49</v>
      </c>
      <c r="Y1" s="40" t="s">
        <v>50</v>
      </c>
      <c r="Z1" s="40" t="s">
        <v>51</v>
      </c>
      <c r="AA1" s="42" t="s">
        <v>52</v>
      </c>
      <c r="AB1" s="40" t="s">
        <v>53</v>
      </c>
      <c r="AC1" s="40" t="s">
        <v>54</v>
      </c>
      <c r="AD1" s="40" t="s">
        <v>65</v>
      </c>
      <c r="AE1" s="40" t="s">
        <v>0</v>
      </c>
      <c r="AF1" s="43" t="s">
        <v>84</v>
      </c>
    </row>
    <row r="2" spans="1:32" s="6" customFormat="1" ht="15.75" thickBot="1" x14ac:dyDescent="0.3">
      <c r="A2" s="13" t="str">
        <f>IFERROR(IF(OR(Tableau3[[#This Row],[Mois]]="décembre",Tableau3[[#This Row],[Mois]]="novembre"),CONCATENATE(Tableau3[[#This Row],[Année]],"-",Tableau3[[#This Row],[Année]]+1),CONCATENATE(Tableau3[[#This Row],[Année]]-1,"-",Tableau3[[#This Row],[Année]])),"")</f>
        <v/>
      </c>
      <c r="B2" s="14" t="str">
        <f>IF('RESULTATS ANALYSES'!$AD$2:$AD$5="","",TEXT('RESULTATS ANALYSES'!$AD$2:$AD$5,"mmmm"))</f>
        <v/>
      </c>
      <c r="C2" s="45" t="s">
        <v>82</v>
      </c>
      <c r="D2" s="46" t="s">
        <v>87</v>
      </c>
      <c r="E2" s="46" t="s">
        <v>87</v>
      </c>
      <c r="F2" s="46" t="s">
        <v>82</v>
      </c>
      <c r="G2" s="47" t="str">
        <f ca="1">IFERROR(IF(F2&lt;INDIRECT("BU_A_PLUS"),VLOOKUP("BU_A_PLUS",Tableau10[],3,FALSE),IF(F2&lt;INDIRECT("BU_A"),VLOOKUP("BU_A",Tableau10[],3,FALSE),IF(F2&lt;INDIRECT("BU_B"),VLOOKUP("BU_B",Tableau10[],3,FALSE),IF(F2&lt;INDIRECT("BU_C"),VLOOKUP("BU_C",Tableau10[],3,FALSE),IF(F2&lt;INDIRECT("BU_C_PLUS"),VLOOKUP("BU_C_PLUS",Tableau10[],3,FALSE),""))))),"")</f>
        <v/>
      </c>
      <c r="H2" s="46" t="s">
        <v>82</v>
      </c>
      <c r="I2" s="47" t="str">
        <f ca="1">IFERROR(IF(H2&lt;INDIRECT("CE_A"),VLOOKUP("CE_A",Tableau10[],3,FALSE),IF(H2&lt;INDIRECT("CE_B"),VLOOKUP("CE_B",Tableau10[],3,FALSE),IF(H2&lt;INDIRECT("CE_C"),VLOOKUP("CE_C",Tableau10[],3,FALSE),""))),)</f>
        <v/>
      </c>
      <c r="J2" s="46" t="s">
        <v>82</v>
      </c>
      <c r="K2" s="47" t="str">
        <f ca="1">IFERROR(IF(J2&lt;INDIRECT("CO_A"),VLOOKUP("CO_A",Tableau10[],3,FALSE),IF(J2&lt;INDIRECT("CO_B"),VLOOKUP("CO_B",Tableau10[],3,FALSE),IF(J2&lt;INDIRECT("CO_C"),VLOOKUP("CO_C",Tableau10[],3,FALSE),""))),)</f>
        <v/>
      </c>
      <c r="L2" s="46" t="s">
        <v>82</v>
      </c>
      <c r="M2" s="46" t="s">
        <v>82</v>
      </c>
      <c r="N2" s="46" t="s">
        <v>82</v>
      </c>
      <c r="O2" s="46" t="s">
        <v>82</v>
      </c>
      <c r="P2" s="48" t="s">
        <v>82</v>
      </c>
      <c r="Q2" s="46" t="s">
        <v>82</v>
      </c>
      <c r="R2" s="45" t="s">
        <v>82</v>
      </c>
      <c r="S2" s="49" t="s">
        <v>82</v>
      </c>
      <c r="T2" s="46" t="s">
        <v>82</v>
      </c>
      <c r="U2" s="46" t="s">
        <v>82</v>
      </c>
      <c r="V2" s="45" t="s">
        <v>82</v>
      </c>
      <c r="W2" s="46" t="s">
        <v>82</v>
      </c>
      <c r="X2" s="50" t="s">
        <v>82</v>
      </c>
      <c r="Y2" s="50" t="s">
        <v>82</v>
      </c>
      <c r="Z2" s="46" t="s">
        <v>82</v>
      </c>
      <c r="AA2" s="51" t="s">
        <v>82</v>
      </c>
      <c r="AB2" s="52" t="s">
        <v>82</v>
      </c>
      <c r="AC2" s="46" t="s">
        <v>82</v>
      </c>
      <c r="AD2" s="13" t="str">
        <f>IFERROR(IF('RESULTATS ANALYSES'!$S2="","",DATE(LEFT('RESULTATS ANALYSES'!$S2,4),MID('RESULTATS ANALYSES'!$S2,5,2),MID('RESULTATS ANALYSES'!$S2,7,2))),"")</f>
        <v/>
      </c>
      <c r="AE2" s="14" t="str">
        <f>IF('RESULTATS ANALYSES'!$AD$2:$AD$5="","",TEXT('RESULTATS ANALYSES'!$AD$2:$AD$5,"aaaa"))</f>
        <v/>
      </c>
      <c r="AF2" s="38" t="str">
        <f>IF(Tableau3[[#This Row],[Date collecte]]="","",CONCATENATE(AE2,"_",B2,"-",C2,"/",Tableau3[[#This Row],[BIO-CONVENTIONNEL]],"+",Tableau3[[#This Row],[Traitement thermique]]))</f>
        <v/>
      </c>
    </row>
    <row r="3" spans="1:32" ht="33.75" thickBot="1" x14ac:dyDescent="0.35">
      <c r="A3" s="72" t="str">
        <f>IFERROR(IF(OR(Tableau3[[#This Row],[Mois]]="décembre",Tableau3[[#This Row],[Mois]]="novembre"),CONCATENATE(Tableau3[[#This Row],[Année]],"-",Tableau3[[#This Row],[Année]]+1),CONCATENATE(Tableau3[[#This Row],[Année]]-1,"-",Tableau3[[#This Row],[Année]])),"")</f>
        <v>2016-2017</v>
      </c>
      <c r="B3" s="76" t="str">
        <f>IF('RESULTATS ANALYSES'!$AD$2:$AD$5="","",TEXT('RESULTATS ANALYSES'!$AD$2:$AD$5,"mmmm"))</f>
        <v>avril</v>
      </c>
      <c r="C3" s="73" t="s">
        <v>177</v>
      </c>
      <c r="D3" s="46" t="s">
        <v>81</v>
      </c>
      <c r="E3" s="46" t="s">
        <v>43</v>
      </c>
      <c r="F3" s="46">
        <v>1074</v>
      </c>
      <c r="G3" s="47" t="str">
        <f ca="1">IFERROR(IF(F3&lt;INDIRECT("BU_A_PLUS"),VLOOKUP("BU_A_PLUS",Tableau10[],3,FALSE),IF(F3&lt;INDIRECT("BU_A"),VLOOKUP("BU_A",Tableau10[],3,FALSE),IF(F3&lt;INDIRECT("BU_B"),VLOOKUP("BU_B",Tableau10[],3,FALSE),IF(F3&lt;INDIRECT("BU_C"),VLOOKUP("BU_C",Tableau10[],3,FALSE),IF(F3&lt;INDIRECT("BU_C_PLUS"),VLOOKUP("BU_C_PLUS",Tableau10[],3,FALSE),""))))),"")</f>
        <v>B</v>
      </c>
      <c r="H3" s="46">
        <v>1659932</v>
      </c>
      <c r="I3" s="46" t="str">
        <f ca="1">IFERROR(IF(H3&lt;INDIRECT("CE_A"),VLOOKUP("CE_A",Tableau10[],3,FALSE),IF(H3&lt;INDIRECT("CE_B"),VLOOKUP("CE_B",Tableau10[],3,FALSE),IF(H3&lt;INDIRECT("CE_C"),VLOOKUP("CE_C",Tableau10[],3,FALSE),""))),)</f>
        <v>C</v>
      </c>
      <c r="J3" s="46">
        <v>1804</v>
      </c>
      <c r="K3" s="47" t="str">
        <f ca="1">IFERROR(IF(J3&lt;INDIRECT("CO_A"),VLOOKUP("CO_A",Tableau10[],3,FALSE),IF(J3&lt;INDIRECT("CO_B"),VLOOKUP("CO_B",Tableau10[],3,FALSE),IF(J3&lt;INDIRECT("CO_C"),VLOOKUP("CO_C",Tableau10[],3,FALSE),""))),)</f>
        <v>B</v>
      </c>
      <c r="L3" s="46">
        <v>-0.55000000000000004</v>
      </c>
      <c r="M3" s="46" t="s">
        <v>78</v>
      </c>
      <c r="N3" s="46">
        <v>67</v>
      </c>
      <c r="O3" s="46">
        <v>54.3</v>
      </c>
      <c r="P3" s="48">
        <v>35000</v>
      </c>
      <c r="Q3" s="46">
        <v>414</v>
      </c>
      <c r="R3" s="45">
        <v>83</v>
      </c>
      <c r="S3" s="49" t="s">
        <v>167</v>
      </c>
      <c r="T3" s="46">
        <v>201704</v>
      </c>
      <c r="U3" s="46">
        <v>580</v>
      </c>
      <c r="V3" s="49">
        <v>580</v>
      </c>
      <c r="W3" s="46">
        <v>64267007</v>
      </c>
      <c r="X3" s="50">
        <v>0</v>
      </c>
      <c r="Y3" s="50">
        <v>1</v>
      </c>
      <c r="Z3" s="46">
        <v>1</v>
      </c>
      <c r="AA3" s="73">
        <v>42843</v>
      </c>
      <c r="AB3" s="49">
        <v>52</v>
      </c>
      <c r="AC3" s="46">
        <v>37</v>
      </c>
      <c r="AD3" s="79">
        <f>IFERROR(IF('RESULTATS ANALYSES'!$S3="","",DATE(LEFT('RESULTATS ANALYSES'!$S3,4),MID('RESULTATS ANALYSES'!$S3,5,2),MID('RESULTATS ANALYSES'!$S3,7,2))),"")</f>
        <v>42843</v>
      </c>
      <c r="AE3" s="77" t="str">
        <f>IF('RESULTATS ANALYSES'!$AD$2:$AD$5="","",TEXT('RESULTATS ANALYSES'!$AD$2:$AD$5,"aaaa"))</f>
        <v>2017</v>
      </c>
      <c r="AF3" s="74" t="str">
        <f>IF(Tableau3[[#This Row],[Date collecte]]="","",CONCATENATE(AE3,"_",B3,"-",C3,"/",Tableau3[[#This Row],[BIO-CONVENTIONNEL]],"+",Tableau3[[#This Row],[Traitement thermique]]))</f>
        <v>2017_avril-ESSAI/BIO+Cru</v>
      </c>
    </row>
    <row r="4" spans="1:32" ht="33.75" thickBot="1" x14ac:dyDescent="0.35">
      <c r="A4" s="72" t="str">
        <f>IFERROR(IF(OR(Tableau3[[#This Row],[Mois]]="décembre",Tableau3[[#This Row],[Mois]]="novembre"),CONCATENATE(Tableau3[[#This Row],[Année]],"-",Tableau3[[#This Row],[Année]]+1),CONCATENATE(Tableau3[[#This Row],[Année]]-1,"-",Tableau3[[#This Row],[Année]])),"")</f>
        <v>2017-2018</v>
      </c>
      <c r="B4" s="76" t="str">
        <f>IF('RESULTATS ANALYSES'!$AD$2:$AD$5="","",TEXT('RESULTATS ANALYSES'!$AD$2:$AD$5,"mmmm"))</f>
        <v>avril</v>
      </c>
      <c r="C4" s="73" t="s">
        <v>177</v>
      </c>
      <c r="D4" s="46" t="s">
        <v>81</v>
      </c>
      <c r="E4" s="46" t="s">
        <v>43</v>
      </c>
      <c r="F4" s="46">
        <v>916</v>
      </c>
      <c r="G4" s="47" t="str">
        <f ca="1">IFERROR(IF(F4&lt;INDIRECT("BU_A_PLUS"),VLOOKUP("BU_A_PLUS",Tableau10[],3,FALSE),IF(F4&lt;INDIRECT("BU_A"),VLOOKUP("BU_A",Tableau10[],3,FALSE),IF(F4&lt;INDIRECT("BU_B"),VLOOKUP("BU_B",Tableau10[],3,FALSE),IF(F4&lt;INDIRECT("BU_C"),VLOOKUP("BU_C",Tableau10[],3,FALSE),IF(F4&lt;INDIRECT("BU_C_PLUS"),VLOOKUP("BU_C_PLUS",Tableau10[],3,FALSE),""))))),"")</f>
        <v>A</v>
      </c>
      <c r="H4" s="46">
        <v>1645411</v>
      </c>
      <c r="I4" s="46" t="str">
        <f ca="1">IFERROR(IF(H4&lt;INDIRECT("CE_A"),VLOOKUP("CE_A",Tableau10[],3,FALSE),IF(H4&lt;INDIRECT("CE_B"),VLOOKUP("CE_B",Tableau10[],3,FALSE),IF(H4&lt;INDIRECT("CE_C"),VLOOKUP("CE_C",Tableau10[],3,FALSE),""))),)</f>
        <v>C</v>
      </c>
      <c r="J4" s="46">
        <v>1762</v>
      </c>
      <c r="K4" s="47" t="str">
        <f ca="1">IFERROR(IF(J4&lt;INDIRECT("CO_A"),VLOOKUP("CO_A",Tableau10[],3,FALSE),IF(J4&lt;INDIRECT("CO_B"),VLOOKUP("CO_B",Tableau10[],3,FALSE),IF(J4&lt;INDIRECT("CO_C"),VLOOKUP("CO_C",Tableau10[],3,FALSE),""))),)</f>
        <v>B</v>
      </c>
      <c r="L4" s="46">
        <v>-0.55000000000000004</v>
      </c>
      <c r="M4" s="46" t="s">
        <v>78</v>
      </c>
      <c r="N4" s="46">
        <v>82</v>
      </c>
      <c r="O4" s="46">
        <v>54.3</v>
      </c>
      <c r="P4" s="48">
        <v>35000</v>
      </c>
      <c r="Q4" s="46">
        <v>414</v>
      </c>
      <c r="R4" s="45">
        <v>83</v>
      </c>
      <c r="S4" s="49" t="s">
        <v>164</v>
      </c>
      <c r="T4" s="46">
        <v>201804</v>
      </c>
      <c r="U4" s="46">
        <v>580</v>
      </c>
      <c r="V4" s="49">
        <v>580</v>
      </c>
      <c r="W4" s="46">
        <v>64267007</v>
      </c>
      <c r="X4" s="50">
        <v>0</v>
      </c>
      <c r="Y4" s="50">
        <v>1</v>
      </c>
      <c r="Z4" s="46">
        <v>1</v>
      </c>
      <c r="AA4" s="73">
        <v>43208</v>
      </c>
      <c r="AB4" s="49">
        <v>52</v>
      </c>
      <c r="AC4" s="46">
        <v>37</v>
      </c>
      <c r="AD4" s="79">
        <f>IFERROR(IF('RESULTATS ANALYSES'!$S4="","",DATE(LEFT('RESULTATS ANALYSES'!$S4,4),MID('RESULTATS ANALYSES'!$S4,5,2),MID('RESULTATS ANALYSES'!$S4,7,2))),"")</f>
        <v>43208</v>
      </c>
      <c r="AE4" s="77" t="str">
        <f>IF('RESULTATS ANALYSES'!$AD$2:$AD$5="","",TEXT('RESULTATS ANALYSES'!$AD$2:$AD$5,"aaaa"))</f>
        <v>2018</v>
      </c>
      <c r="AF4" s="74" t="str">
        <f>IF(Tableau3[[#This Row],[Date collecte]]="","",CONCATENATE(AE4,"_",B4,"-",C4,"/",Tableau3[[#This Row],[BIO-CONVENTIONNEL]],"+",Tableau3[[#This Row],[Traitement thermique]]))</f>
        <v>2018_avril-ESSAI/BIO+Cru</v>
      </c>
    </row>
    <row r="5" spans="1:32" ht="33" x14ac:dyDescent="0.3">
      <c r="A5" s="72" t="str">
        <f>IFERROR(IF(OR(Tableau3[[#This Row],[Mois]]="décembre",Tableau3[[#This Row],[Mois]]="novembre"),CONCATENATE(Tableau3[[#This Row],[Année]],"-",Tableau3[[#This Row],[Année]]+1),CONCATENATE(Tableau3[[#This Row],[Année]]-1,"-",Tableau3[[#This Row],[Année]])),"")</f>
        <v>2017-2018</v>
      </c>
      <c r="B5" s="76" t="str">
        <f>IF('RESULTATS ANALYSES'!$AD$2:$AD$5="","",TEXT('RESULTATS ANALYSES'!$AD$2:$AD$5,"mmmm"))</f>
        <v>mai</v>
      </c>
      <c r="C5" s="73" t="s">
        <v>177</v>
      </c>
      <c r="D5" s="46" t="s">
        <v>81</v>
      </c>
      <c r="E5" s="46" t="s">
        <v>43</v>
      </c>
      <c r="F5" s="46">
        <v>790</v>
      </c>
      <c r="G5" s="47" t="str">
        <f ca="1">IFERROR(IF(F5&lt;INDIRECT("BU_A_PLUS"),VLOOKUP("BU_A_PLUS",Tableau10[],3,FALSE),IF(F5&lt;INDIRECT("BU_A"),VLOOKUP("BU_A",Tableau10[],3,FALSE),IF(F5&lt;INDIRECT("BU_B"),VLOOKUP("BU_B",Tableau10[],3,FALSE),IF(F5&lt;INDIRECT("BU_C"),VLOOKUP("BU_C",Tableau10[],3,FALSE),IF(F5&lt;INDIRECT("BU_C_PLUS"),VLOOKUP("BU_C_PLUS",Tableau10[],3,FALSE),""))))),"")</f>
        <v>A</v>
      </c>
      <c r="H5" s="46">
        <v>1622000</v>
      </c>
      <c r="I5" s="46" t="str">
        <f ca="1">IFERROR(IF(H5&lt;INDIRECT("CE_A"),VLOOKUP("CE_A",Tableau10[],3,FALSE),IF(H5&lt;INDIRECT("CE_B"),VLOOKUP("CE_B",Tableau10[],3,FALSE),IF(H5&lt;INDIRECT("CE_C"),VLOOKUP("CE_C",Tableau10[],3,FALSE),""))),)</f>
        <v>C</v>
      </c>
      <c r="J5" s="46">
        <v>450</v>
      </c>
      <c r="K5" s="47" t="str">
        <f ca="1">IFERROR(IF(J5&lt;INDIRECT("CO_A"),VLOOKUP("CO_A",Tableau10[],3,FALSE),IF(J5&lt;INDIRECT("CO_B"),VLOOKUP("CO_B",Tableau10[],3,FALSE),IF(J5&lt;INDIRECT("CO_C"),VLOOKUP("CO_C",Tableau10[],3,FALSE),""))),)</f>
        <v>A</v>
      </c>
      <c r="L5" s="46">
        <v>-0.55000000000000004</v>
      </c>
      <c r="M5" s="46" t="s">
        <v>78</v>
      </c>
      <c r="N5" s="46">
        <v>97</v>
      </c>
      <c r="O5" s="46">
        <v>54.3</v>
      </c>
      <c r="P5" s="48">
        <v>35000</v>
      </c>
      <c r="Q5" s="46">
        <v>414</v>
      </c>
      <c r="R5" s="45">
        <v>83</v>
      </c>
      <c r="S5" s="49" t="s">
        <v>168</v>
      </c>
      <c r="T5" s="46">
        <v>201805</v>
      </c>
      <c r="U5" s="46">
        <v>580</v>
      </c>
      <c r="V5" s="49">
        <v>580</v>
      </c>
      <c r="W5" s="46">
        <v>64267007</v>
      </c>
      <c r="X5" s="50">
        <v>0</v>
      </c>
      <c r="Y5" s="50">
        <v>1</v>
      </c>
      <c r="Z5" s="46">
        <v>1</v>
      </c>
      <c r="AA5" s="73">
        <v>43238</v>
      </c>
      <c r="AB5" s="49">
        <v>52</v>
      </c>
      <c r="AC5" s="46">
        <v>37</v>
      </c>
      <c r="AD5" s="79">
        <f>IFERROR(IF('RESULTATS ANALYSES'!$S5="","",DATE(LEFT('RESULTATS ANALYSES'!$S5,4),MID('RESULTATS ANALYSES'!$S5,5,2),MID('RESULTATS ANALYSES'!$S5,7,2))),"")</f>
        <v>43238</v>
      </c>
      <c r="AE5" s="77" t="str">
        <f>IF('RESULTATS ANALYSES'!$AD$2:$AD$5="","",TEXT('RESULTATS ANALYSES'!$AD$2:$AD$5,"aaaa"))</f>
        <v>2018</v>
      </c>
      <c r="AF5" s="74" t="str">
        <f>IF(Tableau3[[#This Row],[Date collecte]]="","",CONCATENATE(AE5,"_",B5,"-",C5,"/",Tableau3[[#This Row],[BIO-CONVENTIONNEL]],"+",Tableau3[[#This Row],[Traitement thermique]]))</f>
        <v>2018_mai-ESSAI/BIO+Cru</v>
      </c>
    </row>
    <row r="1048007" spans="32:32" x14ac:dyDescent="0.3">
      <c r="AF1048007" s="87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F0F96-F6E1-4E9E-BFCE-1A550CDFAAA6}">
  <sheetPr codeName="Feuil8"/>
  <dimension ref="H2:P406"/>
  <sheetViews>
    <sheetView workbookViewId="0">
      <selection sqref="A1:W1048576"/>
    </sheetView>
  </sheetViews>
  <sheetFormatPr baseColWidth="10" defaultRowHeight="15" x14ac:dyDescent="0.25"/>
  <sheetData>
    <row r="2" spans="8:16" x14ac:dyDescent="0.25">
      <c r="H2" s="1"/>
      <c r="L2" s="11"/>
      <c r="P2" s="12"/>
    </row>
    <row r="3" spans="8:16" x14ac:dyDescent="0.25">
      <c r="H3" s="1"/>
      <c r="L3" s="11"/>
      <c r="P3" s="12"/>
    </row>
    <row r="4" spans="8:16" x14ac:dyDescent="0.25">
      <c r="H4" s="1"/>
      <c r="L4" s="11"/>
    </row>
    <row r="5" spans="8:16" x14ac:dyDescent="0.25">
      <c r="H5" s="1"/>
    </row>
    <row r="6" spans="8:16" x14ac:dyDescent="0.25">
      <c r="H6" s="1"/>
    </row>
    <row r="7" spans="8:16" x14ac:dyDescent="0.25">
      <c r="H7" s="1"/>
    </row>
    <row r="8" spans="8:16" x14ac:dyDescent="0.25">
      <c r="H8" s="1"/>
    </row>
    <row r="9" spans="8:16" x14ac:dyDescent="0.25">
      <c r="H9" s="1"/>
      <c r="L9" s="11"/>
      <c r="P9" s="12"/>
    </row>
    <row r="10" spans="8:16" x14ac:dyDescent="0.25">
      <c r="H10" s="1"/>
    </row>
    <row r="11" spans="8:16" x14ac:dyDescent="0.25">
      <c r="H11" s="1"/>
      <c r="L11" s="11"/>
      <c r="P11" s="12"/>
    </row>
    <row r="12" spans="8:16" x14ac:dyDescent="0.25">
      <c r="H12" s="1"/>
      <c r="L12" s="11"/>
      <c r="P12" s="12"/>
    </row>
    <row r="13" spans="8:16" x14ac:dyDescent="0.25">
      <c r="H13" s="1"/>
      <c r="L13" s="11"/>
    </row>
    <row r="14" spans="8:16" x14ac:dyDescent="0.25">
      <c r="H14" s="1"/>
    </row>
    <row r="15" spans="8:16" x14ac:dyDescent="0.25">
      <c r="H15" s="1"/>
    </row>
    <row r="16" spans="8:16" x14ac:dyDescent="0.25">
      <c r="H16" s="1"/>
    </row>
    <row r="17" spans="8:16" x14ac:dyDescent="0.25">
      <c r="H17" s="1"/>
    </row>
    <row r="18" spans="8:16" x14ac:dyDescent="0.25">
      <c r="H18" s="1"/>
      <c r="L18" s="11"/>
      <c r="P18" s="12"/>
    </row>
    <row r="19" spans="8:16" x14ac:dyDescent="0.25">
      <c r="H19" s="1"/>
    </row>
    <row r="20" spans="8:16" x14ac:dyDescent="0.25">
      <c r="H20" s="1"/>
      <c r="L20" s="11"/>
      <c r="P20" s="11"/>
    </row>
    <row r="21" spans="8:16" x14ac:dyDescent="0.25">
      <c r="H21" s="1"/>
      <c r="L21" s="11"/>
      <c r="P21" s="11"/>
    </row>
    <row r="22" spans="8:16" x14ac:dyDescent="0.25">
      <c r="H22" s="1"/>
      <c r="L22" s="11"/>
    </row>
    <row r="23" spans="8:16" x14ac:dyDescent="0.25">
      <c r="H23" s="1"/>
    </row>
    <row r="24" spans="8:16" x14ac:dyDescent="0.25">
      <c r="H24" s="1"/>
    </row>
    <row r="25" spans="8:16" x14ac:dyDescent="0.25">
      <c r="H25" s="1"/>
    </row>
    <row r="26" spans="8:16" x14ac:dyDescent="0.25">
      <c r="H26" s="1"/>
    </row>
    <row r="27" spans="8:16" x14ac:dyDescent="0.25">
      <c r="H27" s="1"/>
      <c r="L27" s="11"/>
      <c r="P27" s="11"/>
    </row>
    <row r="28" spans="8:16" x14ac:dyDescent="0.25">
      <c r="H28" s="1"/>
    </row>
    <row r="29" spans="8:16" x14ac:dyDescent="0.25">
      <c r="H29" s="1"/>
    </row>
    <row r="30" spans="8:16" x14ac:dyDescent="0.25">
      <c r="H30" s="1"/>
      <c r="L30" s="11"/>
      <c r="P30" s="11"/>
    </row>
    <row r="31" spans="8:16" x14ac:dyDescent="0.25">
      <c r="H31" s="1"/>
      <c r="L31" s="11"/>
    </row>
    <row r="32" spans="8:16" x14ac:dyDescent="0.25">
      <c r="H32" s="1"/>
    </row>
    <row r="33" spans="8:16" x14ac:dyDescent="0.25">
      <c r="H33" s="1"/>
    </row>
    <row r="34" spans="8:16" x14ac:dyDescent="0.25">
      <c r="H34" s="1"/>
    </row>
    <row r="35" spans="8:16" x14ac:dyDescent="0.25">
      <c r="H35" s="1"/>
    </row>
    <row r="36" spans="8:16" x14ac:dyDescent="0.25">
      <c r="H36" s="1"/>
      <c r="L36" s="11"/>
      <c r="P36" s="11"/>
    </row>
    <row r="37" spans="8:16" x14ac:dyDescent="0.25">
      <c r="H37" s="1"/>
    </row>
    <row r="38" spans="8:16" x14ac:dyDescent="0.25">
      <c r="H38" s="1"/>
    </row>
    <row r="39" spans="8:16" x14ac:dyDescent="0.25">
      <c r="H39" s="1"/>
      <c r="L39" s="11"/>
      <c r="P39" s="11"/>
    </row>
    <row r="40" spans="8:16" x14ac:dyDescent="0.25">
      <c r="H40" s="1"/>
      <c r="L40" s="11"/>
    </row>
    <row r="41" spans="8:16" x14ac:dyDescent="0.25">
      <c r="H41" s="1"/>
    </row>
    <row r="42" spans="8:16" x14ac:dyDescent="0.25">
      <c r="H42" s="1"/>
    </row>
    <row r="43" spans="8:16" x14ac:dyDescent="0.25">
      <c r="H43" s="1"/>
    </row>
    <row r="44" spans="8:16" x14ac:dyDescent="0.25">
      <c r="H44" s="1"/>
    </row>
    <row r="45" spans="8:16" x14ac:dyDescent="0.25">
      <c r="H45" s="1"/>
      <c r="L45" s="11"/>
      <c r="P45" s="11"/>
    </row>
    <row r="46" spans="8:16" x14ac:dyDescent="0.25">
      <c r="H46" s="1"/>
    </row>
    <row r="47" spans="8:16" x14ac:dyDescent="0.25">
      <c r="H47" s="1"/>
    </row>
    <row r="48" spans="8:16" x14ac:dyDescent="0.25">
      <c r="H48" s="1"/>
      <c r="L48" s="11"/>
      <c r="P48" s="11"/>
    </row>
    <row r="49" spans="8:16" x14ac:dyDescent="0.25">
      <c r="H49" s="1"/>
      <c r="L49" s="11"/>
    </row>
    <row r="50" spans="8:16" x14ac:dyDescent="0.25">
      <c r="H50" s="1"/>
    </row>
    <row r="51" spans="8:16" x14ac:dyDescent="0.25">
      <c r="H51" s="1"/>
    </row>
    <row r="52" spans="8:16" x14ac:dyDescent="0.25">
      <c r="H52" s="1"/>
    </row>
    <row r="53" spans="8:16" x14ac:dyDescent="0.25">
      <c r="H53" s="1"/>
    </row>
    <row r="54" spans="8:16" x14ac:dyDescent="0.25">
      <c r="H54" s="1"/>
      <c r="L54" s="11"/>
      <c r="P54" s="11"/>
    </row>
    <row r="55" spans="8:16" x14ac:dyDescent="0.25">
      <c r="H55" s="1"/>
    </row>
    <row r="56" spans="8:16" x14ac:dyDescent="0.25">
      <c r="H56" s="1"/>
      <c r="L56" s="11"/>
      <c r="P56" s="11"/>
    </row>
    <row r="57" spans="8:16" x14ac:dyDescent="0.25">
      <c r="H57" s="1"/>
      <c r="L57" s="11"/>
      <c r="P57" s="11"/>
    </row>
    <row r="58" spans="8:16" x14ac:dyDescent="0.25">
      <c r="H58" s="1"/>
      <c r="L58" s="11"/>
    </row>
    <row r="59" spans="8:16" x14ac:dyDescent="0.25">
      <c r="H59" s="1"/>
    </row>
    <row r="60" spans="8:16" x14ac:dyDescent="0.25">
      <c r="H60" s="1"/>
    </row>
    <row r="61" spans="8:16" x14ac:dyDescent="0.25">
      <c r="H61" s="1"/>
    </row>
    <row r="62" spans="8:16" x14ac:dyDescent="0.25">
      <c r="H62" s="1"/>
    </row>
    <row r="63" spans="8:16" x14ac:dyDescent="0.25">
      <c r="H63" s="1"/>
      <c r="L63" s="11"/>
      <c r="P63" s="11"/>
    </row>
    <row r="64" spans="8:16" x14ac:dyDescent="0.25">
      <c r="H64" s="1"/>
    </row>
    <row r="65" spans="8:16" x14ac:dyDescent="0.25">
      <c r="H65" s="1"/>
    </row>
    <row r="66" spans="8:16" x14ac:dyDescent="0.25">
      <c r="H66" s="1"/>
      <c r="L66" s="11"/>
      <c r="P66" s="11"/>
    </row>
    <row r="67" spans="8:16" x14ac:dyDescent="0.25">
      <c r="H67" s="1"/>
      <c r="L67" s="11"/>
    </row>
    <row r="68" spans="8:16" x14ac:dyDescent="0.25">
      <c r="H68" s="1"/>
    </row>
    <row r="69" spans="8:16" x14ac:dyDescent="0.25">
      <c r="H69" s="1"/>
    </row>
    <row r="70" spans="8:16" x14ac:dyDescent="0.25">
      <c r="H70" s="1"/>
    </row>
    <row r="71" spans="8:16" x14ac:dyDescent="0.25">
      <c r="H71" s="1"/>
    </row>
    <row r="72" spans="8:16" x14ac:dyDescent="0.25">
      <c r="H72" s="1"/>
      <c r="L72" s="11"/>
      <c r="P72" s="11"/>
    </row>
    <row r="73" spans="8:16" x14ac:dyDescent="0.25">
      <c r="H73" s="1"/>
    </row>
    <row r="74" spans="8:16" x14ac:dyDescent="0.25">
      <c r="H74" s="1"/>
      <c r="L74" s="11"/>
    </row>
    <row r="75" spans="8:16" x14ac:dyDescent="0.25">
      <c r="H75" s="1"/>
      <c r="L75" s="11"/>
      <c r="P75" s="11"/>
    </row>
    <row r="76" spans="8:16" x14ac:dyDescent="0.25">
      <c r="H76" s="1"/>
      <c r="L76" s="11"/>
    </row>
    <row r="77" spans="8:16" x14ac:dyDescent="0.25">
      <c r="H77" s="1"/>
    </row>
    <row r="78" spans="8:16" x14ac:dyDescent="0.25">
      <c r="H78" s="1"/>
    </row>
    <row r="79" spans="8:16" x14ac:dyDescent="0.25">
      <c r="H79" s="1"/>
    </row>
    <row r="80" spans="8:16" x14ac:dyDescent="0.25">
      <c r="H80" s="1"/>
    </row>
    <row r="81" spans="8:16" x14ac:dyDescent="0.25">
      <c r="H81" s="1"/>
      <c r="L81" s="11"/>
      <c r="P81" s="11"/>
    </row>
    <row r="82" spans="8:16" x14ac:dyDescent="0.25">
      <c r="H82" s="1"/>
    </row>
    <row r="83" spans="8:16" x14ac:dyDescent="0.25">
      <c r="H83" s="1"/>
      <c r="L83" s="11"/>
      <c r="P83" s="11"/>
    </row>
    <row r="84" spans="8:16" x14ac:dyDescent="0.25">
      <c r="H84" s="1"/>
      <c r="L84" s="11"/>
      <c r="P84" s="11"/>
    </row>
    <row r="85" spans="8:16" x14ac:dyDescent="0.25">
      <c r="H85" s="1"/>
      <c r="L85" s="11"/>
    </row>
    <row r="86" spans="8:16" x14ac:dyDescent="0.25">
      <c r="H86" s="1"/>
    </row>
    <row r="87" spans="8:16" x14ac:dyDescent="0.25">
      <c r="H87" s="1"/>
    </row>
    <row r="88" spans="8:16" x14ac:dyDescent="0.25">
      <c r="H88" s="1"/>
    </row>
    <row r="89" spans="8:16" x14ac:dyDescent="0.25">
      <c r="H89" s="1"/>
    </row>
    <row r="90" spans="8:16" x14ac:dyDescent="0.25">
      <c r="H90" s="1"/>
      <c r="L90" s="11"/>
      <c r="P90" s="11"/>
    </row>
    <row r="91" spans="8:16" x14ac:dyDescent="0.25">
      <c r="H91" s="1"/>
    </row>
    <row r="92" spans="8:16" x14ac:dyDescent="0.25">
      <c r="H92" s="1"/>
      <c r="L92" s="11"/>
    </row>
    <row r="93" spans="8:16" x14ac:dyDescent="0.25">
      <c r="H93" s="1"/>
      <c r="L93" s="11"/>
      <c r="P93" s="11"/>
    </row>
    <row r="94" spans="8:16" x14ac:dyDescent="0.25">
      <c r="H94" s="1"/>
      <c r="L94" s="11"/>
    </row>
    <row r="95" spans="8:16" x14ac:dyDescent="0.25">
      <c r="H95" s="1"/>
    </row>
    <row r="96" spans="8:16" x14ac:dyDescent="0.25">
      <c r="H96" s="1"/>
    </row>
    <row r="97" spans="8:16" x14ac:dyDescent="0.25">
      <c r="H97" s="1"/>
    </row>
    <row r="98" spans="8:16" x14ac:dyDescent="0.25">
      <c r="H98" s="1"/>
    </row>
    <row r="99" spans="8:16" x14ac:dyDescent="0.25">
      <c r="H99" s="1"/>
      <c r="L99" s="11"/>
      <c r="P99" s="11"/>
    </row>
    <row r="100" spans="8:16" x14ac:dyDescent="0.25">
      <c r="H100" s="1"/>
    </row>
    <row r="101" spans="8:16" x14ac:dyDescent="0.25">
      <c r="H101" s="1"/>
      <c r="L101" s="11"/>
      <c r="P101" s="11"/>
    </row>
    <row r="102" spans="8:16" x14ac:dyDescent="0.25">
      <c r="H102" s="1"/>
      <c r="L102" s="11"/>
      <c r="P102" s="11"/>
    </row>
    <row r="103" spans="8:16" x14ac:dyDescent="0.25">
      <c r="H103" s="1"/>
      <c r="L103" s="11"/>
    </row>
    <row r="104" spans="8:16" x14ac:dyDescent="0.25">
      <c r="H104" s="1"/>
    </row>
    <row r="105" spans="8:16" x14ac:dyDescent="0.25">
      <c r="H105" s="1"/>
    </row>
    <row r="106" spans="8:16" x14ac:dyDescent="0.25">
      <c r="H106" s="1"/>
    </row>
    <row r="107" spans="8:16" x14ac:dyDescent="0.25">
      <c r="H107" s="1"/>
    </row>
    <row r="108" spans="8:16" x14ac:dyDescent="0.25">
      <c r="H108" s="1"/>
      <c r="L108" s="11"/>
      <c r="P108" s="11"/>
    </row>
    <row r="109" spans="8:16" x14ac:dyDescent="0.25">
      <c r="H109" s="1"/>
    </row>
    <row r="110" spans="8:16" x14ac:dyDescent="0.25">
      <c r="H110" s="1"/>
      <c r="L110" s="11"/>
    </row>
    <row r="111" spans="8:16" x14ac:dyDescent="0.25">
      <c r="H111" s="1"/>
      <c r="L111" s="11"/>
      <c r="P111" s="11"/>
    </row>
    <row r="112" spans="8:16" x14ac:dyDescent="0.25">
      <c r="H112" s="1"/>
      <c r="L112" s="11"/>
    </row>
    <row r="113" spans="8:16" x14ac:dyDescent="0.25">
      <c r="H113" s="1"/>
    </row>
    <row r="114" spans="8:16" x14ac:dyDescent="0.25">
      <c r="H114" s="1"/>
    </row>
    <row r="115" spans="8:16" x14ac:dyDescent="0.25">
      <c r="H115" s="1"/>
    </row>
    <row r="116" spans="8:16" x14ac:dyDescent="0.25">
      <c r="H116" s="1"/>
    </row>
    <row r="117" spans="8:16" x14ac:dyDescent="0.25">
      <c r="H117" s="1"/>
      <c r="L117" s="11"/>
      <c r="P117" s="11"/>
    </row>
    <row r="118" spans="8:16" x14ac:dyDescent="0.25">
      <c r="H118" s="1"/>
    </row>
    <row r="119" spans="8:16" x14ac:dyDescent="0.25">
      <c r="H119" s="1"/>
      <c r="L119" s="11"/>
      <c r="P119" s="11"/>
    </row>
    <row r="120" spans="8:16" x14ac:dyDescent="0.25">
      <c r="H120" s="1"/>
      <c r="L120" s="11"/>
      <c r="P120" s="11"/>
    </row>
    <row r="121" spans="8:16" x14ac:dyDescent="0.25">
      <c r="H121" s="1"/>
      <c r="L121" s="11"/>
    </row>
    <row r="122" spans="8:16" x14ac:dyDescent="0.25">
      <c r="H122" s="1"/>
    </row>
    <row r="123" spans="8:16" x14ac:dyDescent="0.25">
      <c r="H123" s="1"/>
    </row>
    <row r="124" spans="8:16" x14ac:dyDescent="0.25">
      <c r="H124" s="1"/>
    </row>
    <row r="125" spans="8:16" x14ac:dyDescent="0.25">
      <c r="H125" s="1"/>
    </row>
    <row r="126" spans="8:16" x14ac:dyDescent="0.25">
      <c r="H126" s="1"/>
      <c r="L126" s="11"/>
      <c r="P126" s="11"/>
    </row>
    <row r="127" spans="8:16" x14ac:dyDescent="0.25">
      <c r="H127" s="1"/>
    </row>
    <row r="128" spans="8:16" x14ac:dyDescent="0.25">
      <c r="H128" s="1"/>
    </row>
    <row r="129" spans="8:16" x14ac:dyDescent="0.25">
      <c r="H129" s="1"/>
      <c r="L129" s="11"/>
      <c r="P129" s="11"/>
    </row>
    <row r="130" spans="8:16" x14ac:dyDescent="0.25">
      <c r="H130" s="1"/>
    </row>
    <row r="131" spans="8:16" x14ac:dyDescent="0.25">
      <c r="H131" s="1"/>
    </row>
    <row r="132" spans="8:16" x14ac:dyDescent="0.25">
      <c r="H132" s="1"/>
    </row>
    <row r="133" spans="8:16" x14ac:dyDescent="0.25">
      <c r="H133" s="1"/>
    </row>
    <row r="134" spans="8:16" x14ac:dyDescent="0.25">
      <c r="H134" s="1"/>
    </row>
    <row r="135" spans="8:16" x14ac:dyDescent="0.25">
      <c r="H135" s="1"/>
      <c r="L135" s="11"/>
      <c r="P135" s="11"/>
    </row>
    <row r="136" spans="8:16" x14ac:dyDescent="0.25">
      <c r="H136" s="1"/>
    </row>
    <row r="137" spans="8:16" x14ac:dyDescent="0.25">
      <c r="H137" s="1"/>
      <c r="L137" s="11"/>
      <c r="P137" s="12"/>
    </row>
    <row r="138" spans="8:16" x14ac:dyDescent="0.25">
      <c r="H138" s="1"/>
      <c r="L138" s="11"/>
      <c r="P138" s="12"/>
    </row>
    <row r="139" spans="8:16" x14ac:dyDescent="0.25">
      <c r="H139" s="1"/>
      <c r="L139" s="11"/>
    </row>
    <row r="140" spans="8:16" x14ac:dyDescent="0.25">
      <c r="H140" s="1"/>
    </row>
    <row r="141" spans="8:16" x14ac:dyDescent="0.25">
      <c r="H141" s="1"/>
    </row>
    <row r="142" spans="8:16" x14ac:dyDescent="0.25">
      <c r="H142" s="1"/>
    </row>
    <row r="143" spans="8:16" x14ac:dyDescent="0.25">
      <c r="H143" s="1"/>
    </row>
    <row r="144" spans="8:16" x14ac:dyDescent="0.25">
      <c r="H144" s="1"/>
      <c r="L144" s="11"/>
      <c r="P144" s="12"/>
    </row>
    <row r="145" spans="8:16" x14ac:dyDescent="0.25">
      <c r="H145" s="1"/>
    </row>
    <row r="146" spans="8:16" x14ac:dyDescent="0.25">
      <c r="H146" s="1"/>
      <c r="L146" s="11"/>
      <c r="P146" s="12"/>
    </row>
    <row r="147" spans="8:16" x14ac:dyDescent="0.25">
      <c r="H147" s="1"/>
      <c r="L147" s="11"/>
      <c r="P147" s="12"/>
    </row>
    <row r="148" spans="8:16" x14ac:dyDescent="0.25">
      <c r="H148" s="1"/>
    </row>
    <row r="149" spans="8:16" x14ac:dyDescent="0.25">
      <c r="H149" s="1"/>
    </row>
    <row r="150" spans="8:16" x14ac:dyDescent="0.25">
      <c r="H150" s="1"/>
    </row>
    <row r="151" spans="8:16" x14ac:dyDescent="0.25">
      <c r="H151" s="1"/>
    </row>
    <row r="152" spans="8:16" x14ac:dyDescent="0.25">
      <c r="H152" s="1"/>
    </row>
    <row r="153" spans="8:16" x14ac:dyDescent="0.25">
      <c r="H153" s="1"/>
      <c r="L153" s="11"/>
      <c r="P153" s="12"/>
    </row>
    <row r="154" spans="8:16" x14ac:dyDescent="0.25">
      <c r="H154" s="1"/>
    </row>
    <row r="155" spans="8:16" x14ac:dyDescent="0.25">
      <c r="H155" s="1"/>
      <c r="L155" s="11"/>
      <c r="P155" s="11"/>
    </row>
    <row r="156" spans="8:16" x14ac:dyDescent="0.25">
      <c r="H156" s="1"/>
      <c r="L156" s="11"/>
      <c r="P156" s="11"/>
    </row>
    <row r="157" spans="8:16" x14ac:dyDescent="0.25">
      <c r="H157" s="1"/>
      <c r="L157" s="11"/>
    </row>
    <row r="158" spans="8:16" x14ac:dyDescent="0.25">
      <c r="H158" s="1"/>
    </row>
    <row r="159" spans="8:16" x14ac:dyDescent="0.25">
      <c r="H159" s="1"/>
    </row>
    <row r="160" spans="8:16" x14ac:dyDescent="0.25">
      <c r="H160" s="1"/>
    </row>
    <row r="161" spans="8:16" x14ac:dyDescent="0.25">
      <c r="H161" s="1"/>
    </row>
    <row r="162" spans="8:16" x14ac:dyDescent="0.25">
      <c r="H162" s="1"/>
      <c r="L162" s="11"/>
      <c r="P162" s="11"/>
    </row>
    <row r="163" spans="8:16" x14ac:dyDescent="0.25">
      <c r="H163" s="1"/>
    </row>
    <row r="164" spans="8:16" x14ac:dyDescent="0.25">
      <c r="H164" s="1"/>
    </row>
    <row r="165" spans="8:16" x14ac:dyDescent="0.25">
      <c r="H165" s="1"/>
      <c r="L165" s="11"/>
      <c r="P165" s="11"/>
    </row>
    <row r="166" spans="8:16" x14ac:dyDescent="0.25">
      <c r="H166" s="1"/>
    </row>
    <row r="167" spans="8:16" x14ac:dyDescent="0.25">
      <c r="H167" s="1"/>
    </row>
    <row r="168" spans="8:16" x14ac:dyDescent="0.25">
      <c r="H168" s="1"/>
    </row>
    <row r="169" spans="8:16" x14ac:dyDescent="0.25">
      <c r="H169" s="1"/>
    </row>
    <row r="170" spans="8:16" x14ac:dyDescent="0.25">
      <c r="H170" s="1"/>
    </row>
    <row r="171" spans="8:16" x14ac:dyDescent="0.25">
      <c r="H171" s="1"/>
      <c r="L171" s="11"/>
      <c r="P171" s="11"/>
    </row>
    <row r="172" spans="8:16" x14ac:dyDescent="0.25">
      <c r="H172" s="1"/>
    </row>
    <row r="173" spans="8:16" x14ac:dyDescent="0.25">
      <c r="H173" s="1"/>
    </row>
    <row r="174" spans="8:16" x14ac:dyDescent="0.25">
      <c r="H174" s="1"/>
      <c r="L174" s="11"/>
      <c r="P174" s="11"/>
    </row>
    <row r="175" spans="8:16" x14ac:dyDescent="0.25">
      <c r="H175" s="1"/>
    </row>
    <row r="176" spans="8:16" x14ac:dyDescent="0.25">
      <c r="H176" s="1"/>
    </row>
    <row r="177" spans="8:16" x14ac:dyDescent="0.25">
      <c r="H177" s="1"/>
    </row>
    <row r="178" spans="8:16" x14ac:dyDescent="0.25">
      <c r="H178" s="1"/>
    </row>
    <row r="179" spans="8:16" x14ac:dyDescent="0.25">
      <c r="H179" s="1"/>
    </row>
    <row r="180" spans="8:16" x14ac:dyDescent="0.25">
      <c r="H180" s="1"/>
      <c r="L180" s="11"/>
      <c r="P180" s="11"/>
    </row>
    <row r="181" spans="8:16" x14ac:dyDescent="0.25">
      <c r="H181" s="1"/>
    </row>
    <row r="182" spans="8:16" x14ac:dyDescent="0.25">
      <c r="H182" s="1"/>
    </row>
    <row r="183" spans="8:16" x14ac:dyDescent="0.25">
      <c r="H183" s="1"/>
      <c r="L183" s="11"/>
      <c r="P183" s="11"/>
    </row>
    <row r="184" spans="8:16" x14ac:dyDescent="0.25">
      <c r="H184" s="1"/>
    </row>
    <row r="185" spans="8:16" x14ac:dyDescent="0.25">
      <c r="H185" s="1"/>
    </row>
    <row r="186" spans="8:16" x14ac:dyDescent="0.25">
      <c r="H186" s="1"/>
    </row>
    <row r="187" spans="8:16" x14ac:dyDescent="0.25">
      <c r="H187" s="1"/>
    </row>
    <row r="188" spans="8:16" x14ac:dyDescent="0.25">
      <c r="H188" s="1"/>
    </row>
    <row r="189" spans="8:16" x14ac:dyDescent="0.25">
      <c r="H189" s="1"/>
      <c r="L189" s="11"/>
      <c r="P189" s="11"/>
    </row>
    <row r="190" spans="8:16" x14ac:dyDescent="0.25">
      <c r="H190" s="1"/>
    </row>
    <row r="191" spans="8:16" x14ac:dyDescent="0.25">
      <c r="H191" s="1"/>
      <c r="L191" s="11"/>
      <c r="P191" s="11"/>
    </row>
    <row r="192" spans="8:16" x14ac:dyDescent="0.25">
      <c r="H192" s="1"/>
      <c r="L192" s="11"/>
      <c r="P192" s="11"/>
    </row>
    <row r="193" spans="8:16" x14ac:dyDescent="0.25">
      <c r="H193" s="1"/>
      <c r="L193" s="11"/>
    </row>
    <row r="194" spans="8:16" x14ac:dyDescent="0.25">
      <c r="H194" s="1"/>
    </row>
    <row r="195" spans="8:16" x14ac:dyDescent="0.25">
      <c r="H195" s="1"/>
    </row>
    <row r="196" spans="8:16" x14ac:dyDescent="0.25">
      <c r="H196" s="1"/>
    </row>
    <row r="197" spans="8:16" x14ac:dyDescent="0.25">
      <c r="H197" s="1"/>
    </row>
    <row r="198" spans="8:16" x14ac:dyDescent="0.25">
      <c r="H198" s="1"/>
      <c r="L198" s="11"/>
      <c r="P198" s="11"/>
    </row>
    <row r="199" spans="8:16" x14ac:dyDescent="0.25">
      <c r="H199" s="1"/>
    </row>
    <row r="200" spans="8:16" x14ac:dyDescent="0.25">
      <c r="H200" s="1"/>
    </row>
    <row r="201" spans="8:16" x14ac:dyDescent="0.25">
      <c r="H201" s="1"/>
      <c r="L201" s="11"/>
      <c r="P201" s="11"/>
    </row>
    <row r="202" spans="8:16" x14ac:dyDescent="0.25">
      <c r="H202" s="1"/>
      <c r="L202" s="11"/>
    </row>
    <row r="203" spans="8:16" x14ac:dyDescent="0.25">
      <c r="H203" s="1"/>
    </row>
    <row r="204" spans="8:16" x14ac:dyDescent="0.25">
      <c r="H204" s="1"/>
    </row>
    <row r="205" spans="8:16" x14ac:dyDescent="0.25">
      <c r="H205" s="1"/>
    </row>
    <row r="206" spans="8:16" x14ac:dyDescent="0.25">
      <c r="H206" s="1"/>
    </row>
    <row r="207" spans="8:16" x14ac:dyDescent="0.25">
      <c r="H207" s="1"/>
      <c r="L207" s="11"/>
      <c r="P207" s="11"/>
    </row>
    <row r="208" spans="8:16" x14ac:dyDescent="0.25">
      <c r="H208" s="1"/>
    </row>
    <row r="209" spans="8:16" x14ac:dyDescent="0.25">
      <c r="H209" s="1"/>
      <c r="L209" s="11"/>
    </row>
    <row r="210" spans="8:16" x14ac:dyDescent="0.25">
      <c r="H210" s="1"/>
      <c r="L210" s="11"/>
      <c r="P210" s="11"/>
    </row>
    <row r="211" spans="8:16" x14ac:dyDescent="0.25">
      <c r="H211" s="1"/>
      <c r="L211" s="11"/>
    </row>
    <row r="212" spans="8:16" x14ac:dyDescent="0.25">
      <c r="H212" s="1"/>
    </row>
    <row r="213" spans="8:16" x14ac:dyDescent="0.25">
      <c r="H213" s="1"/>
    </row>
    <row r="214" spans="8:16" x14ac:dyDescent="0.25">
      <c r="H214" s="1"/>
    </row>
    <row r="215" spans="8:16" x14ac:dyDescent="0.25">
      <c r="H215" s="1"/>
    </row>
    <row r="216" spans="8:16" x14ac:dyDescent="0.25">
      <c r="H216" s="1"/>
      <c r="L216" s="11"/>
      <c r="P216" s="11"/>
    </row>
    <row r="217" spans="8:16" x14ac:dyDescent="0.25">
      <c r="H217" s="1"/>
    </row>
    <row r="218" spans="8:16" x14ac:dyDescent="0.25">
      <c r="H218" s="1"/>
      <c r="P218" s="11"/>
    </row>
    <row r="219" spans="8:16" x14ac:dyDescent="0.25">
      <c r="H219" s="1"/>
      <c r="L219" s="11"/>
      <c r="P219" s="11"/>
    </row>
    <row r="220" spans="8:16" x14ac:dyDescent="0.25">
      <c r="H220" s="1"/>
      <c r="L220" s="11"/>
    </row>
    <row r="221" spans="8:16" x14ac:dyDescent="0.25">
      <c r="H221" s="1"/>
    </row>
    <row r="222" spans="8:16" x14ac:dyDescent="0.25">
      <c r="H222" s="1"/>
    </row>
    <row r="223" spans="8:16" x14ac:dyDescent="0.25">
      <c r="H223" s="1"/>
    </row>
    <row r="224" spans="8:16" x14ac:dyDescent="0.25">
      <c r="H224" s="1"/>
    </row>
    <row r="225" spans="8:16" x14ac:dyDescent="0.25">
      <c r="H225" s="1"/>
      <c r="L225" s="11"/>
      <c r="P225" s="11"/>
    </row>
    <row r="226" spans="8:16" x14ac:dyDescent="0.25">
      <c r="H226" s="1"/>
    </row>
    <row r="227" spans="8:16" x14ac:dyDescent="0.25">
      <c r="H227" s="1"/>
      <c r="L227" s="11"/>
    </row>
    <row r="228" spans="8:16" x14ac:dyDescent="0.25">
      <c r="H228" s="1"/>
      <c r="L228" s="11"/>
      <c r="P228" s="11"/>
    </row>
    <row r="229" spans="8:16" x14ac:dyDescent="0.25">
      <c r="H229" s="1"/>
      <c r="L229" s="11"/>
    </row>
    <row r="230" spans="8:16" x14ac:dyDescent="0.25">
      <c r="H230" s="1"/>
    </row>
    <row r="231" spans="8:16" x14ac:dyDescent="0.25">
      <c r="H231" s="1"/>
    </row>
    <row r="232" spans="8:16" x14ac:dyDescent="0.25">
      <c r="H232" s="1"/>
    </row>
    <row r="233" spans="8:16" x14ac:dyDescent="0.25">
      <c r="H233" s="1"/>
    </row>
    <row r="234" spans="8:16" x14ac:dyDescent="0.25">
      <c r="H234" s="1"/>
      <c r="L234" s="11"/>
      <c r="P234" s="11"/>
    </row>
    <row r="235" spans="8:16" x14ac:dyDescent="0.25">
      <c r="H235" s="1"/>
    </row>
    <row r="236" spans="8:16" x14ac:dyDescent="0.25">
      <c r="H236" s="1"/>
      <c r="L236" s="11"/>
      <c r="P236" s="11"/>
    </row>
    <row r="237" spans="8:16" x14ac:dyDescent="0.25">
      <c r="H237" s="1"/>
      <c r="L237" s="11"/>
      <c r="P237" s="11"/>
    </row>
    <row r="238" spans="8:16" x14ac:dyDescent="0.25">
      <c r="H238" s="1"/>
      <c r="L238" s="11"/>
    </row>
    <row r="239" spans="8:16" x14ac:dyDescent="0.25">
      <c r="H239" s="1"/>
    </row>
    <row r="240" spans="8:16" x14ac:dyDescent="0.25">
      <c r="H240" s="1"/>
    </row>
    <row r="241" spans="8:16" x14ac:dyDescent="0.25">
      <c r="H241" s="1"/>
    </row>
    <row r="242" spans="8:16" x14ac:dyDescent="0.25">
      <c r="H242" s="1"/>
    </row>
    <row r="243" spans="8:16" x14ac:dyDescent="0.25">
      <c r="H243" s="1"/>
      <c r="L243" s="11"/>
      <c r="P243" s="11"/>
    </row>
    <row r="244" spans="8:16" x14ac:dyDescent="0.25">
      <c r="H244" s="1"/>
    </row>
    <row r="245" spans="8:16" x14ac:dyDescent="0.25">
      <c r="H245" s="1"/>
    </row>
    <row r="246" spans="8:16" x14ac:dyDescent="0.25">
      <c r="H246" s="1"/>
      <c r="L246" s="11"/>
      <c r="P246" s="11"/>
    </row>
    <row r="247" spans="8:16" x14ac:dyDescent="0.25">
      <c r="H247" s="1"/>
      <c r="L247" s="11"/>
    </row>
    <row r="248" spans="8:16" x14ac:dyDescent="0.25">
      <c r="H248" s="1"/>
    </row>
    <row r="249" spans="8:16" x14ac:dyDescent="0.25">
      <c r="H249" s="1"/>
    </row>
    <row r="250" spans="8:16" x14ac:dyDescent="0.25">
      <c r="H250" s="1"/>
    </row>
    <row r="251" spans="8:16" x14ac:dyDescent="0.25">
      <c r="H251" s="1"/>
    </row>
    <row r="252" spans="8:16" x14ac:dyDescent="0.25">
      <c r="H252" s="1"/>
      <c r="L252" s="11"/>
      <c r="P252" s="11"/>
    </row>
    <row r="253" spans="8:16" x14ac:dyDescent="0.25">
      <c r="H253" s="1"/>
    </row>
    <row r="254" spans="8:16" x14ac:dyDescent="0.25">
      <c r="H254" s="1"/>
      <c r="L254" s="11"/>
      <c r="P254" s="11"/>
    </row>
    <row r="255" spans="8:16" x14ac:dyDescent="0.25">
      <c r="H255" s="1"/>
      <c r="L255" s="11"/>
      <c r="P255" s="11"/>
    </row>
    <row r="256" spans="8:16" x14ac:dyDescent="0.25">
      <c r="H256" s="1"/>
      <c r="L256" s="11"/>
    </row>
    <row r="257" spans="8:16" x14ac:dyDescent="0.25">
      <c r="H257" s="1"/>
    </row>
    <row r="258" spans="8:16" x14ac:dyDescent="0.25">
      <c r="H258" s="1"/>
    </row>
    <row r="259" spans="8:16" x14ac:dyDescent="0.25">
      <c r="H259" s="1"/>
    </row>
    <row r="260" spans="8:16" x14ac:dyDescent="0.25">
      <c r="H260" s="1"/>
    </row>
    <row r="261" spans="8:16" x14ac:dyDescent="0.25">
      <c r="H261" s="1"/>
      <c r="L261" s="11"/>
      <c r="P261" s="11"/>
    </row>
    <row r="262" spans="8:16" x14ac:dyDescent="0.25">
      <c r="H262" s="1"/>
    </row>
    <row r="263" spans="8:16" x14ac:dyDescent="0.25">
      <c r="H263" s="1"/>
    </row>
    <row r="264" spans="8:16" x14ac:dyDescent="0.25">
      <c r="H264" s="1"/>
      <c r="L264" s="11"/>
      <c r="P264" s="11"/>
    </row>
    <row r="265" spans="8:16" x14ac:dyDescent="0.25">
      <c r="H265" s="1"/>
    </row>
    <row r="266" spans="8:16" x14ac:dyDescent="0.25">
      <c r="H266" s="1"/>
    </row>
    <row r="267" spans="8:16" x14ac:dyDescent="0.25">
      <c r="H267" s="1"/>
    </row>
    <row r="268" spans="8:16" x14ac:dyDescent="0.25">
      <c r="H268" s="1"/>
    </row>
    <row r="269" spans="8:16" x14ac:dyDescent="0.25">
      <c r="H269" s="1"/>
    </row>
    <row r="270" spans="8:16" x14ac:dyDescent="0.25">
      <c r="H270" s="1"/>
      <c r="L270" s="11"/>
      <c r="P270" s="11"/>
    </row>
    <row r="271" spans="8:16" x14ac:dyDescent="0.25">
      <c r="H271" s="1"/>
    </row>
    <row r="272" spans="8:16" x14ac:dyDescent="0.25">
      <c r="H272" s="1"/>
      <c r="L272" s="11"/>
      <c r="P272" s="12"/>
    </row>
    <row r="273" spans="8:16" x14ac:dyDescent="0.25">
      <c r="H273" s="1"/>
      <c r="L273" s="11"/>
      <c r="P273" s="12"/>
    </row>
    <row r="274" spans="8:16" x14ac:dyDescent="0.25">
      <c r="H274" s="1"/>
    </row>
    <row r="275" spans="8:16" x14ac:dyDescent="0.25">
      <c r="H275" s="1"/>
    </row>
    <row r="276" spans="8:16" x14ac:dyDescent="0.25">
      <c r="H276" s="1"/>
    </row>
    <row r="277" spans="8:16" x14ac:dyDescent="0.25">
      <c r="H277" s="1"/>
    </row>
    <row r="278" spans="8:16" x14ac:dyDescent="0.25">
      <c r="H278" s="1"/>
    </row>
    <row r="279" spans="8:16" x14ac:dyDescent="0.25">
      <c r="H279" s="1"/>
      <c r="L279" s="11"/>
      <c r="P279" s="12"/>
    </row>
    <row r="280" spans="8:16" x14ac:dyDescent="0.25">
      <c r="H280" s="1"/>
    </row>
    <row r="281" spans="8:16" x14ac:dyDescent="0.25">
      <c r="H281" s="1"/>
      <c r="L281" s="11"/>
      <c r="P281" s="12"/>
    </row>
    <row r="282" spans="8:16" x14ac:dyDescent="0.25">
      <c r="H282" s="1"/>
      <c r="L282" s="11"/>
      <c r="P282" s="12"/>
    </row>
    <row r="283" spans="8:16" x14ac:dyDescent="0.25">
      <c r="H283" s="1"/>
    </row>
    <row r="284" spans="8:16" x14ac:dyDescent="0.25">
      <c r="H284" s="1"/>
    </row>
    <row r="285" spans="8:16" x14ac:dyDescent="0.25">
      <c r="H285" s="1"/>
    </row>
    <row r="286" spans="8:16" x14ac:dyDescent="0.25">
      <c r="H286" s="1"/>
    </row>
    <row r="287" spans="8:16" x14ac:dyDescent="0.25">
      <c r="H287" s="1"/>
    </row>
    <row r="288" spans="8:16" x14ac:dyDescent="0.25">
      <c r="H288" s="1"/>
      <c r="L288" s="11"/>
      <c r="P288" s="12"/>
    </row>
    <row r="289" spans="8:16" x14ac:dyDescent="0.25">
      <c r="H289" s="1"/>
    </row>
    <row r="290" spans="8:16" x14ac:dyDescent="0.25">
      <c r="H290" s="1"/>
      <c r="P290" s="11"/>
    </row>
    <row r="291" spans="8:16" x14ac:dyDescent="0.25">
      <c r="H291" s="1"/>
      <c r="L291" s="11"/>
      <c r="P291" s="11"/>
    </row>
    <row r="292" spans="8:16" x14ac:dyDescent="0.25">
      <c r="H292" s="1"/>
    </row>
    <row r="293" spans="8:16" x14ac:dyDescent="0.25">
      <c r="H293" s="1"/>
    </row>
    <row r="294" spans="8:16" x14ac:dyDescent="0.25">
      <c r="H294" s="1"/>
    </row>
    <row r="295" spans="8:16" x14ac:dyDescent="0.25">
      <c r="H295" s="1"/>
    </row>
    <row r="296" spans="8:16" x14ac:dyDescent="0.25">
      <c r="H296" s="1"/>
    </row>
    <row r="297" spans="8:16" x14ac:dyDescent="0.25">
      <c r="H297" s="1"/>
      <c r="L297" s="11"/>
      <c r="P297" s="11"/>
    </row>
    <row r="298" spans="8:16" x14ac:dyDescent="0.25">
      <c r="H298" s="1"/>
    </row>
    <row r="299" spans="8:16" x14ac:dyDescent="0.25">
      <c r="H299" s="1"/>
    </row>
    <row r="300" spans="8:16" x14ac:dyDescent="0.25">
      <c r="H300" s="1"/>
      <c r="L300" s="11"/>
      <c r="P300" s="11"/>
    </row>
    <row r="301" spans="8:16" x14ac:dyDescent="0.25">
      <c r="H301" s="1"/>
    </row>
    <row r="302" spans="8:16" x14ac:dyDescent="0.25">
      <c r="H302" s="1"/>
    </row>
    <row r="303" spans="8:16" x14ac:dyDescent="0.25">
      <c r="H303" s="1"/>
    </row>
    <row r="304" spans="8:16" x14ac:dyDescent="0.25">
      <c r="H304" s="1"/>
    </row>
    <row r="305" spans="8:16" x14ac:dyDescent="0.25">
      <c r="H305" s="1"/>
    </row>
    <row r="306" spans="8:16" x14ac:dyDescent="0.25">
      <c r="H306" s="1"/>
      <c r="L306" s="11"/>
      <c r="P306" s="11"/>
    </row>
    <row r="307" spans="8:16" x14ac:dyDescent="0.25">
      <c r="H307" s="1"/>
    </row>
    <row r="308" spans="8:16" x14ac:dyDescent="0.25">
      <c r="H308" s="1"/>
    </row>
    <row r="309" spans="8:16" x14ac:dyDescent="0.25">
      <c r="H309" s="1"/>
      <c r="L309" s="11"/>
      <c r="P309" s="11"/>
    </row>
    <row r="310" spans="8:16" x14ac:dyDescent="0.25">
      <c r="H310" s="1"/>
    </row>
    <row r="311" spans="8:16" x14ac:dyDescent="0.25">
      <c r="H311" s="1"/>
    </row>
    <row r="312" spans="8:16" x14ac:dyDescent="0.25">
      <c r="H312" s="1"/>
    </row>
    <row r="313" spans="8:16" x14ac:dyDescent="0.25">
      <c r="H313" s="1"/>
    </row>
    <row r="314" spans="8:16" x14ac:dyDescent="0.25">
      <c r="H314" s="1"/>
    </row>
    <row r="315" spans="8:16" x14ac:dyDescent="0.25">
      <c r="H315" s="1"/>
      <c r="L315" s="11"/>
      <c r="P315" s="11"/>
    </row>
    <row r="316" spans="8:16" x14ac:dyDescent="0.25">
      <c r="H316" s="1"/>
    </row>
    <row r="317" spans="8:16" x14ac:dyDescent="0.25">
      <c r="H317" s="1"/>
    </row>
    <row r="318" spans="8:16" x14ac:dyDescent="0.25">
      <c r="H318" s="1"/>
      <c r="L318" s="11"/>
      <c r="P318" s="11"/>
    </row>
    <row r="319" spans="8:16" x14ac:dyDescent="0.25">
      <c r="H319" s="1"/>
    </row>
    <row r="320" spans="8:16" x14ac:dyDescent="0.25">
      <c r="H320" s="1"/>
    </row>
    <row r="321" spans="8:16" x14ac:dyDescent="0.25">
      <c r="H321" s="1"/>
    </row>
    <row r="322" spans="8:16" x14ac:dyDescent="0.25">
      <c r="H322" s="1"/>
    </row>
    <row r="323" spans="8:16" x14ac:dyDescent="0.25">
      <c r="H323" s="1"/>
    </row>
    <row r="324" spans="8:16" x14ac:dyDescent="0.25">
      <c r="H324" s="1"/>
      <c r="L324" s="11"/>
      <c r="P324" s="11"/>
    </row>
    <row r="325" spans="8:16" x14ac:dyDescent="0.25">
      <c r="H325" s="1"/>
    </row>
    <row r="326" spans="8:16" x14ac:dyDescent="0.25">
      <c r="H326" s="1"/>
      <c r="L326" s="11"/>
      <c r="P326" s="11"/>
    </row>
    <row r="327" spans="8:16" x14ac:dyDescent="0.25">
      <c r="H327" s="1"/>
      <c r="L327" s="11"/>
      <c r="P327" s="11"/>
    </row>
    <row r="328" spans="8:16" x14ac:dyDescent="0.25">
      <c r="H328" s="1"/>
    </row>
    <row r="329" spans="8:16" x14ac:dyDescent="0.25">
      <c r="H329" s="1"/>
    </row>
    <row r="330" spans="8:16" x14ac:dyDescent="0.25">
      <c r="H330" s="1"/>
    </row>
    <row r="331" spans="8:16" x14ac:dyDescent="0.25">
      <c r="H331" s="1"/>
    </row>
    <row r="332" spans="8:16" x14ac:dyDescent="0.25">
      <c r="H332" s="1"/>
    </row>
    <row r="333" spans="8:16" x14ac:dyDescent="0.25">
      <c r="H333" s="1"/>
      <c r="L333" s="11"/>
      <c r="P333" s="11"/>
    </row>
    <row r="334" spans="8:16" x14ac:dyDescent="0.25">
      <c r="H334" s="1"/>
    </row>
    <row r="335" spans="8:16" x14ac:dyDescent="0.25">
      <c r="H335" s="1"/>
    </row>
    <row r="336" spans="8:16" x14ac:dyDescent="0.25">
      <c r="H336" s="1"/>
      <c r="L336" s="11"/>
      <c r="P336" s="11"/>
    </row>
    <row r="337" spans="8:16" x14ac:dyDescent="0.25">
      <c r="H337" s="1"/>
    </row>
    <row r="338" spans="8:16" x14ac:dyDescent="0.25">
      <c r="H338" s="1"/>
    </row>
    <row r="339" spans="8:16" x14ac:dyDescent="0.25">
      <c r="H339" s="1"/>
    </row>
    <row r="340" spans="8:16" x14ac:dyDescent="0.25">
      <c r="H340" s="1"/>
    </row>
    <row r="341" spans="8:16" x14ac:dyDescent="0.25">
      <c r="H341" s="1"/>
    </row>
    <row r="342" spans="8:16" x14ac:dyDescent="0.25">
      <c r="H342" s="1"/>
      <c r="L342" s="11"/>
      <c r="P342" s="11"/>
    </row>
    <row r="343" spans="8:16" x14ac:dyDescent="0.25">
      <c r="H343" s="1"/>
    </row>
    <row r="344" spans="8:16" x14ac:dyDescent="0.25">
      <c r="H344" s="1"/>
      <c r="L344" s="11"/>
    </row>
    <row r="345" spans="8:16" x14ac:dyDescent="0.25">
      <c r="H345" s="1"/>
      <c r="L345" s="11"/>
      <c r="P345" s="11"/>
    </row>
    <row r="346" spans="8:16" x14ac:dyDescent="0.25">
      <c r="H346" s="1"/>
    </row>
    <row r="347" spans="8:16" x14ac:dyDescent="0.25">
      <c r="H347" s="1"/>
    </row>
    <row r="348" spans="8:16" x14ac:dyDescent="0.25">
      <c r="H348" s="1"/>
    </row>
    <row r="349" spans="8:16" x14ac:dyDescent="0.25">
      <c r="H349" s="1"/>
    </row>
    <row r="350" spans="8:16" x14ac:dyDescent="0.25">
      <c r="H350" s="1"/>
    </row>
    <row r="351" spans="8:16" x14ac:dyDescent="0.25">
      <c r="H351" s="1"/>
      <c r="L351" s="11"/>
      <c r="P351" s="11"/>
    </row>
    <row r="352" spans="8:16" x14ac:dyDescent="0.25">
      <c r="H352" s="1"/>
    </row>
    <row r="353" spans="8:16" x14ac:dyDescent="0.25">
      <c r="H353" s="1"/>
      <c r="P353" s="11"/>
    </row>
    <row r="354" spans="8:16" x14ac:dyDescent="0.25">
      <c r="H354" s="1"/>
      <c r="L354" s="11"/>
      <c r="P354" s="11"/>
    </row>
    <row r="355" spans="8:16" x14ac:dyDescent="0.25">
      <c r="H355" s="1"/>
    </row>
    <row r="356" spans="8:16" x14ac:dyDescent="0.25">
      <c r="H356" s="1"/>
    </row>
    <row r="357" spans="8:16" x14ac:dyDescent="0.25">
      <c r="H357" s="1"/>
    </row>
    <row r="358" spans="8:16" x14ac:dyDescent="0.25">
      <c r="H358" s="1"/>
    </row>
    <row r="359" spans="8:16" x14ac:dyDescent="0.25">
      <c r="H359" s="1"/>
    </row>
    <row r="360" spans="8:16" x14ac:dyDescent="0.25">
      <c r="H360" s="1"/>
      <c r="L360" s="11"/>
      <c r="P360" s="11"/>
    </row>
    <row r="361" spans="8:16" x14ac:dyDescent="0.25">
      <c r="H361" s="1"/>
    </row>
    <row r="362" spans="8:16" x14ac:dyDescent="0.25">
      <c r="H362" s="1"/>
      <c r="L362" s="11"/>
    </row>
    <row r="363" spans="8:16" x14ac:dyDescent="0.25">
      <c r="H363" s="1"/>
      <c r="L363" s="11"/>
      <c r="P363" s="11"/>
    </row>
    <row r="364" spans="8:16" x14ac:dyDescent="0.25">
      <c r="H364" s="1"/>
    </row>
    <row r="365" spans="8:16" x14ac:dyDescent="0.25">
      <c r="H365" s="1"/>
    </row>
    <row r="366" spans="8:16" x14ac:dyDescent="0.25">
      <c r="H366" s="1"/>
    </row>
    <row r="367" spans="8:16" x14ac:dyDescent="0.25">
      <c r="H367" s="1"/>
    </row>
    <row r="368" spans="8:16" x14ac:dyDescent="0.25">
      <c r="H368" s="1"/>
    </row>
    <row r="369" spans="8:16" x14ac:dyDescent="0.25">
      <c r="H369" s="1"/>
      <c r="L369" s="11"/>
      <c r="P369" s="11"/>
    </row>
    <row r="370" spans="8:16" x14ac:dyDescent="0.25">
      <c r="H370" s="1"/>
    </row>
    <row r="371" spans="8:16" x14ac:dyDescent="0.25">
      <c r="H371" s="1"/>
      <c r="L371" s="11"/>
      <c r="P371" s="11"/>
    </row>
    <row r="372" spans="8:16" x14ac:dyDescent="0.25">
      <c r="H372" s="1"/>
      <c r="L372" s="11"/>
      <c r="P372" s="11"/>
    </row>
    <row r="373" spans="8:16" x14ac:dyDescent="0.25">
      <c r="H373" s="1"/>
    </row>
    <row r="374" spans="8:16" x14ac:dyDescent="0.25">
      <c r="H374" s="1"/>
    </row>
    <row r="375" spans="8:16" x14ac:dyDescent="0.25">
      <c r="H375" s="1"/>
    </row>
    <row r="376" spans="8:16" x14ac:dyDescent="0.25">
      <c r="H376" s="1"/>
    </row>
    <row r="377" spans="8:16" x14ac:dyDescent="0.25">
      <c r="H377" s="1"/>
    </row>
    <row r="378" spans="8:16" x14ac:dyDescent="0.25">
      <c r="H378" s="1"/>
      <c r="L378" s="11"/>
      <c r="P378" s="11"/>
    </row>
    <row r="379" spans="8:16" x14ac:dyDescent="0.25">
      <c r="H379" s="1"/>
    </row>
    <row r="380" spans="8:16" x14ac:dyDescent="0.25">
      <c r="H380" s="1"/>
    </row>
    <row r="381" spans="8:16" x14ac:dyDescent="0.25">
      <c r="H381" s="1"/>
      <c r="L381" s="11"/>
      <c r="P381" s="11"/>
    </row>
    <row r="382" spans="8:16" x14ac:dyDescent="0.25">
      <c r="H382" s="1"/>
    </row>
    <row r="383" spans="8:16" x14ac:dyDescent="0.25">
      <c r="H383" s="1"/>
    </row>
    <row r="384" spans="8:16" x14ac:dyDescent="0.25">
      <c r="H384" s="1"/>
    </row>
    <row r="385" spans="8:16" x14ac:dyDescent="0.25">
      <c r="H385" s="1"/>
    </row>
    <row r="386" spans="8:16" x14ac:dyDescent="0.25">
      <c r="H386" s="1"/>
    </row>
    <row r="387" spans="8:16" x14ac:dyDescent="0.25">
      <c r="H387" s="1"/>
      <c r="L387" s="11"/>
      <c r="P387" s="11"/>
    </row>
    <row r="388" spans="8:16" x14ac:dyDescent="0.25">
      <c r="H388" s="1"/>
    </row>
    <row r="389" spans="8:16" x14ac:dyDescent="0.25">
      <c r="H389" s="1"/>
      <c r="L389" s="11"/>
      <c r="P389" s="11"/>
    </row>
    <row r="390" spans="8:16" x14ac:dyDescent="0.25">
      <c r="H390" s="1"/>
      <c r="L390" s="11"/>
      <c r="P390" s="11"/>
    </row>
    <row r="391" spans="8:16" x14ac:dyDescent="0.25">
      <c r="H391" s="1"/>
    </row>
    <row r="392" spans="8:16" x14ac:dyDescent="0.25">
      <c r="H392" s="1"/>
    </row>
    <row r="393" spans="8:16" x14ac:dyDescent="0.25">
      <c r="H393" s="1"/>
    </row>
    <row r="394" spans="8:16" x14ac:dyDescent="0.25">
      <c r="H394" s="1"/>
    </row>
    <row r="395" spans="8:16" x14ac:dyDescent="0.25">
      <c r="H395" s="1"/>
    </row>
    <row r="396" spans="8:16" x14ac:dyDescent="0.25">
      <c r="H396" s="1"/>
      <c r="L396" s="11"/>
      <c r="P396" s="11"/>
    </row>
    <row r="397" spans="8:16" x14ac:dyDescent="0.25">
      <c r="H397" s="1"/>
    </row>
    <row r="398" spans="8:16" x14ac:dyDescent="0.25">
      <c r="H398" s="1"/>
    </row>
    <row r="399" spans="8:16" x14ac:dyDescent="0.25">
      <c r="H399" s="1"/>
      <c r="L399" s="11"/>
      <c r="P399" s="11"/>
    </row>
    <row r="400" spans="8:16" x14ac:dyDescent="0.25">
      <c r="H400" s="1"/>
    </row>
    <row r="401" spans="8:16" x14ac:dyDescent="0.25">
      <c r="H401" s="1"/>
    </row>
    <row r="402" spans="8:16" x14ac:dyDescent="0.25">
      <c r="H402" s="1"/>
    </row>
    <row r="403" spans="8:16" x14ac:dyDescent="0.25">
      <c r="H403" s="1"/>
    </row>
    <row r="404" spans="8:16" x14ac:dyDescent="0.25">
      <c r="H404" s="1"/>
    </row>
    <row r="405" spans="8:16" x14ac:dyDescent="0.25">
      <c r="H405" s="1"/>
      <c r="L405" s="11"/>
      <c r="P405" s="11"/>
    </row>
    <row r="406" spans="8:16" x14ac:dyDescent="0.25">
      <c r="H40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103</vt:i4>
      </vt:variant>
    </vt:vector>
  </HeadingPairs>
  <TitlesOfParts>
    <vt:vector size="112" baseType="lpstr">
      <vt:lpstr>MENU</vt:lpstr>
      <vt:lpstr>SAISIE QUANTITES QUALITE LAIT</vt:lpstr>
      <vt:lpstr>BDD AUTRES</vt:lpstr>
      <vt:lpstr>BDD PRIX LAIT</vt:lpstr>
      <vt:lpstr>FICHE PRODUCTEUR</vt:lpstr>
      <vt:lpstr>TABLEAUX SOURCES</vt:lpstr>
      <vt:lpstr>TABLEAU_RECAPITULATIF</vt:lpstr>
      <vt:lpstr>RESULTATS ANALYSES</vt:lpstr>
      <vt:lpstr>données_rapatriées</vt:lpstr>
      <vt:lpstr>bal_bas_analyses</vt:lpstr>
      <vt:lpstr>bal_bas_BDD_prix_lait</vt:lpstr>
      <vt:lpstr>bal_bas_collecte</vt:lpstr>
      <vt:lpstr>bal_bas_tab_recap</vt:lpstr>
      <vt:lpstr>bal_bas_zone_1</vt:lpstr>
      <vt:lpstr>bal_bas_zone_2</vt:lpstr>
      <vt:lpstr>bal_bas_zone_3</vt:lpstr>
      <vt:lpstr>bal_gauche</vt:lpstr>
      <vt:lpstr>bal_haut_zone_1</vt:lpstr>
      <vt:lpstr>bal_haut_zone_2</vt:lpstr>
      <vt:lpstr>bal_haut_zone_3</vt:lpstr>
      <vt:lpstr>Base_après_acompte</vt:lpstr>
      <vt:lpstr>Base_avant_acompte</vt:lpstr>
      <vt:lpstr>BIO_CONVENTIONNEL</vt:lpstr>
      <vt:lpstr>BU_A</vt:lpstr>
      <vt:lpstr>BU_A_PLUS</vt:lpstr>
      <vt:lpstr>BU_B</vt:lpstr>
      <vt:lpstr>BU_C</vt:lpstr>
      <vt:lpstr>BU_C_PLUS</vt:lpstr>
      <vt:lpstr>BU_spores_l</vt:lpstr>
      <vt:lpstr>CE_A</vt:lpstr>
      <vt:lpstr>CE_B</vt:lpstr>
      <vt:lpstr>CE_C</vt:lpstr>
      <vt:lpstr>CE_cellules_ml</vt:lpstr>
      <vt:lpstr>cellule_pivot_tableaux</vt:lpstr>
      <vt:lpstr>CO_A</vt:lpstr>
      <vt:lpstr>CO_B</vt:lpstr>
      <vt:lpstr>CO_C</vt:lpstr>
      <vt:lpstr>CO_ufc_ml</vt:lpstr>
      <vt:lpstr>Code_EDE</vt:lpstr>
      <vt:lpstr>colonne_resultats_annee</vt:lpstr>
      <vt:lpstr>colonne_resultats_BIO_CONV</vt:lpstr>
      <vt:lpstr>colonne_resultats_BU</vt:lpstr>
      <vt:lpstr>colonne_resultats_CE</vt:lpstr>
      <vt:lpstr>colonne_resultats_CO</vt:lpstr>
      <vt:lpstr>colonne_resultats_CR</vt:lpstr>
      <vt:lpstr>colonne_resultats_IN</vt:lpstr>
      <vt:lpstr>colonne_resultats_MG</vt:lpstr>
      <vt:lpstr>colonne_resultats_mois</vt:lpstr>
      <vt:lpstr>colonne_resultats_MP</vt:lpstr>
      <vt:lpstr>colonne_resultats_NU</vt:lpstr>
      <vt:lpstr>colonne_resultats_producteur</vt:lpstr>
      <vt:lpstr>colonne_resultats_TR</vt:lpstr>
      <vt:lpstr>colonne_resultats_UR</vt:lpstr>
      <vt:lpstr>cProducteur</vt:lpstr>
      <vt:lpstr>CR_Degre_celcius</vt:lpstr>
      <vt:lpstr>cSaison</vt:lpstr>
      <vt:lpstr>Date</vt:lpstr>
      <vt:lpstr>Date_collecte</vt:lpstr>
      <vt:lpstr>Date_de_début_de_campagne</vt:lpstr>
      <vt:lpstr>Date_de_fin_de_campagne</vt:lpstr>
      <vt:lpstr>Date_de_référence</vt:lpstr>
      <vt:lpstr>entete_MG_S1</vt:lpstr>
      <vt:lpstr>entete_MG_S2</vt:lpstr>
      <vt:lpstr>entete_MG_S3</vt:lpstr>
      <vt:lpstr>IN</vt:lpstr>
      <vt:lpstr>LISTE_TRAITEMENTS_THERMIQUES</vt:lpstr>
      <vt:lpstr>Litrage</vt:lpstr>
      <vt:lpstr>litrage_qualité</vt:lpstr>
      <vt:lpstr>Matricule_laiterie</vt:lpstr>
      <vt:lpstr>MG</vt:lpstr>
      <vt:lpstr>MG_g_l</vt:lpstr>
      <vt:lpstr>TABLEAU_RECAPITULATIF!Mois</vt:lpstr>
      <vt:lpstr>MP_g_l</vt:lpstr>
      <vt:lpstr>MSU</vt:lpstr>
      <vt:lpstr>NOM_DE_LA_MAISON</vt:lpstr>
      <vt:lpstr>NOM_EXPLOITATION</vt:lpstr>
      <vt:lpstr>nom_maison</vt:lpstr>
      <vt:lpstr>NOM_PRODUCTEUR</vt:lpstr>
      <vt:lpstr>Notation</vt:lpstr>
      <vt:lpstr>NU_ufc_ml</vt:lpstr>
      <vt:lpstr>Période</vt:lpstr>
      <vt:lpstr>pivot_mois</vt:lpstr>
      <vt:lpstr>Portoir</vt:lpstr>
      <vt:lpstr>Position_portoir</vt:lpstr>
      <vt:lpstr>Producteur</vt:lpstr>
      <vt:lpstr>producteur_qualité</vt:lpstr>
      <vt:lpstr>PROT</vt:lpstr>
      <vt:lpstr>QUALITE_DU_LAIT</vt:lpstr>
      <vt:lpstr>quintuplé_Année_Mois_Producteur_Type_lait_Traitement_thermique</vt:lpstr>
      <vt:lpstr>quintuple_tableau_recap</vt:lpstr>
      <vt:lpstr>Référence</vt:lpstr>
      <vt:lpstr>Routage</vt:lpstr>
      <vt:lpstr>SEUIL</vt:lpstr>
      <vt:lpstr>Tableau4</vt:lpstr>
      <vt:lpstr>TAUX_MODULATION_MG</vt:lpstr>
      <vt:lpstr>TAUX_MODULATION_MSU</vt:lpstr>
      <vt:lpstr>TAUX_MODULATION_PROT</vt:lpstr>
      <vt:lpstr>total_1</vt:lpstr>
      <vt:lpstr>total_2</vt:lpstr>
      <vt:lpstr>total_3</vt:lpstr>
      <vt:lpstr>Tour</vt:lpstr>
      <vt:lpstr>Tournée</vt:lpstr>
      <vt:lpstr>Traitement_thermique</vt:lpstr>
      <vt:lpstr>traitement_thermique_collecte</vt:lpstr>
      <vt:lpstr>Trio_Année_Mois_Producteur</vt:lpstr>
      <vt:lpstr>Type_de_lait</vt:lpstr>
      <vt:lpstr>UR_mg_l</vt:lpstr>
      <vt:lpstr>Usine</vt:lpstr>
      <vt:lpstr>'FICHE PRODUCTEUR'!Zone_d_impression</vt:lpstr>
      <vt:lpstr>zone_tableau_1</vt:lpstr>
      <vt:lpstr>zone_tableau_2</vt:lpstr>
      <vt:lpstr>zone_tableau_3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2018-05-29T09:18:10Z</dcterms:modified>
</cp:coreProperties>
</file>