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 defaultThemeVersion="124226"/>
  <bookViews>
    <workbookView xWindow="600" yWindow="276" windowWidth="11712" windowHeight="9408" activeTab="1"/>
  </bookViews>
  <sheets>
    <sheet name="Tableau de bord" sheetId="6" r:id="rId1"/>
    <sheet name="Facture" sheetId="1" r:id="rId2"/>
    <sheet name="Historique des factures" sheetId="7" r:id="rId3"/>
    <sheet name="Stock" sheetId="2" r:id="rId4"/>
    <sheet name="Clients - Statistiques" sheetId="5" r:id="rId5"/>
  </sheets>
  <definedNames>
    <definedName name="Clients">'Clients - Statistiques'!$A$3:$E$48</definedName>
    <definedName name="FDP">'Tableau de bord'!$B$29</definedName>
    <definedName name="FDPD">'Tableau de bord'!$B$30</definedName>
    <definedName name="Stock">Stock!$A$4:$G$18</definedName>
  </definedNames>
  <calcPr calcId="125725" iterate="1" iterateDelta="0"/>
</workbook>
</file>

<file path=xl/calcChain.xml><?xml version="1.0" encoding="utf-8"?>
<calcChain xmlns="http://schemas.openxmlformats.org/spreadsheetml/2006/main">
  <c r="B3" i="6"/>
  <c r="J4" i="5"/>
  <c r="K4"/>
  <c r="L4"/>
  <c r="M4"/>
  <c r="N4"/>
  <c r="O4"/>
  <c r="P4"/>
  <c r="Q4"/>
  <c r="R4"/>
  <c r="S4"/>
  <c r="T4"/>
  <c r="U4"/>
  <c r="J5"/>
  <c r="K5"/>
  <c r="L5"/>
  <c r="M5"/>
  <c r="N5"/>
  <c r="O5"/>
  <c r="P5"/>
  <c r="Q5"/>
  <c r="R5"/>
  <c r="S5"/>
  <c r="T5"/>
  <c r="U5"/>
  <c r="J6"/>
  <c r="K6"/>
  <c r="L6"/>
  <c r="M6"/>
  <c r="N6"/>
  <c r="O6"/>
  <c r="P6"/>
  <c r="Q6"/>
  <c r="R6"/>
  <c r="S6"/>
  <c r="T6"/>
  <c r="U6"/>
  <c r="J7"/>
  <c r="K7"/>
  <c r="L7"/>
  <c r="M7"/>
  <c r="N7"/>
  <c r="O7"/>
  <c r="P7"/>
  <c r="Q7"/>
  <c r="R7"/>
  <c r="S7"/>
  <c r="T7"/>
  <c r="U7"/>
  <c r="J8"/>
  <c r="K8"/>
  <c r="L8"/>
  <c r="M8"/>
  <c r="N8"/>
  <c r="O8"/>
  <c r="P8"/>
  <c r="Q8"/>
  <c r="R8"/>
  <c r="S8"/>
  <c r="T8"/>
  <c r="U8"/>
  <c r="J9"/>
  <c r="K9"/>
  <c r="L9"/>
  <c r="M9"/>
  <c r="N9"/>
  <c r="O9"/>
  <c r="P9"/>
  <c r="Q9"/>
  <c r="R9"/>
  <c r="S9"/>
  <c r="T9"/>
  <c r="U9"/>
  <c r="J10"/>
  <c r="K10"/>
  <c r="L10"/>
  <c r="M10"/>
  <c r="N10"/>
  <c r="O10"/>
  <c r="P10"/>
  <c r="Q10"/>
  <c r="R10"/>
  <c r="S10"/>
  <c r="T10"/>
  <c r="U10"/>
  <c r="J11"/>
  <c r="K11"/>
  <c r="L11"/>
  <c r="M11"/>
  <c r="N11"/>
  <c r="O11"/>
  <c r="P11"/>
  <c r="Q11"/>
  <c r="R11"/>
  <c r="S11"/>
  <c r="T11"/>
  <c r="U11"/>
  <c r="J12"/>
  <c r="K12"/>
  <c r="L12"/>
  <c r="M12"/>
  <c r="N12"/>
  <c r="O12"/>
  <c r="P12"/>
  <c r="Q12"/>
  <c r="R12"/>
  <c r="S12"/>
  <c r="T12"/>
  <c r="U12"/>
  <c r="J13"/>
  <c r="K13"/>
  <c r="L13"/>
  <c r="M13"/>
  <c r="N13"/>
  <c r="O13"/>
  <c r="P13"/>
  <c r="Q13"/>
  <c r="R13"/>
  <c r="S13"/>
  <c r="T13"/>
  <c r="U13"/>
  <c r="J14"/>
  <c r="K14"/>
  <c r="L14"/>
  <c r="M14"/>
  <c r="N14"/>
  <c r="O14"/>
  <c r="P14"/>
  <c r="Q14"/>
  <c r="R14"/>
  <c r="S14"/>
  <c r="T14"/>
  <c r="U14"/>
  <c r="J15"/>
  <c r="K15"/>
  <c r="L15"/>
  <c r="M15"/>
  <c r="N15"/>
  <c r="O15"/>
  <c r="P15"/>
  <c r="Q15"/>
  <c r="R15"/>
  <c r="S15"/>
  <c r="T15"/>
  <c r="U15"/>
  <c r="J16"/>
  <c r="K16"/>
  <c r="L16"/>
  <c r="M16"/>
  <c r="N16"/>
  <c r="O16"/>
  <c r="P16"/>
  <c r="Q16"/>
  <c r="R16"/>
  <c r="S16"/>
  <c r="T16"/>
  <c r="U16"/>
  <c r="J17"/>
  <c r="K17"/>
  <c r="L17"/>
  <c r="M17"/>
  <c r="N17"/>
  <c r="O17"/>
  <c r="P17"/>
  <c r="Q17"/>
  <c r="R17"/>
  <c r="S17"/>
  <c r="T17"/>
  <c r="U17"/>
  <c r="J18"/>
  <c r="K18"/>
  <c r="L18"/>
  <c r="M18"/>
  <c r="N18"/>
  <c r="O18"/>
  <c r="P18"/>
  <c r="Q18"/>
  <c r="R18"/>
  <c r="S18"/>
  <c r="T18"/>
  <c r="U18"/>
  <c r="J19"/>
  <c r="K19"/>
  <c r="L19"/>
  <c r="M19"/>
  <c r="N19"/>
  <c r="O19"/>
  <c r="P19"/>
  <c r="Q19"/>
  <c r="R19"/>
  <c r="S19"/>
  <c r="T19"/>
  <c r="U19"/>
  <c r="J20"/>
  <c r="K20"/>
  <c r="L20"/>
  <c r="M20"/>
  <c r="N20"/>
  <c r="O20"/>
  <c r="P20"/>
  <c r="Q20"/>
  <c r="R20"/>
  <c r="S20"/>
  <c r="T20"/>
  <c r="U20"/>
  <c r="J21"/>
  <c r="K21"/>
  <c r="L21"/>
  <c r="M21"/>
  <c r="N21"/>
  <c r="O21"/>
  <c r="P21"/>
  <c r="Q21"/>
  <c r="R21"/>
  <c r="S21"/>
  <c r="T21"/>
  <c r="U21"/>
  <c r="J22"/>
  <c r="K22"/>
  <c r="L22"/>
  <c r="M22"/>
  <c r="N22"/>
  <c r="O22"/>
  <c r="P22"/>
  <c r="Q22"/>
  <c r="R22"/>
  <c r="S22"/>
  <c r="T22"/>
  <c r="U22"/>
  <c r="J23"/>
  <c r="K23"/>
  <c r="L23"/>
  <c r="M23"/>
  <c r="N23"/>
  <c r="O23"/>
  <c r="P23"/>
  <c r="Q23"/>
  <c r="R23"/>
  <c r="S23"/>
  <c r="T23"/>
  <c r="U23"/>
  <c r="J24"/>
  <c r="K24"/>
  <c r="L24"/>
  <c r="M24"/>
  <c r="N24"/>
  <c r="O24"/>
  <c r="P24"/>
  <c r="Q24"/>
  <c r="R24"/>
  <c r="S24"/>
  <c r="T24"/>
  <c r="U24"/>
  <c r="J25"/>
  <c r="K25"/>
  <c r="L25"/>
  <c r="M25"/>
  <c r="N25"/>
  <c r="O25"/>
  <c r="P25"/>
  <c r="Q25"/>
  <c r="R25"/>
  <c r="S25"/>
  <c r="T25"/>
  <c r="U25"/>
  <c r="J26"/>
  <c r="K26"/>
  <c r="L26"/>
  <c r="M26"/>
  <c r="N26"/>
  <c r="O26"/>
  <c r="P26"/>
  <c r="Q26"/>
  <c r="R26"/>
  <c r="S26"/>
  <c r="T26"/>
  <c r="U26"/>
  <c r="J27"/>
  <c r="K27"/>
  <c r="L27"/>
  <c r="M27"/>
  <c r="N27"/>
  <c r="O27"/>
  <c r="P27"/>
  <c r="Q27"/>
  <c r="R27"/>
  <c r="S27"/>
  <c r="T27"/>
  <c r="U27"/>
  <c r="J28"/>
  <c r="K28"/>
  <c r="L28"/>
  <c r="M28"/>
  <c r="N28"/>
  <c r="O28"/>
  <c r="P28"/>
  <c r="Q28"/>
  <c r="R28"/>
  <c r="S28"/>
  <c r="T28"/>
  <c r="U28"/>
  <c r="J29"/>
  <c r="K29"/>
  <c r="L29"/>
  <c r="M29"/>
  <c r="N29"/>
  <c r="O29"/>
  <c r="P29"/>
  <c r="Q29"/>
  <c r="R29"/>
  <c r="S29"/>
  <c r="T29"/>
  <c r="U29"/>
  <c r="J30"/>
  <c r="K30"/>
  <c r="L30"/>
  <c r="M30"/>
  <c r="N30"/>
  <c r="O30"/>
  <c r="P30"/>
  <c r="Q30"/>
  <c r="R30"/>
  <c r="S30"/>
  <c r="T30"/>
  <c r="U30"/>
  <c r="J31"/>
  <c r="K31"/>
  <c r="L31"/>
  <c r="M31"/>
  <c r="N31"/>
  <c r="O31"/>
  <c r="P31"/>
  <c r="Q31"/>
  <c r="R31"/>
  <c r="S31"/>
  <c r="T31"/>
  <c r="U31"/>
  <c r="J32"/>
  <c r="K32"/>
  <c r="L32"/>
  <c r="M32"/>
  <c r="N32"/>
  <c r="O32"/>
  <c r="P32"/>
  <c r="Q32"/>
  <c r="R32"/>
  <c r="S32"/>
  <c r="T32"/>
  <c r="U32"/>
  <c r="J33"/>
  <c r="K33"/>
  <c r="L33"/>
  <c r="M33"/>
  <c r="N33"/>
  <c r="O33"/>
  <c r="P33"/>
  <c r="Q33"/>
  <c r="R33"/>
  <c r="S33"/>
  <c r="T33"/>
  <c r="U33"/>
  <c r="J34"/>
  <c r="K34"/>
  <c r="L34"/>
  <c r="M34"/>
  <c r="N34"/>
  <c r="O34"/>
  <c r="P34"/>
  <c r="Q34"/>
  <c r="R34"/>
  <c r="S34"/>
  <c r="T34"/>
  <c r="U34"/>
  <c r="J35"/>
  <c r="K35"/>
  <c r="L35"/>
  <c r="M35"/>
  <c r="N35"/>
  <c r="O35"/>
  <c r="P35"/>
  <c r="Q35"/>
  <c r="R35"/>
  <c r="S35"/>
  <c r="T35"/>
  <c r="U35"/>
  <c r="J36"/>
  <c r="K36"/>
  <c r="L36"/>
  <c r="M36"/>
  <c r="N36"/>
  <c r="O36"/>
  <c r="P36"/>
  <c r="Q36"/>
  <c r="R36"/>
  <c r="S36"/>
  <c r="T36"/>
  <c r="U36"/>
  <c r="J37"/>
  <c r="K37"/>
  <c r="L37"/>
  <c r="M37"/>
  <c r="N37"/>
  <c r="O37"/>
  <c r="P37"/>
  <c r="Q37"/>
  <c r="R37"/>
  <c r="S37"/>
  <c r="T37"/>
  <c r="U37"/>
  <c r="J38"/>
  <c r="K38"/>
  <c r="L38"/>
  <c r="M38"/>
  <c r="N38"/>
  <c r="O38"/>
  <c r="P38"/>
  <c r="Q38"/>
  <c r="R38"/>
  <c r="S38"/>
  <c r="T38"/>
  <c r="U38"/>
  <c r="J39"/>
  <c r="K39"/>
  <c r="L39"/>
  <c r="M39"/>
  <c r="N39"/>
  <c r="O39"/>
  <c r="P39"/>
  <c r="Q39"/>
  <c r="R39"/>
  <c r="S39"/>
  <c r="T39"/>
  <c r="U39"/>
  <c r="J40"/>
  <c r="K40"/>
  <c r="L40"/>
  <c r="M40"/>
  <c r="N40"/>
  <c r="O40"/>
  <c r="P40"/>
  <c r="Q40"/>
  <c r="R40"/>
  <c r="S40"/>
  <c r="T40"/>
  <c r="U40"/>
  <c r="J41"/>
  <c r="K41"/>
  <c r="L41"/>
  <c r="M41"/>
  <c r="N41"/>
  <c r="O41"/>
  <c r="P41"/>
  <c r="Q41"/>
  <c r="R41"/>
  <c r="S41"/>
  <c r="T41"/>
  <c r="U41"/>
  <c r="J42"/>
  <c r="K42"/>
  <c r="L42"/>
  <c r="M42"/>
  <c r="N42"/>
  <c r="O42"/>
  <c r="P42"/>
  <c r="Q42"/>
  <c r="R42"/>
  <c r="S42"/>
  <c r="T42"/>
  <c r="U42"/>
  <c r="J43"/>
  <c r="K43"/>
  <c r="L43"/>
  <c r="M43"/>
  <c r="N43"/>
  <c r="O43"/>
  <c r="P43"/>
  <c r="Q43"/>
  <c r="R43"/>
  <c r="S43"/>
  <c r="T43"/>
  <c r="U43"/>
  <c r="J44"/>
  <c r="K44"/>
  <c r="L44"/>
  <c r="M44"/>
  <c r="N44"/>
  <c r="O44"/>
  <c r="P44"/>
  <c r="Q44"/>
  <c r="R44"/>
  <c r="S44"/>
  <c r="T44"/>
  <c r="U44"/>
  <c r="J45"/>
  <c r="K45"/>
  <c r="L45"/>
  <c r="M45"/>
  <c r="N45"/>
  <c r="O45"/>
  <c r="P45"/>
  <c r="Q45"/>
  <c r="R45"/>
  <c r="S45"/>
  <c r="T45"/>
  <c r="U45"/>
  <c r="J46"/>
  <c r="K46"/>
  <c r="L46"/>
  <c r="M46"/>
  <c r="N46"/>
  <c r="O46"/>
  <c r="P46"/>
  <c r="Q46"/>
  <c r="R46"/>
  <c r="S46"/>
  <c r="T46"/>
  <c r="U46"/>
  <c r="J47"/>
  <c r="K47"/>
  <c r="L47"/>
  <c r="M47"/>
  <c r="N47"/>
  <c r="O47"/>
  <c r="P47"/>
  <c r="Q47"/>
  <c r="R47"/>
  <c r="S47"/>
  <c r="T47"/>
  <c r="U47"/>
  <c r="J48"/>
  <c r="K48"/>
  <c r="L48"/>
  <c r="M48"/>
  <c r="N48"/>
  <c r="O48"/>
  <c r="P48"/>
  <c r="Q48"/>
  <c r="R48"/>
  <c r="S48"/>
  <c r="T48"/>
  <c r="U48"/>
  <c r="U3"/>
  <c r="T3"/>
  <c r="S3"/>
  <c r="R3"/>
  <c r="Q3"/>
  <c r="P3"/>
  <c r="O3"/>
  <c r="N3"/>
  <c r="M3"/>
  <c r="L3"/>
  <c r="K3"/>
  <c r="J3"/>
  <c r="X4"/>
  <c r="Y4"/>
  <c r="Z4"/>
  <c r="AA4"/>
  <c r="AB4"/>
  <c r="AC4"/>
  <c r="AD4"/>
  <c r="AE4"/>
  <c r="AF4"/>
  <c r="AG4"/>
  <c r="AH4"/>
  <c r="AI4"/>
  <c r="X5"/>
  <c r="Y5"/>
  <c r="Z5"/>
  <c r="AA5"/>
  <c r="AB5"/>
  <c r="AC5"/>
  <c r="AD5"/>
  <c r="AE5"/>
  <c r="AF5"/>
  <c r="AG5"/>
  <c r="AH5"/>
  <c r="AI5"/>
  <c r="X6"/>
  <c r="Y6"/>
  <c r="Z6"/>
  <c r="AA6"/>
  <c r="AB6"/>
  <c r="AC6"/>
  <c r="AD6"/>
  <c r="AE6"/>
  <c r="AF6"/>
  <c r="AG6"/>
  <c r="AH6"/>
  <c r="AI6"/>
  <c r="X7"/>
  <c r="Y7"/>
  <c r="Z7"/>
  <c r="AA7"/>
  <c r="AB7"/>
  <c r="AC7"/>
  <c r="AD7"/>
  <c r="AE7"/>
  <c r="AF7"/>
  <c r="AG7"/>
  <c r="AH7"/>
  <c r="AI7"/>
  <c r="X8"/>
  <c r="Y8"/>
  <c r="Z8"/>
  <c r="AA8"/>
  <c r="AB8"/>
  <c r="AC8"/>
  <c r="AD8"/>
  <c r="AE8"/>
  <c r="AF8"/>
  <c r="AG8"/>
  <c r="AH8"/>
  <c r="AI8"/>
  <c r="X9"/>
  <c r="Y9"/>
  <c r="Z9"/>
  <c r="AA9"/>
  <c r="AB9"/>
  <c r="AC9"/>
  <c r="AD9"/>
  <c r="AE9"/>
  <c r="AF9"/>
  <c r="AG9"/>
  <c r="AH9"/>
  <c r="AI9"/>
  <c r="X10"/>
  <c r="Y10"/>
  <c r="Z10"/>
  <c r="AA10"/>
  <c r="AB10"/>
  <c r="AC10"/>
  <c r="AD10"/>
  <c r="AE10"/>
  <c r="AF10"/>
  <c r="AG10"/>
  <c r="AH10"/>
  <c r="AI10"/>
  <c r="X11"/>
  <c r="Y11"/>
  <c r="Z11"/>
  <c r="AA11"/>
  <c r="AB11"/>
  <c r="AC11"/>
  <c r="AD11"/>
  <c r="AE11"/>
  <c r="AF11"/>
  <c r="AG11"/>
  <c r="AH11"/>
  <c r="AI11"/>
  <c r="X12"/>
  <c r="Y12"/>
  <c r="Z12"/>
  <c r="AA12"/>
  <c r="AB12"/>
  <c r="AC12"/>
  <c r="AD12"/>
  <c r="AE12"/>
  <c r="AF12"/>
  <c r="AG12"/>
  <c r="AH12"/>
  <c r="AI12"/>
  <c r="X13"/>
  <c r="Y13"/>
  <c r="Z13"/>
  <c r="AA13"/>
  <c r="AB13"/>
  <c r="AC13"/>
  <c r="AD13"/>
  <c r="AE13"/>
  <c r="AF13"/>
  <c r="AG13"/>
  <c r="AH13"/>
  <c r="AI13"/>
  <c r="X14"/>
  <c r="Y14"/>
  <c r="Z14"/>
  <c r="AA14"/>
  <c r="AB14"/>
  <c r="AC14"/>
  <c r="AD14"/>
  <c r="AE14"/>
  <c r="AF14"/>
  <c r="AG14"/>
  <c r="AH14"/>
  <c r="AI14"/>
  <c r="X15"/>
  <c r="Y15"/>
  <c r="Z15"/>
  <c r="AA15"/>
  <c r="AB15"/>
  <c r="AC15"/>
  <c r="AD15"/>
  <c r="AE15"/>
  <c r="AF15"/>
  <c r="AG15"/>
  <c r="AH15"/>
  <c r="AI15"/>
  <c r="X16"/>
  <c r="Y16"/>
  <c r="Z16"/>
  <c r="AA16"/>
  <c r="AB16"/>
  <c r="AC16"/>
  <c r="AD16"/>
  <c r="AE16"/>
  <c r="AF16"/>
  <c r="AG16"/>
  <c r="AH16"/>
  <c r="AI16"/>
  <c r="X17"/>
  <c r="Y17"/>
  <c r="Z17"/>
  <c r="AA17"/>
  <c r="AB17"/>
  <c r="AC17"/>
  <c r="AD17"/>
  <c r="AE17"/>
  <c r="AF17"/>
  <c r="AG17"/>
  <c r="AH17"/>
  <c r="AI17"/>
  <c r="X18"/>
  <c r="Y18"/>
  <c r="Z18"/>
  <c r="AA18"/>
  <c r="AB18"/>
  <c r="AC18"/>
  <c r="AD18"/>
  <c r="AE18"/>
  <c r="AF18"/>
  <c r="AG18"/>
  <c r="AH18"/>
  <c r="AI18"/>
  <c r="X19"/>
  <c r="Y19"/>
  <c r="Z19"/>
  <c r="AA19"/>
  <c r="AB19"/>
  <c r="AC19"/>
  <c r="AD19"/>
  <c r="AE19"/>
  <c r="AF19"/>
  <c r="AG19"/>
  <c r="AH19"/>
  <c r="AI19"/>
  <c r="X20"/>
  <c r="Y20"/>
  <c r="Z20"/>
  <c r="AA20"/>
  <c r="AB20"/>
  <c r="AC20"/>
  <c r="AD20"/>
  <c r="AE20"/>
  <c r="AF20"/>
  <c r="AG20"/>
  <c r="AH20"/>
  <c r="AI20"/>
  <c r="X21"/>
  <c r="Y21"/>
  <c r="Z21"/>
  <c r="AA21"/>
  <c r="AB21"/>
  <c r="AC21"/>
  <c r="AD21"/>
  <c r="AE21"/>
  <c r="AF21"/>
  <c r="AG21"/>
  <c r="AH21"/>
  <c r="AI21"/>
  <c r="X22"/>
  <c r="Y22"/>
  <c r="Z22"/>
  <c r="AA22"/>
  <c r="AB22"/>
  <c r="AC22"/>
  <c r="AD22"/>
  <c r="AE22"/>
  <c r="AF22"/>
  <c r="AG22"/>
  <c r="AH22"/>
  <c r="AI22"/>
  <c r="X23"/>
  <c r="Y23"/>
  <c r="Z23"/>
  <c r="AA23"/>
  <c r="AB23"/>
  <c r="AC23"/>
  <c r="AD23"/>
  <c r="AE23"/>
  <c r="AF23"/>
  <c r="AG23"/>
  <c r="AH23"/>
  <c r="AI23"/>
  <c r="X24"/>
  <c r="Y24"/>
  <c r="Z24"/>
  <c r="AA24"/>
  <c r="AB24"/>
  <c r="AC24"/>
  <c r="AD24"/>
  <c r="AE24"/>
  <c r="AF24"/>
  <c r="AG24"/>
  <c r="AH24"/>
  <c r="AI24"/>
  <c r="X25"/>
  <c r="Y25"/>
  <c r="Z25"/>
  <c r="AA25"/>
  <c r="AB25"/>
  <c r="AC25"/>
  <c r="AD25"/>
  <c r="AE25"/>
  <c r="AF25"/>
  <c r="AG25"/>
  <c r="AH25"/>
  <c r="AI25"/>
  <c r="X26"/>
  <c r="Y26"/>
  <c r="Z26"/>
  <c r="AA26"/>
  <c r="AB26"/>
  <c r="AC26"/>
  <c r="AD26"/>
  <c r="AE26"/>
  <c r="AF26"/>
  <c r="AG26"/>
  <c r="AH26"/>
  <c r="AI26"/>
  <c r="X27"/>
  <c r="Y27"/>
  <c r="Z27"/>
  <c r="AA27"/>
  <c r="AB27"/>
  <c r="AC27"/>
  <c r="AD27"/>
  <c r="AE27"/>
  <c r="AF27"/>
  <c r="AG27"/>
  <c r="AH27"/>
  <c r="AI27"/>
  <c r="X28"/>
  <c r="Y28"/>
  <c r="Z28"/>
  <c r="AA28"/>
  <c r="AB28"/>
  <c r="AC28"/>
  <c r="AD28"/>
  <c r="AE28"/>
  <c r="AF28"/>
  <c r="AG28"/>
  <c r="AH28"/>
  <c r="AI28"/>
  <c r="X29"/>
  <c r="Y29"/>
  <c r="Z29"/>
  <c r="AA29"/>
  <c r="AB29"/>
  <c r="AC29"/>
  <c r="AD29"/>
  <c r="AE29"/>
  <c r="AF29"/>
  <c r="AG29"/>
  <c r="AH29"/>
  <c r="AI29"/>
  <c r="X30"/>
  <c r="Y30"/>
  <c r="Z30"/>
  <c r="AA30"/>
  <c r="AB30"/>
  <c r="AC30"/>
  <c r="AD30"/>
  <c r="AE30"/>
  <c r="AF30"/>
  <c r="AG30"/>
  <c r="AH30"/>
  <c r="AI30"/>
  <c r="X31"/>
  <c r="Y31"/>
  <c r="Z31"/>
  <c r="AA31"/>
  <c r="AB31"/>
  <c r="AC31"/>
  <c r="AD31"/>
  <c r="AE31"/>
  <c r="AF31"/>
  <c r="AG31"/>
  <c r="AH31"/>
  <c r="AI31"/>
  <c r="X32"/>
  <c r="Y32"/>
  <c r="Z32"/>
  <c r="AA32"/>
  <c r="AB32"/>
  <c r="AC32"/>
  <c r="AD32"/>
  <c r="AE32"/>
  <c r="AF32"/>
  <c r="AG32"/>
  <c r="AH32"/>
  <c r="AI32"/>
  <c r="X33"/>
  <c r="Y33"/>
  <c r="Z33"/>
  <c r="AA33"/>
  <c r="AB33"/>
  <c r="AC33"/>
  <c r="AD33"/>
  <c r="AE33"/>
  <c r="AF33"/>
  <c r="AG33"/>
  <c r="AH33"/>
  <c r="AI33"/>
  <c r="X34"/>
  <c r="Y34"/>
  <c r="Z34"/>
  <c r="AA34"/>
  <c r="AB34"/>
  <c r="AC34"/>
  <c r="AD34"/>
  <c r="AE34"/>
  <c r="AF34"/>
  <c r="AG34"/>
  <c r="AH34"/>
  <c r="AI34"/>
  <c r="X35"/>
  <c r="Y35"/>
  <c r="Z35"/>
  <c r="AA35"/>
  <c r="AB35"/>
  <c r="AC35"/>
  <c r="AD35"/>
  <c r="AE35"/>
  <c r="AF35"/>
  <c r="AG35"/>
  <c r="AH35"/>
  <c r="AI35"/>
  <c r="X36"/>
  <c r="Y36"/>
  <c r="Z36"/>
  <c r="AA36"/>
  <c r="AB36"/>
  <c r="AC36"/>
  <c r="AD36"/>
  <c r="AE36"/>
  <c r="AF36"/>
  <c r="AG36"/>
  <c r="AH36"/>
  <c r="AI36"/>
  <c r="X37"/>
  <c r="Y37"/>
  <c r="Z37"/>
  <c r="AA37"/>
  <c r="AB37"/>
  <c r="AC37"/>
  <c r="AD37"/>
  <c r="AE37"/>
  <c r="AF37"/>
  <c r="AG37"/>
  <c r="AH37"/>
  <c r="AI37"/>
  <c r="X38"/>
  <c r="Y38"/>
  <c r="Z38"/>
  <c r="AA38"/>
  <c r="AB38"/>
  <c r="AC38"/>
  <c r="AD38"/>
  <c r="AE38"/>
  <c r="AF38"/>
  <c r="AG38"/>
  <c r="AH38"/>
  <c r="AI38"/>
  <c r="X39"/>
  <c r="Y39"/>
  <c r="Z39"/>
  <c r="AA39"/>
  <c r="AB39"/>
  <c r="AC39"/>
  <c r="AD39"/>
  <c r="AE39"/>
  <c r="AF39"/>
  <c r="AG39"/>
  <c r="AH39"/>
  <c r="AI39"/>
  <c r="X40"/>
  <c r="Y40"/>
  <c r="Z40"/>
  <c r="AA40"/>
  <c r="AB40"/>
  <c r="AC40"/>
  <c r="AD40"/>
  <c r="AE40"/>
  <c r="AF40"/>
  <c r="AG40"/>
  <c r="AH40"/>
  <c r="AI40"/>
  <c r="X41"/>
  <c r="Y41"/>
  <c r="Z41"/>
  <c r="AA41"/>
  <c r="AB41"/>
  <c r="AC41"/>
  <c r="AD41"/>
  <c r="AE41"/>
  <c r="AF41"/>
  <c r="AG41"/>
  <c r="AH41"/>
  <c r="AI41"/>
  <c r="X42"/>
  <c r="Y42"/>
  <c r="Z42"/>
  <c r="AA42"/>
  <c r="AB42"/>
  <c r="AC42"/>
  <c r="AD42"/>
  <c r="AE42"/>
  <c r="AF42"/>
  <c r="AG42"/>
  <c r="AH42"/>
  <c r="AI42"/>
  <c r="X43"/>
  <c r="Y43"/>
  <c r="Z43"/>
  <c r="AA43"/>
  <c r="AB43"/>
  <c r="AC43"/>
  <c r="AD43"/>
  <c r="AE43"/>
  <c r="AF43"/>
  <c r="AG43"/>
  <c r="AH43"/>
  <c r="AI43"/>
  <c r="X44"/>
  <c r="Y44"/>
  <c r="Z44"/>
  <c r="AA44"/>
  <c r="AB44"/>
  <c r="AC44"/>
  <c r="AD44"/>
  <c r="AE44"/>
  <c r="AF44"/>
  <c r="AG44"/>
  <c r="AH44"/>
  <c r="AI44"/>
  <c r="X45"/>
  <c r="Y45"/>
  <c r="Z45"/>
  <c r="AA45"/>
  <c r="AB45"/>
  <c r="AC45"/>
  <c r="AD45"/>
  <c r="AE45"/>
  <c r="AF45"/>
  <c r="AG45"/>
  <c r="AH45"/>
  <c r="AI45"/>
  <c r="X46"/>
  <c r="Y46"/>
  <c r="Z46"/>
  <c r="AA46"/>
  <c r="AB46"/>
  <c r="AC46"/>
  <c r="AD46"/>
  <c r="AE46"/>
  <c r="AF46"/>
  <c r="AG46"/>
  <c r="AH46"/>
  <c r="AI46"/>
  <c r="X47"/>
  <c r="Y47"/>
  <c r="Z47"/>
  <c r="AA47"/>
  <c r="AB47"/>
  <c r="AC47"/>
  <c r="AD47"/>
  <c r="AE47"/>
  <c r="AF47"/>
  <c r="AG47"/>
  <c r="AH47"/>
  <c r="AI47"/>
  <c r="X48"/>
  <c r="Y48"/>
  <c r="Z48"/>
  <c r="AA48"/>
  <c r="AB48"/>
  <c r="AC48"/>
  <c r="AD48"/>
  <c r="AE48"/>
  <c r="AF48"/>
  <c r="AG48"/>
  <c r="AH48"/>
  <c r="AI48"/>
  <c r="AI3"/>
  <c r="AH3"/>
  <c r="AG3"/>
  <c r="AF3"/>
  <c r="AE3"/>
  <c r="AD3"/>
  <c r="AC3"/>
  <c r="AB3"/>
  <c r="AA3"/>
  <c r="Z3"/>
  <c r="Y3"/>
  <c r="X3"/>
  <c r="I31" i="1"/>
  <c r="I30" a="1"/>
  <c r="I30" s="1"/>
  <c r="I16"/>
  <c r="I17"/>
  <c r="I18"/>
  <c r="I19"/>
  <c r="I20"/>
  <c r="I21"/>
  <c r="I22"/>
  <c r="I23"/>
  <c r="I24"/>
  <c r="I25"/>
  <c r="I26"/>
  <c r="I27"/>
  <c r="I28"/>
  <c r="I29"/>
  <c r="E16"/>
  <c r="F16"/>
  <c r="G16"/>
  <c r="H16"/>
  <c r="E17"/>
  <c r="F17"/>
  <c r="G17"/>
  <c r="H17"/>
  <c r="E18"/>
  <c r="F18"/>
  <c r="G18"/>
  <c r="H18"/>
  <c r="E19"/>
  <c r="F19"/>
  <c r="G19"/>
  <c r="H19"/>
  <c r="E20"/>
  <c r="F20"/>
  <c r="G20"/>
  <c r="H20"/>
  <c r="E21"/>
  <c r="F21"/>
  <c r="G21"/>
  <c r="H21"/>
  <c r="E22"/>
  <c r="F22"/>
  <c r="G22"/>
  <c r="H22"/>
  <c r="E23"/>
  <c r="F23"/>
  <c r="G23"/>
  <c r="H23"/>
  <c r="E24"/>
  <c r="F24"/>
  <c r="G24"/>
  <c r="H24"/>
  <c r="E25"/>
  <c r="F25"/>
  <c r="G25"/>
  <c r="H25"/>
  <c r="E26"/>
  <c r="F26"/>
  <c r="G26"/>
  <c r="H26"/>
  <c r="E27"/>
  <c r="F27"/>
  <c r="G27"/>
  <c r="H27"/>
  <c r="E28"/>
  <c r="F28"/>
  <c r="G28"/>
  <c r="H28"/>
  <c r="E29"/>
  <c r="F29"/>
  <c r="G29"/>
  <c r="H29"/>
  <c r="H15"/>
  <c r="I15" s="1"/>
  <c r="G15"/>
  <c r="F15"/>
  <c r="E15"/>
  <c r="A16"/>
  <c r="A17"/>
  <c r="A18"/>
  <c r="A19"/>
  <c r="A20"/>
  <c r="A21"/>
  <c r="A22"/>
  <c r="A23"/>
  <c r="A24"/>
  <c r="A25"/>
  <c r="A26"/>
  <c r="A27"/>
  <c r="A28"/>
  <c r="A29"/>
  <c r="A15"/>
  <c r="B12"/>
  <c r="M5" i="2"/>
  <c r="M6"/>
  <c r="M7"/>
  <c r="N37" i="6" s="1"/>
  <c r="M8" i="2"/>
  <c r="N38" i="6" s="1"/>
  <c r="M9" i="2"/>
  <c r="N39" i="6" s="1"/>
  <c r="M10" i="2"/>
  <c r="M11"/>
  <c r="N41" i="6" s="1"/>
  <c r="M12" i="2"/>
  <c r="N42" i="6" s="1"/>
  <c r="M13" i="2"/>
  <c r="M14"/>
  <c r="M15"/>
  <c r="M16"/>
  <c r="M17"/>
  <c r="M18"/>
  <c r="N36" i="6"/>
  <c r="N44"/>
  <c r="N48"/>
  <c r="M4" i="2"/>
  <c r="N34" i="6" s="1"/>
  <c r="N43"/>
  <c r="N40"/>
  <c r="G5" i="2"/>
  <c r="G6"/>
  <c r="G7"/>
  <c r="G8"/>
  <c r="G9"/>
  <c r="G10"/>
  <c r="G11"/>
  <c r="G12"/>
  <c r="G13"/>
  <c r="G14"/>
  <c r="G15"/>
  <c r="G16"/>
  <c r="G17"/>
  <c r="G18"/>
  <c r="G4"/>
  <c r="E5"/>
  <c r="E6"/>
  <c r="E7"/>
  <c r="E8"/>
  <c r="E9"/>
  <c r="E10"/>
  <c r="E11"/>
  <c r="E12"/>
  <c r="E13"/>
  <c r="E14"/>
  <c r="E15"/>
  <c r="E16"/>
  <c r="E17"/>
  <c r="E18"/>
  <c r="E4"/>
  <c r="G9" i="1"/>
  <c r="G8"/>
  <c r="G7"/>
  <c r="G6"/>
  <c r="H2"/>
  <c r="N4" s="1"/>
  <c r="N35" i="6"/>
  <c r="N45"/>
  <c r="N46"/>
  <c r="N47"/>
  <c r="I32" i="1" l="1"/>
  <c r="N5"/>
  <c r="K18" i="2"/>
  <c r="K17"/>
  <c r="K16"/>
  <c r="K15"/>
  <c r="K14"/>
  <c r="K13"/>
  <c r="K12"/>
  <c r="K11"/>
  <c r="K10"/>
  <c r="K9"/>
  <c r="K8"/>
  <c r="K7"/>
  <c r="K6"/>
  <c r="K5"/>
  <c r="K4"/>
  <c r="AJ5" i="5" l="1"/>
  <c r="L18" i="2"/>
  <c r="L17"/>
  <c r="L16"/>
  <c r="L15"/>
  <c r="L14"/>
  <c r="L13"/>
  <c r="L12"/>
  <c r="L11"/>
  <c r="L10"/>
  <c r="L9"/>
  <c r="L8"/>
  <c r="J18"/>
  <c r="J17"/>
  <c r="J16"/>
  <c r="J15"/>
  <c r="J14"/>
  <c r="J13"/>
  <c r="J12"/>
  <c r="J11"/>
  <c r="J10"/>
  <c r="J9"/>
  <c r="J8"/>
  <c r="L7"/>
  <c r="L6"/>
  <c r="L5"/>
  <c r="L4"/>
  <c r="J7"/>
  <c r="J6"/>
  <c r="J5"/>
  <c r="J4"/>
  <c r="H18"/>
  <c r="H17"/>
  <c r="H16"/>
  <c r="H15"/>
  <c r="H14"/>
  <c r="H13"/>
  <c r="H12"/>
  <c r="H11"/>
  <c r="H10"/>
  <c r="H9"/>
  <c r="H8"/>
  <c r="V5" i="5" l="1"/>
  <c r="G5" s="1"/>
  <c r="F5" l="1"/>
  <c r="AI49" l="1"/>
  <c r="O8" i="6" s="1"/>
  <c r="AH49" i="5"/>
  <c r="N8" i="6" s="1"/>
  <c r="AG49" i="5"/>
  <c r="M8" i="6" s="1"/>
  <c r="AF49" i="5"/>
  <c r="L8" i="6" s="1"/>
  <c r="AE49" i="5"/>
  <c r="K8" i="6" s="1"/>
  <c r="AD49" i="5"/>
  <c r="J8" i="6" s="1"/>
  <c r="AC49" i="5"/>
  <c r="I8" i="6" s="1"/>
  <c r="AB49" i="5"/>
  <c r="H8" i="6" s="1"/>
  <c r="AA49" i="5"/>
  <c r="G8" i="6" s="1"/>
  <c r="Z49" i="5"/>
  <c r="F8" i="6" s="1"/>
  <c r="Y49" i="5"/>
  <c r="E8" i="6" s="1"/>
  <c r="AJ48" i="5"/>
  <c r="F48" s="1"/>
  <c r="AJ47"/>
  <c r="F47" s="1"/>
  <c r="AJ46"/>
  <c r="F46" s="1"/>
  <c r="AJ45"/>
  <c r="F45" s="1"/>
  <c r="AJ44"/>
  <c r="F44" s="1"/>
  <c r="AJ43"/>
  <c r="F43" s="1"/>
  <c r="AJ42"/>
  <c r="F42" s="1"/>
  <c r="AJ41"/>
  <c r="F41" s="1"/>
  <c r="AJ40"/>
  <c r="F40" s="1"/>
  <c r="AJ39"/>
  <c r="F39" s="1"/>
  <c r="AJ38"/>
  <c r="F38" s="1"/>
  <c r="AJ37"/>
  <c r="F37" s="1"/>
  <c r="AJ36"/>
  <c r="F36" s="1"/>
  <c r="AJ35"/>
  <c r="F35" s="1"/>
  <c r="AJ34"/>
  <c r="F34" s="1"/>
  <c r="AJ33"/>
  <c r="F33" s="1"/>
  <c r="AJ32"/>
  <c r="F32" s="1"/>
  <c r="AJ31"/>
  <c r="F31" s="1"/>
  <c r="AJ30"/>
  <c r="F30" s="1"/>
  <c r="AJ29"/>
  <c r="F29" s="1"/>
  <c r="AJ28"/>
  <c r="F28" s="1"/>
  <c r="AJ27"/>
  <c r="F27" s="1"/>
  <c r="AJ26"/>
  <c r="F26" s="1"/>
  <c r="AJ25"/>
  <c r="F25" s="1"/>
  <c r="AJ24"/>
  <c r="F24" s="1"/>
  <c r="AJ23"/>
  <c r="F23" s="1"/>
  <c r="AJ22"/>
  <c r="F22" s="1"/>
  <c r="AJ21"/>
  <c r="F21" s="1"/>
  <c r="AJ20"/>
  <c r="F20" s="1"/>
  <c r="AJ19"/>
  <c r="F19" s="1"/>
  <c r="AJ18"/>
  <c r="F18" s="1"/>
  <c r="AJ17"/>
  <c r="F17" s="1"/>
  <c r="AJ16"/>
  <c r="F16" s="1"/>
  <c r="AJ15"/>
  <c r="F15" s="1"/>
  <c r="AJ14"/>
  <c r="F14" s="1"/>
  <c r="AJ13"/>
  <c r="F13" s="1"/>
  <c r="AJ12"/>
  <c r="F12" s="1"/>
  <c r="AJ11"/>
  <c r="F11" s="1"/>
  <c r="AJ10"/>
  <c r="F10" s="1"/>
  <c r="AJ9"/>
  <c r="F9" s="1"/>
  <c r="AJ8"/>
  <c r="F8" s="1"/>
  <c r="AJ7"/>
  <c r="F7" s="1"/>
  <c r="AJ6"/>
  <c r="F6" s="1"/>
  <c r="AJ4"/>
  <c r="F4" s="1"/>
  <c r="V26"/>
  <c r="G26" s="1"/>
  <c r="V47"/>
  <c r="G47" s="1"/>
  <c r="V46"/>
  <c r="G46" s="1"/>
  <c r="V45"/>
  <c r="G45" s="1"/>
  <c r="V44"/>
  <c r="G44" s="1"/>
  <c r="V43"/>
  <c r="G43" s="1"/>
  <c r="V42"/>
  <c r="G42" s="1"/>
  <c r="V41"/>
  <c r="G41" s="1"/>
  <c r="V40"/>
  <c r="G40" s="1"/>
  <c r="V39"/>
  <c r="G39" s="1"/>
  <c r="V38"/>
  <c r="G38" s="1"/>
  <c r="V37"/>
  <c r="G37" s="1"/>
  <c r="V36"/>
  <c r="G36" s="1"/>
  <c r="V35"/>
  <c r="G35" s="1"/>
  <c r="V34"/>
  <c r="G34" s="1"/>
  <c r="V33"/>
  <c r="G33" s="1"/>
  <c r="V32"/>
  <c r="G32" s="1"/>
  <c r="V31"/>
  <c r="G31" s="1"/>
  <c r="V30"/>
  <c r="G30" s="1"/>
  <c r="V29"/>
  <c r="G29" s="1"/>
  <c r="V28"/>
  <c r="G28" s="1"/>
  <c r="V27"/>
  <c r="G27" s="1"/>
  <c r="V25"/>
  <c r="G25" s="1"/>
  <c r="V24"/>
  <c r="G24" s="1"/>
  <c r="V23"/>
  <c r="G23" s="1"/>
  <c r="V22"/>
  <c r="G22" s="1"/>
  <c r="V21"/>
  <c r="G21" s="1"/>
  <c r="V20"/>
  <c r="G20" s="1"/>
  <c r="V19"/>
  <c r="G19" s="1"/>
  <c r="V18"/>
  <c r="G18" s="1"/>
  <c r="V17"/>
  <c r="G17" s="1"/>
  <c r="V16"/>
  <c r="G16" s="1"/>
  <c r="V15"/>
  <c r="G15" s="1"/>
  <c r="V14"/>
  <c r="G14" s="1"/>
  <c r="V13"/>
  <c r="G13" s="1"/>
  <c r="V12"/>
  <c r="G12" s="1"/>
  <c r="V11"/>
  <c r="G11" s="1"/>
  <c r="V10"/>
  <c r="G10" s="1"/>
  <c r="V9"/>
  <c r="G9" s="1"/>
  <c r="V8"/>
  <c r="G8" s="1"/>
  <c r="V7"/>
  <c r="G7" s="1"/>
  <c r="V6"/>
  <c r="G6" s="1"/>
  <c r="V4"/>
  <c r="G4" s="1"/>
  <c r="V48"/>
  <c r="G48" s="1"/>
  <c r="U49"/>
  <c r="O4" i="6" s="1"/>
  <c r="T49" i="5"/>
  <c r="N4" i="6" s="1"/>
  <c r="S49" i="5"/>
  <c r="M4" i="6" s="1"/>
  <c r="R49" i="5"/>
  <c r="L4" i="6" s="1"/>
  <c r="Q49" i="5"/>
  <c r="K4" i="6" s="1"/>
  <c r="P49" i="5"/>
  <c r="J4" i="6" s="1"/>
  <c r="O49" i="5"/>
  <c r="I4" i="6" s="1"/>
  <c r="N49" i="5"/>
  <c r="H4" i="6" s="1"/>
  <c r="M49" i="5"/>
  <c r="G4" i="6" s="1"/>
  <c r="L49" i="5"/>
  <c r="F4" i="6" s="1"/>
  <c r="K49" i="5"/>
  <c r="E4" i="6" s="1"/>
  <c r="I33" i="1" l="1"/>
  <c r="AJ3" i="5"/>
  <c r="F3" s="1"/>
  <c r="X49"/>
  <c r="D8" i="6" s="1"/>
  <c r="B4" l="1"/>
  <c r="B10"/>
  <c r="AJ49" i="5" s="1"/>
  <c r="V3"/>
  <c r="G3" s="1"/>
  <c r="J49"/>
  <c r="D4" i="6" s="1"/>
  <c r="B5"/>
  <c r="B6"/>
  <c r="B7"/>
  <c r="B8"/>
  <c r="B9" l="1"/>
  <c r="V49" i="5" s="1"/>
</calcChain>
</file>

<file path=xl/sharedStrings.xml><?xml version="1.0" encoding="utf-8"?>
<sst xmlns="http://schemas.openxmlformats.org/spreadsheetml/2006/main" count="401" uniqueCount="254">
  <si>
    <t>Ref.</t>
  </si>
  <si>
    <t>Désignation</t>
  </si>
  <si>
    <t>Quantité</t>
  </si>
  <si>
    <t>Prix unit. HT</t>
  </si>
  <si>
    <t>Facture :</t>
  </si>
  <si>
    <t>12 route des mosaïques</t>
  </si>
  <si>
    <t>CHERAC</t>
  </si>
  <si>
    <t>Nom</t>
  </si>
  <si>
    <t>Adresse</t>
  </si>
  <si>
    <t>Ville</t>
  </si>
  <si>
    <t>MCI RENOV BAT</t>
  </si>
  <si>
    <t>1, rue Normandie Niemen</t>
  </si>
  <si>
    <t>LE BOURGET</t>
  </si>
  <si>
    <t>AGI Ingénierie</t>
  </si>
  <si>
    <t>1545, route d'Epagny</t>
  </si>
  <si>
    <t>SILLINGY</t>
  </si>
  <si>
    <t>Mr.MONTEIRO</t>
  </si>
  <si>
    <t>34 rue saint Exupéry</t>
  </si>
  <si>
    <t>GAILLON</t>
  </si>
  <si>
    <t>LEON GROSSE</t>
  </si>
  <si>
    <t>1 rond point des bruyere</t>
  </si>
  <si>
    <t>Sotteville lès Rouen</t>
  </si>
  <si>
    <t>ECOTEC</t>
  </si>
  <si>
    <t>CERGY</t>
  </si>
  <si>
    <t>SNEF  S.A.</t>
  </si>
  <si>
    <t>5, rue Claude Bernard</t>
  </si>
  <si>
    <t>MAUREPAS</t>
  </si>
  <si>
    <t>FAYAT BATIMENT IDF</t>
  </si>
  <si>
    <t>22, rue Raspail</t>
  </si>
  <si>
    <t>IVRY SUR SEINE</t>
  </si>
  <si>
    <t>SGTI</t>
  </si>
  <si>
    <t>11, avenue des vieux moulins</t>
  </si>
  <si>
    <t>ANNECY</t>
  </si>
  <si>
    <t>VISA INGENIERIE</t>
  </si>
  <si>
    <t>112, rue de Dijon</t>
  </si>
  <si>
    <t>LONGVIC</t>
  </si>
  <si>
    <t>SOFRETUDES</t>
  </si>
  <si>
    <t>176 av. Charles de Gaulle</t>
  </si>
  <si>
    <t>NEUILLY-sur-SEINE</t>
  </si>
  <si>
    <t>DEMATHIEU &amp; BARD</t>
  </si>
  <si>
    <t>17, rue Vénizélos - BP 80330</t>
  </si>
  <si>
    <t>MONTIGNY LES METZ CEDEX</t>
  </si>
  <si>
    <t>GV INGENIERIE</t>
  </si>
  <si>
    <t>4, allée des ambalais - BP8</t>
  </si>
  <si>
    <t>LE PLESSIS TREVISE</t>
  </si>
  <si>
    <t>SICRA IDF</t>
  </si>
  <si>
    <t>SEFI-INTRAFOR</t>
  </si>
  <si>
    <t>9-18 rue Gustave Eiffel</t>
  </si>
  <si>
    <t>GRIGNY</t>
  </si>
  <si>
    <t>ZAC Petit Le Roy
2, rue du cottage Tobliac</t>
  </si>
  <si>
    <t>CHEVILLY LARUE</t>
  </si>
  <si>
    <t>EIFFAGE CONSTRUCTION
RESIDENTIEL ET FONCTIONNEL</t>
  </si>
  <si>
    <t>3 rue Ampère, Z.I</t>
  </si>
  <si>
    <t>IGNY</t>
  </si>
  <si>
    <t>KAUFMAN AND BROAD - SERVICE RH</t>
  </si>
  <si>
    <t>127, avenue Charles de Gaulle</t>
  </si>
  <si>
    <t>NEUILLY SUR SEINE</t>
  </si>
  <si>
    <t>SOFINTER</t>
  </si>
  <si>
    <t>Chemin du Cailly</t>
  </si>
  <si>
    <t>HOUPPEVILLE</t>
  </si>
  <si>
    <t>REPONSE</t>
  </si>
  <si>
    <t>174, quai de Jemmapes</t>
  </si>
  <si>
    <t>PARIS</t>
  </si>
  <si>
    <t>EDF</t>
  </si>
  <si>
    <t>97, avenue Pierre Brossolette</t>
  </si>
  <si>
    <t>MONTROUGE</t>
  </si>
  <si>
    <t>SIEC</t>
  </si>
  <si>
    <t>73, rue du vélodrome</t>
  </si>
  <si>
    <t>BORDEAUX</t>
  </si>
  <si>
    <t>LECLERE FILS ET BEINEIX</t>
  </si>
  <si>
    <t>6, Impasse Massonnet</t>
  </si>
  <si>
    <t>SCYNA 4</t>
  </si>
  <si>
    <t>Centre Jeanne Hachette
5, place des bouleaux</t>
  </si>
  <si>
    <t>BOUYGUES BATIMENT
IDF CONSTRUCTION PRIVEE</t>
  </si>
  <si>
    <t>1, av. Eugène Freyssinet, GUYANCOURT</t>
  </si>
  <si>
    <t>SAINT-QUENTIN-EN-YVELINES</t>
  </si>
  <si>
    <t>GUINTOLI SA</t>
  </si>
  <si>
    <t>21, rue du Docteur Quignard</t>
  </si>
  <si>
    <t>DIJON</t>
  </si>
  <si>
    <t>MARTINEZ BENJAMIN</t>
  </si>
  <si>
    <t>6 Rue des Plantes</t>
  </si>
  <si>
    <t>ONVILLE</t>
  </si>
  <si>
    <t>ACORUS</t>
  </si>
  <si>
    <t>2, rue de Lamirault</t>
  </si>
  <si>
    <t>COLLEGIEN</t>
  </si>
  <si>
    <t>10, boulevard de Russie</t>
  </si>
  <si>
    <t>AIX LES BAINS</t>
  </si>
  <si>
    <t>TECTON</t>
  </si>
  <si>
    <t>18, rue Cluseret</t>
  </si>
  <si>
    <t>SURESNES</t>
  </si>
  <si>
    <t>LBC</t>
  </si>
  <si>
    <t>EI La vigne aux loups
1, avenue Arago</t>
  </si>
  <si>
    <t>CHILLY MAZARIN</t>
  </si>
  <si>
    <t>BATIGERE</t>
  </si>
  <si>
    <t>89, rue de Tocqueville</t>
  </si>
  <si>
    <t>BOUYGUES BATIMENT
IDF OUVRAGES PUBLICS</t>
  </si>
  <si>
    <t>2, rue Transversale</t>
  </si>
  <si>
    <t>GENNEVILLIERS</t>
  </si>
  <si>
    <t>MORINI</t>
  </si>
  <si>
    <t>ZI de Varennes Vauzelles
Route de la petite Buissière</t>
  </si>
  <si>
    <t>GARCHIZY</t>
  </si>
  <si>
    <t>BETHIC S.A.S</t>
  </si>
  <si>
    <t>7, rue de la Libération - BP 40046</t>
  </si>
  <si>
    <t>ENGHIEN LES BAINS</t>
  </si>
  <si>
    <t>3, rue ampère</t>
  </si>
  <si>
    <t>U-BAT</t>
  </si>
  <si>
    <t>3, chemin d'Aunette</t>
  </si>
  <si>
    <t>BALLAINVILLIERS</t>
  </si>
  <si>
    <t>LEON GROSSE - Service Formation</t>
  </si>
  <si>
    <t>31, Bd des Bouvets</t>
  </si>
  <si>
    <t>NANTERRE</t>
  </si>
  <si>
    <t>SMAC</t>
  </si>
  <si>
    <t>5, av. des Frères</t>
  </si>
  <si>
    <t>VITRY SUR SEINE</t>
  </si>
  <si>
    <t>JOLY SAS</t>
  </si>
  <si>
    <t>36, rue des prés</t>
  </si>
  <si>
    <t>SAINT-MARCEL</t>
  </si>
  <si>
    <t>DUPONT NICOLAY ST LO</t>
  </si>
  <si>
    <t>85 ter, rue de Coutance</t>
  </si>
  <si>
    <t>AGNEAUX</t>
  </si>
  <si>
    <t>UTB</t>
  </si>
  <si>
    <t>159, avenue Jean Lolive</t>
  </si>
  <si>
    <t>PANTIN</t>
  </si>
  <si>
    <t>TBI</t>
  </si>
  <si>
    <t>2, rue René Caudron - VAL ST QUENTIN</t>
  </si>
  <si>
    <t>VOISIN LE BRETONNEUX</t>
  </si>
  <si>
    <t>MAISON AUFRERE RAVIZZA</t>
  </si>
  <si>
    <t>114, avenue Henri Ravera</t>
  </si>
  <si>
    <t>BAGNEUX</t>
  </si>
  <si>
    <t>GENERE SA</t>
  </si>
  <si>
    <t>5, avenue de la Villa Antony</t>
  </si>
  <si>
    <t>SAINT MAURICE</t>
  </si>
  <si>
    <t>VPEAS</t>
  </si>
  <si>
    <t>40, rue de la Rousselle</t>
  </si>
  <si>
    <t>ARCHICREA DP</t>
  </si>
  <si>
    <t>9, quai Jacques Prévert</t>
  </si>
  <si>
    <t>MEAUX</t>
  </si>
  <si>
    <t>3, avenue des béguines</t>
  </si>
  <si>
    <t>Tel : 02.35.05.76.40</t>
  </si>
  <si>
    <t>Fax : 02.35.05.76.45</t>
  </si>
  <si>
    <t>Montant total HT :</t>
  </si>
  <si>
    <t>TVA</t>
  </si>
  <si>
    <t>Montant total TTC :</t>
  </si>
  <si>
    <t>Ajout client</t>
  </si>
  <si>
    <t>Numéro</t>
  </si>
  <si>
    <t>02.33.55.46.78</t>
  </si>
  <si>
    <t>02.35.45.46.97</t>
  </si>
  <si>
    <t>02.32.57.46.46</t>
  </si>
  <si>
    <t>02.33.55.28.30</t>
  </si>
  <si>
    <t>02.35.27.19.05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</si>
  <si>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</si>
  <si>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</si>
  <si>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</si>
  <si>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</si>
  <si>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</si>
  <si>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</si>
  <si>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</si>
  <si>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</si>
  <si>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</si>
  <si>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</si>
  <si>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Total</t>
  </si>
  <si>
    <t>Récapitulatif</t>
  </si>
  <si>
    <t xml:space="preserve">Le meilleur client </t>
  </si>
  <si>
    <t xml:space="preserve">Montant max </t>
  </si>
  <si>
    <t xml:space="preserve">Montant min </t>
  </si>
  <si>
    <t>Montant moyen</t>
  </si>
  <si>
    <t>Montant total</t>
  </si>
  <si>
    <t>CA</t>
  </si>
  <si>
    <t>Menu</t>
  </si>
  <si>
    <t>Facture</t>
  </si>
  <si>
    <t>Stock</t>
  </si>
  <si>
    <t>Clients - Statistiques</t>
  </si>
  <si>
    <t>Ref</t>
  </si>
  <si>
    <t>Unité</t>
  </si>
  <si>
    <t>Prix unit. TTC</t>
  </si>
  <si>
    <t>MONTANT TTC</t>
  </si>
  <si>
    <t>CAR L'AGE</t>
  </si>
  <si>
    <t>m²</t>
  </si>
  <si>
    <t>Ragréage de sol autolissant - Neuf</t>
  </si>
  <si>
    <t>Colle à carrelage - Neuf</t>
  </si>
  <si>
    <t>Colle à carrelage - Rénovation</t>
  </si>
  <si>
    <t>Ragréage de sol autolissant - Rénovation</t>
  </si>
  <si>
    <t>ml</t>
  </si>
  <si>
    <t>Mr.RAIMBOUX</t>
  </si>
  <si>
    <t>260 Route de berquetot</t>
  </si>
  <si>
    <t>YEBLERON</t>
  </si>
  <si>
    <t>07.78.95.21.28</t>
  </si>
  <si>
    <t>Historique des factures</t>
  </si>
  <si>
    <t>Nom du client</t>
  </si>
  <si>
    <t>Montant</t>
  </si>
  <si>
    <t>Rupture de stock</t>
  </si>
  <si>
    <t>Date</t>
  </si>
  <si>
    <t>Année</t>
  </si>
  <si>
    <t>Mois</t>
  </si>
  <si>
    <t>CF013</t>
  </si>
  <si>
    <t>CF014</t>
  </si>
  <si>
    <t>CF015</t>
  </si>
  <si>
    <t>CF016</t>
  </si>
  <si>
    <t>P011</t>
  </si>
  <si>
    <t>P012</t>
  </si>
  <si>
    <t>P013</t>
  </si>
  <si>
    <t>P014</t>
  </si>
  <si>
    <t>Carrelage en grès émaillé (U3S P3 E3 C2, PEI V) de taille 20x20</t>
  </si>
  <si>
    <t>Carrelage en grès émaillé (U3S P3 E3 C2, PEI V) de taille 30x30</t>
  </si>
  <si>
    <t>Carrelage en grès émaillé (U3S P3 E3 C2, PEI V) de taille 45x45</t>
  </si>
  <si>
    <t>Carrelage en grès cérame (U4 P3 E3 C2, PEI V)  de taille 60x60</t>
  </si>
  <si>
    <t>Plinthe en grés cérame assortie au carrelage CF014, 0,10ht</t>
  </si>
  <si>
    <t>Faïence en grès émaillé (U3S P3 E3 C2, PEI V) de taille 15x15</t>
  </si>
  <si>
    <t>Faïence en grès émaillé (U3S P3 E3 C2, PEI V) de taille 10x10</t>
  </si>
  <si>
    <t>Plinthe en grés cérame assortie au carrelage CF015, 0,10ht</t>
  </si>
  <si>
    <t>Plinthe en grés cérame assortie au carrelage CF016, 0,10ht</t>
  </si>
  <si>
    <t>Faïence effet pierre blanche de taille 30X30</t>
  </si>
  <si>
    <t>F011</t>
  </si>
  <si>
    <t>F012</t>
  </si>
  <si>
    <t>F010</t>
  </si>
  <si>
    <t>Plinthe en grés cérame assortie au carrelage CF013, 6,5 cm ht</t>
  </si>
  <si>
    <t>Carreaux</t>
  </si>
  <si>
    <t>Kg</t>
  </si>
  <si>
    <t>Plinthe</t>
  </si>
  <si>
    <t>Nombre de factures par mois</t>
  </si>
  <si>
    <t>Décembre</t>
  </si>
  <si>
    <t>Août</t>
  </si>
  <si>
    <t>Nombre de factures max pour un client</t>
  </si>
  <si>
    <t>Montant médian</t>
  </si>
  <si>
    <t>Nombre de factures</t>
  </si>
  <si>
    <t xml:space="preserve">Frais de port réduit
à partir de </t>
  </si>
  <si>
    <t xml:space="preserve">Frais de port offert
à partir de </t>
  </si>
  <si>
    <t>Montant frais
de port</t>
  </si>
  <si>
    <t>Sommes facturées par mois et par client</t>
  </si>
  <si>
    <t>Nombre de factures par mois et par client</t>
  </si>
  <si>
    <t>N° de
facture</t>
  </si>
  <si>
    <t>Prix unitaire
HT</t>
  </si>
  <si>
    <t>Prix unitaire
TTC</t>
  </si>
  <si>
    <t>Quantité
/m²</t>
  </si>
  <si>
    <r>
      <t xml:space="preserve">Unité </t>
    </r>
    <r>
      <rPr>
        <sz val="11"/>
        <color theme="1"/>
        <rFont val="Symbol"/>
        <family val="1"/>
        <charset val="2"/>
      </rPr>
      <t>®</t>
    </r>
    <r>
      <rPr>
        <sz val="11"/>
        <color theme="1"/>
        <rFont val="Calibri"/>
        <family val="2"/>
        <scheme val="minor"/>
      </rPr>
      <t xml:space="preserve">
Quantités</t>
    </r>
  </si>
  <si>
    <t>Code
TVA</t>
  </si>
  <si>
    <t>Quantités
en stock</t>
  </si>
  <si>
    <t>Quantités
maxi</t>
  </si>
  <si>
    <t>Quantités
mini</t>
  </si>
  <si>
    <t>Rupture
de stock</t>
  </si>
  <si>
    <t xml:space="preserve">Année de facture : </t>
  </si>
  <si>
    <t xml:space="preserve">Mois de facture : </t>
  </si>
  <si>
    <t>Montant frais
de port réduit</t>
  </si>
  <si>
    <t>Code postal</t>
  </si>
  <si>
    <t>TVA :</t>
  </si>
  <si>
    <t>Frais de port :</t>
  </si>
  <si>
    <t xml:space="preserve">Le : </t>
  </si>
  <si>
    <t>! Si la facture ne se fait pas à la date du jour, veuillez changer</t>
  </si>
  <si>
    <t>la date avant de cliquer sur le bouton "Nouvelle Facture"</t>
  </si>
  <si>
    <t>A</t>
  </si>
  <si>
    <t>Code
Postal</t>
  </si>
  <si>
    <t>Numéro de
Téléphone</t>
  </si>
  <si>
    <t>Nombre de
Factures</t>
  </si>
  <si>
    <t>Montant
total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</si>
</sst>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#,##0.00;;"/>
    <numFmt numFmtId="166" formatCode="#,##0;;"/>
    <numFmt numFmtId="167" formatCode="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4343"/>
        <bgColor indexed="64"/>
      </patternFill>
    </fill>
    <fill>
      <patternFill patternType="solid">
        <fgColor rgb="FFF48E8C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61">
    <xf numFmtId="0" fontId="0" fillId="0" borderId="0" xfId="0"/>
    <xf numFmtId="0" fontId="0" fillId="0" borderId="6" xfId="0" applyBorder="1"/>
    <xf numFmtId="0" fontId="0" fillId="0" borderId="16" xfId="0" applyBorder="1"/>
    <xf numFmtId="0" fontId="0" fillId="0" borderId="22" xfId="0" applyBorder="1"/>
    <xf numFmtId="0" fontId="0" fillId="0" borderId="22" xfId="0" applyNumberFormat="1" applyBorder="1"/>
    <xf numFmtId="0" fontId="0" fillId="0" borderId="18" xfId="0" applyBorder="1"/>
    <xf numFmtId="0" fontId="0" fillId="0" borderId="24" xfId="0" applyBorder="1"/>
    <xf numFmtId="0" fontId="0" fillId="0" borderId="20" xfId="0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9" xfId="0" applyBorder="1"/>
    <xf numFmtId="0" fontId="0" fillId="0" borderId="8" xfId="0" applyBorder="1" applyAlignment="1">
      <alignment horizontal="center"/>
    </xf>
    <xf numFmtId="0" fontId="0" fillId="0" borderId="34" xfId="0" applyBorder="1" applyAlignment="1">
      <alignment horizontal="center"/>
    </xf>
    <xf numFmtId="44" fontId="0" fillId="0" borderId="0" xfId="1" applyFont="1" applyFill="1" applyBorder="1" applyAlignment="1">
      <alignment horizontal="center" vertical="center"/>
    </xf>
    <xf numFmtId="0" fontId="0" fillId="0" borderId="13" xfId="0" applyBorder="1"/>
    <xf numFmtId="0" fontId="0" fillId="0" borderId="15" xfId="0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10" fontId="0" fillId="0" borderId="8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10" fontId="0" fillId="3" borderId="2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2" fontId="0" fillId="3" borderId="2" xfId="0" applyNumberForma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64" fontId="0" fillId="0" borderId="0" xfId="0" applyNumberFormat="1"/>
    <xf numFmtId="0" fontId="3" fillId="0" borderId="0" xfId="0" applyFont="1" applyAlignment="1">
      <alignment horizontal="left"/>
    </xf>
    <xf numFmtId="14" fontId="0" fillId="0" borderId="43" xfId="0" applyNumberFormat="1" applyBorder="1" applyAlignment="1">
      <alignment horizontal="center"/>
    </xf>
    <xf numFmtId="14" fontId="0" fillId="0" borderId="44" xfId="0" applyNumberFormat="1" applyBorder="1" applyAlignment="1">
      <alignment horizontal="center"/>
    </xf>
    <xf numFmtId="14" fontId="0" fillId="0" borderId="58" xfId="0" applyNumberFormat="1" applyBorder="1" applyAlignment="1">
      <alignment horizontal="center"/>
    </xf>
    <xf numFmtId="14" fontId="0" fillId="0" borderId="0" xfId="0" applyNumberFormat="1"/>
    <xf numFmtId="0" fontId="0" fillId="3" borderId="3" xfId="0" applyFill="1" applyBorder="1" applyAlignment="1">
      <alignment horizontal="center"/>
    </xf>
    <xf numFmtId="164" fontId="0" fillId="0" borderId="9" xfId="0" applyNumberFormat="1" applyBorder="1" applyAlignment="1">
      <alignment horizontal="right" vertical="center" indent="2"/>
    </xf>
    <xf numFmtId="0" fontId="0" fillId="0" borderId="9" xfId="0" applyBorder="1" applyAlignment="1">
      <alignment horizontal="right" indent="2"/>
    </xf>
    <xf numFmtId="0" fontId="0" fillId="0" borderId="0" xfId="0" applyNumberFormat="1"/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center"/>
    </xf>
    <xf numFmtId="0" fontId="0" fillId="0" borderId="0" xfId="0" applyNumberFormat="1" applyBorder="1" applyAlignment="1"/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  <xf numFmtId="0" fontId="0" fillId="2" borderId="29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14" fontId="0" fillId="0" borderId="0" xfId="0" applyNumberFormat="1" applyAlignment="1">
      <alignment horizontal="left" indent="1"/>
    </xf>
    <xf numFmtId="0" fontId="0" fillId="0" borderId="42" xfId="0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0" fillId="0" borderId="53" xfId="0" applyBorder="1" applyAlignment="1">
      <alignment horizontal="left" indent="1"/>
    </xf>
    <xf numFmtId="164" fontId="0" fillId="0" borderId="35" xfId="0" applyNumberFormat="1" applyBorder="1" applyAlignment="1">
      <alignment horizontal="right" indent="1"/>
    </xf>
    <xf numFmtId="164" fontId="0" fillId="0" borderId="9" xfId="0" applyNumberFormat="1" applyBorder="1" applyAlignment="1">
      <alignment horizontal="right" indent="1"/>
    </xf>
    <xf numFmtId="164" fontId="0" fillId="0" borderId="54" xfId="0" applyNumberFormat="1" applyBorder="1" applyAlignment="1">
      <alignment horizontal="right" indent="1"/>
    </xf>
    <xf numFmtId="0" fontId="0" fillId="0" borderId="7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1" xfId="0" applyBorder="1" applyAlignment="1">
      <alignment horizontal="right" indent="1"/>
    </xf>
    <xf numFmtId="0" fontId="0" fillId="0" borderId="27" xfId="0" applyBorder="1" applyAlignment="1">
      <alignment horizontal="right" indent="1"/>
    </xf>
    <xf numFmtId="0" fontId="0" fillId="0" borderId="59" xfId="0" applyBorder="1" applyAlignment="1">
      <alignment horizontal="right" indent="1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right" vertical="center" indent="2"/>
    </xf>
    <xf numFmtId="2" fontId="0" fillId="0" borderId="0" xfId="0" applyNumberFormat="1" applyAlignment="1">
      <alignment horizontal="right" vertical="center" indent="2"/>
    </xf>
    <xf numFmtId="164" fontId="0" fillId="0" borderId="5" xfId="0" applyNumberFormat="1" applyBorder="1" applyAlignment="1">
      <alignment horizontal="right" vertical="center" indent="2"/>
    </xf>
    <xf numFmtId="2" fontId="0" fillId="0" borderId="5" xfId="0" applyNumberFormat="1" applyBorder="1" applyAlignment="1">
      <alignment horizontal="right" vertical="center" indent="2"/>
    </xf>
    <xf numFmtId="164" fontId="0" fillId="0" borderId="8" xfId="0" applyNumberFormat="1" applyBorder="1" applyAlignment="1">
      <alignment horizontal="right" vertical="center" indent="2"/>
    </xf>
    <xf numFmtId="2" fontId="0" fillId="0" borderId="8" xfId="0" applyNumberFormat="1" applyBorder="1" applyAlignment="1">
      <alignment horizontal="right" vertical="center" indent="2"/>
    </xf>
    <xf numFmtId="164" fontId="0" fillId="0" borderId="11" xfId="0" applyNumberFormat="1" applyBorder="1" applyAlignment="1">
      <alignment horizontal="right" vertical="center" indent="2"/>
    </xf>
    <xf numFmtId="2" fontId="0" fillId="0" borderId="11" xfId="0" applyNumberFormat="1" applyBorder="1" applyAlignment="1">
      <alignment horizontal="right" vertical="center" indent="2"/>
    </xf>
    <xf numFmtId="0" fontId="0" fillId="3" borderId="2" xfId="0" applyFill="1" applyBorder="1" applyAlignment="1">
      <alignment horizontal="center" vertical="center" wrapText="1"/>
    </xf>
    <xf numFmtId="10" fontId="0" fillId="3" borderId="2" xfId="0" applyNumberFormat="1" applyFill="1" applyBorder="1" applyAlignment="1">
      <alignment horizontal="center" vertical="center" wrapText="1"/>
    </xf>
    <xf numFmtId="3" fontId="0" fillId="3" borderId="2" xfId="0" applyNumberFormat="1" applyFill="1" applyBorder="1" applyAlignment="1">
      <alignment horizontal="center" vertical="center" wrapText="1"/>
    </xf>
    <xf numFmtId="3" fontId="0" fillId="0" borderId="0" xfId="0" applyNumberFormat="1" applyAlignment="1">
      <alignment horizontal="right" vertical="center" indent="1"/>
    </xf>
    <xf numFmtId="3" fontId="0" fillId="0" borderId="5" xfId="0" applyNumberFormat="1" applyBorder="1" applyAlignment="1">
      <alignment horizontal="right" vertical="center" indent="1"/>
    </xf>
    <xf numFmtId="3" fontId="0" fillId="0" borderId="8" xfId="0" applyNumberFormat="1" applyBorder="1" applyAlignment="1">
      <alignment horizontal="right" vertical="center" indent="1"/>
    </xf>
    <xf numFmtId="0" fontId="0" fillId="0" borderId="8" xfId="0" applyBorder="1" applyAlignment="1">
      <alignment horizontal="right" vertical="center" indent="1"/>
    </xf>
    <xf numFmtId="3" fontId="0" fillId="0" borderId="11" xfId="0" applyNumberFormat="1" applyBorder="1" applyAlignment="1">
      <alignment horizontal="right" vertical="center" indent="1"/>
    </xf>
    <xf numFmtId="0" fontId="0" fillId="0" borderId="11" xfId="0" applyBorder="1" applyAlignment="1">
      <alignment horizontal="right" vertical="center" indent="1"/>
    </xf>
    <xf numFmtId="0" fontId="0" fillId="3" borderId="3" xfId="0" applyFill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right" indent="2"/>
    </xf>
    <xf numFmtId="0" fontId="0" fillId="0" borderId="4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right" indent="1"/>
    </xf>
    <xf numFmtId="0" fontId="0" fillId="0" borderId="0" xfId="0" applyNumberFormat="1" applyAlignment="1">
      <alignment horizontal="center" wrapText="1"/>
    </xf>
    <xf numFmtId="0" fontId="0" fillId="0" borderId="5" xfId="0" applyBorder="1" applyAlignment="1">
      <alignment horizontal="right" indent="2"/>
    </xf>
    <xf numFmtId="0" fontId="0" fillId="0" borderId="8" xfId="0" applyBorder="1" applyAlignment="1">
      <alignment horizontal="right" indent="2"/>
    </xf>
    <xf numFmtId="0" fontId="0" fillId="0" borderId="11" xfId="0" applyBorder="1" applyAlignment="1">
      <alignment horizontal="right" indent="2"/>
    </xf>
    <xf numFmtId="10" fontId="0" fillId="0" borderId="5" xfId="0" applyNumberFormat="1" applyBorder="1" applyAlignment="1">
      <alignment horizontal="right" indent="1"/>
    </xf>
    <xf numFmtId="10" fontId="0" fillId="0" borderId="8" xfId="0" applyNumberFormat="1" applyBorder="1" applyAlignment="1">
      <alignment horizontal="right" indent="1"/>
    </xf>
    <xf numFmtId="10" fontId="0" fillId="0" borderId="11" xfId="0" applyNumberFormat="1" applyBorder="1" applyAlignment="1">
      <alignment horizontal="right" indent="1"/>
    </xf>
    <xf numFmtId="164" fontId="0" fillId="0" borderId="5" xfId="0" applyNumberFormat="1" applyBorder="1" applyAlignment="1">
      <alignment horizontal="right" indent="2"/>
    </xf>
    <xf numFmtId="164" fontId="0" fillId="0" borderId="8" xfId="0" applyNumberFormat="1" applyBorder="1" applyAlignment="1">
      <alignment horizontal="right" indent="2"/>
    </xf>
    <xf numFmtId="164" fontId="0" fillId="0" borderId="44" xfId="0" applyNumberFormat="1" applyBorder="1" applyAlignment="1">
      <alignment horizontal="right" indent="2"/>
    </xf>
    <xf numFmtId="164" fontId="0" fillId="0" borderId="11" xfId="0" applyNumberFormat="1" applyBorder="1" applyAlignment="1">
      <alignment horizontal="right" indent="2"/>
    </xf>
    <xf numFmtId="164" fontId="0" fillId="0" borderId="45" xfId="0" applyNumberFormat="1" applyBorder="1" applyAlignment="1">
      <alignment horizontal="right" indent="2"/>
    </xf>
    <xf numFmtId="0" fontId="0" fillId="0" borderId="16" xfId="0" applyBorder="1" applyAlignment="1">
      <alignment horizontal="left" indent="1"/>
    </xf>
    <xf numFmtId="0" fontId="0" fillId="0" borderId="18" xfId="0" applyBorder="1" applyAlignment="1">
      <alignment horizontal="left" indent="1"/>
    </xf>
    <xf numFmtId="164" fontId="0" fillId="0" borderId="6" xfId="0" applyNumberFormat="1" applyBorder="1" applyAlignment="1">
      <alignment horizontal="right" vertical="center" indent="2"/>
    </xf>
    <xf numFmtId="164" fontId="0" fillId="0" borderId="12" xfId="0" applyNumberFormat="1" applyBorder="1" applyAlignment="1">
      <alignment horizontal="right" vertical="center" indent="2"/>
    </xf>
    <xf numFmtId="0" fontId="0" fillId="3" borderId="4" xfId="0" applyFill="1" applyBorder="1" applyAlignment="1">
      <alignment horizontal="right" wrapText="1" indent="1"/>
    </xf>
    <xf numFmtId="0" fontId="0" fillId="3" borderId="7" xfId="0" applyFill="1" applyBorder="1" applyAlignment="1">
      <alignment horizontal="right" wrapText="1" indent="1"/>
    </xf>
    <xf numFmtId="0" fontId="0" fillId="3" borderId="10" xfId="0" applyFill="1" applyBorder="1" applyAlignment="1">
      <alignment horizontal="right" wrapText="1" indent="1"/>
    </xf>
    <xf numFmtId="3" fontId="0" fillId="0" borderId="9" xfId="0" applyNumberFormat="1" applyBorder="1" applyAlignment="1">
      <alignment horizontal="right" vertical="center" indent="2"/>
    </xf>
    <xf numFmtId="4" fontId="0" fillId="0" borderId="9" xfId="0" applyNumberFormat="1" applyBorder="1" applyAlignment="1">
      <alignment horizontal="right" indent="2"/>
    </xf>
    <xf numFmtId="3" fontId="0" fillId="0" borderId="12" xfId="0" applyNumberFormat="1" applyBorder="1" applyAlignment="1">
      <alignment horizontal="right" indent="2"/>
    </xf>
    <xf numFmtId="3" fontId="0" fillId="0" borderId="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3" borderId="7" xfId="0" applyFill="1" applyBorder="1" applyAlignment="1">
      <alignment horizontal="right" indent="1"/>
    </xf>
    <xf numFmtId="0" fontId="0" fillId="3" borderId="10" xfId="0" applyFill="1" applyBorder="1" applyAlignment="1">
      <alignment horizontal="right" indent="1"/>
    </xf>
    <xf numFmtId="0" fontId="0" fillId="3" borderId="4" xfId="0" applyFill="1" applyBorder="1" applyAlignment="1">
      <alignment horizontal="right" indent="1"/>
    </xf>
    <xf numFmtId="0" fontId="0" fillId="3" borderId="7" xfId="0" applyFill="1" applyBorder="1" applyAlignment="1">
      <alignment horizontal="right" vertical="center" wrapText="1" indent="1"/>
    </xf>
    <xf numFmtId="0" fontId="0" fillId="0" borderId="34" xfId="0" applyBorder="1" applyAlignment="1">
      <alignment horizontal="right" indent="1"/>
    </xf>
    <xf numFmtId="0" fontId="0" fillId="0" borderId="10" xfId="0" applyBorder="1" applyAlignment="1">
      <alignment horizontal="right" indent="1"/>
    </xf>
    <xf numFmtId="0" fontId="0" fillId="0" borderId="35" xfId="0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0" fillId="0" borderId="12" xfId="0" applyBorder="1" applyAlignment="1">
      <alignment horizontal="left" indent="1"/>
    </xf>
    <xf numFmtId="164" fontId="0" fillId="0" borderId="6" xfId="0" applyNumberFormat="1" applyBorder="1" applyAlignment="1">
      <alignment horizontal="right" indent="1"/>
    </xf>
    <xf numFmtId="164" fontId="0" fillId="0" borderId="12" xfId="0" applyNumberFormat="1" applyBorder="1" applyAlignment="1">
      <alignment horizontal="right" indent="1"/>
    </xf>
    <xf numFmtId="164" fontId="0" fillId="0" borderId="23" xfId="0" applyNumberFormat="1" applyBorder="1" applyAlignment="1">
      <alignment horizontal="right" indent="1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0" xfId="0" applyNumberFormat="1" applyAlignment="1">
      <alignment horizontal="left" indent="1"/>
    </xf>
    <xf numFmtId="165" fontId="0" fillId="0" borderId="34" xfId="0" applyNumberFormat="1" applyBorder="1" applyAlignment="1">
      <alignment horizontal="right" indent="1"/>
    </xf>
    <xf numFmtId="165" fontId="0" fillId="0" borderId="42" xfId="0" applyNumberFormat="1" applyBorder="1" applyAlignment="1">
      <alignment horizontal="right" indent="1"/>
    </xf>
    <xf numFmtId="165" fontId="0" fillId="0" borderId="43" xfId="0" applyNumberFormat="1" applyBorder="1" applyAlignment="1">
      <alignment horizontal="right" indent="1"/>
    </xf>
    <xf numFmtId="165" fontId="0" fillId="0" borderId="48" xfId="0" applyNumberFormat="1" applyBorder="1" applyAlignment="1">
      <alignment horizontal="right" indent="1"/>
    </xf>
    <xf numFmtId="165" fontId="0" fillId="0" borderId="7" xfId="0" applyNumberFormat="1" applyBorder="1" applyAlignment="1">
      <alignment horizontal="right" indent="1"/>
    </xf>
    <xf numFmtId="165" fontId="0" fillId="0" borderId="8" xfId="0" applyNumberFormat="1" applyBorder="1" applyAlignment="1">
      <alignment horizontal="right" indent="1"/>
    </xf>
    <xf numFmtId="165" fontId="0" fillId="0" borderId="44" xfId="0" applyNumberFormat="1" applyBorder="1" applyAlignment="1">
      <alignment horizontal="right" indent="1"/>
    </xf>
    <xf numFmtId="165" fontId="0" fillId="0" borderId="46" xfId="0" applyNumberFormat="1" applyBorder="1" applyAlignment="1">
      <alignment horizontal="right" indent="1"/>
    </xf>
    <xf numFmtId="165" fontId="0" fillId="0" borderId="10" xfId="0" applyNumberFormat="1" applyBorder="1" applyAlignment="1">
      <alignment horizontal="right" indent="1"/>
    </xf>
    <xf numFmtId="165" fontId="0" fillId="0" borderId="11" xfId="0" applyNumberFormat="1" applyBorder="1" applyAlignment="1">
      <alignment horizontal="right" indent="1"/>
    </xf>
    <xf numFmtId="165" fontId="0" fillId="0" borderId="45" xfId="0" applyNumberFormat="1" applyBorder="1" applyAlignment="1">
      <alignment horizontal="right" indent="1"/>
    </xf>
    <xf numFmtId="165" fontId="0" fillId="0" borderId="47" xfId="0" applyNumberFormat="1" applyBorder="1" applyAlignment="1">
      <alignment horizontal="right" indent="1"/>
    </xf>
    <xf numFmtId="165" fontId="0" fillId="0" borderId="1" xfId="0" applyNumberFormat="1" applyBorder="1" applyAlignment="1">
      <alignment horizontal="right" indent="1"/>
    </xf>
    <xf numFmtId="165" fontId="0" fillId="0" borderId="2" xfId="0" applyNumberFormat="1" applyBorder="1" applyAlignment="1">
      <alignment horizontal="right" indent="1"/>
    </xf>
    <xf numFmtId="165" fontId="0" fillId="0" borderId="36" xfId="0" applyNumberFormat="1" applyBorder="1" applyAlignment="1">
      <alignment horizontal="right" indent="1"/>
    </xf>
    <xf numFmtId="165" fontId="0" fillId="0" borderId="23" xfId="0" applyNumberFormat="1" applyBorder="1" applyAlignment="1">
      <alignment horizontal="right" indent="1"/>
    </xf>
    <xf numFmtId="166" fontId="0" fillId="0" borderId="34" xfId="0" applyNumberFormat="1" applyBorder="1" applyAlignment="1">
      <alignment horizontal="right" indent="2"/>
    </xf>
    <xf numFmtId="166" fontId="0" fillId="0" borderId="42" xfId="0" applyNumberFormat="1" applyBorder="1" applyAlignment="1">
      <alignment horizontal="right" indent="2"/>
    </xf>
    <xf numFmtId="166" fontId="0" fillId="0" borderId="43" xfId="0" applyNumberFormat="1" applyBorder="1" applyAlignment="1">
      <alignment horizontal="right" indent="2"/>
    </xf>
    <xf numFmtId="166" fontId="0" fillId="0" borderId="48" xfId="0" applyNumberFormat="1" applyBorder="1" applyAlignment="1">
      <alignment horizontal="right" indent="2"/>
    </xf>
    <xf numFmtId="166" fontId="0" fillId="0" borderId="7" xfId="0" applyNumberFormat="1" applyBorder="1" applyAlignment="1">
      <alignment horizontal="right" indent="2"/>
    </xf>
    <xf numFmtId="166" fontId="0" fillId="0" borderId="8" xfId="0" applyNumberFormat="1" applyBorder="1" applyAlignment="1">
      <alignment horizontal="right" indent="2"/>
    </xf>
    <xf numFmtId="166" fontId="0" fillId="0" borderId="44" xfId="0" applyNumberFormat="1" applyBorder="1" applyAlignment="1">
      <alignment horizontal="right" indent="2"/>
    </xf>
    <xf numFmtId="166" fontId="0" fillId="0" borderId="46" xfId="0" applyNumberFormat="1" applyBorder="1" applyAlignment="1">
      <alignment horizontal="right" indent="2"/>
    </xf>
    <xf numFmtId="166" fontId="0" fillId="0" borderId="10" xfId="0" applyNumberFormat="1" applyBorder="1" applyAlignment="1">
      <alignment horizontal="right" indent="2"/>
    </xf>
    <xf numFmtId="166" fontId="0" fillId="0" borderId="11" xfId="0" applyNumberFormat="1" applyBorder="1" applyAlignment="1">
      <alignment horizontal="right" indent="2"/>
    </xf>
    <xf numFmtId="166" fontId="0" fillId="0" borderId="45" xfId="0" applyNumberFormat="1" applyBorder="1" applyAlignment="1">
      <alignment horizontal="right" indent="2"/>
    </xf>
    <xf numFmtId="166" fontId="0" fillId="0" borderId="47" xfId="0" applyNumberFormat="1" applyBorder="1" applyAlignment="1">
      <alignment horizontal="right" indent="2"/>
    </xf>
    <xf numFmtId="166" fontId="0" fillId="0" borderId="1" xfId="0" applyNumberFormat="1" applyBorder="1" applyAlignment="1">
      <alignment horizontal="right" indent="2"/>
    </xf>
    <xf numFmtId="166" fontId="0" fillId="0" borderId="2" xfId="0" applyNumberFormat="1" applyBorder="1" applyAlignment="1">
      <alignment horizontal="right" indent="2"/>
    </xf>
    <xf numFmtId="166" fontId="0" fillId="0" borderId="36" xfId="0" applyNumberFormat="1" applyBorder="1" applyAlignment="1">
      <alignment horizontal="right" indent="2"/>
    </xf>
    <xf numFmtId="166" fontId="0" fillId="0" borderId="23" xfId="0" applyNumberFormat="1" applyBorder="1" applyAlignment="1">
      <alignment horizontal="right" indent="2"/>
    </xf>
    <xf numFmtId="166" fontId="0" fillId="0" borderId="57" xfId="0" applyNumberFormat="1" applyBorder="1" applyAlignment="1">
      <alignment horizontal="right" indent="2"/>
    </xf>
    <xf numFmtId="166" fontId="0" fillId="0" borderId="56" xfId="0" applyNumberFormat="1" applyBorder="1" applyAlignment="1">
      <alignment horizontal="right" indent="2"/>
    </xf>
    <xf numFmtId="165" fontId="0" fillId="0" borderId="37" xfId="0" applyNumberFormat="1" applyBorder="1" applyAlignment="1">
      <alignment horizontal="right" indent="1"/>
    </xf>
    <xf numFmtId="165" fontId="0" fillId="0" borderId="38" xfId="0" applyNumberFormat="1" applyBorder="1" applyAlignment="1">
      <alignment horizontal="right" indent="1"/>
    </xf>
    <xf numFmtId="0" fontId="0" fillId="0" borderId="57" xfId="0" applyBorder="1" applyAlignment="1">
      <alignment horizontal="left" indent="1"/>
    </xf>
    <xf numFmtId="0" fontId="0" fillId="0" borderId="56" xfId="0" applyBorder="1" applyAlignment="1">
      <alignment horizontal="left" indent="1"/>
    </xf>
    <xf numFmtId="0" fontId="0" fillId="3" borderId="1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167" fontId="0" fillId="0" borderId="51" xfId="0" applyNumberFormat="1" applyBorder="1" applyAlignment="1">
      <alignment horizontal="center"/>
    </xf>
    <xf numFmtId="167" fontId="0" fillId="0" borderId="27" xfId="0" applyNumberFormat="1" applyBorder="1" applyAlignment="1">
      <alignment horizontal="center"/>
    </xf>
    <xf numFmtId="167" fontId="0" fillId="0" borderId="59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3" borderId="29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2" fillId="0" borderId="18" xfId="2" quotePrefix="1" applyBorder="1" applyAlignment="1">
      <alignment horizontal="center"/>
    </xf>
    <xf numFmtId="0" fontId="2" fillId="0" borderId="20" xfId="2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44" fontId="0" fillId="3" borderId="2" xfId="1" applyFont="1" applyFill="1" applyBorder="1" applyAlignment="1">
      <alignment horizontal="center"/>
    </xf>
    <xf numFmtId="44" fontId="0" fillId="3" borderId="3" xfId="1" applyFont="1" applyFill="1" applyBorder="1" applyAlignment="1">
      <alignment horizontal="center"/>
    </xf>
    <xf numFmtId="0" fontId="2" fillId="0" borderId="13" xfId="2" applyBorder="1" applyAlignment="1">
      <alignment horizontal="center"/>
    </xf>
    <xf numFmtId="0" fontId="2" fillId="0" borderId="15" xfId="2" applyBorder="1" applyAlignment="1">
      <alignment horizontal="center"/>
    </xf>
    <xf numFmtId="0" fontId="2" fillId="0" borderId="16" xfId="2" applyBorder="1" applyAlignment="1">
      <alignment horizontal="center"/>
    </xf>
    <xf numFmtId="0" fontId="2" fillId="0" borderId="17" xfId="2" applyBorder="1" applyAlignment="1">
      <alignment horizontal="center"/>
    </xf>
    <xf numFmtId="3" fontId="0" fillId="0" borderId="16" xfId="0" applyNumberFormat="1" applyBorder="1" applyAlignment="1">
      <alignment horizontal="center"/>
    </xf>
    <xf numFmtId="3" fontId="0" fillId="0" borderId="17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44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2" borderId="36" xfId="0" applyNumberFormat="1" applyFill="1" applyBorder="1" applyAlignment="1">
      <alignment horizontal="center" wrapText="1"/>
    </xf>
    <xf numFmtId="0" fontId="0" fillId="2" borderId="25" xfId="0" applyNumberFormat="1" applyFill="1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2" borderId="29" xfId="0" applyFill="1" applyBorder="1" applyAlignment="1">
      <alignment horizontal="right" indent="2"/>
    </xf>
    <xf numFmtId="0" fontId="0" fillId="2" borderId="49" xfId="0" applyFill="1" applyBorder="1" applyAlignment="1">
      <alignment horizontal="right" indent="2"/>
    </xf>
    <xf numFmtId="0" fontId="0" fillId="2" borderId="33" xfId="0" applyFill="1" applyBorder="1" applyAlignment="1">
      <alignment horizontal="right" indent="2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4" fontId="0" fillId="3" borderId="29" xfId="1" applyFont="1" applyFill="1" applyBorder="1" applyAlignment="1">
      <alignment horizontal="center" vertical="center"/>
    </xf>
    <xf numFmtId="44" fontId="0" fillId="3" borderId="49" xfId="1" applyFont="1" applyFill="1" applyBorder="1" applyAlignment="1">
      <alignment horizontal="center" vertical="center"/>
    </xf>
    <xf numFmtId="44" fontId="0" fillId="3" borderId="33" xfId="1" applyFont="1" applyFill="1" applyBorder="1" applyAlignment="1">
      <alignment horizontal="center" vertical="center"/>
    </xf>
    <xf numFmtId="44" fontId="0" fillId="3" borderId="39" xfId="1" applyFont="1" applyFill="1" applyBorder="1" applyAlignment="1">
      <alignment horizontal="center" vertical="center"/>
    </xf>
    <xf numFmtId="44" fontId="0" fillId="3" borderId="41" xfId="1" applyFont="1" applyFill="1" applyBorder="1" applyAlignment="1">
      <alignment horizontal="center" vertical="center"/>
    </xf>
    <xf numFmtId="44" fontId="0" fillId="3" borderId="21" xfId="1" applyFont="1" applyFill="1" applyBorder="1" applyAlignment="1">
      <alignment horizontal="center" vertical="center"/>
    </xf>
    <xf numFmtId="44" fontId="0" fillId="3" borderId="24" xfId="1" applyFont="1" applyFill="1" applyBorder="1" applyAlignment="1">
      <alignment horizontal="center" vertical="center"/>
    </xf>
    <xf numFmtId="44" fontId="0" fillId="3" borderId="21" xfId="1" applyFont="1" applyFill="1" applyBorder="1" applyAlignment="1">
      <alignment horizontal="center" vertical="center" wrapText="1"/>
    </xf>
    <xf numFmtId="44" fontId="0" fillId="3" borderId="55" xfId="1" applyFont="1" applyFill="1" applyBorder="1" applyAlignment="1">
      <alignment horizontal="center" vertical="center" wrapText="1"/>
    </xf>
    <xf numFmtId="44" fontId="0" fillId="3" borderId="56" xfId="1" applyFont="1" applyFill="1" applyBorder="1" applyAlignment="1">
      <alignment horizontal="center" vertical="center"/>
    </xf>
    <xf numFmtId="44" fontId="0" fillId="3" borderId="40" xfId="1" applyFont="1" applyFill="1" applyBorder="1" applyAlignment="1">
      <alignment horizontal="center" vertical="center" wrapText="1"/>
    </xf>
    <xf numFmtId="44" fontId="0" fillId="3" borderId="38" xfId="1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94343"/>
      <color rgb="FFF48E8C"/>
      <color rgb="FFD1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multiLvlStrRef>
              <c:f>'Tableau de bord'!$D$2:$O$3</c:f>
              <c:multiLvlStrCache>
                <c:ptCount val="12"/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Juillet</c:v>
                  </c:pt>
                  <c:pt idx="7">
                    <c:v>Août</c:v>
                  </c:pt>
                  <c:pt idx="8">
                    <c:v>Septembre</c:v>
                  </c:pt>
                  <c:pt idx="9">
                    <c:v>Octobre</c:v>
                  </c:pt>
                  <c:pt idx="10">
                    <c:v>Novembre</c:v>
                  </c:pt>
                  <c:pt idx="11">
                    <c:v>Décembre</c:v>
                  </c:pt>
                </c:lvl>
                <c:lvl>
                  <c:pt idx="0">
                    <c:v>CA</c:v>
                  </c:pt>
                </c:lvl>
              </c:multiLvlStrCache>
            </c:multiLvlStrRef>
          </c:cat>
          <c:val>
            <c:numRef>
              <c:f>'Tableau de bord'!$D$4:$O$4</c:f>
              <c:numCache>
                <c:formatCode>#,##0</c:formatCode>
                <c:ptCount val="12"/>
                <c:pt idx="0">
                  <c:v>600</c:v>
                </c:pt>
                <c:pt idx="1">
                  <c:v>1500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29F-4E01-B901-041E9E54603A}"/>
            </c:ext>
          </c:extLst>
        </c:ser>
        <c:marker val="1"/>
        <c:axId val="51828992"/>
        <c:axId val="51834880"/>
      </c:lineChart>
      <c:catAx>
        <c:axId val="51828992"/>
        <c:scaling>
          <c:orientation val="minMax"/>
        </c:scaling>
        <c:axPos val="b"/>
        <c:numFmt formatCode="General" sourceLinked="0"/>
        <c:tickLblPos val="nextTo"/>
        <c:crossAx val="51834880"/>
        <c:crosses val="autoZero"/>
        <c:auto val="1"/>
        <c:lblAlgn val="ctr"/>
        <c:lblOffset val="100"/>
      </c:catAx>
      <c:valAx>
        <c:axId val="51834880"/>
        <c:scaling>
          <c:orientation val="minMax"/>
        </c:scaling>
        <c:axPos val="l"/>
        <c:majorGridlines/>
        <c:numFmt formatCode="#,##0" sourceLinked="1"/>
        <c:tickLblPos val="nextTo"/>
        <c:crossAx val="51828992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12699</xdr:colOff>
      <xdr:row>10</xdr:row>
      <xdr:rowOff>20636</xdr:rowOff>
    </xdr:from>
    <xdr:to>
      <xdr:col>14</xdr:col>
      <xdr:colOff>748393</xdr:colOff>
      <xdr:row>29</xdr:row>
      <xdr:rowOff>340177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180976</xdr:rowOff>
    </xdr:from>
    <xdr:to>
      <xdr:col>1</xdr:col>
      <xdr:colOff>442340</xdr:colOff>
      <xdr:row>6</xdr:row>
      <xdr:rowOff>188118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80976"/>
          <a:ext cx="1001934" cy="1171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8"/>
  <sheetViews>
    <sheetView showZeros="0" zoomScale="85" zoomScaleNormal="85" workbookViewId="0">
      <selection activeCell="B32" sqref="B32"/>
    </sheetView>
  </sheetViews>
  <sheetFormatPr baseColWidth="10" defaultRowHeight="14.4"/>
  <cols>
    <col min="1" max="1" width="20.109375" customWidth="1"/>
    <col min="2" max="2" width="20.44140625" customWidth="1"/>
    <col min="3" max="3" width="4" customWidth="1"/>
    <col min="4" max="15" width="12.77734375" customWidth="1"/>
  </cols>
  <sheetData>
    <row r="1" spans="1:15" ht="15" thickBot="1"/>
    <row r="2" spans="1:15" ht="15" thickBot="1">
      <c r="A2" s="202" t="s">
        <v>161</v>
      </c>
      <c r="B2" s="204"/>
      <c r="D2" s="209" t="s">
        <v>167</v>
      </c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1"/>
    </row>
    <row r="3" spans="1:15" ht="15" thickBot="1">
      <c r="A3" s="139" t="s">
        <v>162</v>
      </c>
      <c r="B3" s="1" t="str">
        <f>IFERROR(INDEX('Clients - Statistiques'!A3:A48,MATCH(B4,'Clients - Statistiques'!AJ3:AJ48,0),1),"")</f>
        <v>MCI RENOV BAT</v>
      </c>
      <c r="D3" s="16" t="s">
        <v>150</v>
      </c>
      <c r="E3" s="17" t="s">
        <v>151</v>
      </c>
      <c r="F3" s="17" t="s">
        <v>152</v>
      </c>
      <c r="G3" s="17" t="s">
        <v>153</v>
      </c>
      <c r="H3" s="17" t="s">
        <v>154</v>
      </c>
      <c r="I3" s="17" t="s">
        <v>155</v>
      </c>
      <c r="J3" s="17" t="s">
        <v>156</v>
      </c>
      <c r="K3" s="17" t="s">
        <v>221</v>
      </c>
      <c r="L3" s="17" t="s">
        <v>157</v>
      </c>
      <c r="M3" s="17" t="s">
        <v>158</v>
      </c>
      <c r="N3" s="17" t="s">
        <v>159</v>
      </c>
      <c r="O3" s="55" t="s">
        <v>220</v>
      </c>
    </row>
    <row r="4" spans="1:15" ht="48.75" customHeight="1" thickBot="1">
      <c r="A4" s="140" t="s">
        <v>222</v>
      </c>
      <c r="B4" s="131">
        <f>MAX('Clients - Statistiques'!AJ3:AJ48)</f>
        <v>6</v>
      </c>
      <c r="D4" s="134">
        <f>'Clients - Statistiques'!J49</f>
        <v>600</v>
      </c>
      <c r="E4" s="135">
        <f>'Clients - Statistiques'!K49</f>
        <v>1500</v>
      </c>
      <c r="F4" s="135">
        <f>'Clients - Statistiques'!L49</f>
        <v>0</v>
      </c>
      <c r="G4" s="135">
        <f>'Clients - Statistiques'!M49</f>
        <v>0</v>
      </c>
      <c r="H4" s="135">
        <f>'Clients - Statistiques'!N49</f>
        <v>0</v>
      </c>
      <c r="I4" s="135">
        <f>'Clients - Statistiques'!O49</f>
        <v>0</v>
      </c>
      <c r="J4" s="135">
        <f>'Clients - Statistiques'!P49</f>
        <v>0</v>
      </c>
      <c r="K4" s="135">
        <f>'Clients - Statistiques'!Q49</f>
        <v>0</v>
      </c>
      <c r="L4" s="135">
        <f>'Clients - Statistiques'!R49</f>
        <v>0</v>
      </c>
      <c r="M4" s="135">
        <f>'Clients - Statistiques'!S49</f>
        <v>0</v>
      </c>
      <c r="N4" s="135">
        <f>'Clients - Statistiques'!T49</f>
        <v>0</v>
      </c>
      <c r="O4" s="136">
        <f>'Clients - Statistiques'!U49</f>
        <v>0</v>
      </c>
    </row>
    <row r="5" spans="1:15" ht="15" thickBot="1">
      <c r="A5" s="137" t="s">
        <v>163</v>
      </c>
      <c r="B5" s="132">
        <f>LARGE('Clients - Statistiques'!J3:U48,1)</f>
        <v>1500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15" thickBot="1">
      <c r="A6" s="137" t="s">
        <v>164</v>
      </c>
      <c r="B6" s="132">
        <f>SMALL('Clients - Statistiques'!J3:U48,1)</f>
        <v>0</v>
      </c>
      <c r="D6" s="209" t="s">
        <v>219</v>
      </c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1"/>
    </row>
    <row r="7" spans="1:15" ht="15" thickBot="1">
      <c r="A7" s="137" t="s">
        <v>165</v>
      </c>
      <c r="B7" s="132">
        <f>AVERAGE('Clients - Statistiques'!J3:U48)</f>
        <v>3.8043478260869565</v>
      </c>
      <c r="D7" s="23" t="s">
        <v>150</v>
      </c>
      <c r="E7" s="17" t="s">
        <v>151</v>
      </c>
      <c r="F7" s="17" t="s">
        <v>152</v>
      </c>
      <c r="G7" s="17" t="s">
        <v>153</v>
      </c>
      <c r="H7" s="17" t="s">
        <v>154</v>
      </c>
      <c r="I7" s="17" t="s">
        <v>155</v>
      </c>
      <c r="J7" s="17" t="s">
        <v>156</v>
      </c>
      <c r="K7" s="17" t="s">
        <v>221</v>
      </c>
      <c r="L7" s="17" t="s">
        <v>157</v>
      </c>
      <c r="M7" s="17" t="s">
        <v>158</v>
      </c>
      <c r="N7" s="17" t="s">
        <v>159</v>
      </c>
      <c r="O7" s="55" t="s">
        <v>220</v>
      </c>
    </row>
    <row r="8" spans="1:15" ht="15" thickBot="1">
      <c r="A8" s="137" t="s">
        <v>223</v>
      </c>
      <c r="B8" s="132">
        <f>MEDIAN('Clients - Statistiques'!J3:U48)</f>
        <v>0</v>
      </c>
      <c r="D8" s="134">
        <f>'Clients - Statistiques'!X49</f>
        <v>3</v>
      </c>
      <c r="E8" s="135">
        <f>'Clients - Statistiques'!Y49</f>
        <v>3</v>
      </c>
      <c r="F8" s="135">
        <f>'Clients - Statistiques'!Z49</f>
        <v>0</v>
      </c>
      <c r="G8" s="135">
        <f>'Clients - Statistiques'!AA49</f>
        <v>0</v>
      </c>
      <c r="H8" s="135">
        <f>'Clients - Statistiques'!AB49</f>
        <v>0</v>
      </c>
      <c r="I8" s="135">
        <f>'Clients - Statistiques'!AC49</f>
        <v>0</v>
      </c>
      <c r="J8" s="135">
        <f>'Clients - Statistiques'!AD49</f>
        <v>0</v>
      </c>
      <c r="K8" s="135">
        <f>'Clients - Statistiques'!AE49</f>
        <v>0</v>
      </c>
      <c r="L8" s="135">
        <f>'Clients - Statistiques'!AF49</f>
        <v>0</v>
      </c>
      <c r="M8" s="135">
        <f>'Clients - Statistiques'!AG49</f>
        <v>0</v>
      </c>
      <c r="N8" s="135">
        <f>'Clients - Statistiques'!AH49</f>
        <v>0</v>
      </c>
      <c r="O8" s="136">
        <f>'Clients - Statistiques'!AI49</f>
        <v>0</v>
      </c>
    </row>
    <row r="9" spans="1:15">
      <c r="A9" s="137" t="s">
        <v>166</v>
      </c>
      <c r="B9" s="132">
        <f>SUM('Clients - Statistiques'!J49:U49)</f>
        <v>2100</v>
      </c>
    </row>
    <row r="10" spans="1:15" ht="15" thickBot="1">
      <c r="A10" s="138" t="s">
        <v>224</v>
      </c>
      <c r="B10" s="133">
        <f>SUM('Clients - Statistiques'!X49:AI49)</f>
        <v>6</v>
      </c>
    </row>
    <row r="11" spans="1:15" ht="15" thickBot="1"/>
    <row r="12" spans="1:15" ht="15" thickBot="1">
      <c r="A12" s="207" t="s">
        <v>143</v>
      </c>
      <c r="B12" s="208"/>
    </row>
    <row r="13" spans="1:15">
      <c r="A13" s="141" t="s">
        <v>7</v>
      </c>
      <c r="B13" s="143"/>
    </row>
    <row r="14" spans="1:15">
      <c r="A14" s="111" t="s">
        <v>8</v>
      </c>
      <c r="B14" s="144"/>
    </row>
    <row r="15" spans="1:15">
      <c r="A15" s="111" t="s">
        <v>243</v>
      </c>
      <c r="B15" s="144"/>
    </row>
    <row r="16" spans="1:15">
      <c r="A16" s="111" t="s">
        <v>9</v>
      </c>
      <c r="B16" s="144"/>
    </row>
    <row r="17" spans="1:2" ht="15" thickBot="1">
      <c r="A17" s="142" t="s">
        <v>144</v>
      </c>
      <c r="B17" s="145"/>
    </row>
    <row r="18" spans="1:2">
      <c r="A18" s="14"/>
      <c r="B18" s="15"/>
    </row>
    <row r="19" spans="1:2" ht="15" thickBot="1">
      <c r="A19" s="5"/>
      <c r="B19" s="7"/>
    </row>
    <row r="20" spans="1:2" ht="15" thickBot="1"/>
    <row r="21" spans="1:2" ht="15" thickBot="1">
      <c r="A21" s="202" t="s">
        <v>168</v>
      </c>
      <c r="B21" s="204"/>
    </row>
    <row r="22" spans="1:2">
      <c r="A22" s="212" t="s">
        <v>169</v>
      </c>
      <c r="B22" s="213"/>
    </row>
    <row r="23" spans="1:2">
      <c r="A23" s="214" t="s">
        <v>187</v>
      </c>
      <c r="B23" s="215"/>
    </row>
    <row r="24" spans="1:2">
      <c r="A24" s="214" t="s">
        <v>170</v>
      </c>
      <c r="B24" s="215"/>
    </row>
    <row r="25" spans="1:2" ht="15" thickBot="1">
      <c r="A25" s="205" t="s">
        <v>171</v>
      </c>
      <c r="B25" s="206"/>
    </row>
    <row r="26" spans="1:2" ht="15" thickBot="1"/>
    <row r="27" spans="1:2" ht="28.8">
      <c r="A27" s="128" t="s">
        <v>225</v>
      </c>
      <c r="B27" s="126">
        <v>35000</v>
      </c>
    </row>
    <row r="28" spans="1:2" ht="28.8">
      <c r="A28" s="129" t="s">
        <v>226</v>
      </c>
      <c r="B28" s="56">
        <v>50000</v>
      </c>
    </row>
    <row r="29" spans="1:2" ht="28.8">
      <c r="A29" s="129" t="s">
        <v>227</v>
      </c>
      <c r="B29" s="56">
        <v>100</v>
      </c>
    </row>
    <row r="30" spans="1:2" ht="29.4" thickBot="1">
      <c r="A30" s="130" t="s">
        <v>242</v>
      </c>
      <c r="B30" s="127">
        <v>50</v>
      </c>
    </row>
    <row r="31" spans="1:2">
      <c r="A31" s="24"/>
    </row>
    <row r="32" spans="1:2" ht="15" thickBot="1">
      <c r="A32" s="24"/>
    </row>
    <row r="33" spans="1:15" ht="15" thickBot="1">
      <c r="A33" s="24"/>
      <c r="D33" s="202" t="s">
        <v>190</v>
      </c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4"/>
    </row>
    <row r="34" spans="1:15">
      <c r="A34" s="24"/>
      <c r="D34" s="124" t="s">
        <v>178</v>
      </c>
      <c r="E34" s="9"/>
      <c r="F34" s="9"/>
      <c r="G34" s="9"/>
      <c r="H34" s="9"/>
      <c r="I34" s="9"/>
      <c r="J34" s="9"/>
      <c r="K34" s="9"/>
      <c r="L34" s="9"/>
      <c r="M34" s="9"/>
      <c r="N34" s="216" t="str">
        <f>Stock!M4</f>
        <v/>
      </c>
      <c r="O34" s="217"/>
    </row>
    <row r="35" spans="1:15">
      <c r="A35" s="24"/>
      <c r="D35" s="124" t="s">
        <v>181</v>
      </c>
      <c r="E35" s="9"/>
      <c r="F35" s="9"/>
      <c r="G35" s="9"/>
      <c r="H35" s="9"/>
      <c r="I35" s="9"/>
      <c r="J35" s="9"/>
      <c r="K35" s="9"/>
      <c r="L35" s="9"/>
      <c r="M35" s="9"/>
      <c r="N35" s="218" t="str">
        <f>Stock!M5</f>
        <v/>
      </c>
      <c r="O35" s="219"/>
    </row>
    <row r="36" spans="1:15">
      <c r="A36" s="24"/>
      <c r="D36" s="124" t="s">
        <v>179</v>
      </c>
      <c r="E36" s="9"/>
      <c r="F36" s="9"/>
      <c r="G36" s="9"/>
      <c r="H36" s="9"/>
      <c r="I36" s="9"/>
      <c r="J36" s="9"/>
      <c r="K36" s="9"/>
      <c r="L36" s="9"/>
      <c r="M36" s="9"/>
      <c r="N36" s="218" t="str">
        <f>Stock!M6</f>
        <v/>
      </c>
      <c r="O36" s="219"/>
    </row>
    <row r="37" spans="1:15">
      <c r="A37" s="24"/>
      <c r="D37" s="124" t="s">
        <v>180</v>
      </c>
      <c r="E37" s="9"/>
      <c r="F37" s="9"/>
      <c r="G37" s="9"/>
      <c r="H37" s="9"/>
      <c r="I37" s="9"/>
      <c r="J37" s="9"/>
      <c r="K37" s="9"/>
      <c r="L37" s="9"/>
      <c r="M37" s="9"/>
      <c r="N37" s="218" t="str">
        <f>Stock!M7</f>
        <v/>
      </c>
      <c r="O37" s="219"/>
    </row>
    <row r="38" spans="1:15">
      <c r="A38" s="24"/>
      <c r="D38" s="124" t="s">
        <v>208</v>
      </c>
      <c r="E38" s="9"/>
      <c r="F38" s="9"/>
      <c r="G38" s="9"/>
      <c r="H38" s="9"/>
      <c r="I38" s="9"/>
      <c r="J38" s="9"/>
      <c r="K38" s="9"/>
      <c r="L38" s="9"/>
      <c r="M38" s="9"/>
      <c r="N38" s="218" t="str">
        <f>Stock!M8</f>
        <v/>
      </c>
      <c r="O38" s="219"/>
    </row>
    <row r="39" spans="1:15">
      <c r="A39" s="24"/>
      <c r="D39" s="124" t="s">
        <v>207</v>
      </c>
      <c r="E39" s="9"/>
      <c r="F39" s="9"/>
      <c r="G39" s="9"/>
      <c r="H39" s="9"/>
      <c r="I39" s="9"/>
      <c r="J39" s="9"/>
      <c r="K39" s="9"/>
      <c r="L39" s="9"/>
      <c r="M39" s="9"/>
      <c r="N39" s="218" t="str">
        <f>Stock!M9</f>
        <v/>
      </c>
      <c r="O39" s="219"/>
    </row>
    <row r="40" spans="1:15">
      <c r="A40" s="24"/>
      <c r="D40" s="124" t="s">
        <v>211</v>
      </c>
      <c r="E40" s="9"/>
      <c r="F40" s="9"/>
      <c r="G40" s="9"/>
      <c r="H40" s="9"/>
      <c r="I40" s="9"/>
      <c r="J40" s="9"/>
      <c r="K40" s="9"/>
      <c r="L40" s="9"/>
      <c r="M40" s="9"/>
      <c r="N40" s="218" t="str">
        <f>Stock!M10</f>
        <v/>
      </c>
      <c r="O40" s="219"/>
    </row>
    <row r="41" spans="1:15">
      <c r="A41" s="24"/>
      <c r="D41" s="124" t="s">
        <v>202</v>
      </c>
      <c r="E41" s="9"/>
      <c r="F41" s="9"/>
      <c r="G41" s="9"/>
      <c r="H41" s="9"/>
      <c r="I41" s="9"/>
      <c r="J41" s="9"/>
      <c r="K41" s="9"/>
      <c r="L41" s="9"/>
      <c r="M41" s="9"/>
      <c r="N41" s="218" t="str">
        <f>Stock!M11</f>
        <v/>
      </c>
      <c r="O41" s="219"/>
    </row>
    <row r="42" spans="1:15">
      <c r="A42" s="24"/>
      <c r="D42" s="124" t="s">
        <v>203</v>
      </c>
      <c r="E42" s="9"/>
      <c r="F42" s="9"/>
      <c r="G42" s="9"/>
      <c r="H42" s="9"/>
      <c r="I42" s="9"/>
      <c r="J42" s="9"/>
      <c r="K42" s="9"/>
      <c r="L42" s="9"/>
      <c r="M42" s="9"/>
      <c r="N42" s="218" t="str">
        <f>Stock!M12</f>
        <v/>
      </c>
      <c r="O42" s="219"/>
    </row>
    <row r="43" spans="1:15">
      <c r="A43" s="24"/>
      <c r="D43" s="124" t="s">
        <v>204</v>
      </c>
      <c r="E43" s="9"/>
      <c r="F43" s="9"/>
      <c r="G43" s="9"/>
      <c r="H43" s="9"/>
      <c r="I43" s="9"/>
      <c r="J43" s="9"/>
      <c r="K43" s="9"/>
      <c r="L43" s="9"/>
      <c r="M43" s="9"/>
      <c r="N43" s="218" t="str">
        <f>Stock!M13</f>
        <v/>
      </c>
      <c r="O43" s="219"/>
    </row>
    <row r="44" spans="1:15">
      <c r="A44" s="24"/>
      <c r="D44" s="124" t="s">
        <v>205</v>
      </c>
      <c r="E44" s="9"/>
      <c r="F44" s="9"/>
      <c r="G44" s="9"/>
      <c r="H44" s="9"/>
      <c r="I44" s="9"/>
      <c r="J44" s="9"/>
      <c r="K44" s="9"/>
      <c r="L44" s="9"/>
      <c r="M44" s="9"/>
      <c r="N44" s="218" t="str">
        <f>Stock!M14</f>
        <v/>
      </c>
      <c r="O44" s="219"/>
    </row>
    <row r="45" spans="1:15">
      <c r="A45" s="24"/>
      <c r="D45" s="124" t="s">
        <v>215</v>
      </c>
      <c r="E45" s="9"/>
      <c r="F45" s="9"/>
      <c r="G45" s="9"/>
      <c r="H45" s="9"/>
      <c r="I45" s="9"/>
      <c r="J45" s="9"/>
      <c r="K45" s="9"/>
      <c r="L45" s="9"/>
      <c r="M45" s="9"/>
      <c r="N45" s="218" t="str">
        <f>Stock!M15</f>
        <v/>
      </c>
      <c r="O45" s="219"/>
    </row>
    <row r="46" spans="1:15">
      <c r="A46" s="24"/>
      <c r="D46" s="124" t="s">
        <v>206</v>
      </c>
      <c r="E46" s="9"/>
      <c r="F46" s="9"/>
      <c r="G46" s="9"/>
      <c r="H46" s="9"/>
      <c r="I46" s="9"/>
      <c r="J46" s="9"/>
      <c r="K46" s="9"/>
      <c r="L46" s="9"/>
      <c r="M46" s="9"/>
      <c r="N46" s="218" t="str">
        <f>Stock!M16</f>
        <v/>
      </c>
      <c r="O46" s="219"/>
    </row>
    <row r="47" spans="1:15">
      <c r="D47" s="124" t="s">
        <v>209</v>
      </c>
      <c r="E47" s="9"/>
      <c r="F47" s="9"/>
      <c r="G47" s="9"/>
      <c r="H47" s="9"/>
      <c r="I47" s="9"/>
      <c r="J47" s="9"/>
      <c r="K47" s="9"/>
      <c r="L47" s="9"/>
      <c r="M47" s="9"/>
      <c r="N47" s="218" t="str">
        <f>Stock!M17</f>
        <v/>
      </c>
      <c r="O47" s="219"/>
    </row>
    <row r="48" spans="1:15" ht="15" thickBot="1">
      <c r="D48" s="125" t="s">
        <v>210</v>
      </c>
      <c r="E48" s="10"/>
      <c r="F48" s="10"/>
      <c r="G48" s="10"/>
      <c r="H48" s="10"/>
      <c r="I48" s="10"/>
      <c r="J48" s="10"/>
      <c r="K48" s="10"/>
      <c r="L48" s="10"/>
      <c r="M48" s="10"/>
      <c r="N48" s="220" t="str">
        <f>Stock!M18</f>
        <v/>
      </c>
      <c r="O48" s="221"/>
    </row>
  </sheetData>
  <mergeCells count="25">
    <mergeCell ref="N44:O44"/>
    <mergeCell ref="N45:O45"/>
    <mergeCell ref="N46:O46"/>
    <mergeCell ref="N47:O47"/>
    <mergeCell ref="N48:O48"/>
    <mergeCell ref="N39:O39"/>
    <mergeCell ref="N40:O40"/>
    <mergeCell ref="N41:O41"/>
    <mergeCell ref="N42:O42"/>
    <mergeCell ref="N43:O43"/>
    <mergeCell ref="N34:O34"/>
    <mergeCell ref="N35:O35"/>
    <mergeCell ref="N36:O36"/>
    <mergeCell ref="N37:O37"/>
    <mergeCell ref="N38:O38"/>
    <mergeCell ref="D33:O33"/>
    <mergeCell ref="A25:B25"/>
    <mergeCell ref="A12:B12"/>
    <mergeCell ref="A2:B2"/>
    <mergeCell ref="D2:O2"/>
    <mergeCell ref="A21:B21"/>
    <mergeCell ref="A22:B22"/>
    <mergeCell ref="A24:B24"/>
    <mergeCell ref="D6:O6"/>
    <mergeCell ref="A23:B23"/>
  </mergeCells>
  <conditionalFormatting sqref="N34:N48 O34">
    <cfRule type="containsText" dxfId="5" priority="1" operator="containsText" text="Rupture de stock">
      <formula>NOT(ISERROR(SEARCH("Rupture de stock",N34)))</formula>
    </cfRule>
  </conditionalFormatting>
  <hyperlinks>
    <hyperlink ref="A22:B22" location="Facture!A1" display="Facture"/>
    <hyperlink ref="A24:B24" location="Stock!A1" display="Stock!A1"/>
    <hyperlink ref="A25:B25" location="'Clients - Statistiques'!A1" display="'Clients - Statistiques'!A1"/>
    <hyperlink ref="A23:B23" location="'Historique des factures'!A1" display="Historique des factures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33"/>
  <sheetViews>
    <sheetView showZeros="0" tabSelected="1" zoomScale="80" zoomScaleNormal="80" workbookViewId="0">
      <selection activeCell="I12" sqref="I12"/>
    </sheetView>
  </sheetViews>
  <sheetFormatPr baseColWidth="10" defaultRowHeight="14.4"/>
  <cols>
    <col min="1" max="1" width="11.6640625" customWidth="1"/>
    <col min="2" max="2" width="11.109375" style="24" customWidth="1"/>
    <col min="3" max="3" width="34" style="24" customWidth="1"/>
    <col min="5" max="5" width="6.44140625" style="8" customWidth="1"/>
    <col min="6" max="6" width="11.44140625" style="48"/>
    <col min="7" max="8" width="13.88671875" style="47" customWidth="1"/>
    <col min="9" max="9" width="14.88671875" style="49" customWidth="1"/>
    <col min="13" max="13" width="18.6640625" customWidth="1"/>
  </cols>
  <sheetData>
    <row r="1" spans="1:14">
      <c r="A1" s="58"/>
      <c r="B1" s="59"/>
      <c r="C1" s="59"/>
      <c r="D1" s="58"/>
      <c r="E1" s="60"/>
      <c r="F1" s="60"/>
      <c r="G1" s="60"/>
      <c r="H1" s="60"/>
      <c r="I1" s="58"/>
    </row>
    <row r="2" spans="1:14">
      <c r="A2" s="58"/>
      <c r="B2" s="59"/>
      <c r="C2" s="151" t="s">
        <v>176</v>
      </c>
      <c r="D2" s="58"/>
      <c r="E2" s="60"/>
      <c r="F2" s="60"/>
      <c r="G2" s="63" t="s">
        <v>246</v>
      </c>
      <c r="H2" s="68">
        <f ca="1">TODAY()</f>
        <v>43410</v>
      </c>
      <c r="I2" s="64"/>
    </row>
    <row r="3" spans="1:14" ht="15.75" customHeight="1" thickBot="1">
      <c r="A3" s="58"/>
      <c r="B3" s="59"/>
      <c r="C3" s="151" t="s">
        <v>5</v>
      </c>
      <c r="D3" s="58"/>
      <c r="E3" s="60"/>
      <c r="F3" s="60"/>
      <c r="G3" s="60"/>
      <c r="H3" s="60"/>
      <c r="I3" s="58"/>
      <c r="M3" s="50"/>
    </row>
    <row r="4" spans="1:14" ht="15" thickBot="1">
      <c r="A4" s="58"/>
      <c r="B4" s="59"/>
      <c r="C4" s="151">
        <v>17610</v>
      </c>
      <c r="D4" s="58"/>
      <c r="E4" s="60"/>
      <c r="F4" s="60"/>
      <c r="G4" s="60"/>
      <c r="H4" s="60"/>
      <c r="I4" s="58"/>
      <c r="M4" s="109" t="s">
        <v>240</v>
      </c>
      <c r="N4" s="108">
        <f ca="1">IF(H2="","",YEAR(H2))</f>
        <v>2018</v>
      </c>
    </row>
    <row r="5" spans="1:14">
      <c r="A5" s="58"/>
      <c r="B5" s="59"/>
      <c r="C5" s="151" t="s">
        <v>6</v>
      </c>
      <c r="D5" s="61"/>
      <c r="E5" s="62"/>
      <c r="F5" s="62"/>
      <c r="G5" s="237" t="s">
        <v>10</v>
      </c>
      <c r="H5" s="238"/>
      <c r="I5" s="239"/>
      <c r="M5" s="110" t="s">
        <v>241</v>
      </c>
      <c r="N5" s="57">
        <f ca="1">IF(H2="","",MONTH(H2))</f>
        <v>11</v>
      </c>
    </row>
    <row r="6" spans="1:14">
      <c r="A6" s="58"/>
      <c r="B6" s="59"/>
      <c r="C6" s="151" t="s">
        <v>138</v>
      </c>
      <c r="D6" s="61"/>
      <c r="E6" s="62"/>
      <c r="F6" s="62"/>
      <c r="G6" s="240" t="str">
        <f>IF(G$5="","",IFERROR(VLOOKUP(G$5,Clients,2,0),"?"))</f>
        <v>1, rue Normandie Niemen</v>
      </c>
      <c r="H6" s="241"/>
      <c r="I6" s="242"/>
      <c r="M6" s="222"/>
      <c r="N6" s="223"/>
    </row>
    <row r="7" spans="1:14" ht="15" thickBot="1">
      <c r="A7" s="58"/>
      <c r="B7" s="59"/>
      <c r="C7" s="151" t="s">
        <v>139</v>
      </c>
      <c r="D7" s="61"/>
      <c r="E7" s="62"/>
      <c r="F7" s="62"/>
      <c r="G7" s="240">
        <f>IF(G$5="","",IFERROR(VLOOKUP(G$5,Clients,3,0),"?"))</f>
        <v>93350</v>
      </c>
      <c r="H7" s="241"/>
      <c r="I7" s="242"/>
      <c r="M7" s="220"/>
      <c r="N7" s="221"/>
    </row>
    <row r="8" spans="1:14">
      <c r="A8" s="58"/>
      <c r="B8" s="59"/>
      <c r="C8" s="59"/>
      <c r="D8" s="61"/>
      <c r="E8" s="62"/>
      <c r="F8" s="62"/>
      <c r="G8" s="240" t="str">
        <f>IF(G$5="","",IFERROR(VLOOKUP(G$5,Clients,4,0),"?"))</f>
        <v>LE BOURGET</v>
      </c>
      <c r="H8" s="241"/>
      <c r="I8" s="242"/>
      <c r="K8" s="150"/>
      <c r="M8" s="50"/>
      <c r="N8" s="149" t="s">
        <v>247</v>
      </c>
    </row>
    <row r="9" spans="1:14" ht="15" thickBot="1">
      <c r="A9" s="58"/>
      <c r="B9" s="59"/>
      <c r="C9" s="59"/>
      <c r="D9" s="61"/>
      <c r="E9" s="62"/>
      <c r="F9" s="62"/>
      <c r="G9" s="243" t="str">
        <f>IF(G$5="","",IFERROR(VLOOKUP(G$5,Clients,5,0),"?"))</f>
        <v>02.33.55.46.78</v>
      </c>
      <c r="H9" s="244"/>
      <c r="I9" s="245"/>
      <c r="N9" s="149" t="s">
        <v>248</v>
      </c>
    </row>
    <row r="10" spans="1:14" ht="15.75" customHeight="1">
      <c r="A10" s="58"/>
      <c r="B10" s="59"/>
      <c r="C10" s="59"/>
      <c r="D10" s="61"/>
      <c r="E10" s="62"/>
      <c r="F10" s="62"/>
      <c r="G10" s="62"/>
      <c r="H10" s="62"/>
      <c r="I10" s="62"/>
    </row>
    <row r="11" spans="1:14" ht="15.75" customHeight="1">
      <c r="A11" s="58"/>
      <c r="B11" s="59"/>
      <c r="C11" s="59"/>
      <c r="D11" s="61"/>
      <c r="E11" s="62"/>
      <c r="F11" s="62"/>
      <c r="G11" s="62"/>
      <c r="H11" s="62"/>
      <c r="I11" s="62"/>
    </row>
    <row r="12" spans="1:14">
      <c r="A12" s="58" t="s">
        <v>4</v>
      </c>
      <c r="B12" s="112" t="str">
        <f>IF(OR('Historique des factures'!B3="",'Historique des factures'!C3="",'Historique des factures'!D3=""),"",'Historique des factures'!B3 &amp; TEXT('Historique des factures'!C3,"00") &amp; TEXT('Historique des factures'!D3,"000"))</f>
        <v>201802012</v>
      </c>
      <c r="C12" s="59"/>
      <c r="D12" s="58"/>
      <c r="E12" s="60"/>
      <c r="F12" s="60"/>
      <c r="G12" s="60"/>
      <c r="H12" s="60"/>
      <c r="I12" s="58"/>
    </row>
    <row r="13" spans="1:14" ht="15" thickBot="1">
      <c r="A13" s="58"/>
      <c r="B13" s="59"/>
      <c r="C13" s="59"/>
      <c r="D13" s="58"/>
      <c r="E13" s="60"/>
      <c r="F13" s="60"/>
      <c r="G13" s="60"/>
      <c r="H13" s="60"/>
      <c r="I13" s="58"/>
    </row>
    <row r="14" spans="1:14" ht="15" thickBot="1">
      <c r="A14" s="65" t="s">
        <v>0</v>
      </c>
      <c r="B14" s="226" t="s">
        <v>1</v>
      </c>
      <c r="C14" s="227"/>
      <c r="D14" s="66" t="s">
        <v>2</v>
      </c>
      <c r="E14" s="66" t="s">
        <v>173</v>
      </c>
      <c r="F14" s="66" t="s">
        <v>141</v>
      </c>
      <c r="G14" s="66" t="s">
        <v>3</v>
      </c>
      <c r="H14" s="66" t="s">
        <v>174</v>
      </c>
      <c r="I14" s="67" t="s">
        <v>175</v>
      </c>
    </row>
    <row r="15" spans="1:14">
      <c r="A15" s="18">
        <f t="shared" ref="A15:A29" si="0">IF(B15="","",IFERROR(VLOOKUP(B15,Stock,2,0),"?"))</f>
        <v>25651856</v>
      </c>
      <c r="B15" s="228" t="s">
        <v>178</v>
      </c>
      <c r="C15" s="229"/>
      <c r="D15" s="113">
        <v>500</v>
      </c>
      <c r="E15" s="21" t="str">
        <f t="shared" ref="E15:E29" si="1">IF($B15="","",IFERROR(VLOOKUP($B15,Stock,3,0),""))</f>
        <v>m²</v>
      </c>
      <c r="F15" s="116">
        <f t="shared" ref="F15:F29" si="2">IF($B15="","",IFERROR(VLOOKUP($B15,Stock,5,0),""))</f>
        <v>0.2</v>
      </c>
      <c r="G15" s="119">
        <f t="shared" ref="G15:G29" si="3">IF($B15="","",IFERROR(VLOOKUP($B15,Stock,6,0),""))</f>
        <v>30</v>
      </c>
      <c r="H15" s="119">
        <f t="shared" ref="H15:H29" si="4">IF($B15="","",IFERROR(VLOOKUP($B15,Stock,7,0),""))</f>
        <v>36</v>
      </c>
      <c r="I15" s="146">
        <f>IF(OR(D15="",H15=""),"",ROUND(D15*H15,2))</f>
        <v>18000</v>
      </c>
    </row>
    <row r="16" spans="1:14">
      <c r="A16" s="19">
        <f t="shared" si="0"/>
        <v>31535165</v>
      </c>
      <c r="B16" s="230" t="s">
        <v>179</v>
      </c>
      <c r="C16" s="231"/>
      <c r="D16" s="114">
        <v>100</v>
      </c>
      <c r="E16" s="11" t="str">
        <f t="shared" si="1"/>
        <v>m²</v>
      </c>
      <c r="F16" s="117">
        <f t="shared" si="2"/>
        <v>0.2</v>
      </c>
      <c r="G16" s="120">
        <f t="shared" si="3"/>
        <v>9</v>
      </c>
      <c r="H16" s="121">
        <f t="shared" si="4"/>
        <v>10.8</v>
      </c>
      <c r="I16" s="73">
        <f t="shared" ref="I16:I29" si="5">IF(OR(D16="",H16=""),"",ROUND(D16*H16,2))</f>
        <v>1080</v>
      </c>
    </row>
    <row r="17" spans="1:9">
      <c r="A17" s="19" t="str">
        <f t="shared" si="0"/>
        <v>CF013</v>
      </c>
      <c r="B17" s="224" t="s">
        <v>202</v>
      </c>
      <c r="C17" s="225"/>
      <c r="D17" s="114">
        <v>100</v>
      </c>
      <c r="E17" s="11" t="str">
        <f t="shared" si="1"/>
        <v>m²</v>
      </c>
      <c r="F17" s="117">
        <f t="shared" si="2"/>
        <v>0.2</v>
      </c>
      <c r="G17" s="120">
        <f t="shared" si="3"/>
        <v>52.8</v>
      </c>
      <c r="H17" s="121">
        <f t="shared" si="4"/>
        <v>63.36</v>
      </c>
      <c r="I17" s="73">
        <f t="shared" si="5"/>
        <v>6336</v>
      </c>
    </row>
    <row r="18" spans="1:9">
      <c r="A18" s="19" t="str">
        <f t="shared" si="0"/>
        <v>P011</v>
      </c>
      <c r="B18" s="224" t="s">
        <v>215</v>
      </c>
      <c r="C18" s="225"/>
      <c r="D18" s="114">
        <v>40</v>
      </c>
      <c r="E18" s="11" t="str">
        <f t="shared" si="1"/>
        <v>ml</v>
      </c>
      <c r="F18" s="117">
        <f t="shared" si="2"/>
        <v>0.2</v>
      </c>
      <c r="G18" s="120">
        <f t="shared" si="3"/>
        <v>17</v>
      </c>
      <c r="H18" s="121">
        <f t="shared" si="4"/>
        <v>20.399999999999999</v>
      </c>
      <c r="I18" s="73">
        <f t="shared" si="5"/>
        <v>816</v>
      </c>
    </row>
    <row r="19" spans="1:9">
      <c r="A19" s="19" t="str">
        <f t="shared" si="0"/>
        <v/>
      </c>
      <c r="B19" s="224"/>
      <c r="C19" s="225"/>
      <c r="D19" s="114"/>
      <c r="E19" s="11" t="str">
        <f t="shared" si="1"/>
        <v/>
      </c>
      <c r="F19" s="117" t="str">
        <f t="shared" si="2"/>
        <v/>
      </c>
      <c r="G19" s="120" t="str">
        <f t="shared" si="3"/>
        <v/>
      </c>
      <c r="H19" s="121" t="str">
        <f t="shared" si="4"/>
        <v/>
      </c>
      <c r="I19" s="73" t="str">
        <f t="shared" si="5"/>
        <v/>
      </c>
    </row>
    <row r="20" spans="1:9">
      <c r="A20" s="19" t="str">
        <f t="shared" si="0"/>
        <v/>
      </c>
      <c r="B20" s="224"/>
      <c r="C20" s="225"/>
      <c r="D20" s="114"/>
      <c r="E20" s="11" t="str">
        <f t="shared" si="1"/>
        <v/>
      </c>
      <c r="F20" s="117" t="str">
        <f t="shared" si="2"/>
        <v/>
      </c>
      <c r="G20" s="120" t="str">
        <f t="shared" si="3"/>
        <v/>
      </c>
      <c r="H20" s="121" t="str">
        <f t="shared" si="4"/>
        <v/>
      </c>
      <c r="I20" s="73" t="str">
        <f t="shared" si="5"/>
        <v/>
      </c>
    </row>
    <row r="21" spans="1:9">
      <c r="A21" s="19" t="str">
        <f t="shared" si="0"/>
        <v/>
      </c>
      <c r="B21" s="224"/>
      <c r="C21" s="225"/>
      <c r="D21" s="114"/>
      <c r="E21" s="11" t="str">
        <f t="shared" si="1"/>
        <v/>
      </c>
      <c r="F21" s="117" t="str">
        <f t="shared" si="2"/>
        <v/>
      </c>
      <c r="G21" s="120" t="str">
        <f t="shared" si="3"/>
        <v/>
      </c>
      <c r="H21" s="121" t="str">
        <f t="shared" si="4"/>
        <v/>
      </c>
      <c r="I21" s="73" t="str">
        <f t="shared" si="5"/>
        <v/>
      </c>
    </row>
    <row r="22" spans="1:9">
      <c r="A22" s="19" t="str">
        <f t="shared" si="0"/>
        <v/>
      </c>
      <c r="B22" s="224"/>
      <c r="C22" s="225"/>
      <c r="D22" s="114"/>
      <c r="E22" s="11" t="str">
        <f t="shared" si="1"/>
        <v/>
      </c>
      <c r="F22" s="117" t="str">
        <f t="shared" si="2"/>
        <v/>
      </c>
      <c r="G22" s="120" t="str">
        <f t="shared" si="3"/>
        <v/>
      </c>
      <c r="H22" s="121" t="str">
        <f t="shared" si="4"/>
        <v/>
      </c>
      <c r="I22" s="73" t="str">
        <f t="shared" si="5"/>
        <v/>
      </c>
    </row>
    <row r="23" spans="1:9">
      <c r="A23" s="19" t="str">
        <f t="shared" si="0"/>
        <v/>
      </c>
      <c r="B23" s="224"/>
      <c r="C23" s="225"/>
      <c r="D23" s="114"/>
      <c r="E23" s="11" t="str">
        <f t="shared" si="1"/>
        <v/>
      </c>
      <c r="F23" s="117" t="str">
        <f t="shared" si="2"/>
        <v/>
      </c>
      <c r="G23" s="120" t="str">
        <f t="shared" si="3"/>
        <v/>
      </c>
      <c r="H23" s="121" t="str">
        <f t="shared" si="4"/>
        <v/>
      </c>
      <c r="I23" s="73" t="str">
        <f t="shared" si="5"/>
        <v/>
      </c>
    </row>
    <row r="24" spans="1:9">
      <c r="A24" s="19" t="str">
        <f t="shared" si="0"/>
        <v/>
      </c>
      <c r="B24" s="224"/>
      <c r="C24" s="225"/>
      <c r="D24" s="114"/>
      <c r="E24" s="11" t="str">
        <f t="shared" si="1"/>
        <v/>
      </c>
      <c r="F24" s="117" t="str">
        <f t="shared" si="2"/>
        <v/>
      </c>
      <c r="G24" s="120" t="str">
        <f t="shared" si="3"/>
        <v/>
      </c>
      <c r="H24" s="121" t="str">
        <f t="shared" si="4"/>
        <v/>
      </c>
      <c r="I24" s="73" t="str">
        <f t="shared" si="5"/>
        <v/>
      </c>
    </row>
    <row r="25" spans="1:9">
      <c r="A25" s="19" t="str">
        <f t="shared" si="0"/>
        <v/>
      </c>
      <c r="B25" s="224"/>
      <c r="C25" s="225"/>
      <c r="D25" s="114"/>
      <c r="E25" s="11" t="str">
        <f t="shared" si="1"/>
        <v/>
      </c>
      <c r="F25" s="117" t="str">
        <f t="shared" si="2"/>
        <v/>
      </c>
      <c r="G25" s="120" t="str">
        <f t="shared" si="3"/>
        <v/>
      </c>
      <c r="H25" s="121" t="str">
        <f t="shared" si="4"/>
        <v/>
      </c>
      <c r="I25" s="73" t="str">
        <f t="shared" si="5"/>
        <v/>
      </c>
    </row>
    <row r="26" spans="1:9">
      <c r="A26" s="19" t="str">
        <f t="shared" si="0"/>
        <v/>
      </c>
      <c r="B26" s="224"/>
      <c r="C26" s="225"/>
      <c r="D26" s="114"/>
      <c r="E26" s="11" t="str">
        <f t="shared" si="1"/>
        <v/>
      </c>
      <c r="F26" s="117" t="str">
        <f t="shared" si="2"/>
        <v/>
      </c>
      <c r="G26" s="120" t="str">
        <f t="shared" si="3"/>
        <v/>
      </c>
      <c r="H26" s="121" t="str">
        <f t="shared" si="4"/>
        <v/>
      </c>
      <c r="I26" s="73" t="str">
        <f t="shared" si="5"/>
        <v/>
      </c>
    </row>
    <row r="27" spans="1:9">
      <c r="A27" s="19" t="str">
        <f t="shared" si="0"/>
        <v/>
      </c>
      <c r="B27" s="224"/>
      <c r="C27" s="225"/>
      <c r="D27" s="114"/>
      <c r="E27" s="11" t="str">
        <f t="shared" si="1"/>
        <v/>
      </c>
      <c r="F27" s="117" t="str">
        <f t="shared" si="2"/>
        <v/>
      </c>
      <c r="G27" s="120" t="str">
        <f t="shared" si="3"/>
        <v/>
      </c>
      <c r="H27" s="121" t="str">
        <f t="shared" si="4"/>
        <v/>
      </c>
      <c r="I27" s="73" t="str">
        <f t="shared" si="5"/>
        <v/>
      </c>
    </row>
    <row r="28" spans="1:9">
      <c r="A28" s="19" t="str">
        <f t="shared" si="0"/>
        <v/>
      </c>
      <c r="B28" s="224"/>
      <c r="C28" s="225"/>
      <c r="D28" s="114"/>
      <c r="E28" s="11" t="str">
        <f t="shared" si="1"/>
        <v/>
      </c>
      <c r="F28" s="117" t="str">
        <f t="shared" si="2"/>
        <v/>
      </c>
      <c r="G28" s="120" t="str">
        <f t="shared" si="3"/>
        <v/>
      </c>
      <c r="H28" s="121" t="str">
        <f t="shared" si="4"/>
        <v/>
      </c>
      <c r="I28" s="73" t="str">
        <f t="shared" si="5"/>
        <v/>
      </c>
    </row>
    <row r="29" spans="1:9" ht="15" thickBot="1">
      <c r="A29" s="20" t="str">
        <f t="shared" si="0"/>
        <v/>
      </c>
      <c r="B29" s="232"/>
      <c r="C29" s="233"/>
      <c r="D29" s="115"/>
      <c r="E29" s="22" t="str">
        <f t="shared" si="1"/>
        <v/>
      </c>
      <c r="F29" s="118" t="str">
        <f t="shared" si="2"/>
        <v/>
      </c>
      <c r="G29" s="122" t="str">
        <f t="shared" si="3"/>
        <v/>
      </c>
      <c r="H29" s="123" t="str">
        <f t="shared" si="4"/>
        <v/>
      </c>
      <c r="I29" s="147" t="str">
        <f t="shared" si="5"/>
        <v/>
      </c>
    </row>
    <row r="30" spans="1:9" ht="15" thickBot="1">
      <c r="D30" s="234" t="s">
        <v>140</v>
      </c>
      <c r="E30" s="235"/>
      <c r="F30" s="235"/>
      <c r="G30" s="235"/>
      <c r="H30" s="236"/>
      <c r="I30" s="148">
        <f t="array" ref="I30">SUMPRODUCT(D15:D29*IF(G15:G29="",0,G15:G29))</f>
        <v>21860</v>
      </c>
    </row>
    <row r="31" spans="1:9" ht="15" thickBot="1">
      <c r="D31" s="234" t="s">
        <v>244</v>
      </c>
      <c r="E31" s="235"/>
      <c r="F31" s="235"/>
      <c r="G31" s="235"/>
      <c r="H31" s="236"/>
      <c r="I31" s="148">
        <f>SUM(I15:I29)-I30</f>
        <v>4372</v>
      </c>
    </row>
    <row r="32" spans="1:9" ht="15" thickBot="1">
      <c r="D32" s="234" t="s">
        <v>245</v>
      </c>
      <c r="E32" s="235"/>
      <c r="F32" s="235"/>
      <c r="G32" s="235"/>
      <c r="H32" s="236"/>
      <c r="I32" s="148">
        <f>IF(I30&gt;'Tableau de bord'!B27,IF(Facture!I30&gt;'Tableau de bord'!B28,0,FDPD),FDP)</f>
        <v>100</v>
      </c>
    </row>
    <row r="33" spans="4:9" ht="15" thickBot="1">
      <c r="D33" s="234" t="s">
        <v>142</v>
      </c>
      <c r="E33" s="235"/>
      <c r="F33" s="235"/>
      <c r="G33" s="235"/>
      <c r="H33" s="236"/>
      <c r="I33" s="148">
        <f>SUM(I30:I32)</f>
        <v>26332</v>
      </c>
    </row>
  </sheetData>
  <mergeCells count="26">
    <mergeCell ref="B29:C29"/>
    <mergeCell ref="D33:H33"/>
    <mergeCell ref="G5:I5"/>
    <mergeCell ref="G6:I6"/>
    <mergeCell ref="G7:I7"/>
    <mergeCell ref="G8:I8"/>
    <mergeCell ref="G9:I9"/>
    <mergeCell ref="D30:H30"/>
    <mergeCell ref="D31:H31"/>
    <mergeCell ref="D32:H32"/>
    <mergeCell ref="B24:C24"/>
    <mergeCell ref="B25:C25"/>
    <mergeCell ref="B26:C26"/>
    <mergeCell ref="B27:C27"/>
    <mergeCell ref="B28:C28"/>
    <mergeCell ref="B19:C19"/>
    <mergeCell ref="M6:N7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</mergeCells>
  <conditionalFormatting sqref="A15:I31 A34:I34 A32:H33">
    <cfRule type="containsErrors" dxfId="4" priority="1">
      <formula>ISERROR(A15)</formula>
    </cfRule>
  </conditionalFormatting>
  <pageMargins left="0.7" right="0.7" top="0.75" bottom="0.75" header="0.3" footer="0.3"/>
  <pageSetup paperSize="9" scale="62" orientation="portrait" r:id="rId1"/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 xr:uid="{AF23363F-685A-4733-ACD5-3A500C40E801}">
          <x14:formula1>
            <xm:f>Stock!$A$4:$A$18</xm:f>
          </x14:formula1>
          <xm:sqref>B16:C29</xm:sqref>
        </x14:dataValidation>
        <x14:dataValidation type="list" allowBlank="1" showInputMessage="1" showErrorMessage="1" xr:uid="{BA527854-1EDB-4347-9283-3B9BC0042563}">
          <x14:formula1>
            <xm:f>Stock!$A$3:$A$20</xm:f>
          </x14:formula1>
          <xm:sqref>B15:C15</xm:sqref>
        </x14:dataValidation>
        <x14:dataValidation type="list" allowBlank="1" showInputMessage="1" showErrorMessage="1" xr:uid="{00000000-0002-0000-0100-000000000000}">
          <x14:formula1>
            <xm:f>'Clients - Statistiques'!$A$3:$A$48</xm:f>
          </x14:formula1>
          <xm:sqref>D5:F5</xm:sqref>
        </x14:dataValidation>
        <x14:dataValidation type="list" allowBlank="1" showInputMessage="1" showErrorMessage="1" xr:uid="{00000000-0002-0000-0100-000001000000}">
          <x14:formula1>
            <xm:f>'Clients - Statistiques'!$A$1:$A$48</xm:f>
          </x14:formula1>
          <xm:sqref>G5:I5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B1:G80"/>
  <sheetViews>
    <sheetView workbookViewId="0"/>
  </sheetViews>
  <sheetFormatPr baseColWidth="10" defaultColWidth="11.44140625" defaultRowHeight="14.4"/>
  <cols>
    <col min="1" max="1" width="1.5546875" customWidth="1"/>
    <col min="2" max="3" width="8.77734375" customWidth="1"/>
    <col min="4" max="4" width="12.77734375" customWidth="1"/>
    <col min="5" max="5" width="34.77734375" customWidth="1"/>
    <col min="6" max="6" width="13.77734375" style="54" customWidth="1"/>
    <col min="7" max="7" width="14.77734375" style="49" customWidth="1"/>
    <col min="8" max="8" width="20.33203125" customWidth="1"/>
  </cols>
  <sheetData>
    <row r="1" spans="2:7" ht="24" customHeight="1" thickBot="1">
      <c r="B1" s="246" t="s">
        <v>187</v>
      </c>
      <c r="C1" s="247"/>
      <c r="D1" s="247"/>
      <c r="E1" s="247"/>
      <c r="F1" s="247"/>
      <c r="G1" s="248"/>
    </row>
    <row r="2" spans="2:7" ht="34.950000000000003" customHeight="1" thickBot="1">
      <c r="B2" s="196" t="s">
        <v>192</v>
      </c>
      <c r="C2" s="197" t="s">
        <v>193</v>
      </c>
      <c r="D2" s="198" t="s">
        <v>230</v>
      </c>
      <c r="E2" s="199" t="s">
        <v>188</v>
      </c>
      <c r="F2" s="200" t="s">
        <v>191</v>
      </c>
      <c r="G2" s="201" t="s">
        <v>189</v>
      </c>
    </row>
    <row r="3" spans="2:7">
      <c r="B3" s="12">
        <v>2018</v>
      </c>
      <c r="C3" s="193">
        <v>2</v>
      </c>
      <c r="D3" s="77">
        <v>12</v>
      </c>
      <c r="E3" s="69" t="s">
        <v>10</v>
      </c>
      <c r="F3" s="51">
        <v>43138</v>
      </c>
      <c r="G3" s="72">
        <v>600</v>
      </c>
    </row>
    <row r="4" spans="2:7">
      <c r="B4" s="75">
        <v>2018</v>
      </c>
      <c r="C4" s="194">
        <v>2</v>
      </c>
      <c r="D4" s="78">
        <v>11</v>
      </c>
      <c r="E4" s="70" t="s">
        <v>249</v>
      </c>
      <c r="F4" s="52">
        <v>43137</v>
      </c>
      <c r="G4" s="73">
        <v>1000</v>
      </c>
    </row>
    <row r="5" spans="2:7">
      <c r="B5" s="75">
        <v>2018</v>
      </c>
      <c r="C5" s="194">
        <v>2</v>
      </c>
      <c r="D5" s="78">
        <v>10</v>
      </c>
      <c r="E5" s="70" t="s">
        <v>10</v>
      </c>
      <c r="F5" s="52">
        <v>43136</v>
      </c>
      <c r="G5" s="73">
        <v>500</v>
      </c>
    </row>
    <row r="6" spans="2:7">
      <c r="B6" s="75">
        <v>2018</v>
      </c>
      <c r="C6" s="194">
        <v>2</v>
      </c>
      <c r="D6" s="78">
        <v>9</v>
      </c>
      <c r="E6" s="70" t="s">
        <v>10</v>
      </c>
      <c r="F6" s="52">
        <v>43135</v>
      </c>
      <c r="G6" s="73">
        <v>400</v>
      </c>
    </row>
    <row r="7" spans="2:7">
      <c r="B7" s="75">
        <v>2018</v>
      </c>
      <c r="C7" s="194">
        <v>2</v>
      </c>
      <c r="D7" s="78">
        <v>8</v>
      </c>
      <c r="E7" s="70" t="s">
        <v>249</v>
      </c>
      <c r="F7" s="52">
        <v>43134</v>
      </c>
      <c r="G7" s="73">
        <v>1000</v>
      </c>
    </row>
    <row r="8" spans="2:7">
      <c r="B8" s="75">
        <v>2018</v>
      </c>
      <c r="C8" s="194">
        <v>2</v>
      </c>
      <c r="D8" s="78">
        <v>7</v>
      </c>
      <c r="E8" s="70" t="s">
        <v>249</v>
      </c>
      <c r="F8" s="52">
        <v>43133</v>
      </c>
      <c r="G8" s="73">
        <v>1000</v>
      </c>
    </row>
    <row r="9" spans="2:7">
      <c r="B9" s="75">
        <v>2018</v>
      </c>
      <c r="C9" s="194">
        <v>1</v>
      </c>
      <c r="D9" s="78">
        <v>6</v>
      </c>
      <c r="E9" s="70" t="s">
        <v>10</v>
      </c>
      <c r="F9" s="52">
        <v>43107</v>
      </c>
      <c r="G9" s="73">
        <v>300</v>
      </c>
    </row>
    <row r="10" spans="2:7">
      <c r="B10" s="75">
        <v>2018</v>
      </c>
      <c r="C10" s="194">
        <v>1</v>
      </c>
      <c r="D10" s="78">
        <v>5</v>
      </c>
      <c r="E10" s="70" t="s">
        <v>249</v>
      </c>
      <c r="F10" s="52">
        <v>43106</v>
      </c>
      <c r="G10" s="73">
        <v>1000</v>
      </c>
    </row>
    <row r="11" spans="2:7">
      <c r="B11" s="75">
        <v>2018</v>
      </c>
      <c r="C11" s="194">
        <v>1</v>
      </c>
      <c r="D11" s="78">
        <v>4</v>
      </c>
      <c r="E11" s="70" t="s">
        <v>249</v>
      </c>
      <c r="F11" s="52">
        <v>43105</v>
      </c>
      <c r="G11" s="73">
        <v>1000</v>
      </c>
    </row>
    <row r="12" spans="2:7">
      <c r="B12" s="75">
        <v>2018</v>
      </c>
      <c r="C12" s="194">
        <v>1</v>
      </c>
      <c r="D12" s="78">
        <v>3</v>
      </c>
      <c r="E12" s="70" t="s">
        <v>10</v>
      </c>
      <c r="F12" s="52">
        <v>43104</v>
      </c>
      <c r="G12" s="73">
        <v>200</v>
      </c>
    </row>
    <row r="13" spans="2:7">
      <c r="B13" s="75">
        <v>2018</v>
      </c>
      <c r="C13" s="194">
        <v>1</v>
      </c>
      <c r="D13" s="78">
        <v>2</v>
      </c>
      <c r="E13" s="70" t="s">
        <v>249</v>
      </c>
      <c r="F13" s="52">
        <v>43103</v>
      </c>
      <c r="G13" s="73">
        <v>1000</v>
      </c>
    </row>
    <row r="14" spans="2:7">
      <c r="B14" s="75">
        <v>2018</v>
      </c>
      <c r="C14" s="194">
        <v>1</v>
      </c>
      <c r="D14" s="78">
        <v>1</v>
      </c>
      <c r="E14" s="70" t="s">
        <v>10</v>
      </c>
      <c r="F14" s="52">
        <v>43102</v>
      </c>
      <c r="G14" s="73">
        <v>100</v>
      </c>
    </row>
    <row r="15" spans="2:7">
      <c r="B15" s="75"/>
      <c r="C15" s="194"/>
      <c r="D15" s="78"/>
      <c r="E15" s="70"/>
      <c r="F15" s="52"/>
      <c r="G15" s="73"/>
    </row>
    <row r="16" spans="2:7">
      <c r="B16" s="75"/>
      <c r="C16" s="194"/>
      <c r="D16" s="78"/>
      <c r="E16" s="70"/>
      <c r="F16" s="52"/>
      <c r="G16" s="73"/>
    </row>
    <row r="17" spans="2:7">
      <c r="B17" s="75"/>
      <c r="C17" s="194"/>
      <c r="D17" s="78"/>
      <c r="E17" s="70"/>
      <c r="F17" s="52"/>
      <c r="G17" s="73"/>
    </row>
    <row r="18" spans="2:7">
      <c r="B18" s="75"/>
      <c r="C18" s="194"/>
      <c r="D18" s="78"/>
      <c r="E18" s="70"/>
      <c r="F18" s="52"/>
      <c r="G18" s="73"/>
    </row>
    <row r="19" spans="2:7">
      <c r="B19" s="75"/>
      <c r="C19" s="194"/>
      <c r="D19" s="78"/>
      <c r="E19" s="70"/>
      <c r="F19" s="52"/>
      <c r="G19" s="73"/>
    </row>
    <row r="20" spans="2:7">
      <c r="B20" s="75"/>
      <c r="C20" s="194"/>
      <c r="D20" s="78"/>
      <c r="E20" s="70"/>
      <c r="F20" s="52"/>
      <c r="G20" s="73"/>
    </row>
    <row r="21" spans="2:7">
      <c r="B21" s="75"/>
      <c r="C21" s="194"/>
      <c r="D21" s="78"/>
      <c r="E21" s="70"/>
      <c r="F21" s="52"/>
      <c r="G21" s="73"/>
    </row>
    <row r="22" spans="2:7">
      <c r="B22" s="75"/>
      <c r="C22" s="194"/>
      <c r="D22" s="78"/>
      <c r="E22" s="70"/>
      <c r="F22" s="52"/>
      <c r="G22" s="73"/>
    </row>
    <row r="23" spans="2:7">
      <c r="B23" s="75"/>
      <c r="C23" s="194"/>
      <c r="D23" s="78"/>
      <c r="E23" s="70"/>
      <c r="F23" s="52"/>
      <c r="G23" s="73"/>
    </row>
    <row r="24" spans="2:7">
      <c r="B24" s="75"/>
      <c r="C24" s="194"/>
      <c r="D24" s="78"/>
      <c r="E24" s="70"/>
      <c r="F24" s="52"/>
      <c r="G24" s="73"/>
    </row>
    <row r="25" spans="2:7">
      <c r="B25" s="75"/>
      <c r="C25" s="194"/>
      <c r="D25" s="78"/>
      <c r="E25" s="70"/>
      <c r="F25" s="52"/>
      <c r="G25" s="73"/>
    </row>
    <row r="26" spans="2:7">
      <c r="B26" s="75"/>
      <c r="C26" s="194"/>
      <c r="D26" s="78"/>
      <c r="E26" s="70"/>
      <c r="F26" s="52"/>
      <c r="G26" s="73"/>
    </row>
    <row r="27" spans="2:7">
      <c r="B27" s="75"/>
      <c r="C27" s="194"/>
      <c r="D27" s="78"/>
      <c r="E27" s="70"/>
      <c r="F27" s="52"/>
      <c r="G27" s="73"/>
    </row>
    <row r="28" spans="2:7">
      <c r="B28" s="75"/>
      <c r="C28" s="194"/>
      <c r="D28" s="78"/>
      <c r="E28" s="70"/>
      <c r="F28" s="52"/>
      <c r="G28" s="73"/>
    </row>
    <row r="29" spans="2:7">
      <c r="B29" s="75"/>
      <c r="C29" s="194"/>
      <c r="D29" s="78"/>
      <c r="E29" s="70"/>
      <c r="F29" s="52"/>
      <c r="G29" s="73"/>
    </row>
    <row r="30" spans="2:7">
      <c r="B30" s="75"/>
      <c r="C30" s="194"/>
      <c r="D30" s="78"/>
      <c r="E30" s="70"/>
      <c r="F30" s="52"/>
      <c r="G30" s="73"/>
    </row>
    <row r="31" spans="2:7">
      <c r="B31" s="75"/>
      <c r="C31" s="194"/>
      <c r="D31" s="78"/>
      <c r="E31" s="70"/>
      <c r="F31" s="52"/>
      <c r="G31" s="73"/>
    </row>
    <row r="32" spans="2:7">
      <c r="B32" s="75"/>
      <c r="C32" s="194"/>
      <c r="D32" s="78"/>
      <c r="E32" s="70"/>
      <c r="F32" s="52"/>
      <c r="G32" s="73"/>
    </row>
    <row r="33" spans="2:7">
      <c r="B33" s="75"/>
      <c r="C33" s="194"/>
      <c r="D33" s="78"/>
      <c r="E33" s="70"/>
      <c r="F33" s="52"/>
      <c r="G33" s="73"/>
    </row>
    <row r="34" spans="2:7">
      <c r="B34" s="75"/>
      <c r="C34" s="194"/>
      <c r="D34" s="78"/>
      <c r="E34" s="70"/>
      <c r="F34" s="52"/>
      <c r="G34" s="73"/>
    </row>
    <row r="35" spans="2:7">
      <c r="B35" s="75"/>
      <c r="C35" s="194"/>
      <c r="D35" s="78"/>
      <c r="E35" s="70"/>
      <c r="F35" s="52"/>
      <c r="G35" s="73"/>
    </row>
    <row r="36" spans="2:7">
      <c r="B36" s="75"/>
      <c r="C36" s="194"/>
      <c r="D36" s="78"/>
      <c r="E36" s="70"/>
      <c r="F36" s="52"/>
      <c r="G36" s="73"/>
    </row>
    <row r="37" spans="2:7">
      <c r="B37" s="75"/>
      <c r="C37" s="194"/>
      <c r="D37" s="78"/>
      <c r="E37" s="70"/>
      <c r="F37" s="52"/>
      <c r="G37" s="73"/>
    </row>
    <row r="38" spans="2:7">
      <c r="B38" s="75"/>
      <c r="C38" s="194"/>
      <c r="D38" s="78"/>
      <c r="E38" s="70"/>
      <c r="F38" s="52"/>
      <c r="G38" s="73"/>
    </row>
    <row r="39" spans="2:7">
      <c r="B39" s="75"/>
      <c r="C39" s="194"/>
      <c r="D39" s="78"/>
      <c r="E39" s="70"/>
      <c r="F39" s="52"/>
      <c r="G39" s="73"/>
    </row>
    <row r="40" spans="2:7">
      <c r="B40" s="75"/>
      <c r="C40" s="194"/>
      <c r="D40" s="78"/>
      <c r="E40" s="70"/>
      <c r="F40" s="52"/>
      <c r="G40" s="73"/>
    </row>
    <row r="41" spans="2:7">
      <c r="B41" s="75"/>
      <c r="C41" s="194"/>
      <c r="D41" s="78"/>
      <c r="E41" s="70"/>
      <c r="F41" s="52"/>
      <c r="G41" s="73"/>
    </row>
    <row r="42" spans="2:7">
      <c r="B42" s="75"/>
      <c r="C42" s="194"/>
      <c r="D42" s="78"/>
      <c r="E42" s="70"/>
      <c r="F42" s="52"/>
      <c r="G42" s="73"/>
    </row>
    <row r="43" spans="2:7">
      <c r="B43" s="75"/>
      <c r="C43" s="194"/>
      <c r="D43" s="78"/>
      <c r="E43" s="70"/>
      <c r="F43" s="52"/>
      <c r="G43" s="73"/>
    </row>
    <row r="44" spans="2:7">
      <c r="B44" s="75"/>
      <c r="C44" s="194"/>
      <c r="D44" s="78"/>
      <c r="E44" s="70"/>
      <c r="F44" s="52"/>
      <c r="G44" s="73"/>
    </row>
    <row r="45" spans="2:7">
      <c r="B45" s="75"/>
      <c r="C45" s="194"/>
      <c r="D45" s="78"/>
      <c r="E45" s="70"/>
      <c r="F45" s="52"/>
      <c r="G45" s="73"/>
    </row>
    <row r="46" spans="2:7">
      <c r="B46" s="75"/>
      <c r="C46" s="194"/>
      <c r="D46" s="78"/>
      <c r="E46" s="70"/>
      <c r="F46" s="52"/>
      <c r="G46" s="73"/>
    </row>
    <row r="47" spans="2:7">
      <c r="B47" s="75"/>
      <c r="C47" s="194"/>
      <c r="D47" s="78"/>
      <c r="E47" s="70"/>
      <c r="F47" s="52"/>
      <c r="G47" s="73"/>
    </row>
    <row r="48" spans="2:7">
      <c r="B48" s="75"/>
      <c r="C48" s="194"/>
      <c r="D48" s="78"/>
      <c r="E48" s="70"/>
      <c r="F48" s="52"/>
      <c r="G48" s="73"/>
    </row>
    <row r="49" spans="2:7">
      <c r="B49" s="75"/>
      <c r="C49" s="194"/>
      <c r="D49" s="78"/>
      <c r="E49" s="70"/>
      <c r="F49" s="52"/>
      <c r="G49" s="73"/>
    </row>
    <row r="50" spans="2:7">
      <c r="B50" s="75"/>
      <c r="C50" s="194"/>
      <c r="D50" s="78"/>
      <c r="E50" s="70"/>
      <c r="F50" s="52"/>
      <c r="G50" s="73"/>
    </row>
    <row r="51" spans="2:7">
      <c r="B51" s="75"/>
      <c r="C51" s="194"/>
      <c r="D51" s="78"/>
      <c r="E51" s="70"/>
      <c r="F51" s="52"/>
      <c r="G51" s="73"/>
    </row>
    <row r="52" spans="2:7">
      <c r="B52" s="75"/>
      <c r="C52" s="194"/>
      <c r="D52" s="78"/>
      <c r="E52" s="70"/>
      <c r="F52" s="52"/>
      <c r="G52" s="73"/>
    </row>
    <row r="53" spans="2:7">
      <c r="B53" s="75"/>
      <c r="C53" s="194"/>
      <c r="D53" s="78"/>
      <c r="E53" s="70"/>
      <c r="F53" s="52"/>
      <c r="G53" s="73"/>
    </row>
    <row r="54" spans="2:7">
      <c r="B54" s="75"/>
      <c r="C54" s="194"/>
      <c r="D54" s="78"/>
      <c r="E54" s="70"/>
      <c r="F54" s="52"/>
      <c r="G54" s="73"/>
    </row>
    <row r="55" spans="2:7">
      <c r="B55" s="75"/>
      <c r="C55" s="194"/>
      <c r="D55" s="78"/>
      <c r="E55" s="70"/>
      <c r="F55" s="52"/>
      <c r="G55" s="73"/>
    </row>
    <row r="56" spans="2:7">
      <c r="B56" s="75"/>
      <c r="C56" s="194"/>
      <c r="D56" s="78"/>
      <c r="E56" s="70"/>
      <c r="F56" s="52"/>
      <c r="G56" s="73"/>
    </row>
    <row r="57" spans="2:7">
      <c r="B57" s="75"/>
      <c r="C57" s="194"/>
      <c r="D57" s="78"/>
      <c r="E57" s="70"/>
      <c r="F57" s="52"/>
      <c r="G57" s="73"/>
    </row>
    <row r="58" spans="2:7">
      <c r="B58" s="75"/>
      <c r="C58" s="194"/>
      <c r="D58" s="78"/>
      <c r="E58" s="70"/>
      <c r="F58" s="52"/>
      <c r="G58" s="73"/>
    </row>
    <row r="59" spans="2:7">
      <c r="B59" s="75"/>
      <c r="C59" s="194"/>
      <c r="D59" s="78"/>
      <c r="E59" s="70"/>
      <c r="F59" s="52"/>
      <c r="G59" s="73"/>
    </row>
    <row r="60" spans="2:7">
      <c r="B60" s="75"/>
      <c r="C60" s="194"/>
      <c r="D60" s="78"/>
      <c r="E60" s="70"/>
      <c r="F60" s="52"/>
      <c r="G60" s="73"/>
    </row>
    <row r="61" spans="2:7">
      <c r="B61" s="75"/>
      <c r="C61" s="194"/>
      <c r="D61" s="78"/>
      <c r="E61" s="70"/>
      <c r="F61" s="52"/>
      <c r="G61" s="73"/>
    </row>
    <row r="62" spans="2:7">
      <c r="B62" s="75"/>
      <c r="C62" s="194"/>
      <c r="D62" s="78"/>
      <c r="E62" s="70"/>
      <c r="F62" s="52"/>
      <c r="G62" s="73"/>
    </row>
    <row r="63" spans="2:7">
      <c r="B63" s="75"/>
      <c r="C63" s="194"/>
      <c r="D63" s="78"/>
      <c r="E63" s="70"/>
      <c r="F63" s="52"/>
      <c r="G63" s="73"/>
    </row>
    <row r="64" spans="2:7">
      <c r="B64" s="75"/>
      <c r="C64" s="194"/>
      <c r="D64" s="78"/>
      <c r="E64" s="70"/>
      <c r="F64" s="52"/>
      <c r="G64" s="73"/>
    </row>
    <row r="65" spans="2:7">
      <c r="B65" s="75"/>
      <c r="C65" s="194"/>
      <c r="D65" s="78"/>
      <c r="E65" s="70"/>
      <c r="F65" s="52"/>
      <c r="G65" s="73"/>
    </row>
    <row r="66" spans="2:7">
      <c r="B66" s="75"/>
      <c r="C66" s="194"/>
      <c r="D66" s="78"/>
      <c r="E66" s="70"/>
      <c r="F66" s="52"/>
      <c r="G66" s="73"/>
    </row>
    <row r="67" spans="2:7">
      <c r="B67" s="75"/>
      <c r="C67" s="194"/>
      <c r="D67" s="78"/>
      <c r="E67" s="70"/>
      <c r="F67" s="52"/>
      <c r="G67" s="73"/>
    </row>
    <row r="68" spans="2:7">
      <c r="B68" s="75"/>
      <c r="C68" s="194"/>
      <c r="D68" s="78"/>
      <c r="E68" s="70"/>
      <c r="F68" s="52"/>
      <c r="G68" s="73"/>
    </row>
    <row r="69" spans="2:7">
      <c r="B69" s="75"/>
      <c r="C69" s="194"/>
      <c r="D69" s="78"/>
      <c r="E69" s="70"/>
      <c r="F69" s="52"/>
      <c r="G69" s="73"/>
    </row>
    <row r="70" spans="2:7">
      <c r="B70" s="75"/>
      <c r="C70" s="194"/>
      <c r="D70" s="78"/>
      <c r="E70" s="70"/>
      <c r="F70" s="52"/>
      <c r="G70" s="73"/>
    </row>
    <row r="71" spans="2:7">
      <c r="B71" s="75"/>
      <c r="C71" s="194"/>
      <c r="D71" s="78"/>
      <c r="E71" s="70"/>
      <c r="F71" s="52"/>
      <c r="G71" s="73"/>
    </row>
    <row r="72" spans="2:7">
      <c r="B72" s="75"/>
      <c r="C72" s="194"/>
      <c r="D72" s="78"/>
      <c r="E72" s="70"/>
      <c r="F72" s="52"/>
      <c r="G72" s="73"/>
    </row>
    <row r="73" spans="2:7">
      <c r="B73" s="75"/>
      <c r="C73" s="194"/>
      <c r="D73" s="78"/>
      <c r="E73" s="70"/>
      <c r="F73" s="52"/>
      <c r="G73" s="73"/>
    </row>
    <row r="74" spans="2:7">
      <c r="B74" s="75"/>
      <c r="C74" s="194"/>
      <c r="D74" s="78"/>
      <c r="E74" s="70"/>
      <c r="F74" s="52"/>
      <c r="G74" s="73"/>
    </row>
    <row r="75" spans="2:7">
      <c r="B75" s="75"/>
      <c r="C75" s="194"/>
      <c r="D75" s="78"/>
      <c r="E75" s="70"/>
      <c r="F75" s="52"/>
      <c r="G75" s="73"/>
    </row>
    <row r="76" spans="2:7">
      <c r="B76" s="75"/>
      <c r="C76" s="194"/>
      <c r="D76" s="78"/>
      <c r="E76" s="70"/>
      <c r="F76" s="52"/>
      <c r="G76" s="73"/>
    </row>
    <row r="77" spans="2:7">
      <c r="B77" s="75"/>
      <c r="C77" s="194"/>
      <c r="D77" s="78"/>
      <c r="E77" s="70"/>
      <c r="F77" s="52"/>
      <c r="G77" s="73"/>
    </row>
    <row r="78" spans="2:7">
      <c r="B78" s="75"/>
      <c r="C78" s="194"/>
      <c r="D78" s="78"/>
      <c r="E78" s="70"/>
      <c r="F78" s="52"/>
      <c r="G78" s="73"/>
    </row>
    <row r="79" spans="2:7">
      <c r="B79" s="75"/>
      <c r="C79" s="194"/>
      <c r="D79" s="78"/>
      <c r="E79" s="70"/>
      <c r="F79" s="52"/>
      <c r="G79" s="73"/>
    </row>
    <row r="80" spans="2:7">
      <c r="B80" s="76"/>
      <c r="C80" s="195"/>
      <c r="D80" s="79"/>
      <c r="E80" s="71"/>
      <c r="F80" s="53"/>
      <c r="G80" s="74"/>
    </row>
  </sheetData>
  <mergeCells count="1">
    <mergeCell ref="B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M19"/>
  <sheetViews>
    <sheetView showZeros="0" zoomScale="80" zoomScaleNormal="80" workbookViewId="0"/>
  </sheetViews>
  <sheetFormatPr baseColWidth="10" defaultColWidth="11.44140625" defaultRowHeight="14.4"/>
  <cols>
    <col min="1" max="1" width="45.33203125" style="41" customWidth="1"/>
    <col min="2" max="2" width="11.44140625" style="85"/>
    <col min="3" max="3" width="8.33203125" style="30" customWidth="1"/>
    <col min="4" max="4" width="10.88671875" style="30" customWidth="1"/>
    <col min="5" max="5" width="11.44140625" style="31"/>
    <col min="6" max="7" width="15.77734375" style="87" customWidth="1"/>
    <col min="8" max="8" width="13.77734375" style="88" customWidth="1"/>
    <col min="9" max="9" width="14.77734375" style="43" customWidth="1"/>
    <col min="10" max="10" width="13.77734375" style="98" customWidth="1"/>
    <col min="11" max="12" width="13.77734375" style="86" customWidth="1"/>
    <col min="13" max="13" width="13.77734375" style="30" customWidth="1"/>
    <col min="14" max="16384" width="11.44140625" style="28"/>
  </cols>
  <sheetData>
    <row r="1" spans="1:13">
      <c r="B1" s="82"/>
    </row>
    <row r="2" spans="1:13" ht="15" thickBot="1">
      <c r="A2" s="29"/>
      <c r="B2" s="82"/>
    </row>
    <row r="3" spans="1:13" ht="34.950000000000003" customHeight="1" thickBot="1">
      <c r="A3" s="32" t="s">
        <v>1</v>
      </c>
      <c r="B3" s="83" t="s">
        <v>172</v>
      </c>
      <c r="C3" s="33" t="s">
        <v>173</v>
      </c>
      <c r="D3" s="96" t="s">
        <v>235</v>
      </c>
      <c r="E3" s="34" t="s">
        <v>141</v>
      </c>
      <c r="F3" s="95" t="s">
        <v>231</v>
      </c>
      <c r="G3" s="95" t="s">
        <v>232</v>
      </c>
      <c r="H3" s="42" t="s">
        <v>233</v>
      </c>
      <c r="I3" s="42" t="s">
        <v>234</v>
      </c>
      <c r="J3" s="97" t="s">
        <v>237</v>
      </c>
      <c r="K3" s="95" t="s">
        <v>236</v>
      </c>
      <c r="L3" s="95" t="s">
        <v>238</v>
      </c>
      <c r="M3" s="104" t="s">
        <v>239</v>
      </c>
    </row>
    <row r="4" spans="1:13">
      <c r="A4" s="35" t="s">
        <v>178</v>
      </c>
      <c r="B4" s="84">
        <v>25651856</v>
      </c>
      <c r="C4" s="36" t="s">
        <v>177</v>
      </c>
      <c r="D4" s="36">
        <v>2</v>
      </c>
      <c r="E4" s="37">
        <f>IF(OR(D4&lt;1,D4&gt;2),"",CHOOSE(D4,0.1,0.2))</f>
        <v>0.2</v>
      </c>
      <c r="F4" s="89">
        <v>30</v>
      </c>
      <c r="G4" s="89">
        <f>IF(F4="","",ROUND(F4*(1+E4),2))</f>
        <v>36</v>
      </c>
      <c r="H4" s="90">
        <v>5</v>
      </c>
      <c r="I4" s="44" t="s">
        <v>217</v>
      </c>
      <c r="J4" s="99">
        <f>ROUND(500*$H4,0)</f>
        <v>2500</v>
      </c>
      <c r="K4" s="99">
        <f>ROUND(500*$H4,0)</f>
        <v>2500</v>
      </c>
      <c r="L4" s="99">
        <f>ROUND(50*$H4,0)</f>
        <v>250</v>
      </c>
      <c r="M4" s="105" t="str">
        <f>IF(K4-L4&lt;=0,"x","")</f>
        <v/>
      </c>
    </row>
    <row r="5" spans="1:13" ht="21" customHeight="1">
      <c r="A5" s="26" t="s">
        <v>181</v>
      </c>
      <c r="B5" s="80">
        <v>25651857</v>
      </c>
      <c r="C5" s="25" t="s">
        <v>177</v>
      </c>
      <c r="D5" s="25">
        <v>1</v>
      </c>
      <c r="E5" s="27">
        <f t="shared" ref="E5:E18" si="0">IF(OR(D5&lt;1,D5&gt;2),"",CHOOSE(D5,0.1,0.2))</f>
        <v>0.1</v>
      </c>
      <c r="F5" s="91">
        <v>30</v>
      </c>
      <c r="G5" s="91">
        <f t="shared" ref="G5:G18" si="1">IF(F5="","",ROUND(F5*(1+E5),2))</f>
        <v>33</v>
      </c>
      <c r="H5" s="92">
        <v>5</v>
      </c>
      <c r="I5" s="45" t="s">
        <v>217</v>
      </c>
      <c r="J5" s="100">
        <f t="shared" ref="J5:K7" si="2">ROUND(500*$H5,0)</f>
        <v>2500</v>
      </c>
      <c r="K5" s="100">
        <f t="shared" si="2"/>
        <v>2500</v>
      </c>
      <c r="L5" s="100">
        <f>ROUND(50*$H5,0)</f>
        <v>250</v>
      </c>
      <c r="M5" s="106" t="str">
        <f t="shared" ref="M5:M18" si="3">IF(K5-L5&lt;=0,"x","")</f>
        <v/>
      </c>
    </row>
    <row r="6" spans="1:13">
      <c r="A6" s="26" t="s">
        <v>179</v>
      </c>
      <c r="B6" s="80">
        <v>31535165</v>
      </c>
      <c r="C6" s="25" t="s">
        <v>177</v>
      </c>
      <c r="D6" s="25">
        <v>2</v>
      </c>
      <c r="E6" s="27">
        <f t="shared" si="0"/>
        <v>0.2</v>
      </c>
      <c r="F6" s="91">
        <v>9</v>
      </c>
      <c r="G6" s="91">
        <f t="shared" si="1"/>
        <v>10.8</v>
      </c>
      <c r="H6" s="92">
        <v>7</v>
      </c>
      <c r="I6" s="45" t="s">
        <v>217</v>
      </c>
      <c r="J6" s="100">
        <f t="shared" si="2"/>
        <v>3500</v>
      </c>
      <c r="K6" s="100">
        <f t="shared" si="2"/>
        <v>3500</v>
      </c>
      <c r="L6" s="100">
        <f>ROUND(50*$H6,0)</f>
        <v>350</v>
      </c>
      <c r="M6" s="106" t="str">
        <f t="shared" si="3"/>
        <v/>
      </c>
    </row>
    <row r="7" spans="1:13">
      <c r="A7" s="26" t="s">
        <v>180</v>
      </c>
      <c r="B7" s="80">
        <v>31535166</v>
      </c>
      <c r="C7" s="25" t="s">
        <v>177</v>
      </c>
      <c r="D7" s="25">
        <v>1</v>
      </c>
      <c r="E7" s="27">
        <f t="shared" si="0"/>
        <v>0.1</v>
      </c>
      <c r="F7" s="91">
        <v>9</v>
      </c>
      <c r="G7" s="91">
        <f t="shared" si="1"/>
        <v>9.9</v>
      </c>
      <c r="H7" s="92">
        <v>7</v>
      </c>
      <c r="I7" s="45" t="s">
        <v>217</v>
      </c>
      <c r="J7" s="100">
        <f t="shared" si="2"/>
        <v>3500</v>
      </c>
      <c r="K7" s="100">
        <f t="shared" si="2"/>
        <v>3500</v>
      </c>
      <c r="L7" s="100">
        <f>ROUND(50*$H7,0)</f>
        <v>350</v>
      </c>
      <c r="M7" s="106" t="str">
        <f t="shared" si="3"/>
        <v/>
      </c>
    </row>
    <row r="8" spans="1:13" ht="33" customHeight="1">
      <c r="A8" s="26" t="s">
        <v>208</v>
      </c>
      <c r="B8" s="80" t="s">
        <v>214</v>
      </c>
      <c r="C8" s="25" t="s">
        <v>177</v>
      </c>
      <c r="D8" s="25">
        <v>2</v>
      </c>
      <c r="E8" s="27">
        <f t="shared" si="0"/>
        <v>0.2</v>
      </c>
      <c r="F8" s="91">
        <v>49.7</v>
      </c>
      <c r="G8" s="91">
        <f t="shared" si="1"/>
        <v>59.64</v>
      </c>
      <c r="H8" s="92">
        <f>1/(0.1*0.1)</f>
        <v>99.999999999999986</v>
      </c>
      <c r="I8" s="45" t="s">
        <v>216</v>
      </c>
      <c r="J8" s="100">
        <f>ROUND(200*$H8,0)</f>
        <v>20000</v>
      </c>
      <c r="K8" s="100">
        <f>ROUND(200*$H8,0)</f>
        <v>20000</v>
      </c>
      <c r="L8" s="101">
        <f>ROUND(20*$H8,0)</f>
        <v>2000</v>
      </c>
      <c r="M8" s="106" t="str">
        <f t="shared" si="3"/>
        <v/>
      </c>
    </row>
    <row r="9" spans="1:13" ht="30.75" customHeight="1">
      <c r="A9" s="26" t="s">
        <v>207</v>
      </c>
      <c r="B9" s="80" t="s">
        <v>212</v>
      </c>
      <c r="C9" s="25" t="s">
        <v>177</v>
      </c>
      <c r="D9" s="25">
        <v>2</v>
      </c>
      <c r="E9" s="27">
        <f t="shared" si="0"/>
        <v>0.2</v>
      </c>
      <c r="F9" s="91">
        <v>50.9</v>
      </c>
      <c r="G9" s="91">
        <f t="shared" si="1"/>
        <v>61.08</v>
      </c>
      <c r="H9" s="92">
        <f>1/(0.15*0.15)</f>
        <v>44.444444444444443</v>
      </c>
      <c r="I9" s="45" t="s">
        <v>216</v>
      </c>
      <c r="J9" s="100">
        <f t="shared" ref="J9:K10" si="4">ROUND(200*$H9,0)</f>
        <v>8889</v>
      </c>
      <c r="K9" s="100">
        <f t="shared" si="4"/>
        <v>8889</v>
      </c>
      <c r="L9" s="101">
        <f>ROUND(20*$H9,0)</f>
        <v>889</v>
      </c>
      <c r="M9" s="106" t="str">
        <f t="shared" si="3"/>
        <v/>
      </c>
    </row>
    <row r="10" spans="1:13" ht="23.25" customHeight="1">
      <c r="A10" s="26" t="s">
        <v>211</v>
      </c>
      <c r="B10" s="80" t="s">
        <v>213</v>
      </c>
      <c r="C10" s="25" t="s">
        <v>177</v>
      </c>
      <c r="D10" s="25">
        <v>2</v>
      </c>
      <c r="E10" s="27">
        <f t="shared" si="0"/>
        <v>0.2</v>
      </c>
      <c r="F10" s="91">
        <v>60</v>
      </c>
      <c r="G10" s="91">
        <f t="shared" si="1"/>
        <v>72</v>
      </c>
      <c r="H10" s="92">
        <f>1/(0.3*0.3)</f>
        <v>11.111111111111111</v>
      </c>
      <c r="I10" s="45" t="s">
        <v>216</v>
      </c>
      <c r="J10" s="100">
        <f t="shared" si="4"/>
        <v>2222</v>
      </c>
      <c r="K10" s="100">
        <f t="shared" si="4"/>
        <v>2222</v>
      </c>
      <c r="L10" s="101">
        <f>ROUND(20*$H10,0)</f>
        <v>222</v>
      </c>
      <c r="M10" s="106" t="str">
        <f t="shared" si="3"/>
        <v/>
      </c>
    </row>
    <row r="11" spans="1:13" ht="38.25" customHeight="1">
      <c r="A11" s="26" t="s">
        <v>202</v>
      </c>
      <c r="B11" s="80" t="s">
        <v>194</v>
      </c>
      <c r="C11" s="25" t="s">
        <v>177</v>
      </c>
      <c r="D11" s="25">
        <v>2</v>
      </c>
      <c r="E11" s="27">
        <f t="shared" si="0"/>
        <v>0.2</v>
      </c>
      <c r="F11" s="91">
        <v>52.8</v>
      </c>
      <c r="G11" s="91">
        <f t="shared" si="1"/>
        <v>63.36</v>
      </c>
      <c r="H11" s="92">
        <f>1/(0.2*0.2)</f>
        <v>24.999999999999996</v>
      </c>
      <c r="I11" s="45" t="s">
        <v>216</v>
      </c>
      <c r="J11" s="100">
        <f>ROUND(500*$H11,0)</f>
        <v>12500</v>
      </c>
      <c r="K11" s="100">
        <f>ROUND(500*$H11,0)</f>
        <v>12500</v>
      </c>
      <c r="L11" s="101">
        <f t="shared" ref="L11:L18" si="5">ROUND(50*$H11,0)</f>
        <v>1250</v>
      </c>
      <c r="M11" s="106" t="str">
        <f t="shared" si="3"/>
        <v/>
      </c>
    </row>
    <row r="12" spans="1:13" ht="36.75" customHeight="1">
      <c r="A12" s="26" t="s">
        <v>203</v>
      </c>
      <c r="B12" s="80" t="s">
        <v>195</v>
      </c>
      <c r="C12" s="25" t="s">
        <v>177</v>
      </c>
      <c r="D12" s="25">
        <v>2</v>
      </c>
      <c r="E12" s="27">
        <f t="shared" si="0"/>
        <v>0.2</v>
      </c>
      <c r="F12" s="91">
        <v>54.7</v>
      </c>
      <c r="G12" s="91">
        <f t="shared" si="1"/>
        <v>65.64</v>
      </c>
      <c r="H12" s="92">
        <f>1/(0.3*0.3)</f>
        <v>11.111111111111111</v>
      </c>
      <c r="I12" s="45" t="s">
        <v>216</v>
      </c>
      <c r="J12" s="100">
        <f t="shared" ref="J12:K18" si="6">ROUND(500*$H12,0)</f>
        <v>5556</v>
      </c>
      <c r="K12" s="100">
        <f t="shared" si="6"/>
        <v>5556</v>
      </c>
      <c r="L12" s="101">
        <f t="shared" si="5"/>
        <v>556</v>
      </c>
      <c r="M12" s="106" t="str">
        <f t="shared" si="3"/>
        <v/>
      </c>
    </row>
    <row r="13" spans="1:13" ht="39" customHeight="1">
      <c r="A13" s="26" t="s">
        <v>204</v>
      </c>
      <c r="B13" s="80" t="s">
        <v>196</v>
      </c>
      <c r="C13" s="25" t="s">
        <v>177</v>
      </c>
      <c r="D13" s="25">
        <v>2</v>
      </c>
      <c r="E13" s="27">
        <f t="shared" si="0"/>
        <v>0.2</v>
      </c>
      <c r="F13" s="91">
        <v>56.8</v>
      </c>
      <c r="G13" s="91">
        <f t="shared" si="1"/>
        <v>68.16</v>
      </c>
      <c r="H13" s="92">
        <f>1/(0.45*0.45)</f>
        <v>4.9382716049382713</v>
      </c>
      <c r="I13" s="45" t="s">
        <v>216</v>
      </c>
      <c r="J13" s="100">
        <f t="shared" si="6"/>
        <v>2469</v>
      </c>
      <c r="K13" s="100">
        <f t="shared" si="6"/>
        <v>2469</v>
      </c>
      <c r="L13" s="101">
        <f t="shared" si="5"/>
        <v>247</v>
      </c>
      <c r="M13" s="106" t="str">
        <f t="shared" si="3"/>
        <v/>
      </c>
    </row>
    <row r="14" spans="1:13" ht="34.5" customHeight="1">
      <c r="A14" s="26" t="s">
        <v>205</v>
      </c>
      <c r="B14" s="80" t="s">
        <v>197</v>
      </c>
      <c r="C14" s="25" t="s">
        <v>177</v>
      </c>
      <c r="D14" s="25">
        <v>2</v>
      </c>
      <c r="E14" s="27">
        <f t="shared" si="0"/>
        <v>0.2</v>
      </c>
      <c r="F14" s="91">
        <v>71.599999999999994</v>
      </c>
      <c r="G14" s="91">
        <f t="shared" si="1"/>
        <v>85.92</v>
      </c>
      <c r="H14" s="92">
        <f>1/(0.6*0.6)</f>
        <v>2.7777777777777777</v>
      </c>
      <c r="I14" s="45" t="s">
        <v>216</v>
      </c>
      <c r="J14" s="100">
        <f t="shared" si="6"/>
        <v>1389</v>
      </c>
      <c r="K14" s="100">
        <f t="shared" si="6"/>
        <v>1389</v>
      </c>
      <c r="L14" s="101">
        <f t="shared" si="5"/>
        <v>139</v>
      </c>
      <c r="M14" s="106" t="str">
        <f t="shared" si="3"/>
        <v/>
      </c>
    </row>
    <row r="15" spans="1:13" ht="37.5" customHeight="1">
      <c r="A15" s="26" t="s">
        <v>215</v>
      </c>
      <c r="B15" s="80" t="s">
        <v>198</v>
      </c>
      <c r="C15" s="25" t="s">
        <v>182</v>
      </c>
      <c r="D15" s="25">
        <v>2</v>
      </c>
      <c r="E15" s="27">
        <f t="shared" si="0"/>
        <v>0.2</v>
      </c>
      <c r="F15" s="91">
        <v>17</v>
      </c>
      <c r="G15" s="91">
        <f t="shared" si="1"/>
        <v>20.399999999999999</v>
      </c>
      <c r="H15" s="92">
        <f>(1/0.2)</f>
        <v>5</v>
      </c>
      <c r="I15" s="45" t="s">
        <v>218</v>
      </c>
      <c r="J15" s="100">
        <f t="shared" si="6"/>
        <v>2500</v>
      </c>
      <c r="K15" s="100">
        <f t="shared" si="6"/>
        <v>2500</v>
      </c>
      <c r="L15" s="101">
        <f t="shared" si="5"/>
        <v>250</v>
      </c>
      <c r="M15" s="106" t="str">
        <f t="shared" si="3"/>
        <v/>
      </c>
    </row>
    <row r="16" spans="1:13" ht="28.8">
      <c r="A16" s="26" t="s">
        <v>206</v>
      </c>
      <c r="B16" s="80" t="s">
        <v>199</v>
      </c>
      <c r="C16" s="25" t="s">
        <v>182</v>
      </c>
      <c r="D16" s="25">
        <v>2</v>
      </c>
      <c r="E16" s="27">
        <f t="shared" si="0"/>
        <v>0.2</v>
      </c>
      <c r="F16" s="91">
        <v>17.5</v>
      </c>
      <c r="G16" s="91">
        <f t="shared" si="1"/>
        <v>21</v>
      </c>
      <c r="H16" s="92">
        <f>(1/0.3)</f>
        <v>3.3333333333333335</v>
      </c>
      <c r="I16" s="45" t="s">
        <v>218</v>
      </c>
      <c r="J16" s="100">
        <f t="shared" si="6"/>
        <v>1667</v>
      </c>
      <c r="K16" s="100">
        <f t="shared" si="6"/>
        <v>1667</v>
      </c>
      <c r="L16" s="101">
        <f t="shared" si="5"/>
        <v>167</v>
      </c>
      <c r="M16" s="106" t="str">
        <f t="shared" si="3"/>
        <v/>
      </c>
    </row>
    <row r="17" spans="1:13" ht="28.8">
      <c r="A17" s="26" t="s">
        <v>209</v>
      </c>
      <c r="B17" s="80" t="s">
        <v>200</v>
      </c>
      <c r="C17" s="25" t="s">
        <v>182</v>
      </c>
      <c r="D17" s="25">
        <v>2</v>
      </c>
      <c r="E17" s="27">
        <f t="shared" si="0"/>
        <v>0.2</v>
      </c>
      <c r="F17" s="91">
        <v>18</v>
      </c>
      <c r="G17" s="91">
        <f t="shared" si="1"/>
        <v>21.6</v>
      </c>
      <c r="H17" s="92">
        <f>(1/0.45)</f>
        <v>2.2222222222222223</v>
      </c>
      <c r="I17" s="45" t="s">
        <v>218</v>
      </c>
      <c r="J17" s="100">
        <f t="shared" si="6"/>
        <v>1111</v>
      </c>
      <c r="K17" s="100">
        <f t="shared" si="6"/>
        <v>1111</v>
      </c>
      <c r="L17" s="101">
        <f t="shared" si="5"/>
        <v>111</v>
      </c>
      <c r="M17" s="106" t="str">
        <f t="shared" si="3"/>
        <v/>
      </c>
    </row>
    <row r="18" spans="1:13" ht="29.4" thickBot="1">
      <c r="A18" s="38" t="s">
        <v>210</v>
      </c>
      <c r="B18" s="81" t="s">
        <v>201</v>
      </c>
      <c r="C18" s="39" t="s">
        <v>182</v>
      </c>
      <c r="D18" s="39">
        <v>2</v>
      </c>
      <c r="E18" s="40">
        <f t="shared" si="0"/>
        <v>0.2</v>
      </c>
      <c r="F18" s="93">
        <v>20</v>
      </c>
      <c r="G18" s="93">
        <f t="shared" si="1"/>
        <v>24</v>
      </c>
      <c r="H18" s="94">
        <f>(1/0.6)</f>
        <v>1.6666666666666667</v>
      </c>
      <c r="I18" s="46" t="s">
        <v>218</v>
      </c>
      <c r="J18" s="102">
        <f t="shared" si="6"/>
        <v>833</v>
      </c>
      <c r="K18" s="102">
        <f t="shared" si="6"/>
        <v>833</v>
      </c>
      <c r="L18" s="103">
        <f t="shared" si="5"/>
        <v>83</v>
      </c>
      <c r="M18" s="107" t="str">
        <f t="shared" si="3"/>
        <v/>
      </c>
    </row>
    <row r="19" spans="1:13">
      <c r="A19" s="41">
        <v>0</v>
      </c>
    </row>
  </sheetData>
  <conditionalFormatting sqref="M4">
    <cfRule type="containsText" dxfId="3" priority="2" operator="containsText" text="Rupture de stock">
      <formula>NOT(ISERROR(SEARCH("Rupture de stock",M4)))</formula>
    </cfRule>
    <cfRule type="cellIs" dxfId="2" priority="3" operator="lessThan">
      <formula>0</formula>
    </cfRule>
    <cfRule type="cellIs" dxfId="1" priority="4" operator="lessThan">
      <formula>0</formula>
    </cfRule>
  </conditionalFormatting>
  <conditionalFormatting sqref="M5:M18">
    <cfRule type="containsText" dxfId="0" priority="1" operator="containsText" text="Rupture de stock">
      <formula>NOT(ISERROR(SEARCH("Rupture de stock",M5)))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J49"/>
  <sheetViews>
    <sheetView zoomScale="70" zoomScaleNormal="70" workbookViewId="0">
      <selection sqref="A1:A2"/>
    </sheetView>
  </sheetViews>
  <sheetFormatPr baseColWidth="10" defaultRowHeight="14.4" outlineLevelCol="1"/>
  <cols>
    <col min="1" max="1" width="35.6640625" customWidth="1"/>
    <col min="2" max="2" width="25.44140625" customWidth="1"/>
    <col min="3" max="3" width="10.77734375" customWidth="1"/>
    <col min="4" max="4" width="26.6640625" customWidth="1"/>
    <col min="5" max="5" width="16.77734375" customWidth="1"/>
    <col min="6" max="6" width="13.88671875" customWidth="1"/>
    <col min="7" max="7" width="16.77734375" customWidth="1"/>
    <col min="8" max="8" width="2.5546875" customWidth="1"/>
    <col min="9" max="9" width="3.6640625" customWidth="1"/>
    <col min="10" max="21" width="11.44140625" customWidth="1" outlineLevel="1"/>
    <col min="22" max="22" width="11.5546875" customWidth="1" outlineLevel="1"/>
    <col min="23" max="23" width="2.6640625" customWidth="1"/>
    <col min="24" max="35" width="11.44140625" customWidth="1" outlineLevel="1"/>
    <col min="36" max="36" width="11.44140625" outlineLevel="1"/>
    <col min="37" max="37" width="5.77734375" customWidth="1"/>
  </cols>
  <sheetData>
    <row r="1" spans="1:36" ht="24" customHeight="1" thickBot="1">
      <c r="A1" s="252" t="s">
        <v>7</v>
      </c>
      <c r="B1" s="254" t="s">
        <v>8</v>
      </c>
      <c r="C1" s="256" t="s">
        <v>250</v>
      </c>
      <c r="D1" s="254" t="s">
        <v>9</v>
      </c>
      <c r="E1" s="257" t="s">
        <v>251</v>
      </c>
      <c r="F1" s="256" t="s">
        <v>252</v>
      </c>
      <c r="G1" s="259" t="s">
        <v>253</v>
      </c>
      <c r="H1" s="13"/>
      <c r="J1" s="249" t="s">
        <v>228</v>
      </c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1"/>
      <c r="X1" s="249" t="s">
        <v>229</v>
      </c>
      <c r="Y1" s="250"/>
      <c r="Z1" s="250"/>
      <c r="AA1" s="250"/>
      <c r="AB1" s="250"/>
      <c r="AC1" s="250"/>
      <c r="AD1" s="250"/>
      <c r="AE1" s="250"/>
      <c r="AF1" s="250"/>
      <c r="AG1" s="250"/>
      <c r="AH1" s="250"/>
      <c r="AI1" s="250"/>
      <c r="AJ1" s="251"/>
    </row>
    <row r="2" spans="1:36" ht="24" customHeight="1" thickBot="1">
      <c r="A2" s="253"/>
      <c r="B2" s="255"/>
      <c r="C2" s="255"/>
      <c r="D2" s="255"/>
      <c r="E2" s="258"/>
      <c r="F2" s="255"/>
      <c r="G2" s="260"/>
      <c r="H2" s="13"/>
      <c r="J2" s="190" t="s">
        <v>150</v>
      </c>
      <c r="K2" s="33" t="s">
        <v>151</v>
      </c>
      <c r="L2" s="33" t="s">
        <v>152</v>
      </c>
      <c r="M2" s="33" t="s">
        <v>153</v>
      </c>
      <c r="N2" s="33" t="s">
        <v>154</v>
      </c>
      <c r="O2" s="33" t="s">
        <v>155</v>
      </c>
      <c r="P2" s="33" t="s">
        <v>156</v>
      </c>
      <c r="Q2" s="33" t="s">
        <v>221</v>
      </c>
      <c r="R2" s="33" t="s">
        <v>157</v>
      </c>
      <c r="S2" s="33" t="s">
        <v>158</v>
      </c>
      <c r="T2" s="33" t="s">
        <v>159</v>
      </c>
      <c r="U2" s="191" t="s">
        <v>220</v>
      </c>
      <c r="V2" s="192" t="s">
        <v>160</v>
      </c>
      <c r="X2" s="190" t="s">
        <v>150</v>
      </c>
      <c r="Y2" s="33" t="s">
        <v>151</v>
      </c>
      <c r="Z2" s="33" t="s">
        <v>152</v>
      </c>
      <c r="AA2" s="33" t="s">
        <v>153</v>
      </c>
      <c r="AB2" s="33" t="s">
        <v>154</v>
      </c>
      <c r="AC2" s="33" t="s">
        <v>155</v>
      </c>
      <c r="AD2" s="33" t="s">
        <v>156</v>
      </c>
      <c r="AE2" s="33" t="s">
        <v>221</v>
      </c>
      <c r="AF2" s="33" t="s">
        <v>157</v>
      </c>
      <c r="AG2" s="33" t="s">
        <v>158</v>
      </c>
      <c r="AH2" s="33" t="s">
        <v>159</v>
      </c>
      <c r="AI2" s="191" t="s">
        <v>220</v>
      </c>
      <c r="AJ2" s="192" t="s">
        <v>160</v>
      </c>
    </row>
    <row r="3" spans="1:36">
      <c r="A3" s="2" t="s">
        <v>10</v>
      </c>
      <c r="B3" s="3" t="s">
        <v>11</v>
      </c>
      <c r="C3" s="3">
        <v>93350</v>
      </c>
      <c r="D3" s="9" t="s">
        <v>12</v>
      </c>
      <c r="E3" s="188" t="s">
        <v>145</v>
      </c>
      <c r="F3" s="184">
        <f>AJ3</f>
        <v>6</v>
      </c>
      <c r="G3" s="186">
        <f>V3</f>
        <v>2100</v>
      </c>
      <c r="H3" s="9"/>
      <c r="J3" s="152">
        <f>SUMIFS('Historique des factures'!$G$3:$G$80,'Historique des factures'!$E$3:$E$80,$A3,'Historique des factures'!$C$3:$C$80,1)</f>
        <v>600</v>
      </c>
      <c r="K3" s="153">
        <f>SUMIFS('Historique des factures'!$G$3:$G$80,'Historique des factures'!$E$3:$E$80,$A3,'Historique des factures'!$C$3:$C$80,2)</f>
        <v>1500</v>
      </c>
      <c r="L3" s="153">
        <f>SUMIFS('Historique des factures'!$G$3:$G$80,'Historique des factures'!$E$3:$E$80,$A3,'Historique des factures'!$C$3:$C$80,3)</f>
        <v>0</v>
      </c>
      <c r="M3" s="153">
        <f>SUMIFS('Historique des factures'!$G$3:$G$80,'Historique des factures'!$E$3:$E$80,$A3,'Historique des factures'!$C$3:$C$80,4)</f>
        <v>0</v>
      </c>
      <c r="N3" s="153">
        <f>SUMIFS('Historique des factures'!$G$3:$G$80,'Historique des factures'!$E$3:$E$80,$A3,'Historique des factures'!$C$3:$C$80,5)</f>
        <v>0</v>
      </c>
      <c r="O3" s="153">
        <f>SUMIFS('Historique des factures'!$G$3:$G$80,'Historique des factures'!$E$3:$E$80,$A3,'Historique des factures'!$C$3:$C$80,6)</f>
        <v>0</v>
      </c>
      <c r="P3" s="153">
        <f>SUMIFS('Historique des factures'!$G$3:$G$80,'Historique des factures'!$E$3:$E$80,$A3,'Historique des factures'!$C$3:$C$80,7)</f>
        <v>0</v>
      </c>
      <c r="Q3" s="153">
        <f>SUMIFS('Historique des factures'!$G$3:$G$80,'Historique des factures'!$E$3:$E$80,$A3,'Historique des factures'!$C$3:$C$80,8)</f>
        <v>0</v>
      </c>
      <c r="R3" s="153">
        <f>SUMIFS('Historique des factures'!$G$3:$G$80,'Historique des factures'!$E$3:$E$80,$A3,'Historique des factures'!$C$3:$C$80,9)</f>
        <v>0</v>
      </c>
      <c r="S3" s="153">
        <f>SUMIFS('Historique des factures'!$G$3:$G$80,'Historique des factures'!$E$3:$E$80,$A3,'Historique des factures'!$C$3:$C$80,10)</f>
        <v>0</v>
      </c>
      <c r="T3" s="153">
        <f>SUMIFS('Historique des factures'!$G$3:$G$80,'Historique des factures'!$E$3:$E$80,$A3,'Historique des factures'!$C$3:$C$80,11)</f>
        <v>0</v>
      </c>
      <c r="U3" s="154">
        <f>SUMIFS('Historique des factures'!$G$3:$G$80,'Historique des factures'!$E$3:$E$80,$A3,'Historique des factures'!$C$3:$C$80,12)</f>
        <v>0</v>
      </c>
      <c r="V3" s="155">
        <f>+SUM(J3:U3)</f>
        <v>2100</v>
      </c>
      <c r="X3" s="168">
        <f>COUNTIFS('Historique des factures'!$E$3:$E$80,$A3,'Historique des factures'!$C$3:$C$80,1)</f>
        <v>3</v>
      </c>
      <c r="Y3" s="169">
        <f>COUNTIFS('Historique des factures'!$E$3:$E$80,$A3,'Historique des factures'!$C$3:$C$80,2)</f>
        <v>3</v>
      </c>
      <c r="Z3" s="169">
        <f>COUNTIFS('Historique des factures'!$E$3:$E$80,$A3,'Historique des factures'!$C$3:$C$80,3)</f>
        <v>0</v>
      </c>
      <c r="AA3" s="169">
        <f>COUNTIFS('Historique des factures'!$E$3:$E$80,$A3,'Historique des factures'!$C$3:$C$80,4)</f>
        <v>0</v>
      </c>
      <c r="AB3" s="169">
        <f>COUNTIFS('Historique des factures'!$E$3:$E$80,$A3,'Historique des factures'!$C$3:$C$80,5)</f>
        <v>0</v>
      </c>
      <c r="AC3" s="169">
        <f>COUNTIFS('Historique des factures'!$E$3:$E$80,$A3,'Historique des factures'!$C$3:$C$80,6)</f>
        <v>0</v>
      </c>
      <c r="AD3" s="169">
        <f>COUNTIFS('Historique des factures'!$E$3:$E$80,$A3,'Historique des factures'!$C$3:$C$80,7)</f>
        <v>0</v>
      </c>
      <c r="AE3" s="169">
        <f>COUNTIFS('Historique des factures'!$E$3:$E$80,$A3,'Historique des factures'!$C$3:$C$80,8)</f>
        <v>0</v>
      </c>
      <c r="AF3" s="169">
        <f>COUNTIFS('Historique des factures'!$E$3:$E$80,$A3,'Historique des factures'!$C$3:$C$80,9)</f>
        <v>0</v>
      </c>
      <c r="AG3" s="169">
        <f>COUNTIFS('Historique des factures'!$E$3:$E$80,$A3,'Historique des factures'!$C$3:$C$80,10)</f>
        <v>0</v>
      </c>
      <c r="AH3" s="169">
        <f>COUNTIFS('Historique des factures'!$E$3:$E$80,$A3,'Historique des factures'!$C$3:$C$80,11)</f>
        <v>0</v>
      </c>
      <c r="AI3" s="170">
        <f>COUNTIFS('Historique des factures'!$E$3:$E$80,$A3,'Historique des factures'!$C$3:$C$80,12)</f>
        <v>0</v>
      </c>
      <c r="AJ3" s="171">
        <f t="shared" ref="AJ3:AJ47" si="0">SUM(X3:AI3)</f>
        <v>6</v>
      </c>
    </row>
    <row r="4" spans="1:36">
      <c r="A4" s="2" t="s">
        <v>13</v>
      </c>
      <c r="B4" s="3" t="s">
        <v>14</v>
      </c>
      <c r="C4" s="3">
        <v>74330</v>
      </c>
      <c r="D4" s="9" t="s">
        <v>15</v>
      </c>
      <c r="E4" s="188" t="s">
        <v>146</v>
      </c>
      <c r="F4" s="184">
        <f t="shared" ref="F4:F48" si="1">AJ4</f>
        <v>0</v>
      </c>
      <c r="G4" s="186">
        <f t="shared" ref="G4:G48" si="2">V4</f>
        <v>0</v>
      </c>
      <c r="H4" s="9"/>
      <c r="J4" s="156">
        <f>SUMIFS('Historique des factures'!$G$3:$G$80,'Historique des factures'!$E$3:$E$80,$A4,'Historique des factures'!$C$3:$C$80,1)</f>
        <v>0</v>
      </c>
      <c r="K4" s="157">
        <f>SUMIFS('Historique des factures'!$G$3:$G$80,'Historique des factures'!$E$3:$E$80,$A4,'Historique des factures'!$C$3:$C$80,2)</f>
        <v>0</v>
      </c>
      <c r="L4" s="157">
        <f>SUMIFS('Historique des factures'!$G$3:$G$80,'Historique des factures'!$E$3:$E$80,$A4,'Historique des factures'!$C$3:$C$80,3)</f>
        <v>0</v>
      </c>
      <c r="M4" s="157">
        <f>SUMIFS('Historique des factures'!$G$3:$G$80,'Historique des factures'!$E$3:$E$80,$A4,'Historique des factures'!$C$3:$C$80,4)</f>
        <v>0</v>
      </c>
      <c r="N4" s="157">
        <f>SUMIFS('Historique des factures'!$G$3:$G$80,'Historique des factures'!$E$3:$E$80,$A4,'Historique des factures'!$C$3:$C$80,5)</f>
        <v>0</v>
      </c>
      <c r="O4" s="157">
        <f>SUMIFS('Historique des factures'!$G$3:$G$80,'Historique des factures'!$E$3:$E$80,$A4,'Historique des factures'!$C$3:$C$80,6)</f>
        <v>0</v>
      </c>
      <c r="P4" s="157">
        <f>SUMIFS('Historique des factures'!$G$3:$G$80,'Historique des factures'!$E$3:$E$80,$A4,'Historique des factures'!$C$3:$C$80,7)</f>
        <v>0</v>
      </c>
      <c r="Q4" s="157">
        <f>SUMIFS('Historique des factures'!$G$3:$G$80,'Historique des factures'!$E$3:$E$80,$A4,'Historique des factures'!$C$3:$C$80,8)</f>
        <v>0</v>
      </c>
      <c r="R4" s="157">
        <f>SUMIFS('Historique des factures'!$G$3:$G$80,'Historique des factures'!$E$3:$E$80,$A4,'Historique des factures'!$C$3:$C$80,9)</f>
        <v>0</v>
      </c>
      <c r="S4" s="157">
        <f>SUMIFS('Historique des factures'!$G$3:$G$80,'Historique des factures'!$E$3:$E$80,$A4,'Historique des factures'!$C$3:$C$80,10)</f>
        <v>0</v>
      </c>
      <c r="T4" s="157">
        <f>SUMIFS('Historique des factures'!$G$3:$G$80,'Historique des factures'!$E$3:$E$80,$A4,'Historique des factures'!$C$3:$C$80,11)</f>
        <v>0</v>
      </c>
      <c r="U4" s="158">
        <f>SUMIFS('Historique des factures'!$G$3:$G$80,'Historique des factures'!$E$3:$E$80,$A4,'Historique des factures'!$C$3:$C$80,12)</f>
        <v>0</v>
      </c>
      <c r="V4" s="159">
        <f t="shared" ref="V4:V47" si="3">SUM(J4:U4)</f>
        <v>0</v>
      </c>
      <c r="X4" s="172">
        <f>COUNTIFS('Historique des factures'!$E$3:$E$80,$A4,'Historique des factures'!$C$3:$C$80,1)</f>
        <v>0</v>
      </c>
      <c r="Y4" s="173">
        <f>COUNTIFS('Historique des factures'!$E$3:$E$80,$A4,'Historique des factures'!$C$3:$C$80,2)</f>
        <v>0</v>
      </c>
      <c r="Z4" s="173">
        <f>COUNTIFS('Historique des factures'!$E$3:$E$80,$A4,'Historique des factures'!$C$3:$C$80,3)</f>
        <v>0</v>
      </c>
      <c r="AA4" s="173">
        <f>COUNTIFS('Historique des factures'!$E$3:$E$80,$A4,'Historique des factures'!$C$3:$C$80,4)</f>
        <v>0</v>
      </c>
      <c r="AB4" s="173">
        <f>COUNTIFS('Historique des factures'!$E$3:$E$80,$A4,'Historique des factures'!$C$3:$C$80,5)</f>
        <v>0</v>
      </c>
      <c r="AC4" s="173">
        <f>COUNTIFS('Historique des factures'!$E$3:$E$80,$A4,'Historique des factures'!$C$3:$C$80,6)</f>
        <v>0</v>
      </c>
      <c r="AD4" s="173">
        <f>COUNTIFS('Historique des factures'!$E$3:$E$80,$A4,'Historique des factures'!$C$3:$C$80,7)</f>
        <v>0</v>
      </c>
      <c r="AE4" s="173">
        <f>COUNTIFS('Historique des factures'!$E$3:$E$80,$A4,'Historique des factures'!$C$3:$C$80,8)</f>
        <v>0</v>
      </c>
      <c r="AF4" s="173">
        <f>COUNTIFS('Historique des factures'!$E$3:$E$80,$A4,'Historique des factures'!$C$3:$C$80,9)</f>
        <v>0</v>
      </c>
      <c r="AG4" s="173">
        <f>COUNTIFS('Historique des factures'!$E$3:$E$80,$A4,'Historique des factures'!$C$3:$C$80,10)</f>
        <v>0</v>
      </c>
      <c r="AH4" s="173">
        <f>COUNTIFS('Historique des factures'!$E$3:$E$80,$A4,'Historique des factures'!$C$3:$C$80,11)</f>
        <v>0</v>
      </c>
      <c r="AI4" s="174">
        <f>COUNTIFS('Historique des factures'!$E$3:$E$80,$A4,'Historique des factures'!$C$3:$C$80,12)</f>
        <v>0</v>
      </c>
      <c r="AJ4" s="175">
        <f t="shared" si="0"/>
        <v>0</v>
      </c>
    </row>
    <row r="5" spans="1:36">
      <c r="A5" s="2" t="s">
        <v>183</v>
      </c>
      <c r="B5" s="3" t="s">
        <v>184</v>
      </c>
      <c r="C5" s="3">
        <v>76640</v>
      </c>
      <c r="D5" s="9" t="s">
        <v>185</v>
      </c>
      <c r="E5" s="188" t="s">
        <v>186</v>
      </c>
      <c r="F5" s="184">
        <f t="shared" si="1"/>
        <v>0</v>
      </c>
      <c r="G5" s="186">
        <f t="shared" si="2"/>
        <v>0</v>
      </c>
      <c r="H5" s="9"/>
      <c r="J5" s="156">
        <f>SUMIFS('Historique des factures'!$G$3:$G$80,'Historique des factures'!$E$3:$E$80,$A5,'Historique des factures'!$C$3:$C$80,1)</f>
        <v>0</v>
      </c>
      <c r="K5" s="157">
        <f>SUMIFS('Historique des factures'!$G$3:$G$80,'Historique des factures'!$E$3:$E$80,$A5,'Historique des factures'!$C$3:$C$80,2)</f>
        <v>0</v>
      </c>
      <c r="L5" s="157">
        <f>SUMIFS('Historique des factures'!$G$3:$G$80,'Historique des factures'!$E$3:$E$80,$A5,'Historique des factures'!$C$3:$C$80,3)</f>
        <v>0</v>
      </c>
      <c r="M5" s="157">
        <f>SUMIFS('Historique des factures'!$G$3:$G$80,'Historique des factures'!$E$3:$E$80,$A5,'Historique des factures'!$C$3:$C$80,4)</f>
        <v>0</v>
      </c>
      <c r="N5" s="157">
        <f>SUMIFS('Historique des factures'!$G$3:$G$80,'Historique des factures'!$E$3:$E$80,$A5,'Historique des factures'!$C$3:$C$80,5)</f>
        <v>0</v>
      </c>
      <c r="O5" s="157">
        <f>SUMIFS('Historique des factures'!$G$3:$G$80,'Historique des factures'!$E$3:$E$80,$A5,'Historique des factures'!$C$3:$C$80,6)</f>
        <v>0</v>
      </c>
      <c r="P5" s="157">
        <f>SUMIFS('Historique des factures'!$G$3:$G$80,'Historique des factures'!$E$3:$E$80,$A5,'Historique des factures'!$C$3:$C$80,7)</f>
        <v>0</v>
      </c>
      <c r="Q5" s="157">
        <f>SUMIFS('Historique des factures'!$G$3:$G$80,'Historique des factures'!$E$3:$E$80,$A5,'Historique des factures'!$C$3:$C$80,8)</f>
        <v>0</v>
      </c>
      <c r="R5" s="157">
        <f>SUMIFS('Historique des factures'!$G$3:$G$80,'Historique des factures'!$E$3:$E$80,$A5,'Historique des factures'!$C$3:$C$80,9)</f>
        <v>0</v>
      </c>
      <c r="S5" s="157">
        <f>SUMIFS('Historique des factures'!$G$3:$G$80,'Historique des factures'!$E$3:$E$80,$A5,'Historique des factures'!$C$3:$C$80,10)</f>
        <v>0</v>
      </c>
      <c r="T5" s="157">
        <f>SUMIFS('Historique des factures'!$G$3:$G$80,'Historique des factures'!$E$3:$E$80,$A5,'Historique des factures'!$C$3:$C$80,11)</f>
        <v>0</v>
      </c>
      <c r="U5" s="158">
        <f>SUMIFS('Historique des factures'!$G$3:$G$80,'Historique des factures'!$E$3:$E$80,$A5,'Historique des factures'!$C$3:$C$80,12)</f>
        <v>0</v>
      </c>
      <c r="V5" s="159">
        <f t="shared" si="3"/>
        <v>0</v>
      </c>
      <c r="X5" s="172">
        <f>COUNTIFS('Historique des factures'!$E$3:$E$80,$A5,'Historique des factures'!$C$3:$C$80,1)</f>
        <v>0</v>
      </c>
      <c r="Y5" s="173">
        <f>COUNTIFS('Historique des factures'!$E$3:$E$80,$A5,'Historique des factures'!$C$3:$C$80,2)</f>
        <v>0</v>
      </c>
      <c r="Z5" s="173">
        <f>COUNTIFS('Historique des factures'!$E$3:$E$80,$A5,'Historique des factures'!$C$3:$C$80,3)</f>
        <v>0</v>
      </c>
      <c r="AA5" s="173">
        <f>COUNTIFS('Historique des factures'!$E$3:$E$80,$A5,'Historique des factures'!$C$3:$C$80,4)</f>
        <v>0</v>
      </c>
      <c r="AB5" s="173">
        <f>COUNTIFS('Historique des factures'!$E$3:$E$80,$A5,'Historique des factures'!$C$3:$C$80,5)</f>
        <v>0</v>
      </c>
      <c r="AC5" s="173">
        <f>COUNTIFS('Historique des factures'!$E$3:$E$80,$A5,'Historique des factures'!$C$3:$C$80,6)</f>
        <v>0</v>
      </c>
      <c r="AD5" s="173">
        <f>COUNTIFS('Historique des factures'!$E$3:$E$80,$A5,'Historique des factures'!$C$3:$C$80,7)</f>
        <v>0</v>
      </c>
      <c r="AE5" s="173">
        <f>COUNTIFS('Historique des factures'!$E$3:$E$80,$A5,'Historique des factures'!$C$3:$C$80,8)</f>
        <v>0</v>
      </c>
      <c r="AF5" s="173">
        <f>COUNTIFS('Historique des factures'!$E$3:$E$80,$A5,'Historique des factures'!$C$3:$C$80,9)</f>
        <v>0</v>
      </c>
      <c r="AG5" s="173">
        <f>COUNTIFS('Historique des factures'!$E$3:$E$80,$A5,'Historique des factures'!$C$3:$C$80,10)</f>
        <v>0</v>
      </c>
      <c r="AH5" s="173">
        <f>COUNTIFS('Historique des factures'!$E$3:$E$80,$A5,'Historique des factures'!$C$3:$C$80,11)</f>
        <v>0</v>
      </c>
      <c r="AI5" s="174">
        <f>COUNTIFS('Historique des factures'!$E$3:$E$80,$A5,'Historique des factures'!$C$3:$C$80,12)</f>
        <v>0</v>
      </c>
      <c r="AJ5" s="175">
        <f t="shared" si="0"/>
        <v>0</v>
      </c>
    </row>
    <row r="6" spans="1:36">
      <c r="A6" s="2" t="s">
        <v>16</v>
      </c>
      <c r="B6" s="3" t="s">
        <v>17</v>
      </c>
      <c r="C6" s="3">
        <v>27600</v>
      </c>
      <c r="D6" s="9" t="s">
        <v>18</v>
      </c>
      <c r="E6" s="188" t="s">
        <v>147</v>
      </c>
      <c r="F6" s="184">
        <f t="shared" si="1"/>
        <v>0</v>
      </c>
      <c r="G6" s="186">
        <f t="shared" si="2"/>
        <v>0</v>
      </c>
      <c r="H6" s="9"/>
      <c r="J6" s="156">
        <f>SUMIFS('Historique des factures'!$G$3:$G$80,'Historique des factures'!$E$3:$E$80,$A6,'Historique des factures'!$C$3:$C$80,1)</f>
        <v>0</v>
      </c>
      <c r="K6" s="157">
        <f>SUMIFS('Historique des factures'!$G$3:$G$80,'Historique des factures'!$E$3:$E$80,$A6,'Historique des factures'!$C$3:$C$80,2)</f>
        <v>0</v>
      </c>
      <c r="L6" s="157">
        <f>SUMIFS('Historique des factures'!$G$3:$G$80,'Historique des factures'!$E$3:$E$80,$A6,'Historique des factures'!$C$3:$C$80,3)</f>
        <v>0</v>
      </c>
      <c r="M6" s="157">
        <f>SUMIFS('Historique des factures'!$G$3:$G$80,'Historique des factures'!$E$3:$E$80,$A6,'Historique des factures'!$C$3:$C$80,4)</f>
        <v>0</v>
      </c>
      <c r="N6" s="157">
        <f>SUMIFS('Historique des factures'!$G$3:$G$80,'Historique des factures'!$E$3:$E$80,$A6,'Historique des factures'!$C$3:$C$80,5)</f>
        <v>0</v>
      </c>
      <c r="O6" s="157">
        <f>SUMIFS('Historique des factures'!$G$3:$G$80,'Historique des factures'!$E$3:$E$80,$A6,'Historique des factures'!$C$3:$C$80,6)</f>
        <v>0</v>
      </c>
      <c r="P6" s="157">
        <f>SUMIFS('Historique des factures'!$G$3:$G$80,'Historique des factures'!$E$3:$E$80,$A6,'Historique des factures'!$C$3:$C$80,7)</f>
        <v>0</v>
      </c>
      <c r="Q6" s="157">
        <f>SUMIFS('Historique des factures'!$G$3:$G$80,'Historique des factures'!$E$3:$E$80,$A6,'Historique des factures'!$C$3:$C$80,8)</f>
        <v>0</v>
      </c>
      <c r="R6" s="157">
        <f>SUMIFS('Historique des factures'!$G$3:$G$80,'Historique des factures'!$E$3:$E$80,$A6,'Historique des factures'!$C$3:$C$80,9)</f>
        <v>0</v>
      </c>
      <c r="S6" s="157">
        <f>SUMIFS('Historique des factures'!$G$3:$G$80,'Historique des factures'!$E$3:$E$80,$A6,'Historique des factures'!$C$3:$C$80,10)</f>
        <v>0</v>
      </c>
      <c r="T6" s="157">
        <f>SUMIFS('Historique des factures'!$G$3:$G$80,'Historique des factures'!$E$3:$E$80,$A6,'Historique des factures'!$C$3:$C$80,11)</f>
        <v>0</v>
      </c>
      <c r="U6" s="158">
        <f>SUMIFS('Historique des factures'!$G$3:$G$80,'Historique des factures'!$E$3:$E$80,$A6,'Historique des factures'!$C$3:$C$80,12)</f>
        <v>0</v>
      </c>
      <c r="V6" s="159">
        <f t="shared" si="3"/>
        <v>0</v>
      </c>
      <c r="X6" s="172">
        <f>COUNTIFS('Historique des factures'!$E$3:$E$80,$A6,'Historique des factures'!$C$3:$C$80,1)</f>
        <v>0</v>
      </c>
      <c r="Y6" s="173">
        <f>COUNTIFS('Historique des factures'!$E$3:$E$80,$A6,'Historique des factures'!$C$3:$C$80,2)</f>
        <v>0</v>
      </c>
      <c r="Z6" s="173">
        <f>COUNTIFS('Historique des factures'!$E$3:$E$80,$A6,'Historique des factures'!$C$3:$C$80,3)</f>
        <v>0</v>
      </c>
      <c r="AA6" s="173">
        <f>COUNTIFS('Historique des factures'!$E$3:$E$80,$A6,'Historique des factures'!$C$3:$C$80,4)</f>
        <v>0</v>
      </c>
      <c r="AB6" s="173">
        <f>COUNTIFS('Historique des factures'!$E$3:$E$80,$A6,'Historique des factures'!$C$3:$C$80,5)</f>
        <v>0</v>
      </c>
      <c r="AC6" s="173">
        <f>COUNTIFS('Historique des factures'!$E$3:$E$80,$A6,'Historique des factures'!$C$3:$C$80,6)</f>
        <v>0</v>
      </c>
      <c r="AD6" s="173">
        <f>COUNTIFS('Historique des factures'!$E$3:$E$80,$A6,'Historique des factures'!$C$3:$C$80,7)</f>
        <v>0</v>
      </c>
      <c r="AE6" s="173">
        <f>COUNTIFS('Historique des factures'!$E$3:$E$80,$A6,'Historique des factures'!$C$3:$C$80,8)</f>
        <v>0</v>
      </c>
      <c r="AF6" s="173">
        <f>COUNTIFS('Historique des factures'!$E$3:$E$80,$A6,'Historique des factures'!$C$3:$C$80,9)</f>
        <v>0</v>
      </c>
      <c r="AG6" s="173">
        <f>COUNTIFS('Historique des factures'!$E$3:$E$80,$A6,'Historique des factures'!$C$3:$C$80,10)</f>
        <v>0</v>
      </c>
      <c r="AH6" s="173">
        <f>COUNTIFS('Historique des factures'!$E$3:$E$80,$A6,'Historique des factures'!$C$3:$C$80,11)</f>
        <v>0</v>
      </c>
      <c r="AI6" s="174">
        <f>COUNTIFS('Historique des factures'!$E$3:$E$80,$A6,'Historique des factures'!$C$3:$C$80,12)</f>
        <v>0</v>
      </c>
      <c r="AJ6" s="175">
        <f t="shared" si="0"/>
        <v>0</v>
      </c>
    </row>
    <row r="7" spans="1:36">
      <c r="A7" s="2" t="s">
        <v>19</v>
      </c>
      <c r="B7" s="3" t="s">
        <v>20</v>
      </c>
      <c r="C7" s="3">
        <v>76200</v>
      </c>
      <c r="D7" s="9" t="s">
        <v>21</v>
      </c>
      <c r="E7" s="188" t="s">
        <v>148</v>
      </c>
      <c r="F7" s="184">
        <f t="shared" si="1"/>
        <v>0</v>
      </c>
      <c r="G7" s="186">
        <f t="shared" si="2"/>
        <v>0</v>
      </c>
      <c r="H7" s="9"/>
      <c r="J7" s="156">
        <f>SUMIFS('Historique des factures'!$G$3:$G$80,'Historique des factures'!$E$3:$E$80,$A7,'Historique des factures'!$C$3:$C$80,1)</f>
        <v>0</v>
      </c>
      <c r="K7" s="157">
        <f>SUMIFS('Historique des factures'!$G$3:$G$80,'Historique des factures'!$E$3:$E$80,$A7,'Historique des factures'!$C$3:$C$80,2)</f>
        <v>0</v>
      </c>
      <c r="L7" s="157">
        <f>SUMIFS('Historique des factures'!$G$3:$G$80,'Historique des factures'!$E$3:$E$80,$A7,'Historique des factures'!$C$3:$C$80,3)</f>
        <v>0</v>
      </c>
      <c r="M7" s="157">
        <f>SUMIFS('Historique des factures'!$G$3:$G$80,'Historique des factures'!$E$3:$E$80,$A7,'Historique des factures'!$C$3:$C$80,4)</f>
        <v>0</v>
      </c>
      <c r="N7" s="157">
        <f>SUMIFS('Historique des factures'!$G$3:$G$80,'Historique des factures'!$E$3:$E$80,$A7,'Historique des factures'!$C$3:$C$80,5)</f>
        <v>0</v>
      </c>
      <c r="O7" s="157">
        <f>SUMIFS('Historique des factures'!$G$3:$G$80,'Historique des factures'!$E$3:$E$80,$A7,'Historique des factures'!$C$3:$C$80,6)</f>
        <v>0</v>
      </c>
      <c r="P7" s="157">
        <f>SUMIFS('Historique des factures'!$G$3:$G$80,'Historique des factures'!$E$3:$E$80,$A7,'Historique des factures'!$C$3:$C$80,7)</f>
        <v>0</v>
      </c>
      <c r="Q7" s="157">
        <f>SUMIFS('Historique des factures'!$G$3:$G$80,'Historique des factures'!$E$3:$E$80,$A7,'Historique des factures'!$C$3:$C$80,8)</f>
        <v>0</v>
      </c>
      <c r="R7" s="157">
        <f>SUMIFS('Historique des factures'!$G$3:$G$80,'Historique des factures'!$E$3:$E$80,$A7,'Historique des factures'!$C$3:$C$80,9)</f>
        <v>0</v>
      </c>
      <c r="S7" s="157">
        <f>SUMIFS('Historique des factures'!$G$3:$G$80,'Historique des factures'!$E$3:$E$80,$A7,'Historique des factures'!$C$3:$C$80,10)</f>
        <v>0</v>
      </c>
      <c r="T7" s="157">
        <f>SUMIFS('Historique des factures'!$G$3:$G$80,'Historique des factures'!$E$3:$E$80,$A7,'Historique des factures'!$C$3:$C$80,11)</f>
        <v>0</v>
      </c>
      <c r="U7" s="158">
        <f>SUMIFS('Historique des factures'!$G$3:$G$80,'Historique des factures'!$E$3:$E$80,$A7,'Historique des factures'!$C$3:$C$80,12)</f>
        <v>0</v>
      </c>
      <c r="V7" s="159">
        <f t="shared" si="3"/>
        <v>0</v>
      </c>
      <c r="X7" s="172">
        <f>COUNTIFS('Historique des factures'!$E$3:$E$80,$A7,'Historique des factures'!$C$3:$C$80,1)</f>
        <v>0</v>
      </c>
      <c r="Y7" s="173">
        <f>COUNTIFS('Historique des factures'!$E$3:$E$80,$A7,'Historique des factures'!$C$3:$C$80,2)</f>
        <v>0</v>
      </c>
      <c r="Z7" s="173">
        <f>COUNTIFS('Historique des factures'!$E$3:$E$80,$A7,'Historique des factures'!$C$3:$C$80,3)</f>
        <v>0</v>
      </c>
      <c r="AA7" s="173">
        <f>COUNTIFS('Historique des factures'!$E$3:$E$80,$A7,'Historique des factures'!$C$3:$C$80,4)</f>
        <v>0</v>
      </c>
      <c r="AB7" s="173">
        <f>COUNTIFS('Historique des factures'!$E$3:$E$80,$A7,'Historique des factures'!$C$3:$C$80,5)</f>
        <v>0</v>
      </c>
      <c r="AC7" s="173">
        <f>COUNTIFS('Historique des factures'!$E$3:$E$80,$A7,'Historique des factures'!$C$3:$C$80,6)</f>
        <v>0</v>
      </c>
      <c r="AD7" s="173">
        <f>COUNTIFS('Historique des factures'!$E$3:$E$80,$A7,'Historique des factures'!$C$3:$C$80,7)</f>
        <v>0</v>
      </c>
      <c r="AE7" s="173">
        <f>COUNTIFS('Historique des factures'!$E$3:$E$80,$A7,'Historique des factures'!$C$3:$C$80,8)</f>
        <v>0</v>
      </c>
      <c r="AF7" s="173">
        <f>COUNTIFS('Historique des factures'!$E$3:$E$80,$A7,'Historique des factures'!$C$3:$C$80,9)</f>
        <v>0</v>
      </c>
      <c r="AG7" s="173">
        <f>COUNTIFS('Historique des factures'!$E$3:$E$80,$A7,'Historique des factures'!$C$3:$C$80,10)</f>
        <v>0</v>
      </c>
      <c r="AH7" s="173">
        <f>COUNTIFS('Historique des factures'!$E$3:$E$80,$A7,'Historique des factures'!$C$3:$C$80,11)</f>
        <v>0</v>
      </c>
      <c r="AI7" s="174">
        <f>COUNTIFS('Historique des factures'!$E$3:$E$80,$A7,'Historique des factures'!$C$3:$C$80,12)</f>
        <v>0</v>
      </c>
      <c r="AJ7" s="175">
        <f t="shared" si="0"/>
        <v>0</v>
      </c>
    </row>
    <row r="8" spans="1:36">
      <c r="A8" s="2" t="s">
        <v>22</v>
      </c>
      <c r="B8" s="3" t="s">
        <v>137</v>
      </c>
      <c r="C8" s="3">
        <v>95802</v>
      </c>
      <c r="D8" s="9" t="s">
        <v>23</v>
      </c>
      <c r="E8" s="188" t="s">
        <v>145</v>
      </c>
      <c r="F8" s="184">
        <f t="shared" si="1"/>
        <v>0</v>
      </c>
      <c r="G8" s="186">
        <f t="shared" si="2"/>
        <v>0</v>
      </c>
      <c r="H8" s="9"/>
      <c r="J8" s="156">
        <f>SUMIFS('Historique des factures'!$G$3:$G$80,'Historique des factures'!$E$3:$E$80,$A8,'Historique des factures'!$C$3:$C$80,1)</f>
        <v>0</v>
      </c>
      <c r="K8" s="157">
        <f>SUMIFS('Historique des factures'!$G$3:$G$80,'Historique des factures'!$E$3:$E$80,$A8,'Historique des factures'!$C$3:$C$80,2)</f>
        <v>0</v>
      </c>
      <c r="L8" s="157">
        <f>SUMIFS('Historique des factures'!$G$3:$G$80,'Historique des factures'!$E$3:$E$80,$A8,'Historique des factures'!$C$3:$C$80,3)</f>
        <v>0</v>
      </c>
      <c r="M8" s="157">
        <f>SUMIFS('Historique des factures'!$G$3:$G$80,'Historique des factures'!$E$3:$E$80,$A8,'Historique des factures'!$C$3:$C$80,4)</f>
        <v>0</v>
      </c>
      <c r="N8" s="157">
        <f>SUMIFS('Historique des factures'!$G$3:$G$80,'Historique des factures'!$E$3:$E$80,$A8,'Historique des factures'!$C$3:$C$80,5)</f>
        <v>0</v>
      </c>
      <c r="O8" s="157">
        <f>SUMIFS('Historique des factures'!$G$3:$G$80,'Historique des factures'!$E$3:$E$80,$A8,'Historique des factures'!$C$3:$C$80,6)</f>
        <v>0</v>
      </c>
      <c r="P8" s="157">
        <f>SUMIFS('Historique des factures'!$G$3:$G$80,'Historique des factures'!$E$3:$E$80,$A8,'Historique des factures'!$C$3:$C$80,7)</f>
        <v>0</v>
      </c>
      <c r="Q8" s="157">
        <f>SUMIFS('Historique des factures'!$G$3:$G$80,'Historique des factures'!$E$3:$E$80,$A8,'Historique des factures'!$C$3:$C$80,8)</f>
        <v>0</v>
      </c>
      <c r="R8" s="157">
        <f>SUMIFS('Historique des factures'!$G$3:$G$80,'Historique des factures'!$E$3:$E$80,$A8,'Historique des factures'!$C$3:$C$80,9)</f>
        <v>0</v>
      </c>
      <c r="S8" s="157">
        <f>SUMIFS('Historique des factures'!$G$3:$G$80,'Historique des factures'!$E$3:$E$80,$A8,'Historique des factures'!$C$3:$C$80,10)</f>
        <v>0</v>
      </c>
      <c r="T8" s="157">
        <f>SUMIFS('Historique des factures'!$G$3:$G$80,'Historique des factures'!$E$3:$E$80,$A8,'Historique des factures'!$C$3:$C$80,11)</f>
        <v>0</v>
      </c>
      <c r="U8" s="158">
        <f>SUMIFS('Historique des factures'!$G$3:$G$80,'Historique des factures'!$E$3:$E$80,$A8,'Historique des factures'!$C$3:$C$80,12)</f>
        <v>0</v>
      </c>
      <c r="V8" s="159">
        <f t="shared" si="3"/>
        <v>0</v>
      </c>
      <c r="X8" s="172">
        <f>COUNTIFS('Historique des factures'!$E$3:$E$80,$A8,'Historique des factures'!$C$3:$C$80,1)</f>
        <v>0</v>
      </c>
      <c r="Y8" s="173">
        <f>COUNTIFS('Historique des factures'!$E$3:$E$80,$A8,'Historique des factures'!$C$3:$C$80,2)</f>
        <v>0</v>
      </c>
      <c r="Z8" s="173">
        <f>COUNTIFS('Historique des factures'!$E$3:$E$80,$A8,'Historique des factures'!$C$3:$C$80,3)</f>
        <v>0</v>
      </c>
      <c r="AA8" s="173">
        <f>COUNTIFS('Historique des factures'!$E$3:$E$80,$A8,'Historique des factures'!$C$3:$C$80,4)</f>
        <v>0</v>
      </c>
      <c r="AB8" s="173">
        <f>COUNTIFS('Historique des factures'!$E$3:$E$80,$A8,'Historique des factures'!$C$3:$C$80,5)</f>
        <v>0</v>
      </c>
      <c r="AC8" s="173">
        <f>COUNTIFS('Historique des factures'!$E$3:$E$80,$A8,'Historique des factures'!$C$3:$C$80,6)</f>
        <v>0</v>
      </c>
      <c r="AD8" s="173">
        <f>COUNTIFS('Historique des factures'!$E$3:$E$80,$A8,'Historique des factures'!$C$3:$C$80,7)</f>
        <v>0</v>
      </c>
      <c r="AE8" s="173">
        <f>COUNTIFS('Historique des factures'!$E$3:$E$80,$A8,'Historique des factures'!$C$3:$C$80,8)</f>
        <v>0</v>
      </c>
      <c r="AF8" s="173">
        <f>COUNTIFS('Historique des factures'!$E$3:$E$80,$A8,'Historique des factures'!$C$3:$C$80,9)</f>
        <v>0</v>
      </c>
      <c r="AG8" s="173">
        <f>COUNTIFS('Historique des factures'!$E$3:$E$80,$A8,'Historique des factures'!$C$3:$C$80,10)</f>
        <v>0</v>
      </c>
      <c r="AH8" s="173">
        <f>COUNTIFS('Historique des factures'!$E$3:$E$80,$A8,'Historique des factures'!$C$3:$C$80,11)</f>
        <v>0</v>
      </c>
      <c r="AI8" s="174">
        <f>COUNTIFS('Historique des factures'!$E$3:$E$80,$A8,'Historique des factures'!$C$3:$C$80,12)</f>
        <v>0</v>
      </c>
      <c r="AJ8" s="175">
        <f t="shared" si="0"/>
        <v>0</v>
      </c>
    </row>
    <row r="9" spans="1:36">
      <c r="A9" s="2" t="s">
        <v>24</v>
      </c>
      <c r="B9" s="3" t="s">
        <v>25</v>
      </c>
      <c r="C9" s="3">
        <v>78310</v>
      </c>
      <c r="D9" s="9" t="s">
        <v>26</v>
      </c>
      <c r="E9" s="188" t="s">
        <v>146</v>
      </c>
      <c r="F9" s="184">
        <f t="shared" si="1"/>
        <v>0</v>
      </c>
      <c r="G9" s="186">
        <f t="shared" si="2"/>
        <v>0</v>
      </c>
      <c r="H9" s="9"/>
      <c r="J9" s="156">
        <f>SUMIFS('Historique des factures'!$G$3:$G$80,'Historique des factures'!$E$3:$E$80,$A9,'Historique des factures'!$C$3:$C$80,1)</f>
        <v>0</v>
      </c>
      <c r="K9" s="157">
        <f>SUMIFS('Historique des factures'!$G$3:$G$80,'Historique des factures'!$E$3:$E$80,$A9,'Historique des factures'!$C$3:$C$80,2)</f>
        <v>0</v>
      </c>
      <c r="L9" s="157">
        <f>SUMIFS('Historique des factures'!$G$3:$G$80,'Historique des factures'!$E$3:$E$80,$A9,'Historique des factures'!$C$3:$C$80,3)</f>
        <v>0</v>
      </c>
      <c r="M9" s="157">
        <f>SUMIFS('Historique des factures'!$G$3:$G$80,'Historique des factures'!$E$3:$E$80,$A9,'Historique des factures'!$C$3:$C$80,4)</f>
        <v>0</v>
      </c>
      <c r="N9" s="157">
        <f>SUMIFS('Historique des factures'!$G$3:$G$80,'Historique des factures'!$E$3:$E$80,$A9,'Historique des factures'!$C$3:$C$80,5)</f>
        <v>0</v>
      </c>
      <c r="O9" s="157">
        <f>SUMIFS('Historique des factures'!$G$3:$G$80,'Historique des factures'!$E$3:$E$80,$A9,'Historique des factures'!$C$3:$C$80,6)</f>
        <v>0</v>
      </c>
      <c r="P9" s="157">
        <f>SUMIFS('Historique des factures'!$G$3:$G$80,'Historique des factures'!$E$3:$E$80,$A9,'Historique des factures'!$C$3:$C$80,7)</f>
        <v>0</v>
      </c>
      <c r="Q9" s="157">
        <f>SUMIFS('Historique des factures'!$G$3:$G$80,'Historique des factures'!$E$3:$E$80,$A9,'Historique des factures'!$C$3:$C$80,8)</f>
        <v>0</v>
      </c>
      <c r="R9" s="157">
        <f>SUMIFS('Historique des factures'!$G$3:$G$80,'Historique des factures'!$E$3:$E$80,$A9,'Historique des factures'!$C$3:$C$80,9)</f>
        <v>0</v>
      </c>
      <c r="S9" s="157">
        <f>SUMIFS('Historique des factures'!$G$3:$G$80,'Historique des factures'!$E$3:$E$80,$A9,'Historique des factures'!$C$3:$C$80,10)</f>
        <v>0</v>
      </c>
      <c r="T9" s="157">
        <f>SUMIFS('Historique des factures'!$G$3:$G$80,'Historique des factures'!$E$3:$E$80,$A9,'Historique des factures'!$C$3:$C$80,11)</f>
        <v>0</v>
      </c>
      <c r="U9" s="158">
        <f>SUMIFS('Historique des factures'!$G$3:$G$80,'Historique des factures'!$E$3:$E$80,$A9,'Historique des factures'!$C$3:$C$80,12)</f>
        <v>0</v>
      </c>
      <c r="V9" s="159">
        <f t="shared" si="3"/>
        <v>0</v>
      </c>
      <c r="X9" s="172">
        <f>COUNTIFS('Historique des factures'!$E$3:$E$80,$A9,'Historique des factures'!$C$3:$C$80,1)</f>
        <v>0</v>
      </c>
      <c r="Y9" s="173">
        <f>COUNTIFS('Historique des factures'!$E$3:$E$80,$A9,'Historique des factures'!$C$3:$C$80,2)</f>
        <v>0</v>
      </c>
      <c r="Z9" s="173">
        <f>COUNTIFS('Historique des factures'!$E$3:$E$80,$A9,'Historique des factures'!$C$3:$C$80,3)</f>
        <v>0</v>
      </c>
      <c r="AA9" s="173">
        <f>COUNTIFS('Historique des factures'!$E$3:$E$80,$A9,'Historique des factures'!$C$3:$C$80,4)</f>
        <v>0</v>
      </c>
      <c r="AB9" s="173">
        <f>COUNTIFS('Historique des factures'!$E$3:$E$80,$A9,'Historique des factures'!$C$3:$C$80,5)</f>
        <v>0</v>
      </c>
      <c r="AC9" s="173">
        <f>COUNTIFS('Historique des factures'!$E$3:$E$80,$A9,'Historique des factures'!$C$3:$C$80,6)</f>
        <v>0</v>
      </c>
      <c r="AD9" s="173">
        <f>COUNTIFS('Historique des factures'!$E$3:$E$80,$A9,'Historique des factures'!$C$3:$C$80,7)</f>
        <v>0</v>
      </c>
      <c r="AE9" s="173">
        <f>COUNTIFS('Historique des factures'!$E$3:$E$80,$A9,'Historique des factures'!$C$3:$C$80,8)</f>
        <v>0</v>
      </c>
      <c r="AF9" s="173">
        <f>COUNTIFS('Historique des factures'!$E$3:$E$80,$A9,'Historique des factures'!$C$3:$C$80,9)</f>
        <v>0</v>
      </c>
      <c r="AG9" s="173">
        <f>COUNTIFS('Historique des factures'!$E$3:$E$80,$A9,'Historique des factures'!$C$3:$C$80,10)</f>
        <v>0</v>
      </c>
      <c r="AH9" s="173">
        <f>COUNTIFS('Historique des factures'!$E$3:$E$80,$A9,'Historique des factures'!$C$3:$C$80,11)</f>
        <v>0</v>
      </c>
      <c r="AI9" s="174">
        <f>COUNTIFS('Historique des factures'!$E$3:$E$80,$A9,'Historique des factures'!$C$3:$C$80,12)</f>
        <v>0</v>
      </c>
      <c r="AJ9" s="175">
        <f t="shared" si="0"/>
        <v>0</v>
      </c>
    </row>
    <row r="10" spans="1:36">
      <c r="A10" s="2" t="s">
        <v>27</v>
      </c>
      <c r="B10" s="3" t="s">
        <v>28</v>
      </c>
      <c r="C10" s="3">
        <v>94853</v>
      </c>
      <c r="D10" s="9" t="s">
        <v>29</v>
      </c>
      <c r="E10" s="188" t="s">
        <v>147</v>
      </c>
      <c r="F10" s="184">
        <f t="shared" si="1"/>
        <v>0</v>
      </c>
      <c r="G10" s="186">
        <f t="shared" si="2"/>
        <v>0</v>
      </c>
      <c r="H10" s="9"/>
      <c r="J10" s="156">
        <f>SUMIFS('Historique des factures'!$G$3:$G$80,'Historique des factures'!$E$3:$E$80,$A10,'Historique des factures'!$C$3:$C$80,1)</f>
        <v>0</v>
      </c>
      <c r="K10" s="157">
        <f>SUMIFS('Historique des factures'!$G$3:$G$80,'Historique des factures'!$E$3:$E$80,$A10,'Historique des factures'!$C$3:$C$80,2)</f>
        <v>0</v>
      </c>
      <c r="L10" s="157">
        <f>SUMIFS('Historique des factures'!$G$3:$G$80,'Historique des factures'!$E$3:$E$80,$A10,'Historique des factures'!$C$3:$C$80,3)</f>
        <v>0</v>
      </c>
      <c r="M10" s="157">
        <f>SUMIFS('Historique des factures'!$G$3:$G$80,'Historique des factures'!$E$3:$E$80,$A10,'Historique des factures'!$C$3:$C$80,4)</f>
        <v>0</v>
      </c>
      <c r="N10" s="157">
        <f>SUMIFS('Historique des factures'!$G$3:$G$80,'Historique des factures'!$E$3:$E$80,$A10,'Historique des factures'!$C$3:$C$80,5)</f>
        <v>0</v>
      </c>
      <c r="O10" s="157">
        <f>SUMIFS('Historique des factures'!$G$3:$G$80,'Historique des factures'!$E$3:$E$80,$A10,'Historique des factures'!$C$3:$C$80,6)</f>
        <v>0</v>
      </c>
      <c r="P10" s="157">
        <f>SUMIFS('Historique des factures'!$G$3:$G$80,'Historique des factures'!$E$3:$E$80,$A10,'Historique des factures'!$C$3:$C$80,7)</f>
        <v>0</v>
      </c>
      <c r="Q10" s="157">
        <f>SUMIFS('Historique des factures'!$G$3:$G$80,'Historique des factures'!$E$3:$E$80,$A10,'Historique des factures'!$C$3:$C$80,8)</f>
        <v>0</v>
      </c>
      <c r="R10" s="157">
        <f>SUMIFS('Historique des factures'!$G$3:$G$80,'Historique des factures'!$E$3:$E$80,$A10,'Historique des factures'!$C$3:$C$80,9)</f>
        <v>0</v>
      </c>
      <c r="S10" s="157">
        <f>SUMIFS('Historique des factures'!$G$3:$G$80,'Historique des factures'!$E$3:$E$80,$A10,'Historique des factures'!$C$3:$C$80,10)</f>
        <v>0</v>
      </c>
      <c r="T10" s="157">
        <f>SUMIFS('Historique des factures'!$G$3:$G$80,'Historique des factures'!$E$3:$E$80,$A10,'Historique des factures'!$C$3:$C$80,11)</f>
        <v>0</v>
      </c>
      <c r="U10" s="158">
        <f>SUMIFS('Historique des factures'!$G$3:$G$80,'Historique des factures'!$E$3:$E$80,$A10,'Historique des factures'!$C$3:$C$80,12)</f>
        <v>0</v>
      </c>
      <c r="V10" s="159">
        <f t="shared" si="3"/>
        <v>0</v>
      </c>
      <c r="X10" s="172">
        <f>COUNTIFS('Historique des factures'!$E$3:$E$80,$A10,'Historique des factures'!$C$3:$C$80,1)</f>
        <v>0</v>
      </c>
      <c r="Y10" s="173">
        <f>COUNTIFS('Historique des factures'!$E$3:$E$80,$A10,'Historique des factures'!$C$3:$C$80,2)</f>
        <v>0</v>
      </c>
      <c r="Z10" s="173">
        <f>COUNTIFS('Historique des factures'!$E$3:$E$80,$A10,'Historique des factures'!$C$3:$C$80,3)</f>
        <v>0</v>
      </c>
      <c r="AA10" s="173">
        <f>COUNTIFS('Historique des factures'!$E$3:$E$80,$A10,'Historique des factures'!$C$3:$C$80,4)</f>
        <v>0</v>
      </c>
      <c r="AB10" s="173">
        <f>COUNTIFS('Historique des factures'!$E$3:$E$80,$A10,'Historique des factures'!$C$3:$C$80,5)</f>
        <v>0</v>
      </c>
      <c r="AC10" s="173">
        <f>COUNTIFS('Historique des factures'!$E$3:$E$80,$A10,'Historique des factures'!$C$3:$C$80,6)</f>
        <v>0</v>
      </c>
      <c r="AD10" s="173">
        <f>COUNTIFS('Historique des factures'!$E$3:$E$80,$A10,'Historique des factures'!$C$3:$C$80,7)</f>
        <v>0</v>
      </c>
      <c r="AE10" s="173">
        <f>COUNTIFS('Historique des factures'!$E$3:$E$80,$A10,'Historique des factures'!$C$3:$C$80,8)</f>
        <v>0</v>
      </c>
      <c r="AF10" s="173">
        <f>COUNTIFS('Historique des factures'!$E$3:$E$80,$A10,'Historique des factures'!$C$3:$C$80,9)</f>
        <v>0</v>
      </c>
      <c r="AG10" s="173">
        <f>COUNTIFS('Historique des factures'!$E$3:$E$80,$A10,'Historique des factures'!$C$3:$C$80,10)</f>
        <v>0</v>
      </c>
      <c r="AH10" s="173">
        <f>COUNTIFS('Historique des factures'!$E$3:$E$80,$A10,'Historique des factures'!$C$3:$C$80,11)</f>
        <v>0</v>
      </c>
      <c r="AI10" s="174">
        <f>COUNTIFS('Historique des factures'!$E$3:$E$80,$A10,'Historique des factures'!$C$3:$C$80,12)</f>
        <v>0</v>
      </c>
      <c r="AJ10" s="175">
        <f t="shared" si="0"/>
        <v>0</v>
      </c>
    </row>
    <row r="11" spans="1:36">
      <c r="A11" s="2" t="s">
        <v>30</v>
      </c>
      <c r="B11" s="3" t="s">
        <v>31</v>
      </c>
      <c r="C11" s="3">
        <v>74000</v>
      </c>
      <c r="D11" s="9" t="s">
        <v>32</v>
      </c>
      <c r="E11" s="188" t="s">
        <v>148</v>
      </c>
      <c r="F11" s="184">
        <f t="shared" si="1"/>
        <v>0</v>
      </c>
      <c r="G11" s="186">
        <f t="shared" si="2"/>
        <v>0</v>
      </c>
      <c r="H11" s="9"/>
      <c r="J11" s="156">
        <f>SUMIFS('Historique des factures'!$G$3:$G$80,'Historique des factures'!$E$3:$E$80,$A11,'Historique des factures'!$C$3:$C$80,1)</f>
        <v>0</v>
      </c>
      <c r="K11" s="157">
        <f>SUMIFS('Historique des factures'!$G$3:$G$80,'Historique des factures'!$E$3:$E$80,$A11,'Historique des factures'!$C$3:$C$80,2)</f>
        <v>0</v>
      </c>
      <c r="L11" s="157">
        <f>SUMIFS('Historique des factures'!$G$3:$G$80,'Historique des factures'!$E$3:$E$80,$A11,'Historique des factures'!$C$3:$C$80,3)</f>
        <v>0</v>
      </c>
      <c r="M11" s="157">
        <f>SUMIFS('Historique des factures'!$G$3:$G$80,'Historique des factures'!$E$3:$E$80,$A11,'Historique des factures'!$C$3:$C$80,4)</f>
        <v>0</v>
      </c>
      <c r="N11" s="157">
        <f>SUMIFS('Historique des factures'!$G$3:$G$80,'Historique des factures'!$E$3:$E$80,$A11,'Historique des factures'!$C$3:$C$80,5)</f>
        <v>0</v>
      </c>
      <c r="O11" s="157">
        <f>SUMIFS('Historique des factures'!$G$3:$G$80,'Historique des factures'!$E$3:$E$80,$A11,'Historique des factures'!$C$3:$C$80,6)</f>
        <v>0</v>
      </c>
      <c r="P11" s="157">
        <f>SUMIFS('Historique des factures'!$G$3:$G$80,'Historique des factures'!$E$3:$E$80,$A11,'Historique des factures'!$C$3:$C$80,7)</f>
        <v>0</v>
      </c>
      <c r="Q11" s="157">
        <f>SUMIFS('Historique des factures'!$G$3:$G$80,'Historique des factures'!$E$3:$E$80,$A11,'Historique des factures'!$C$3:$C$80,8)</f>
        <v>0</v>
      </c>
      <c r="R11" s="157">
        <f>SUMIFS('Historique des factures'!$G$3:$G$80,'Historique des factures'!$E$3:$E$80,$A11,'Historique des factures'!$C$3:$C$80,9)</f>
        <v>0</v>
      </c>
      <c r="S11" s="157">
        <f>SUMIFS('Historique des factures'!$G$3:$G$80,'Historique des factures'!$E$3:$E$80,$A11,'Historique des factures'!$C$3:$C$80,10)</f>
        <v>0</v>
      </c>
      <c r="T11" s="157">
        <f>SUMIFS('Historique des factures'!$G$3:$G$80,'Historique des factures'!$E$3:$E$80,$A11,'Historique des factures'!$C$3:$C$80,11)</f>
        <v>0</v>
      </c>
      <c r="U11" s="158">
        <f>SUMIFS('Historique des factures'!$G$3:$G$80,'Historique des factures'!$E$3:$E$80,$A11,'Historique des factures'!$C$3:$C$80,12)</f>
        <v>0</v>
      </c>
      <c r="V11" s="159">
        <f t="shared" si="3"/>
        <v>0</v>
      </c>
      <c r="X11" s="172">
        <f>COUNTIFS('Historique des factures'!$E$3:$E$80,$A11,'Historique des factures'!$C$3:$C$80,1)</f>
        <v>0</v>
      </c>
      <c r="Y11" s="173">
        <f>COUNTIFS('Historique des factures'!$E$3:$E$80,$A11,'Historique des factures'!$C$3:$C$80,2)</f>
        <v>0</v>
      </c>
      <c r="Z11" s="173">
        <f>COUNTIFS('Historique des factures'!$E$3:$E$80,$A11,'Historique des factures'!$C$3:$C$80,3)</f>
        <v>0</v>
      </c>
      <c r="AA11" s="173">
        <f>COUNTIFS('Historique des factures'!$E$3:$E$80,$A11,'Historique des factures'!$C$3:$C$80,4)</f>
        <v>0</v>
      </c>
      <c r="AB11" s="173">
        <f>COUNTIFS('Historique des factures'!$E$3:$E$80,$A11,'Historique des factures'!$C$3:$C$80,5)</f>
        <v>0</v>
      </c>
      <c r="AC11" s="173">
        <f>COUNTIFS('Historique des factures'!$E$3:$E$80,$A11,'Historique des factures'!$C$3:$C$80,6)</f>
        <v>0</v>
      </c>
      <c r="AD11" s="173">
        <f>COUNTIFS('Historique des factures'!$E$3:$E$80,$A11,'Historique des factures'!$C$3:$C$80,7)</f>
        <v>0</v>
      </c>
      <c r="AE11" s="173">
        <f>COUNTIFS('Historique des factures'!$E$3:$E$80,$A11,'Historique des factures'!$C$3:$C$80,8)</f>
        <v>0</v>
      </c>
      <c r="AF11" s="173">
        <f>COUNTIFS('Historique des factures'!$E$3:$E$80,$A11,'Historique des factures'!$C$3:$C$80,9)</f>
        <v>0</v>
      </c>
      <c r="AG11" s="173">
        <f>COUNTIFS('Historique des factures'!$E$3:$E$80,$A11,'Historique des factures'!$C$3:$C$80,10)</f>
        <v>0</v>
      </c>
      <c r="AH11" s="173">
        <f>COUNTIFS('Historique des factures'!$E$3:$E$80,$A11,'Historique des factures'!$C$3:$C$80,11)</f>
        <v>0</v>
      </c>
      <c r="AI11" s="174">
        <f>COUNTIFS('Historique des factures'!$E$3:$E$80,$A11,'Historique des factures'!$C$3:$C$80,12)</f>
        <v>0</v>
      </c>
      <c r="AJ11" s="175">
        <f t="shared" si="0"/>
        <v>0</v>
      </c>
    </row>
    <row r="12" spans="1:36">
      <c r="A12" s="2" t="s">
        <v>33</v>
      </c>
      <c r="B12" s="3" t="s">
        <v>34</v>
      </c>
      <c r="C12" s="3">
        <v>21600</v>
      </c>
      <c r="D12" s="9" t="s">
        <v>35</v>
      </c>
      <c r="E12" s="188" t="s">
        <v>145</v>
      </c>
      <c r="F12" s="184">
        <f t="shared" si="1"/>
        <v>0</v>
      </c>
      <c r="G12" s="186">
        <f t="shared" si="2"/>
        <v>0</v>
      </c>
      <c r="H12" s="9"/>
      <c r="J12" s="156">
        <f>SUMIFS('Historique des factures'!$G$3:$G$80,'Historique des factures'!$E$3:$E$80,$A12,'Historique des factures'!$C$3:$C$80,1)</f>
        <v>0</v>
      </c>
      <c r="K12" s="157">
        <f>SUMIFS('Historique des factures'!$G$3:$G$80,'Historique des factures'!$E$3:$E$80,$A12,'Historique des factures'!$C$3:$C$80,2)</f>
        <v>0</v>
      </c>
      <c r="L12" s="157">
        <f>SUMIFS('Historique des factures'!$G$3:$G$80,'Historique des factures'!$E$3:$E$80,$A12,'Historique des factures'!$C$3:$C$80,3)</f>
        <v>0</v>
      </c>
      <c r="M12" s="157">
        <f>SUMIFS('Historique des factures'!$G$3:$G$80,'Historique des factures'!$E$3:$E$80,$A12,'Historique des factures'!$C$3:$C$80,4)</f>
        <v>0</v>
      </c>
      <c r="N12" s="157">
        <f>SUMIFS('Historique des factures'!$G$3:$G$80,'Historique des factures'!$E$3:$E$80,$A12,'Historique des factures'!$C$3:$C$80,5)</f>
        <v>0</v>
      </c>
      <c r="O12" s="157">
        <f>SUMIFS('Historique des factures'!$G$3:$G$80,'Historique des factures'!$E$3:$E$80,$A12,'Historique des factures'!$C$3:$C$80,6)</f>
        <v>0</v>
      </c>
      <c r="P12" s="157">
        <f>SUMIFS('Historique des factures'!$G$3:$G$80,'Historique des factures'!$E$3:$E$80,$A12,'Historique des factures'!$C$3:$C$80,7)</f>
        <v>0</v>
      </c>
      <c r="Q12" s="157">
        <f>SUMIFS('Historique des factures'!$G$3:$G$80,'Historique des factures'!$E$3:$E$80,$A12,'Historique des factures'!$C$3:$C$80,8)</f>
        <v>0</v>
      </c>
      <c r="R12" s="157">
        <f>SUMIFS('Historique des factures'!$G$3:$G$80,'Historique des factures'!$E$3:$E$80,$A12,'Historique des factures'!$C$3:$C$80,9)</f>
        <v>0</v>
      </c>
      <c r="S12" s="157">
        <f>SUMIFS('Historique des factures'!$G$3:$G$80,'Historique des factures'!$E$3:$E$80,$A12,'Historique des factures'!$C$3:$C$80,10)</f>
        <v>0</v>
      </c>
      <c r="T12" s="157">
        <f>SUMIFS('Historique des factures'!$G$3:$G$80,'Historique des factures'!$E$3:$E$80,$A12,'Historique des factures'!$C$3:$C$80,11)</f>
        <v>0</v>
      </c>
      <c r="U12" s="158">
        <f>SUMIFS('Historique des factures'!$G$3:$G$80,'Historique des factures'!$E$3:$E$80,$A12,'Historique des factures'!$C$3:$C$80,12)</f>
        <v>0</v>
      </c>
      <c r="V12" s="159">
        <f t="shared" si="3"/>
        <v>0</v>
      </c>
      <c r="X12" s="172">
        <f>COUNTIFS('Historique des factures'!$E$3:$E$80,$A12,'Historique des factures'!$C$3:$C$80,1)</f>
        <v>0</v>
      </c>
      <c r="Y12" s="173">
        <f>COUNTIFS('Historique des factures'!$E$3:$E$80,$A12,'Historique des factures'!$C$3:$C$80,2)</f>
        <v>0</v>
      </c>
      <c r="Z12" s="173">
        <f>COUNTIFS('Historique des factures'!$E$3:$E$80,$A12,'Historique des factures'!$C$3:$C$80,3)</f>
        <v>0</v>
      </c>
      <c r="AA12" s="173">
        <f>COUNTIFS('Historique des factures'!$E$3:$E$80,$A12,'Historique des factures'!$C$3:$C$80,4)</f>
        <v>0</v>
      </c>
      <c r="AB12" s="173">
        <f>COUNTIFS('Historique des factures'!$E$3:$E$80,$A12,'Historique des factures'!$C$3:$C$80,5)</f>
        <v>0</v>
      </c>
      <c r="AC12" s="173">
        <f>COUNTIFS('Historique des factures'!$E$3:$E$80,$A12,'Historique des factures'!$C$3:$C$80,6)</f>
        <v>0</v>
      </c>
      <c r="AD12" s="173">
        <f>COUNTIFS('Historique des factures'!$E$3:$E$80,$A12,'Historique des factures'!$C$3:$C$80,7)</f>
        <v>0</v>
      </c>
      <c r="AE12" s="173">
        <f>COUNTIFS('Historique des factures'!$E$3:$E$80,$A12,'Historique des factures'!$C$3:$C$80,8)</f>
        <v>0</v>
      </c>
      <c r="AF12" s="173">
        <f>COUNTIFS('Historique des factures'!$E$3:$E$80,$A12,'Historique des factures'!$C$3:$C$80,9)</f>
        <v>0</v>
      </c>
      <c r="AG12" s="173">
        <f>COUNTIFS('Historique des factures'!$E$3:$E$80,$A12,'Historique des factures'!$C$3:$C$80,10)</f>
        <v>0</v>
      </c>
      <c r="AH12" s="173">
        <f>COUNTIFS('Historique des factures'!$E$3:$E$80,$A12,'Historique des factures'!$C$3:$C$80,11)</f>
        <v>0</v>
      </c>
      <c r="AI12" s="174">
        <f>COUNTIFS('Historique des factures'!$E$3:$E$80,$A12,'Historique des factures'!$C$3:$C$80,12)</f>
        <v>0</v>
      </c>
      <c r="AJ12" s="175">
        <f t="shared" si="0"/>
        <v>0</v>
      </c>
    </row>
    <row r="13" spans="1:36">
      <c r="A13" s="2" t="s">
        <v>36</v>
      </c>
      <c r="B13" s="3" t="s">
        <v>37</v>
      </c>
      <c r="C13" s="3">
        <v>92200</v>
      </c>
      <c r="D13" s="9" t="s">
        <v>38</v>
      </c>
      <c r="E13" s="188" t="s">
        <v>146</v>
      </c>
      <c r="F13" s="184">
        <f t="shared" si="1"/>
        <v>0</v>
      </c>
      <c r="G13" s="186">
        <f t="shared" si="2"/>
        <v>0</v>
      </c>
      <c r="H13" s="9"/>
      <c r="J13" s="156">
        <f>SUMIFS('Historique des factures'!$G$3:$G$80,'Historique des factures'!$E$3:$E$80,$A13,'Historique des factures'!$C$3:$C$80,1)</f>
        <v>0</v>
      </c>
      <c r="K13" s="157">
        <f>SUMIFS('Historique des factures'!$G$3:$G$80,'Historique des factures'!$E$3:$E$80,$A13,'Historique des factures'!$C$3:$C$80,2)</f>
        <v>0</v>
      </c>
      <c r="L13" s="157">
        <f>SUMIFS('Historique des factures'!$G$3:$G$80,'Historique des factures'!$E$3:$E$80,$A13,'Historique des factures'!$C$3:$C$80,3)</f>
        <v>0</v>
      </c>
      <c r="M13" s="157">
        <f>SUMIFS('Historique des factures'!$G$3:$G$80,'Historique des factures'!$E$3:$E$80,$A13,'Historique des factures'!$C$3:$C$80,4)</f>
        <v>0</v>
      </c>
      <c r="N13" s="157">
        <f>SUMIFS('Historique des factures'!$G$3:$G$80,'Historique des factures'!$E$3:$E$80,$A13,'Historique des factures'!$C$3:$C$80,5)</f>
        <v>0</v>
      </c>
      <c r="O13" s="157">
        <f>SUMIFS('Historique des factures'!$G$3:$G$80,'Historique des factures'!$E$3:$E$80,$A13,'Historique des factures'!$C$3:$C$80,6)</f>
        <v>0</v>
      </c>
      <c r="P13" s="157">
        <f>SUMIFS('Historique des factures'!$G$3:$G$80,'Historique des factures'!$E$3:$E$80,$A13,'Historique des factures'!$C$3:$C$80,7)</f>
        <v>0</v>
      </c>
      <c r="Q13" s="157">
        <f>SUMIFS('Historique des factures'!$G$3:$G$80,'Historique des factures'!$E$3:$E$80,$A13,'Historique des factures'!$C$3:$C$80,8)</f>
        <v>0</v>
      </c>
      <c r="R13" s="157">
        <f>SUMIFS('Historique des factures'!$G$3:$G$80,'Historique des factures'!$E$3:$E$80,$A13,'Historique des factures'!$C$3:$C$80,9)</f>
        <v>0</v>
      </c>
      <c r="S13" s="157">
        <f>SUMIFS('Historique des factures'!$G$3:$G$80,'Historique des factures'!$E$3:$E$80,$A13,'Historique des factures'!$C$3:$C$80,10)</f>
        <v>0</v>
      </c>
      <c r="T13" s="157">
        <f>SUMIFS('Historique des factures'!$G$3:$G$80,'Historique des factures'!$E$3:$E$80,$A13,'Historique des factures'!$C$3:$C$80,11)</f>
        <v>0</v>
      </c>
      <c r="U13" s="158">
        <f>SUMIFS('Historique des factures'!$G$3:$G$80,'Historique des factures'!$E$3:$E$80,$A13,'Historique des factures'!$C$3:$C$80,12)</f>
        <v>0</v>
      </c>
      <c r="V13" s="159">
        <f t="shared" si="3"/>
        <v>0</v>
      </c>
      <c r="X13" s="172">
        <f>COUNTIFS('Historique des factures'!$E$3:$E$80,$A13,'Historique des factures'!$C$3:$C$80,1)</f>
        <v>0</v>
      </c>
      <c r="Y13" s="173">
        <f>COUNTIFS('Historique des factures'!$E$3:$E$80,$A13,'Historique des factures'!$C$3:$C$80,2)</f>
        <v>0</v>
      </c>
      <c r="Z13" s="173">
        <f>COUNTIFS('Historique des factures'!$E$3:$E$80,$A13,'Historique des factures'!$C$3:$C$80,3)</f>
        <v>0</v>
      </c>
      <c r="AA13" s="173">
        <f>COUNTIFS('Historique des factures'!$E$3:$E$80,$A13,'Historique des factures'!$C$3:$C$80,4)</f>
        <v>0</v>
      </c>
      <c r="AB13" s="173">
        <f>COUNTIFS('Historique des factures'!$E$3:$E$80,$A13,'Historique des factures'!$C$3:$C$80,5)</f>
        <v>0</v>
      </c>
      <c r="AC13" s="173">
        <f>COUNTIFS('Historique des factures'!$E$3:$E$80,$A13,'Historique des factures'!$C$3:$C$80,6)</f>
        <v>0</v>
      </c>
      <c r="AD13" s="173">
        <f>COUNTIFS('Historique des factures'!$E$3:$E$80,$A13,'Historique des factures'!$C$3:$C$80,7)</f>
        <v>0</v>
      </c>
      <c r="AE13" s="173">
        <f>COUNTIFS('Historique des factures'!$E$3:$E$80,$A13,'Historique des factures'!$C$3:$C$80,8)</f>
        <v>0</v>
      </c>
      <c r="AF13" s="173">
        <f>COUNTIFS('Historique des factures'!$E$3:$E$80,$A13,'Historique des factures'!$C$3:$C$80,9)</f>
        <v>0</v>
      </c>
      <c r="AG13" s="173">
        <f>COUNTIFS('Historique des factures'!$E$3:$E$80,$A13,'Historique des factures'!$C$3:$C$80,10)</f>
        <v>0</v>
      </c>
      <c r="AH13" s="173">
        <f>COUNTIFS('Historique des factures'!$E$3:$E$80,$A13,'Historique des factures'!$C$3:$C$80,11)</f>
        <v>0</v>
      </c>
      <c r="AI13" s="174">
        <f>COUNTIFS('Historique des factures'!$E$3:$E$80,$A13,'Historique des factures'!$C$3:$C$80,12)</f>
        <v>0</v>
      </c>
      <c r="AJ13" s="175">
        <f t="shared" si="0"/>
        <v>0</v>
      </c>
    </row>
    <row r="14" spans="1:36">
      <c r="A14" s="2" t="s">
        <v>39</v>
      </c>
      <c r="B14" s="3" t="s">
        <v>40</v>
      </c>
      <c r="C14" s="3">
        <v>57953</v>
      </c>
      <c r="D14" s="9" t="s">
        <v>41</v>
      </c>
      <c r="E14" s="188" t="s">
        <v>147</v>
      </c>
      <c r="F14" s="184">
        <f t="shared" si="1"/>
        <v>0</v>
      </c>
      <c r="G14" s="186">
        <f t="shared" si="2"/>
        <v>0</v>
      </c>
      <c r="H14" s="9"/>
      <c r="J14" s="156">
        <f>SUMIFS('Historique des factures'!$G$3:$G$80,'Historique des factures'!$E$3:$E$80,$A14,'Historique des factures'!$C$3:$C$80,1)</f>
        <v>0</v>
      </c>
      <c r="K14" s="157">
        <f>SUMIFS('Historique des factures'!$G$3:$G$80,'Historique des factures'!$E$3:$E$80,$A14,'Historique des factures'!$C$3:$C$80,2)</f>
        <v>0</v>
      </c>
      <c r="L14" s="157">
        <f>SUMIFS('Historique des factures'!$G$3:$G$80,'Historique des factures'!$E$3:$E$80,$A14,'Historique des factures'!$C$3:$C$80,3)</f>
        <v>0</v>
      </c>
      <c r="M14" s="157">
        <f>SUMIFS('Historique des factures'!$G$3:$G$80,'Historique des factures'!$E$3:$E$80,$A14,'Historique des factures'!$C$3:$C$80,4)</f>
        <v>0</v>
      </c>
      <c r="N14" s="157">
        <f>SUMIFS('Historique des factures'!$G$3:$G$80,'Historique des factures'!$E$3:$E$80,$A14,'Historique des factures'!$C$3:$C$80,5)</f>
        <v>0</v>
      </c>
      <c r="O14" s="157">
        <f>SUMIFS('Historique des factures'!$G$3:$G$80,'Historique des factures'!$E$3:$E$80,$A14,'Historique des factures'!$C$3:$C$80,6)</f>
        <v>0</v>
      </c>
      <c r="P14" s="157">
        <f>SUMIFS('Historique des factures'!$G$3:$G$80,'Historique des factures'!$E$3:$E$80,$A14,'Historique des factures'!$C$3:$C$80,7)</f>
        <v>0</v>
      </c>
      <c r="Q14" s="157">
        <f>SUMIFS('Historique des factures'!$G$3:$G$80,'Historique des factures'!$E$3:$E$80,$A14,'Historique des factures'!$C$3:$C$80,8)</f>
        <v>0</v>
      </c>
      <c r="R14" s="157">
        <f>SUMIFS('Historique des factures'!$G$3:$G$80,'Historique des factures'!$E$3:$E$80,$A14,'Historique des factures'!$C$3:$C$80,9)</f>
        <v>0</v>
      </c>
      <c r="S14" s="157">
        <f>SUMIFS('Historique des factures'!$G$3:$G$80,'Historique des factures'!$E$3:$E$80,$A14,'Historique des factures'!$C$3:$C$80,10)</f>
        <v>0</v>
      </c>
      <c r="T14" s="157">
        <f>SUMIFS('Historique des factures'!$G$3:$G$80,'Historique des factures'!$E$3:$E$80,$A14,'Historique des factures'!$C$3:$C$80,11)</f>
        <v>0</v>
      </c>
      <c r="U14" s="158">
        <f>SUMIFS('Historique des factures'!$G$3:$G$80,'Historique des factures'!$E$3:$E$80,$A14,'Historique des factures'!$C$3:$C$80,12)</f>
        <v>0</v>
      </c>
      <c r="V14" s="159">
        <f t="shared" si="3"/>
        <v>0</v>
      </c>
      <c r="X14" s="172">
        <f>COUNTIFS('Historique des factures'!$E$3:$E$80,$A14,'Historique des factures'!$C$3:$C$80,1)</f>
        <v>0</v>
      </c>
      <c r="Y14" s="173">
        <f>COUNTIFS('Historique des factures'!$E$3:$E$80,$A14,'Historique des factures'!$C$3:$C$80,2)</f>
        <v>0</v>
      </c>
      <c r="Z14" s="173">
        <f>COUNTIFS('Historique des factures'!$E$3:$E$80,$A14,'Historique des factures'!$C$3:$C$80,3)</f>
        <v>0</v>
      </c>
      <c r="AA14" s="173">
        <f>COUNTIFS('Historique des factures'!$E$3:$E$80,$A14,'Historique des factures'!$C$3:$C$80,4)</f>
        <v>0</v>
      </c>
      <c r="AB14" s="173">
        <f>COUNTIFS('Historique des factures'!$E$3:$E$80,$A14,'Historique des factures'!$C$3:$C$80,5)</f>
        <v>0</v>
      </c>
      <c r="AC14" s="173">
        <f>COUNTIFS('Historique des factures'!$E$3:$E$80,$A14,'Historique des factures'!$C$3:$C$80,6)</f>
        <v>0</v>
      </c>
      <c r="AD14" s="173">
        <f>COUNTIFS('Historique des factures'!$E$3:$E$80,$A14,'Historique des factures'!$C$3:$C$80,7)</f>
        <v>0</v>
      </c>
      <c r="AE14" s="173">
        <f>COUNTIFS('Historique des factures'!$E$3:$E$80,$A14,'Historique des factures'!$C$3:$C$80,8)</f>
        <v>0</v>
      </c>
      <c r="AF14" s="173">
        <f>COUNTIFS('Historique des factures'!$E$3:$E$80,$A14,'Historique des factures'!$C$3:$C$80,9)</f>
        <v>0</v>
      </c>
      <c r="AG14" s="173">
        <f>COUNTIFS('Historique des factures'!$E$3:$E$80,$A14,'Historique des factures'!$C$3:$C$80,10)</f>
        <v>0</v>
      </c>
      <c r="AH14" s="173">
        <f>COUNTIFS('Historique des factures'!$E$3:$E$80,$A14,'Historique des factures'!$C$3:$C$80,11)</f>
        <v>0</v>
      </c>
      <c r="AI14" s="174">
        <f>COUNTIFS('Historique des factures'!$E$3:$E$80,$A14,'Historique des factures'!$C$3:$C$80,12)</f>
        <v>0</v>
      </c>
      <c r="AJ14" s="175">
        <f t="shared" si="0"/>
        <v>0</v>
      </c>
    </row>
    <row r="15" spans="1:36">
      <c r="A15" s="2" t="s">
        <v>42</v>
      </c>
      <c r="B15" s="3" t="s">
        <v>43</v>
      </c>
      <c r="C15" s="3">
        <v>94420</v>
      </c>
      <c r="D15" s="9" t="s">
        <v>44</v>
      </c>
      <c r="E15" s="188" t="s">
        <v>148</v>
      </c>
      <c r="F15" s="184">
        <f t="shared" si="1"/>
        <v>0</v>
      </c>
      <c r="G15" s="186">
        <f t="shared" si="2"/>
        <v>0</v>
      </c>
      <c r="H15" s="9"/>
      <c r="J15" s="156">
        <f>SUMIFS('Historique des factures'!$G$3:$G$80,'Historique des factures'!$E$3:$E$80,$A15,'Historique des factures'!$C$3:$C$80,1)</f>
        <v>0</v>
      </c>
      <c r="K15" s="157">
        <f>SUMIFS('Historique des factures'!$G$3:$G$80,'Historique des factures'!$E$3:$E$80,$A15,'Historique des factures'!$C$3:$C$80,2)</f>
        <v>0</v>
      </c>
      <c r="L15" s="157">
        <f>SUMIFS('Historique des factures'!$G$3:$G$80,'Historique des factures'!$E$3:$E$80,$A15,'Historique des factures'!$C$3:$C$80,3)</f>
        <v>0</v>
      </c>
      <c r="M15" s="157">
        <f>SUMIFS('Historique des factures'!$G$3:$G$80,'Historique des factures'!$E$3:$E$80,$A15,'Historique des factures'!$C$3:$C$80,4)</f>
        <v>0</v>
      </c>
      <c r="N15" s="157">
        <f>SUMIFS('Historique des factures'!$G$3:$G$80,'Historique des factures'!$E$3:$E$80,$A15,'Historique des factures'!$C$3:$C$80,5)</f>
        <v>0</v>
      </c>
      <c r="O15" s="157">
        <f>SUMIFS('Historique des factures'!$G$3:$G$80,'Historique des factures'!$E$3:$E$80,$A15,'Historique des factures'!$C$3:$C$80,6)</f>
        <v>0</v>
      </c>
      <c r="P15" s="157">
        <f>SUMIFS('Historique des factures'!$G$3:$G$80,'Historique des factures'!$E$3:$E$80,$A15,'Historique des factures'!$C$3:$C$80,7)</f>
        <v>0</v>
      </c>
      <c r="Q15" s="157">
        <f>SUMIFS('Historique des factures'!$G$3:$G$80,'Historique des factures'!$E$3:$E$80,$A15,'Historique des factures'!$C$3:$C$80,8)</f>
        <v>0</v>
      </c>
      <c r="R15" s="157">
        <f>SUMIFS('Historique des factures'!$G$3:$G$80,'Historique des factures'!$E$3:$E$80,$A15,'Historique des factures'!$C$3:$C$80,9)</f>
        <v>0</v>
      </c>
      <c r="S15" s="157">
        <f>SUMIFS('Historique des factures'!$G$3:$G$80,'Historique des factures'!$E$3:$E$80,$A15,'Historique des factures'!$C$3:$C$80,10)</f>
        <v>0</v>
      </c>
      <c r="T15" s="157">
        <f>SUMIFS('Historique des factures'!$G$3:$G$80,'Historique des factures'!$E$3:$E$80,$A15,'Historique des factures'!$C$3:$C$80,11)</f>
        <v>0</v>
      </c>
      <c r="U15" s="158">
        <f>SUMIFS('Historique des factures'!$G$3:$G$80,'Historique des factures'!$E$3:$E$80,$A15,'Historique des factures'!$C$3:$C$80,12)</f>
        <v>0</v>
      </c>
      <c r="V15" s="159">
        <f t="shared" si="3"/>
        <v>0</v>
      </c>
      <c r="X15" s="172">
        <f>COUNTIFS('Historique des factures'!$E$3:$E$80,$A15,'Historique des factures'!$C$3:$C$80,1)</f>
        <v>0</v>
      </c>
      <c r="Y15" s="173">
        <f>COUNTIFS('Historique des factures'!$E$3:$E$80,$A15,'Historique des factures'!$C$3:$C$80,2)</f>
        <v>0</v>
      </c>
      <c r="Z15" s="173">
        <f>COUNTIFS('Historique des factures'!$E$3:$E$80,$A15,'Historique des factures'!$C$3:$C$80,3)</f>
        <v>0</v>
      </c>
      <c r="AA15" s="173">
        <f>COUNTIFS('Historique des factures'!$E$3:$E$80,$A15,'Historique des factures'!$C$3:$C$80,4)</f>
        <v>0</v>
      </c>
      <c r="AB15" s="173">
        <f>COUNTIFS('Historique des factures'!$E$3:$E$80,$A15,'Historique des factures'!$C$3:$C$80,5)</f>
        <v>0</v>
      </c>
      <c r="AC15" s="173">
        <f>COUNTIFS('Historique des factures'!$E$3:$E$80,$A15,'Historique des factures'!$C$3:$C$80,6)</f>
        <v>0</v>
      </c>
      <c r="AD15" s="173">
        <f>COUNTIFS('Historique des factures'!$E$3:$E$80,$A15,'Historique des factures'!$C$3:$C$80,7)</f>
        <v>0</v>
      </c>
      <c r="AE15" s="173">
        <f>COUNTIFS('Historique des factures'!$E$3:$E$80,$A15,'Historique des factures'!$C$3:$C$80,8)</f>
        <v>0</v>
      </c>
      <c r="AF15" s="173">
        <f>COUNTIFS('Historique des factures'!$E$3:$E$80,$A15,'Historique des factures'!$C$3:$C$80,9)</f>
        <v>0</v>
      </c>
      <c r="AG15" s="173">
        <f>COUNTIFS('Historique des factures'!$E$3:$E$80,$A15,'Historique des factures'!$C$3:$C$80,10)</f>
        <v>0</v>
      </c>
      <c r="AH15" s="173">
        <f>COUNTIFS('Historique des factures'!$E$3:$E$80,$A15,'Historique des factures'!$C$3:$C$80,11)</f>
        <v>0</v>
      </c>
      <c r="AI15" s="174">
        <f>COUNTIFS('Historique des factures'!$E$3:$E$80,$A15,'Historique des factures'!$C$3:$C$80,12)</f>
        <v>0</v>
      </c>
      <c r="AJ15" s="175">
        <f t="shared" si="0"/>
        <v>0</v>
      </c>
    </row>
    <row r="16" spans="1:36">
      <c r="A16" s="2" t="s">
        <v>46</v>
      </c>
      <c r="B16" s="3" t="s">
        <v>47</v>
      </c>
      <c r="C16" s="3">
        <v>91350</v>
      </c>
      <c r="D16" s="9" t="s">
        <v>48</v>
      </c>
      <c r="E16" s="188" t="s">
        <v>145</v>
      </c>
      <c r="F16" s="184">
        <f t="shared" si="1"/>
        <v>0</v>
      </c>
      <c r="G16" s="186">
        <f t="shared" si="2"/>
        <v>0</v>
      </c>
      <c r="H16" s="9"/>
      <c r="J16" s="156">
        <f>SUMIFS('Historique des factures'!$G$3:$G$80,'Historique des factures'!$E$3:$E$80,$A16,'Historique des factures'!$C$3:$C$80,1)</f>
        <v>0</v>
      </c>
      <c r="K16" s="157">
        <f>SUMIFS('Historique des factures'!$G$3:$G$80,'Historique des factures'!$E$3:$E$80,$A16,'Historique des factures'!$C$3:$C$80,2)</f>
        <v>0</v>
      </c>
      <c r="L16" s="157">
        <f>SUMIFS('Historique des factures'!$G$3:$G$80,'Historique des factures'!$E$3:$E$80,$A16,'Historique des factures'!$C$3:$C$80,3)</f>
        <v>0</v>
      </c>
      <c r="M16" s="157">
        <f>SUMIFS('Historique des factures'!$G$3:$G$80,'Historique des factures'!$E$3:$E$80,$A16,'Historique des factures'!$C$3:$C$80,4)</f>
        <v>0</v>
      </c>
      <c r="N16" s="157">
        <f>SUMIFS('Historique des factures'!$G$3:$G$80,'Historique des factures'!$E$3:$E$80,$A16,'Historique des factures'!$C$3:$C$80,5)</f>
        <v>0</v>
      </c>
      <c r="O16" s="157">
        <f>SUMIFS('Historique des factures'!$G$3:$G$80,'Historique des factures'!$E$3:$E$80,$A16,'Historique des factures'!$C$3:$C$80,6)</f>
        <v>0</v>
      </c>
      <c r="P16" s="157">
        <f>SUMIFS('Historique des factures'!$G$3:$G$80,'Historique des factures'!$E$3:$E$80,$A16,'Historique des factures'!$C$3:$C$80,7)</f>
        <v>0</v>
      </c>
      <c r="Q16" s="157">
        <f>SUMIFS('Historique des factures'!$G$3:$G$80,'Historique des factures'!$E$3:$E$80,$A16,'Historique des factures'!$C$3:$C$80,8)</f>
        <v>0</v>
      </c>
      <c r="R16" s="157">
        <f>SUMIFS('Historique des factures'!$G$3:$G$80,'Historique des factures'!$E$3:$E$80,$A16,'Historique des factures'!$C$3:$C$80,9)</f>
        <v>0</v>
      </c>
      <c r="S16" s="157">
        <f>SUMIFS('Historique des factures'!$G$3:$G$80,'Historique des factures'!$E$3:$E$80,$A16,'Historique des factures'!$C$3:$C$80,10)</f>
        <v>0</v>
      </c>
      <c r="T16" s="157">
        <f>SUMIFS('Historique des factures'!$G$3:$G$80,'Historique des factures'!$E$3:$E$80,$A16,'Historique des factures'!$C$3:$C$80,11)</f>
        <v>0</v>
      </c>
      <c r="U16" s="158">
        <f>SUMIFS('Historique des factures'!$G$3:$G$80,'Historique des factures'!$E$3:$E$80,$A16,'Historique des factures'!$C$3:$C$80,12)</f>
        <v>0</v>
      </c>
      <c r="V16" s="159">
        <f t="shared" si="3"/>
        <v>0</v>
      </c>
      <c r="X16" s="172">
        <f>COUNTIFS('Historique des factures'!$E$3:$E$80,$A16,'Historique des factures'!$C$3:$C$80,1)</f>
        <v>0</v>
      </c>
      <c r="Y16" s="173">
        <f>COUNTIFS('Historique des factures'!$E$3:$E$80,$A16,'Historique des factures'!$C$3:$C$80,2)</f>
        <v>0</v>
      </c>
      <c r="Z16" s="173">
        <f>COUNTIFS('Historique des factures'!$E$3:$E$80,$A16,'Historique des factures'!$C$3:$C$80,3)</f>
        <v>0</v>
      </c>
      <c r="AA16" s="173">
        <f>COUNTIFS('Historique des factures'!$E$3:$E$80,$A16,'Historique des factures'!$C$3:$C$80,4)</f>
        <v>0</v>
      </c>
      <c r="AB16" s="173">
        <f>COUNTIFS('Historique des factures'!$E$3:$E$80,$A16,'Historique des factures'!$C$3:$C$80,5)</f>
        <v>0</v>
      </c>
      <c r="AC16" s="173">
        <f>COUNTIFS('Historique des factures'!$E$3:$E$80,$A16,'Historique des factures'!$C$3:$C$80,6)</f>
        <v>0</v>
      </c>
      <c r="AD16" s="173">
        <f>COUNTIFS('Historique des factures'!$E$3:$E$80,$A16,'Historique des factures'!$C$3:$C$80,7)</f>
        <v>0</v>
      </c>
      <c r="AE16" s="173">
        <f>COUNTIFS('Historique des factures'!$E$3:$E$80,$A16,'Historique des factures'!$C$3:$C$80,8)</f>
        <v>0</v>
      </c>
      <c r="AF16" s="173">
        <f>COUNTIFS('Historique des factures'!$E$3:$E$80,$A16,'Historique des factures'!$C$3:$C$80,9)</f>
        <v>0</v>
      </c>
      <c r="AG16" s="173">
        <f>COUNTIFS('Historique des factures'!$E$3:$E$80,$A16,'Historique des factures'!$C$3:$C$80,10)</f>
        <v>0</v>
      </c>
      <c r="AH16" s="173">
        <f>COUNTIFS('Historique des factures'!$E$3:$E$80,$A16,'Historique des factures'!$C$3:$C$80,11)</f>
        <v>0</v>
      </c>
      <c r="AI16" s="174">
        <f>COUNTIFS('Historique des factures'!$E$3:$E$80,$A16,'Historique des factures'!$C$3:$C$80,12)</f>
        <v>0</v>
      </c>
      <c r="AJ16" s="175">
        <f t="shared" si="0"/>
        <v>0</v>
      </c>
    </row>
    <row r="17" spans="1:36">
      <c r="A17" s="2" t="s">
        <v>45</v>
      </c>
      <c r="B17" s="3" t="s">
        <v>49</v>
      </c>
      <c r="C17" s="3">
        <v>94550</v>
      </c>
      <c r="D17" s="9" t="s">
        <v>50</v>
      </c>
      <c r="E17" s="188" t="s">
        <v>146</v>
      </c>
      <c r="F17" s="184">
        <f t="shared" si="1"/>
        <v>0</v>
      </c>
      <c r="G17" s="186">
        <f t="shared" si="2"/>
        <v>0</v>
      </c>
      <c r="H17" s="9"/>
      <c r="J17" s="156">
        <f>SUMIFS('Historique des factures'!$G$3:$G$80,'Historique des factures'!$E$3:$E$80,$A17,'Historique des factures'!$C$3:$C$80,1)</f>
        <v>0</v>
      </c>
      <c r="K17" s="157">
        <f>SUMIFS('Historique des factures'!$G$3:$G$80,'Historique des factures'!$E$3:$E$80,$A17,'Historique des factures'!$C$3:$C$80,2)</f>
        <v>0</v>
      </c>
      <c r="L17" s="157">
        <f>SUMIFS('Historique des factures'!$G$3:$G$80,'Historique des factures'!$E$3:$E$80,$A17,'Historique des factures'!$C$3:$C$80,3)</f>
        <v>0</v>
      </c>
      <c r="M17" s="157">
        <f>SUMIFS('Historique des factures'!$G$3:$G$80,'Historique des factures'!$E$3:$E$80,$A17,'Historique des factures'!$C$3:$C$80,4)</f>
        <v>0</v>
      </c>
      <c r="N17" s="157">
        <f>SUMIFS('Historique des factures'!$G$3:$G$80,'Historique des factures'!$E$3:$E$80,$A17,'Historique des factures'!$C$3:$C$80,5)</f>
        <v>0</v>
      </c>
      <c r="O17" s="157">
        <f>SUMIFS('Historique des factures'!$G$3:$G$80,'Historique des factures'!$E$3:$E$80,$A17,'Historique des factures'!$C$3:$C$80,6)</f>
        <v>0</v>
      </c>
      <c r="P17" s="157">
        <f>SUMIFS('Historique des factures'!$G$3:$G$80,'Historique des factures'!$E$3:$E$80,$A17,'Historique des factures'!$C$3:$C$80,7)</f>
        <v>0</v>
      </c>
      <c r="Q17" s="157">
        <f>SUMIFS('Historique des factures'!$G$3:$G$80,'Historique des factures'!$E$3:$E$80,$A17,'Historique des factures'!$C$3:$C$80,8)</f>
        <v>0</v>
      </c>
      <c r="R17" s="157">
        <f>SUMIFS('Historique des factures'!$G$3:$G$80,'Historique des factures'!$E$3:$E$80,$A17,'Historique des factures'!$C$3:$C$80,9)</f>
        <v>0</v>
      </c>
      <c r="S17" s="157">
        <f>SUMIFS('Historique des factures'!$G$3:$G$80,'Historique des factures'!$E$3:$E$80,$A17,'Historique des factures'!$C$3:$C$80,10)</f>
        <v>0</v>
      </c>
      <c r="T17" s="157">
        <f>SUMIFS('Historique des factures'!$G$3:$G$80,'Historique des factures'!$E$3:$E$80,$A17,'Historique des factures'!$C$3:$C$80,11)</f>
        <v>0</v>
      </c>
      <c r="U17" s="158">
        <f>SUMIFS('Historique des factures'!$G$3:$G$80,'Historique des factures'!$E$3:$E$80,$A17,'Historique des factures'!$C$3:$C$80,12)</f>
        <v>0</v>
      </c>
      <c r="V17" s="159">
        <f t="shared" si="3"/>
        <v>0</v>
      </c>
      <c r="X17" s="172">
        <f>COUNTIFS('Historique des factures'!$E$3:$E$80,$A17,'Historique des factures'!$C$3:$C$80,1)</f>
        <v>0</v>
      </c>
      <c r="Y17" s="173">
        <f>COUNTIFS('Historique des factures'!$E$3:$E$80,$A17,'Historique des factures'!$C$3:$C$80,2)</f>
        <v>0</v>
      </c>
      <c r="Z17" s="173">
        <f>COUNTIFS('Historique des factures'!$E$3:$E$80,$A17,'Historique des factures'!$C$3:$C$80,3)</f>
        <v>0</v>
      </c>
      <c r="AA17" s="173">
        <f>COUNTIFS('Historique des factures'!$E$3:$E$80,$A17,'Historique des factures'!$C$3:$C$80,4)</f>
        <v>0</v>
      </c>
      <c r="AB17" s="173">
        <f>COUNTIFS('Historique des factures'!$E$3:$E$80,$A17,'Historique des factures'!$C$3:$C$80,5)</f>
        <v>0</v>
      </c>
      <c r="AC17" s="173">
        <f>COUNTIFS('Historique des factures'!$E$3:$E$80,$A17,'Historique des factures'!$C$3:$C$80,6)</f>
        <v>0</v>
      </c>
      <c r="AD17" s="173">
        <f>COUNTIFS('Historique des factures'!$E$3:$E$80,$A17,'Historique des factures'!$C$3:$C$80,7)</f>
        <v>0</v>
      </c>
      <c r="AE17" s="173">
        <f>COUNTIFS('Historique des factures'!$E$3:$E$80,$A17,'Historique des factures'!$C$3:$C$80,8)</f>
        <v>0</v>
      </c>
      <c r="AF17" s="173">
        <f>COUNTIFS('Historique des factures'!$E$3:$E$80,$A17,'Historique des factures'!$C$3:$C$80,9)</f>
        <v>0</v>
      </c>
      <c r="AG17" s="173">
        <f>COUNTIFS('Historique des factures'!$E$3:$E$80,$A17,'Historique des factures'!$C$3:$C$80,10)</f>
        <v>0</v>
      </c>
      <c r="AH17" s="173">
        <f>COUNTIFS('Historique des factures'!$E$3:$E$80,$A17,'Historique des factures'!$C$3:$C$80,11)</f>
        <v>0</v>
      </c>
      <c r="AI17" s="174">
        <f>COUNTIFS('Historique des factures'!$E$3:$E$80,$A17,'Historique des factures'!$C$3:$C$80,12)</f>
        <v>0</v>
      </c>
      <c r="AJ17" s="175">
        <f t="shared" si="0"/>
        <v>0</v>
      </c>
    </row>
    <row r="18" spans="1:36">
      <c r="A18" s="2" t="s">
        <v>51</v>
      </c>
      <c r="B18" s="3" t="s">
        <v>52</v>
      </c>
      <c r="C18" s="3">
        <v>91430</v>
      </c>
      <c r="D18" s="9" t="s">
        <v>53</v>
      </c>
      <c r="E18" s="188" t="s">
        <v>147</v>
      </c>
      <c r="F18" s="184">
        <f t="shared" si="1"/>
        <v>0</v>
      </c>
      <c r="G18" s="186">
        <f t="shared" si="2"/>
        <v>0</v>
      </c>
      <c r="H18" s="9"/>
      <c r="J18" s="156">
        <f>SUMIFS('Historique des factures'!$G$3:$G$80,'Historique des factures'!$E$3:$E$80,$A18,'Historique des factures'!$C$3:$C$80,1)</f>
        <v>0</v>
      </c>
      <c r="K18" s="157">
        <f>SUMIFS('Historique des factures'!$G$3:$G$80,'Historique des factures'!$E$3:$E$80,$A18,'Historique des factures'!$C$3:$C$80,2)</f>
        <v>0</v>
      </c>
      <c r="L18" s="157">
        <f>SUMIFS('Historique des factures'!$G$3:$G$80,'Historique des factures'!$E$3:$E$80,$A18,'Historique des factures'!$C$3:$C$80,3)</f>
        <v>0</v>
      </c>
      <c r="M18" s="157">
        <f>SUMIFS('Historique des factures'!$G$3:$G$80,'Historique des factures'!$E$3:$E$80,$A18,'Historique des factures'!$C$3:$C$80,4)</f>
        <v>0</v>
      </c>
      <c r="N18" s="157">
        <f>SUMIFS('Historique des factures'!$G$3:$G$80,'Historique des factures'!$E$3:$E$80,$A18,'Historique des factures'!$C$3:$C$80,5)</f>
        <v>0</v>
      </c>
      <c r="O18" s="157">
        <f>SUMIFS('Historique des factures'!$G$3:$G$80,'Historique des factures'!$E$3:$E$80,$A18,'Historique des factures'!$C$3:$C$80,6)</f>
        <v>0</v>
      </c>
      <c r="P18" s="157">
        <f>SUMIFS('Historique des factures'!$G$3:$G$80,'Historique des factures'!$E$3:$E$80,$A18,'Historique des factures'!$C$3:$C$80,7)</f>
        <v>0</v>
      </c>
      <c r="Q18" s="157">
        <f>SUMIFS('Historique des factures'!$G$3:$G$80,'Historique des factures'!$E$3:$E$80,$A18,'Historique des factures'!$C$3:$C$80,8)</f>
        <v>0</v>
      </c>
      <c r="R18" s="157">
        <f>SUMIFS('Historique des factures'!$G$3:$G$80,'Historique des factures'!$E$3:$E$80,$A18,'Historique des factures'!$C$3:$C$80,9)</f>
        <v>0</v>
      </c>
      <c r="S18" s="157">
        <f>SUMIFS('Historique des factures'!$G$3:$G$80,'Historique des factures'!$E$3:$E$80,$A18,'Historique des factures'!$C$3:$C$80,10)</f>
        <v>0</v>
      </c>
      <c r="T18" s="157">
        <f>SUMIFS('Historique des factures'!$G$3:$G$80,'Historique des factures'!$E$3:$E$80,$A18,'Historique des factures'!$C$3:$C$80,11)</f>
        <v>0</v>
      </c>
      <c r="U18" s="158">
        <f>SUMIFS('Historique des factures'!$G$3:$G$80,'Historique des factures'!$E$3:$E$80,$A18,'Historique des factures'!$C$3:$C$80,12)</f>
        <v>0</v>
      </c>
      <c r="V18" s="159">
        <f t="shared" si="3"/>
        <v>0</v>
      </c>
      <c r="X18" s="172">
        <f>COUNTIFS('Historique des factures'!$E$3:$E$80,$A18,'Historique des factures'!$C$3:$C$80,1)</f>
        <v>0</v>
      </c>
      <c r="Y18" s="173">
        <f>COUNTIFS('Historique des factures'!$E$3:$E$80,$A18,'Historique des factures'!$C$3:$C$80,2)</f>
        <v>0</v>
      </c>
      <c r="Z18" s="173">
        <f>COUNTIFS('Historique des factures'!$E$3:$E$80,$A18,'Historique des factures'!$C$3:$C$80,3)</f>
        <v>0</v>
      </c>
      <c r="AA18" s="173">
        <f>COUNTIFS('Historique des factures'!$E$3:$E$80,$A18,'Historique des factures'!$C$3:$C$80,4)</f>
        <v>0</v>
      </c>
      <c r="AB18" s="173">
        <f>COUNTIFS('Historique des factures'!$E$3:$E$80,$A18,'Historique des factures'!$C$3:$C$80,5)</f>
        <v>0</v>
      </c>
      <c r="AC18" s="173">
        <f>COUNTIFS('Historique des factures'!$E$3:$E$80,$A18,'Historique des factures'!$C$3:$C$80,6)</f>
        <v>0</v>
      </c>
      <c r="AD18" s="173">
        <f>COUNTIFS('Historique des factures'!$E$3:$E$80,$A18,'Historique des factures'!$C$3:$C$80,7)</f>
        <v>0</v>
      </c>
      <c r="AE18" s="173">
        <f>COUNTIFS('Historique des factures'!$E$3:$E$80,$A18,'Historique des factures'!$C$3:$C$80,8)</f>
        <v>0</v>
      </c>
      <c r="AF18" s="173">
        <f>COUNTIFS('Historique des factures'!$E$3:$E$80,$A18,'Historique des factures'!$C$3:$C$80,9)</f>
        <v>0</v>
      </c>
      <c r="AG18" s="173">
        <f>COUNTIFS('Historique des factures'!$E$3:$E$80,$A18,'Historique des factures'!$C$3:$C$80,10)</f>
        <v>0</v>
      </c>
      <c r="AH18" s="173">
        <f>COUNTIFS('Historique des factures'!$E$3:$E$80,$A18,'Historique des factures'!$C$3:$C$80,11)</f>
        <v>0</v>
      </c>
      <c r="AI18" s="174">
        <f>COUNTIFS('Historique des factures'!$E$3:$E$80,$A18,'Historique des factures'!$C$3:$C$80,12)</f>
        <v>0</v>
      </c>
      <c r="AJ18" s="175">
        <f t="shared" si="0"/>
        <v>0</v>
      </c>
    </row>
    <row r="19" spans="1:36">
      <c r="A19" s="2" t="s">
        <v>54</v>
      </c>
      <c r="B19" s="3" t="s">
        <v>55</v>
      </c>
      <c r="C19" s="3">
        <v>92207</v>
      </c>
      <c r="D19" s="9" t="s">
        <v>56</v>
      </c>
      <c r="E19" s="188" t="s">
        <v>148</v>
      </c>
      <c r="F19" s="184">
        <f t="shared" si="1"/>
        <v>0</v>
      </c>
      <c r="G19" s="186">
        <f t="shared" si="2"/>
        <v>0</v>
      </c>
      <c r="H19" s="9"/>
      <c r="J19" s="156">
        <f>SUMIFS('Historique des factures'!$G$3:$G$80,'Historique des factures'!$E$3:$E$80,$A19,'Historique des factures'!$C$3:$C$80,1)</f>
        <v>0</v>
      </c>
      <c r="K19" s="157">
        <f>SUMIFS('Historique des factures'!$G$3:$G$80,'Historique des factures'!$E$3:$E$80,$A19,'Historique des factures'!$C$3:$C$80,2)</f>
        <v>0</v>
      </c>
      <c r="L19" s="157">
        <f>SUMIFS('Historique des factures'!$G$3:$G$80,'Historique des factures'!$E$3:$E$80,$A19,'Historique des factures'!$C$3:$C$80,3)</f>
        <v>0</v>
      </c>
      <c r="M19" s="157">
        <f>SUMIFS('Historique des factures'!$G$3:$G$80,'Historique des factures'!$E$3:$E$80,$A19,'Historique des factures'!$C$3:$C$80,4)</f>
        <v>0</v>
      </c>
      <c r="N19" s="157">
        <f>SUMIFS('Historique des factures'!$G$3:$G$80,'Historique des factures'!$E$3:$E$80,$A19,'Historique des factures'!$C$3:$C$80,5)</f>
        <v>0</v>
      </c>
      <c r="O19" s="157">
        <f>SUMIFS('Historique des factures'!$G$3:$G$80,'Historique des factures'!$E$3:$E$80,$A19,'Historique des factures'!$C$3:$C$80,6)</f>
        <v>0</v>
      </c>
      <c r="P19" s="157">
        <f>SUMIFS('Historique des factures'!$G$3:$G$80,'Historique des factures'!$E$3:$E$80,$A19,'Historique des factures'!$C$3:$C$80,7)</f>
        <v>0</v>
      </c>
      <c r="Q19" s="157">
        <f>SUMIFS('Historique des factures'!$G$3:$G$80,'Historique des factures'!$E$3:$E$80,$A19,'Historique des factures'!$C$3:$C$80,8)</f>
        <v>0</v>
      </c>
      <c r="R19" s="157">
        <f>SUMIFS('Historique des factures'!$G$3:$G$80,'Historique des factures'!$E$3:$E$80,$A19,'Historique des factures'!$C$3:$C$80,9)</f>
        <v>0</v>
      </c>
      <c r="S19" s="157">
        <f>SUMIFS('Historique des factures'!$G$3:$G$80,'Historique des factures'!$E$3:$E$80,$A19,'Historique des factures'!$C$3:$C$80,10)</f>
        <v>0</v>
      </c>
      <c r="T19" s="157">
        <f>SUMIFS('Historique des factures'!$G$3:$G$80,'Historique des factures'!$E$3:$E$80,$A19,'Historique des factures'!$C$3:$C$80,11)</f>
        <v>0</v>
      </c>
      <c r="U19" s="158">
        <f>SUMIFS('Historique des factures'!$G$3:$G$80,'Historique des factures'!$E$3:$E$80,$A19,'Historique des factures'!$C$3:$C$80,12)</f>
        <v>0</v>
      </c>
      <c r="V19" s="159">
        <f t="shared" si="3"/>
        <v>0</v>
      </c>
      <c r="X19" s="172">
        <f>COUNTIFS('Historique des factures'!$E$3:$E$80,$A19,'Historique des factures'!$C$3:$C$80,1)</f>
        <v>0</v>
      </c>
      <c r="Y19" s="173">
        <f>COUNTIFS('Historique des factures'!$E$3:$E$80,$A19,'Historique des factures'!$C$3:$C$80,2)</f>
        <v>0</v>
      </c>
      <c r="Z19" s="173">
        <f>COUNTIFS('Historique des factures'!$E$3:$E$80,$A19,'Historique des factures'!$C$3:$C$80,3)</f>
        <v>0</v>
      </c>
      <c r="AA19" s="173">
        <f>COUNTIFS('Historique des factures'!$E$3:$E$80,$A19,'Historique des factures'!$C$3:$C$80,4)</f>
        <v>0</v>
      </c>
      <c r="AB19" s="173">
        <f>COUNTIFS('Historique des factures'!$E$3:$E$80,$A19,'Historique des factures'!$C$3:$C$80,5)</f>
        <v>0</v>
      </c>
      <c r="AC19" s="173">
        <f>COUNTIFS('Historique des factures'!$E$3:$E$80,$A19,'Historique des factures'!$C$3:$C$80,6)</f>
        <v>0</v>
      </c>
      <c r="AD19" s="173">
        <f>COUNTIFS('Historique des factures'!$E$3:$E$80,$A19,'Historique des factures'!$C$3:$C$80,7)</f>
        <v>0</v>
      </c>
      <c r="AE19" s="173">
        <f>COUNTIFS('Historique des factures'!$E$3:$E$80,$A19,'Historique des factures'!$C$3:$C$80,8)</f>
        <v>0</v>
      </c>
      <c r="AF19" s="173">
        <f>COUNTIFS('Historique des factures'!$E$3:$E$80,$A19,'Historique des factures'!$C$3:$C$80,9)</f>
        <v>0</v>
      </c>
      <c r="AG19" s="173">
        <f>COUNTIFS('Historique des factures'!$E$3:$E$80,$A19,'Historique des factures'!$C$3:$C$80,10)</f>
        <v>0</v>
      </c>
      <c r="AH19" s="173">
        <f>COUNTIFS('Historique des factures'!$E$3:$E$80,$A19,'Historique des factures'!$C$3:$C$80,11)</f>
        <v>0</v>
      </c>
      <c r="AI19" s="174">
        <f>COUNTIFS('Historique des factures'!$E$3:$E$80,$A19,'Historique des factures'!$C$3:$C$80,12)</f>
        <v>0</v>
      </c>
      <c r="AJ19" s="175">
        <f t="shared" si="0"/>
        <v>0</v>
      </c>
    </row>
    <row r="20" spans="1:36">
      <c r="A20" s="2" t="s">
        <v>57</v>
      </c>
      <c r="B20" s="3" t="s">
        <v>58</v>
      </c>
      <c r="C20" s="3">
        <v>76770</v>
      </c>
      <c r="D20" s="9" t="s">
        <v>59</v>
      </c>
      <c r="E20" s="188" t="s">
        <v>145</v>
      </c>
      <c r="F20" s="184">
        <f t="shared" si="1"/>
        <v>0</v>
      </c>
      <c r="G20" s="186">
        <f t="shared" si="2"/>
        <v>0</v>
      </c>
      <c r="H20" s="9"/>
      <c r="J20" s="156">
        <f>SUMIFS('Historique des factures'!$G$3:$G$80,'Historique des factures'!$E$3:$E$80,$A20,'Historique des factures'!$C$3:$C$80,1)</f>
        <v>0</v>
      </c>
      <c r="K20" s="157">
        <f>SUMIFS('Historique des factures'!$G$3:$G$80,'Historique des factures'!$E$3:$E$80,$A20,'Historique des factures'!$C$3:$C$80,2)</f>
        <v>0</v>
      </c>
      <c r="L20" s="157">
        <f>SUMIFS('Historique des factures'!$G$3:$G$80,'Historique des factures'!$E$3:$E$80,$A20,'Historique des factures'!$C$3:$C$80,3)</f>
        <v>0</v>
      </c>
      <c r="M20" s="157">
        <f>SUMIFS('Historique des factures'!$G$3:$G$80,'Historique des factures'!$E$3:$E$80,$A20,'Historique des factures'!$C$3:$C$80,4)</f>
        <v>0</v>
      </c>
      <c r="N20" s="157">
        <f>SUMIFS('Historique des factures'!$G$3:$G$80,'Historique des factures'!$E$3:$E$80,$A20,'Historique des factures'!$C$3:$C$80,5)</f>
        <v>0</v>
      </c>
      <c r="O20" s="157">
        <f>SUMIFS('Historique des factures'!$G$3:$G$80,'Historique des factures'!$E$3:$E$80,$A20,'Historique des factures'!$C$3:$C$80,6)</f>
        <v>0</v>
      </c>
      <c r="P20" s="157">
        <f>SUMIFS('Historique des factures'!$G$3:$G$80,'Historique des factures'!$E$3:$E$80,$A20,'Historique des factures'!$C$3:$C$80,7)</f>
        <v>0</v>
      </c>
      <c r="Q20" s="157">
        <f>SUMIFS('Historique des factures'!$G$3:$G$80,'Historique des factures'!$E$3:$E$80,$A20,'Historique des factures'!$C$3:$C$80,8)</f>
        <v>0</v>
      </c>
      <c r="R20" s="157">
        <f>SUMIFS('Historique des factures'!$G$3:$G$80,'Historique des factures'!$E$3:$E$80,$A20,'Historique des factures'!$C$3:$C$80,9)</f>
        <v>0</v>
      </c>
      <c r="S20" s="157">
        <f>SUMIFS('Historique des factures'!$G$3:$G$80,'Historique des factures'!$E$3:$E$80,$A20,'Historique des factures'!$C$3:$C$80,10)</f>
        <v>0</v>
      </c>
      <c r="T20" s="157">
        <f>SUMIFS('Historique des factures'!$G$3:$G$80,'Historique des factures'!$E$3:$E$80,$A20,'Historique des factures'!$C$3:$C$80,11)</f>
        <v>0</v>
      </c>
      <c r="U20" s="158">
        <f>SUMIFS('Historique des factures'!$G$3:$G$80,'Historique des factures'!$E$3:$E$80,$A20,'Historique des factures'!$C$3:$C$80,12)</f>
        <v>0</v>
      </c>
      <c r="V20" s="159">
        <f t="shared" si="3"/>
        <v>0</v>
      </c>
      <c r="X20" s="172">
        <f>COUNTIFS('Historique des factures'!$E$3:$E$80,$A20,'Historique des factures'!$C$3:$C$80,1)</f>
        <v>0</v>
      </c>
      <c r="Y20" s="173">
        <f>COUNTIFS('Historique des factures'!$E$3:$E$80,$A20,'Historique des factures'!$C$3:$C$80,2)</f>
        <v>0</v>
      </c>
      <c r="Z20" s="173">
        <f>COUNTIFS('Historique des factures'!$E$3:$E$80,$A20,'Historique des factures'!$C$3:$C$80,3)</f>
        <v>0</v>
      </c>
      <c r="AA20" s="173">
        <f>COUNTIFS('Historique des factures'!$E$3:$E$80,$A20,'Historique des factures'!$C$3:$C$80,4)</f>
        <v>0</v>
      </c>
      <c r="AB20" s="173">
        <f>COUNTIFS('Historique des factures'!$E$3:$E$80,$A20,'Historique des factures'!$C$3:$C$80,5)</f>
        <v>0</v>
      </c>
      <c r="AC20" s="173">
        <f>COUNTIFS('Historique des factures'!$E$3:$E$80,$A20,'Historique des factures'!$C$3:$C$80,6)</f>
        <v>0</v>
      </c>
      <c r="AD20" s="173">
        <f>COUNTIFS('Historique des factures'!$E$3:$E$80,$A20,'Historique des factures'!$C$3:$C$80,7)</f>
        <v>0</v>
      </c>
      <c r="AE20" s="173">
        <f>COUNTIFS('Historique des factures'!$E$3:$E$80,$A20,'Historique des factures'!$C$3:$C$80,8)</f>
        <v>0</v>
      </c>
      <c r="AF20" s="173">
        <f>COUNTIFS('Historique des factures'!$E$3:$E$80,$A20,'Historique des factures'!$C$3:$C$80,9)</f>
        <v>0</v>
      </c>
      <c r="AG20" s="173">
        <f>COUNTIFS('Historique des factures'!$E$3:$E$80,$A20,'Historique des factures'!$C$3:$C$80,10)</f>
        <v>0</v>
      </c>
      <c r="AH20" s="173">
        <f>COUNTIFS('Historique des factures'!$E$3:$E$80,$A20,'Historique des factures'!$C$3:$C$80,11)</f>
        <v>0</v>
      </c>
      <c r="AI20" s="174">
        <f>COUNTIFS('Historique des factures'!$E$3:$E$80,$A20,'Historique des factures'!$C$3:$C$80,12)</f>
        <v>0</v>
      </c>
      <c r="AJ20" s="175">
        <f t="shared" si="0"/>
        <v>0</v>
      </c>
    </row>
    <row r="21" spans="1:36">
      <c r="A21" s="2" t="s">
        <v>60</v>
      </c>
      <c r="B21" s="3" t="s">
        <v>61</v>
      </c>
      <c r="C21" s="3">
        <v>75010</v>
      </c>
      <c r="D21" s="9" t="s">
        <v>62</v>
      </c>
      <c r="E21" s="188" t="s">
        <v>146</v>
      </c>
      <c r="F21" s="184">
        <f t="shared" si="1"/>
        <v>0</v>
      </c>
      <c r="G21" s="186">
        <f t="shared" si="2"/>
        <v>0</v>
      </c>
      <c r="H21" s="9"/>
      <c r="J21" s="156">
        <f>SUMIFS('Historique des factures'!$G$3:$G$80,'Historique des factures'!$E$3:$E$80,$A21,'Historique des factures'!$C$3:$C$80,1)</f>
        <v>0</v>
      </c>
      <c r="K21" s="157">
        <f>SUMIFS('Historique des factures'!$G$3:$G$80,'Historique des factures'!$E$3:$E$80,$A21,'Historique des factures'!$C$3:$C$80,2)</f>
        <v>0</v>
      </c>
      <c r="L21" s="157">
        <f>SUMIFS('Historique des factures'!$G$3:$G$80,'Historique des factures'!$E$3:$E$80,$A21,'Historique des factures'!$C$3:$C$80,3)</f>
        <v>0</v>
      </c>
      <c r="M21" s="157">
        <f>SUMIFS('Historique des factures'!$G$3:$G$80,'Historique des factures'!$E$3:$E$80,$A21,'Historique des factures'!$C$3:$C$80,4)</f>
        <v>0</v>
      </c>
      <c r="N21" s="157">
        <f>SUMIFS('Historique des factures'!$G$3:$G$80,'Historique des factures'!$E$3:$E$80,$A21,'Historique des factures'!$C$3:$C$80,5)</f>
        <v>0</v>
      </c>
      <c r="O21" s="157">
        <f>SUMIFS('Historique des factures'!$G$3:$G$80,'Historique des factures'!$E$3:$E$80,$A21,'Historique des factures'!$C$3:$C$80,6)</f>
        <v>0</v>
      </c>
      <c r="P21" s="157">
        <f>SUMIFS('Historique des factures'!$G$3:$G$80,'Historique des factures'!$E$3:$E$80,$A21,'Historique des factures'!$C$3:$C$80,7)</f>
        <v>0</v>
      </c>
      <c r="Q21" s="157">
        <f>SUMIFS('Historique des factures'!$G$3:$G$80,'Historique des factures'!$E$3:$E$80,$A21,'Historique des factures'!$C$3:$C$80,8)</f>
        <v>0</v>
      </c>
      <c r="R21" s="157">
        <f>SUMIFS('Historique des factures'!$G$3:$G$80,'Historique des factures'!$E$3:$E$80,$A21,'Historique des factures'!$C$3:$C$80,9)</f>
        <v>0</v>
      </c>
      <c r="S21" s="157">
        <f>SUMIFS('Historique des factures'!$G$3:$G$80,'Historique des factures'!$E$3:$E$80,$A21,'Historique des factures'!$C$3:$C$80,10)</f>
        <v>0</v>
      </c>
      <c r="T21" s="157">
        <f>SUMIFS('Historique des factures'!$G$3:$G$80,'Historique des factures'!$E$3:$E$80,$A21,'Historique des factures'!$C$3:$C$80,11)</f>
        <v>0</v>
      </c>
      <c r="U21" s="158">
        <f>SUMIFS('Historique des factures'!$G$3:$G$80,'Historique des factures'!$E$3:$E$80,$A21,'Historique des factures'!$C$3:$C$80,12)</f>
        <v>0</v>
      </c>
      <c r="V21" s="159">
        <f t="shared" si="3"/>
        <v>0</v>
      </c>
      <c r="X21" s="172">
        <f>COUNTIFS('Historique des factures'!$E$3:$E$80,$A21,'Historique des factures'!$C$3:$C$80,1)</f>
        <v>0</v>
      </c>
      <c r="Y21" s="173">
        <f>COUNTIFS('Historique des factures'!$E$3:$E$80,$A21,'Historique des factures'!$C$3:$C$80,2)</f>
        <v>0</v>
      </c>
      <c r="Z21" s="173">
        <f>COUNTIFS('Historique des factures'!$E$3:$E$80,$A21,'Historique des factures'!$C$3:$C$80,3)</f>
        <v>0</v>
      </c>
      <c r="AA21" s="173">
        <f>COUNTIFS('Historique des factures'!$E$3:$E$80,$A21,'Historique des factures'!$C$3:$C$80,4)</f>
        <v>0</v>
      </c>
      <c r="AB21" s="173">
        <f>COUNTIFS('Historique des factures'!$E$3:$E$80,$A21,'Historique des factures'!$C$3:$C$80,5)</f>
        <v>0</v>
      </c>
      <c r="AC21" s="173">
        <f>COUNTIFS('Historique des factures'!$E$3:$E$80,$A21,'Historique des factures'!$C$3:$C$80,6)</f>
        <v>0</v>
      </c>
      <c r="AD21" s="173">
        <f>COUNTIFS('Historique des factures'!$E$3:$E$80,$A21,'Historique des factures'!$C$3:$C$80,7)</f>
        <v>0</v>
      </c>
      <c r="AE21" s="173">
        <f>COUNTIFS('Historique des factures'!$E$3:$E$80,$A21,'Historique des factures'!$C$3:$C$80,8)</f>
        <v>0</v>
      </c>
      <c r="AF21" s="173">
        <f>COUNTIFS('Historique des factures'!$E$3:$E$80,$A21,'Historique des factures'!$C$3:$C$80,9)</f>
        <v>0</v>
      </c>
      <c r="AG21" s="173">
        <f>COUNTIFS('Historique des factures'!$E$3:$E$80,$A21,'Historique des factures'!$C$3:$C$80,10)</f>
        <v>0</v>
      </c>
      <c r="AH21" s="173">
        <f>COUNTIFS('Historique des factures'!$E$3:$E$80,$A21,'Historique des factures'!$C$3:$C$80,11)</f>
        <v>0</v>
      </c>
      <c r="AI21" s="174">
        <f>COUNTIFS('Historique des factures'!$E$3:$E$80,$A21,'Historique des factures'!$C$3:$C$80,12)</f>
        <v>0</v>
      </c>
      <c r="AJ21" s="175">
        <f t="shared" si="0"/>
        <v>0</v>
      </c>
    </row>
    <row r="22" spans="1:36">
      <c r="A22" s="2" t="s">
        <v>63</v>
      </c>
      <c r="B22" s="3" t="s">
        <v>64</v>
      </c>
      <c r="C22" s="3">
        <v>92120</v>
      </c>
      <c r="D22" s="9" t="s">
        <v>65</v>
      </c>
      <c r="E22" s="188" t="s">
        <v>147</v>
      </c>
      <c r="F22" s="184">
        <f t="shared" si="1"/>
        <v>0</v>
      </c>
      <c r="G22" s="186">
        <f t="shared" si="2"/>
        <v>0</v>
      </c>
      <c r="H22" s="9"/>
      <c r="J22" s="156">
        <f>SUMIFS('Historique des factures'!$G$3:$G$80,'Historique des factures'!$E$3:$E$80,$A22,'Historique des factures'!$C$3:$C$80,1)</f>
        <v>0</v>
      </c>
      <c r="K22" s="157">
        <f>SUMIFS('Historique des factures'!$G$3:$G$80,'Historique des factures'!$E$3:$E$80,$A22,'Historique des factures'!$C$3:$C$80,2)</f>
        <v>0</v>
      </c>
      <c r="L22" s="157">
        <f>SUMIFS('Historique des factures'!$G$3:$G$80,'Historique des factures'!$E$3:$E$80,$A22,'Historique des factures'!$C$3:$C$80,3)</f>
        <v>0</v>
      </c>
      <c r="M22" s="157">
        <f>SUMIFS('Historique des factures'!$G$3:$G$80,'Historique des factures'!$E$3:$E$80,$A22,'Historique des factures'!$C$3:$C$80,4)</f>
        <v>0</v>
      </c>
      <c r="N22" s="157">
        <f>SUMIFS('Historique des factures'!$G$3:$G$80,'Historique des factures'!$E$3:$E$80,$A22,'Historique des factures'!$C$3:$C$80,5)</f>
        <v>0</v>
      </c>
      <c r="O22" s="157">
        <f>SUMIFS('Historique des factures'!$G$3:$G$80,'Historique des factures'!$E$3:$E$80,$A22,'Historique des factures'!$C$3:$C$80,6)</f>
        <v>0</v>
      </c>
      <c r="P22" s="157">
        <f>SUMIFS('Historique des factures'!$G$3:$G$80,'Historique des factures'!$E$3:$E$80,$A22,'Historique des factures'!$C$3:$C$80,7)</f>
        <v>0</v>
      </c>
      <c r="Q22" s="157">
        <f>SUMIFS('Historique des factures'!$G$3:$G$80,'Historique des factures'!$E$3:$E$80,$A22,'Historique des factures'!$C$3:$C$80,8)</f>
        <v>0</v>
      </c>
      <c r="R22" s="157">
        <f>SUMIFS('Historique des factures'!$G$3:$G$80,'Historique des factures'!$E$3:$E$80,$A22,'Historique des factures'!$C$3:$C$80,9)</f>
        <v>0</v>
      </c>
      <c r="S22" s="157">
        <f>SUMIFS('Historique des factures'!$G$3:$G$80,'Historique des factures'!$E$3:$E$80,$A22,'Historique des factures'!$C$3:$C$80,10)</f>
        <v>0</v>
      </c>
      <c r="T22" s="157">
        <f>SUMIFS('Historique des factures'!$G$3:$G$80,'Historique des factures'!$E$3:$E$80,$A22,'Historique des factures'!$C$3:$C$80,11)</f>
        <v>0</v>
      </c>
      <c r="U22" s="158">
        <f>SUMIFS('Historique des factures'!$G$3:$G$80,'Historique des factures'!$E$3:$E$80,$A22,'Historique des factures'!$C$3:$C$80,12)</f>
        <v>0</v>
      </c>
      <c r="V22" s="159">
        <f t="shared" si="3"/>
        <v>0</v>
      </c>
      <c r="X22" s="172">
        <f>COUNTIFS('Historique des factures'!$E$3:$E$80,$A22,'Historique des factures'!$C$3:$C$80,1)</f>
        <v>0</v>
      </c>
      <c r="Y22" s="173">
        <f>COUNTIFS('Historique des factures'!$E$3:$E$80,$A22,'Historique des factures'!$C$3:$C$80,2)</f>
        <v>0</v>
      </c>
      <c r="Z22" s="173">
        <f>COUNTIFS('Historique des factures'!$E$3:$E$80,$A22,'Historique des factures'!$C$3:$C$80,3)</f>
        <v>0</v>
      </c>
      <c r="AA22" s="173">
        <f>COUNTIFS('Historique des factures'!$E$3:$E$80,$A22,'Historique des factures'!$C$3:$C$80,4)</f>
        <v>0</v>
      </c>
      <c r="AB22" s="173">
        <f>COUNTIFS('Historique des factures'!$E$3:$E$80,$A22,'Historique des factures'!$C$3:$C$80,5)</f>
        <v>0</v>
      </c>
      <c r="AC22" s="173">
        <f>COUNTIFS('Historique des factures'!$E$3:$E$80,$A22,'Historique des factures'!$C$3:$C$80,6)</f>
        <v>0</v>
      </c>
      <c r="AD22" s="173">
        <f>COUNTIFS('Historique des factures'!$E$3:$E$80,$A22,'Historique des factures'!$C$3:$C$80,7)</f>
        <v>0</v>
      </c>
      <c r="AE22" s="173">
        <f>COUNTIFS('Historique des factures'!$E$3:$E$80,$A22,'Historique des factures'!$C$3:$C$80,8)</f>
        <v>0</v>
      </c>
      <c r="AF22" s="173">
        <f>COUNTIFS('Historique des factures'!$E$3:$E$80,$A22,'Historique des factures'!$C$3:$C$80,9)</f>
        <v>0</v>
      </c>
      <c r="AG22" s="173">
        <f>COUNTIFS('Historique des factures'!$E$3:$E$80,$A22,'Historique des factures'!$C$3:$C$80,10)</f>
        <v>0</v>
      </c>
      <c r="AH22" s="173">
        <f>COUNTIFS('Historique des factures'!$E$3:$E$80,$A22,'Historique des factures'!$C$3:$C$80,11)</f>
        <v>0</v>
      </c>
      <c r="AI22" s="174">
        <f>COUNTIFS('Historique des factures'!$E$3:$E$80,$A22,'Historique des factures'!$C$3:$C$80,12)</f>
        <v>0</v>
      </c>
      <c r="AJ22" s="175">
        <f t="shared" si="0"/>
        <v>0</v>
      </c>
    </row>
    <row r="23" spans="1:36">
      <c r="A23" s="2" t="s">
        <v>66</v>
      </c>
      <c r="B23" s="3" t="s">
        <v>67</v>
      </c>
      <c r="C23" s="3">
        <v>33000</v>
      </c>
      <c r="D23" s="9" t="s">
        <v>68</v>
      </c>
      <c r="E23" s="188" t="s">
        <v>148</v>
      </c>
      <c r="F23" s="184">
        <f t="shared" si="1"/>
        <v>0</v>
      </c>
      <c r="G23" s="186">
        <f t="shared" si="2"/>
        <v>0</v>
      </c>
      <c r="H23" s="9"/>
      <c r="J23" s="156">
        <f>SUMIFS('Historique des factures'!$G$3:$G$80,'Historique des factures'!$E$3:$E$80,$A23,'Historique des factures'!$C$3:$C$80,1)</f>
        <v>0</v>
      </c>
      <c r="K23" s="157">
        <f>SUMIFS('Historique des factures'!$G$3:$G$80,'Historique des factures'!$E$3:$E$80,$A23,'Historique des factures'!$C$3:$C$80,2)</f>
        <v>0</v>
      </c>
      <c r="L23" s="157">
        <f>SUMIFS('Historique des factures'!$G$3:$G$80,'Historique des factures'!$E$3:$E$80,$A23,'Historique des factures'!$C$3:$C$80,3)</f>
        <v>0</v>
      </c>
      <c r="M23" s="157">
        <f>SUMIFS('Historique des factures'!$G$3:$G$80,'Historique des factures'!$E$3:$E$80,$A23,'Historique des factures'!$C$3:$C$80,4)</f>
        <v>0</v>
      </c>
      <c r="N23" s="157">
        <f>SUMIFS('Historique des factures'!$G$3:$G$80,'Historique des factures'!$E$3:$E$80,$A23,'Historique des factures'!$C$3:$C$80,5)</f>
        <v>0</v>
      </c>
      <c r="O23" s="157">
        <f>SUMIFS('Historique des factures'!$G$3:$G$80,'Historique des factures'!$E$3:$E$80,$A23,'Historique des factures'!$C$3:$C$80,6)</f>
        <v>0</v>
      </c>
      <c r="P23" s="157">
        <f>SUMIFS('Historique des factures'!$G$3:$G$80,'Historique des factures'!$E$3:$E$80,$A23,'Historique des factures'!$C$3:$C$80,7)</f>
        <v>0</v>
      </c>
      <c r="Q23" s="157">
        <f>SUMIFS('Historique des factures'!$G$3:$G$80,'Historique des factures'!$E$3:$E$80,$A23,'Historique des factures'!$C$3:$C$80,8)</f>
        <v>0</v>
      </c>
      <c r="R23" s="157">
        <f>SUMIFS('Historique des factures'!$G$3:$G$80,'Historique des factures'!$E$3:$E$80,$A23,'Historique des factures'!$C$3:$C$80,9)</f>
        <v>0</v>
      </c>
      <c r="S23" s="157">
        <f>SUMIFS('Historique des factures'!$G$3:$G$80,'Historique des factures'!$E$3:$E$80,$A23,'Historique des factures'!$C$3:$C$80,10)</f>
        <v>0</v>
      </c>
      <c r="T23" s="157">
        <f>SUMIFS('Historique des factures'!$G$3:$G$80,'Historique des factures'!$E$3:$E$80,$A23,'Historique des factures'!$C$3:$C$80,11)</f>
        <v>0</v>
      </c>
      <c r="U23" s="158">
        <f>SUMIFS('Historique des factures'!$G$3:$G$80,'Historique des factures'!$E$3:$E$80,$A23,'Historique des factures'!$C$3:$C$80,12)</f>
        <v>0</v>
      </c>
      <c r="V23" s="159">
        <f t="shared" si="3"/>
        <v>0</v>
      </c>
      <c r="X23" s="172">
        <f>COUNTIFS('Historique des factures'!$E$3:$E$80,$A23,'Historique des factures'!$C$3:$C$80,1)</f>
        <v>0</v>
      </c>
      <c r="Y23" s="173">
        <f>COUNTIFS('Historique des factures'!$E$3:$E$80,$A23,'Historique des factures'!$C$3:$C$80,2)</f>
        <v>0</v>
      </c>
      <c r="Z23" s="173">
        <f>COUNTIFS('Historique des factures'!$E$3:$E$80,$A23,'Historique des factures'!$C$3:$C$80,3)</f>
        <v>0</v>
      </c>
      <c r="AA23" s="173">
        <f>COUNTIFS('Historique des factures'!$E$3:$E$80,$A23,'Historique des factures'!$C$3:$C$80,4)</f>
        <v>0</v>
      </c>
      <c r="AB23" s="173">
        <f>COUNTIFS('Historique des factures'!$E$3:$E$80,$A23,'Historique des factures'!$C$3:$C$80,5)</f>
        <v>0</v>
      </c>
      <c r="AC23" s="173">
        <f>COUNTIFS('Historique des factures'!$E$3:$E$80,$A23,'Historique des factures'!$C$3:$C$80,6)</f>
        <v>0</v>
      </c>
      <c r="AD23" s="173">
        <f>COUNTIFS('Historique des factures'!$E$3:$E$80,$A23,'Historique des factures'!$C$3:$C$80,7)</f>
        <v>0</v>
      </c>
      <c r="AE23" s="173">
        <f>COUNTIFS('Historique des factures'!$E$3:$E$80,$A23,'Historique des factures'!$C$3:$C$80,8)</f>
        <v>0</v>
      </c>
      <c r="AF23" s="173">
        <f>COUNTIFS('Historique des factures'!$E$3:$E$80,$A23,'Historique des factures'!$C$3:$C$80,9)</f>
        <v>0</v>
      </c>
      <c r="AG23" s="173">
        <f>COUNTIFS('Historique des factures'!$E$3:$E$80,$A23,'Historique des factures'!$C$3:$C$80,10)</f>
        <v>0</v>
      </c>
      <c r="AH23" s="173">
        <f>COUNTIFS('Historique des factures'!$E$3:$E$80,$A23,'Historique des factures'!$C$3:$C$80,11)</f>
        <v>0</v>
      </c>
      <c r="AI23" s="174">
        <f>COUNTIFS('Historique des factures'!$E$3:$E$80,$A23,'Historique des factures'!$C$3:$C$80,12)</f>
        <v>0</v>
      </c>
      <c r="AJ23" s="175">
        <f t="shared" si="0"/>
        <v>0</v>
      </c>
    </row>
    <row r="24" spans="1:36">
      <c r="A24" s="2" t="s">
        <v>69</v>
      </c>
      <c r="B24" s="3" t="s">
        <v>70</v>
      </c>
      <c r="C24" s="3">
        <v>75018</v>
      </c>
      <c r="D24" s="9" t="s">
        <v>62</v>
      </c>
      <c r="E24" s="188" t="s">
        <v>145</v>
      </c>
      <c r="F24" s="184">
        <f t="shared" si="1"/>
        <v>0</v>
      </c>
      <c r="G24" s="186">
        <f t="shared" si="2"/>
        <v>0</v>
      </c>
      <c r="H24" s="9"/>
      <c r="J24" s="156">
        <f>SUMIFS('Historique des factures'!$G$3:$G$80,'Historique des factures'!$E$3:$E$80,$A24,'Historique des factures'!$C$3:$C$80,1)</f>
        <v>0</v>
      </c>
      <c r="K24" s="157">
        <f>SUMIFS('Historique des factures'!$G$3:$G$80,'Historique des factures'!$E$3:$E$80,$A24,'Historique des factures'!$C$3:$C$80,2)</f>
        <v>0</v>
      </c>
      <c r="L24" s="157">
        <f>SUMIFS('Historique des factures'!$G$3:$G$80,'Historique des factures'!$E$3:$E$80,$A24,'Historique des factures'!$C$3:$C$80,3)</f>
        <v>0</v>
      </c>
      <c r="M24" s="157">
        <f>SUMIFS('Historique des factures'!$G$3:$G$80,'Historique des factures'!$E$3:$E$80,$A24,'Historique des factures'!$C$3:$C$80,4)</f>
        <v>0</v>
      </c>
      <c r="N24" s="157">
        <f>SUMIFS('Historique des factures'!$G$3:$G$80,'Historique des factures'!$E$3:$E$80,$A24,'Historique des factures'!$C$3:$C$80,5)</f>
        <v>0</v>
      </c>
      <c r="O24" s="157">
        <f>SUMIFS('Historique des factures'!$G$3:$G$80,'Historique des factures'!$E$3:$E$80,$A24,'Historique des factures'!$C$3:$C$80,6)</f>
        <v>0</v>
      </c>
      <c r="P24" s="157">
        <f>SUMIFS('Historique des factures'!$G$3:$G$80,'Historique des factures'!$E$3:$E$80,$A24,'Historique des factures'!$C$3:$C$80,7)</f>
        <v>0</v>
      </c>
      <c r="Q24" s="157">
        <f>SUMIFS('Historique des factures'!$G$3:$G$80,'Historique des factures'!$E$3:$E$80,$A24,'Historique des factures'!$C$3:$C$80,8)</f>
        <v>0</v>
      </c>
      <c r="R24" s="157">
        <f>SUMIFS('Historique des factures'!$G$3:$G$80,'Historique des factures'!$E$3:$E$80,$A24,'Historique des factures'!$C$3:$C$80,9)</f>
        <v>0</v>
      </c>
      <c r="S24" s="157">
        <f>SUMIFS('Historique des factures'!$G$3:$G$80,'Historique des factures'!$E$3:$E$80,$A24,'Historique des factures'!$C$3:$C$80,10)</f>
        <v>0</v>
      </c>
      <c r="T24" s="157">
        <f>SUMIFS('Historique des factures'!$G$3:$G$80,'Historique des factures'!$E$3:$E$80,$A24,'Historique des factures'!$C$3:$C$80,11)</f>
        <v>0</v>
      </c>
      <c r="U24" s="158">
        <f>SUMIFS('Historique des factures'!$G$3:$G$80,'Historique des factures'!$E$3:$E$80,$A24,'Historique des factures'!$C$3:$C$80,12)</f>
        <v>0</v>
      </c>
      <c r="V24" s="159">
        <f t="shared" si="3"/>
        <v>0</v>
      </c>
      <c r="X24" s="172">
        <f>COUNTIFS('Historique des factures'!$E$3:$E$80,$A24,'Historique des factures'!$C$3:$C$80,1)</f>
        <v>0</v>
      </c>
      <c r="Y24" s="173">
        <f>COUNTIFS('Historique des factures'!$E$3:$E$80,$A24,'Historique des factures'!$C$3:$C$80,2)</f>
        <v>0</v>
      </c>
      <c r="Z24" s="173">
        <f>COUNTIFS('Historique des factures'!$E$3:$E$80,$A24,'Historique des factures'!$C$3:$C$80,3)</f>
        <v>0</v>
      </c>
      <c r="AA24" s="173">
        <f>COUNTIFS('Historique des factures'!$E$3:$E$80,$A24,'Historique des factures'!$C$3:$C$80,4)</f>
        <v>0</v>
      </c>
      <c r="AB24" s="173">
        <f>COUNTIFS('Historique des factures'!$E$3:$E$80,$A24,'Historique des factures'!$C$3:$C$80,5)</f>
        <v>0</v>
      </c>
      <c r="AC24" s="173">
        <f>COUNTIFS('Historique des factures'!$E$3:$E$80,$A24,'Historique des factures'!$C$3:$C$80,6)</f>
        <v>0</v>
      </c>
      <c r="AD24" s="173">
        <f>COUNTIFS('Historique des factures'!$E$3:$E$80,$A24,'Historique des factures'!$C$3:$C$80,7)</f>
        <v>0</v>
      </c>
      <c r="AE24" s="173">
        <f>COUNTIFS('Historique des factures'!$E$3:$E$80,$A24,'Historique des factures'!$C$3:$C$80,8)</f>
        <v>0</v>
      </c>
      <c r="AF24" s="173">
        <f>COUNTIFS('Historique des factures'!$E$3:$E$80,$A24,'Historique des factures'!$C$3:$C$80,9)</f>
        <v>0</v>
      </c>
      <c r="AG24" s="173">
        <f>COUNTIFS('Historique des factures'!$E$3:$E$80,$A24,'Historique des factures'!$C$3:$C$80,10)</f>
        <v>0</v>
      </c>
      <c r="AH24" s="173">
        <f>COUNTIFS('Historique des factures'!$E$3:$E$80,$A24,'Historique des factures'!$C$3:$C$80,11)</f>
        <v>0</v>
      </c>
      <c r="AI24" s="174">
        <f>COUNTIFS('Historique des factures'!$E$3:$E$80,$A24,'Historique des factures'!$C$3:$C$80,12)</f>
        <v>0</v>
      </c>
      <c r="AJ24" s="175">
        <f t="shared" si="0"/>
        <v>0</v>
      </c>
    </row>
    <row r="25" spans="1:36">
      <c r="A25" s="2" t="s">
        <v>71</v>
      </c>
      <c r="B25" s="3" t="s">
        <v>72</v>
      </c>
      <c r="C25" s="3">
        <v>94200</v>
      </c>
      <c r="D25" s="9" t="s">
        <v>29</v>
      </c>
      <c r="E25" s="188" t="s">
        <v>146</v>
      </c>
      <c r="F25" s="184">
        <f t="shared" si="1"/>
        <v>0</v>
      </c>
      <c r="G25" s="186">
        <f t="shared" si="2"/>
        <v>0</v>
      </c>
      <c r="H25" s="9"/>
      <c r="J25" s="156">
        <f>SUMIFS('Historique des factures'!$G$3:$G$80,'Historique des factures'!$E$3:$E$80,$A25,'Historique des factures'!$C$3:$C$80,1)</f>
        <v>0</v>
      </c>
      <c r="K25" s="157">
        <f>SUMIFS('Historique des factures'!$G$3:$G$80,'Historique des factures'!$E$3:$E$80,$A25,'Historique des factures'!$C$3:$C$80,2)</f>
        <v>0</v>
      </c>
      <c r="L25" s="157">
        <f>SUMIFS('Historique des factures'!$G$3:$G$80,'Historique des factures'!$E$3:$E$80,$A25,'Historique des factures'!$C$3:$C$80,3)</f>
        <v>0</v>
      </c>
      <c r="M25" s="157">
        <f>SUMIFS('Historique des factures'!$G$3:$G$80,'Historique des factures'!$E$3:$E$80,$A25,'Historique des factures'!$C$3:$C$80,4)</f>
        <v>0</v>
      </c>
      <c r="N25" s="157">
        <f>SUMIFS('Historique des factures'!$G$3:$G$80,'Historique des factures'!$E$3:$E$80,$A25,'Historique des factures'!$C$3:$C$80,5)</f>
        <v>0</v>
      </c>
      <c r="O25" s="157">
        <f>SUMIFS('Historique des factures'!$G$3:$G$80,'Historique des factures'!$E$3:$E$80,$A25,'Historique des factures'!$C$3:$C$80,6)</f>
        <v>0</v>
      </c>
      <c r="P25" s="157">
        <f>SUMIFS('Historique des factures'!$G$3:$G$80,'Historique des factures'!$E$3:$E$80,$A25,'Historique des factures'!$C$3:$C$80,7)</f>
        <v>0</v>
      </c>
      <c r="Q25" s="157">
        <f>SUMIFS('Historique des factures'!$G$3:$G$80,'Historique des factures'!$E$3:$E$80,$A25,'Historique des factures'!$C$3:$C$80,8)</f>
        <v>0</v>
      </c>
      <c r="R25" s="157">
        <f>SUMIFS('Historique des factures'!$G$3:$G$80,'Historique des factures'!$E$3:$E$80,$A25,'Historique des factures'!$C$3:$C$80,9)</f>
        <v>0</v>
      </c>
      <c r="S25" s="157">
        <f>SUMIFS('Historique des factures'!$G$3:$G$80,'Historique des factures'!$E$3:$E$80,$A25,'Historique des factures'!$C$3:$C$80,10)</f>
        <v>0</v>
      </c>
      <c r="T25" s="157">
        <f>SUMIFS('Historique des factures'!$G$3:$G$80,'Historique des factures'!$E$3:$E$80,$A25,'Historique des factures'!$C$3:$C$80,11)</f>
        <v>0</v>
      </c>
      <c r="U25" s="158">
        <f>SUMIFS('Historique des factures'!$G$3:$G$80,'Historique des factures'!$E$3:$E$80,$A25,'Historique des factures'!$C$3:$C$80,12)</f>
        <v>0</v>
      </c>
      <c r="V25" s="159">
        <f t="shared" si="3"/>
        <v>0</v>
      </c>
      <c r="X25" s="172">
        <f>COUNTIFS('Historique des factures'!$E$3:$E$80,$A25,'Historique des factures'!$C$3:$C$80,1)</f>
        <v>0</v>
      </c>
      <c r="Y25" s="173">
        <f>COUNTIFS('Historique des factures'!$E$3:$E$80,$A25,'Historique des factures'!$C$3:$C$80,2)</f>
        <v>0</v>
      </c>
      <c r="Z25" s="173">
        <f>COUNTIFS('Historique des factures'!$E$3:$E$80,$A25,'Historique des factures'!$C$3:$C$80,3)</f>
        <v>0</v>
      </c>
      <c r="AA25" s="173">
        <f>COUNTIFS('Historique des factures'!$E$3:$E$80,$A25,'Historique des factures'!$C$3:$C$80,4)</f>
        <v>0</v>
      </c>
      <c r="AB25" s="173">
        <f>COUNTIFS('Historique des factures'!$E$3:$E$80,$A25,'Historique des factures'!$C$3:$C$80,5)</f>
        <v>0</v>
      </c>
      <c r="AC25" s="173">
        <f>COUNTIFS('Historique des factures'!$E$3:$E$80,$A25,'Historique des factures'!$C$3:$C$80,6)</f>
        <v>0</v>
      </c>
      <c r="AD25" s="173">
        <f>COUNTIFS('Historique des factures'!$E$3:$E$80,$A25,'Historique des factures'!$C$3:$C$80,7)</f>
        <v>0</v>
      </c>
      <c r="AE25" s="173">
        <f>COUNTIFS('Historique des factures'!$E$3:$E$80,$A25,'Historique des factures'!$C$3:$C$80,8)</f>
        <v>0</v>
      </c>
      <c r="AF25" s="173">
        <f>COUNTIFS('Historique des factures'!$E$3:$E$80,$A25,'Historique des factures'!$C$3:$C$80,9)</f>
        <v>0</v>
      </c>
      <c r="AG25" s="173">
        <f>COUNTIFS('Historique des factures'!$E$3:$E$80,$A25,'Historique des factures'!$C$3:$C$80,10)</f>
        <v>0</v>
      </c>
      <c r="AH25" s="173">
        <f>COUNTIFS('Historique des factures'!$E$3:$E$80,$A25,'Historique des factures'!$C$3:$C$80,11)</f>
        <v>0</v>
      </c>
      <c r="AI25" s="174">
        <f>COUNTIFS('Historique des factures'!$E$3:$E$80,$A25,'Historique des factures'!$C$3:$C$80,12)</f>
        <v>0</v>
      </c>
      <c r="AJ25" s="175">
        <f t="shared" si="0"/>
        <v>0</v>
      </c>
    </row>
    <row r="26" spans="1:36">
      <c r="A26" s="2" t="s">
        <v>73</v>
      </c>
      <c r="B26" s="3" t="s">
        <v>74</v>
      </c>
      <c r="C26" s="3">
        <v>78061</v>
      </c>
      <c r="D26" s="9" t="s">
        <v>75</v>
      </c>
      <c r="E26" s="188" t="s">
        <v>147</v>
      </c>
      <c r="F26" s="184">
        <f t="shared" si="1"/>
        <v>0</v>
      </c>
      <c r="G26" s="186">
        <f t="shared" si="2"/>
        <v>0</v>
      </c>
      <c r="H26" s="9"/>
      <c r="J26" s="156">
        <f>SUMIFS('Historique des factures'!$G$3:$G$80,'Historique des factures'!$E$3:$E$80,$A26,'Historique des factures'!$C$3:$C$80,1)</f>
        <v>0</v>
      </c>
      <c r="K26" s="157">
        <f>SUMIFS('Historique des factures'!$G$3:$G$80,'Historique des factures'!$E$3:$E$80,$A26,'Historique des factures'!$C$3:$C$80,2)</f>
        <v>0</v>
      </c>
      <c r="L26" s="157">
        <f>SUMIFS('Historique des factures'!$G$3:$G$80,'Historique des factures'!$E$3:$E$80,$A26,'Historique des factures'!$C$3:$C$80,3)</f>
        <v>0</v>
      </c>
      <c r="M26" s="157">
        <f>SUMIFS('Historique des factures'!$G$3:$G$80,'Historique des factures'!$E$3:$E$80,$A26,'Historique des factures'!$C$3:$C$80,4)</f>
        <v>0</v>
      </c>
      <c r="N26" s="157">
        <f>SUMIFS('Historique des factures'!$G$3:$G$80,'Historique des factures'!$E$3:$E$80,$A26,'Historique des factures'!$C$3:$C$80,5)</f>
        <v>0</v>
      </c>
      <c r="O26" s="157">
        <f>SUMIFS('Historique des factures'!$G$3:$G$80,'Historique des factures'!$E$3:$E$80,$A26,'Historique des factures'!$C$3:$C$80,6)</f>
        <v>0</v>
      </c>
      <c r="P26" s="157">
        <f>SUMIFS('Historique des factures'!$G$3:$G$80,'Historique des factures'!$E$3:$E$80,$A26,'Historique des factures'!$C$3:$C$80,7)</f>
        <v>0</v>
      </c>
      <c r="Q26" s="157">
        <f>SUMIFS('Historique des factures'!$G$3:$G$80,'Historique des factures'!$E$3:$E$80,$A26,'Historique des factures'!$C$3:$C$80,8)</f>
        <v>0</v>
      </c>
      <c r="R26" s="157">
        <f>SUMIFS('Historique des factures'!$G$3:$G$80,'Historique des factures'!$E$3:$E$80,$A26,'Historique des factures'!$C$3:$C$80,9)</f>
        <v>0</v>
      </c>
      <c r="S26" s="157">
        <f>SUMIFS('Historique des factures'!$G$3:$G$80,'Historique des factures'!$E$3:$E$80,$A26,'Historique des factures'!$C$3:$C$80,10)</f>
        <v>0</v>
      </c>
      <c r="T26" s="157">
        <f>SUMIFS('Historique des factures'!$G$3:$G$80,'Historique des factures'!$E$3:$E$80,$A26,'Historique des factures'!$C$3:$C$80,11)</f>
        <v>0</v>
      </c>
      <c r="U26" s="158">
        <f>SUMIFS('Historique des factures'!$G$3:$G$80,'Historique des factures'!$E$3:$E$80,$A26,'Historique des factures'!$C$3:$C$80,12)</f>
        <v>0</v>
      </c>
      <c r="V26" s="159">
        <f t="shared" si="3"/>
        <v>0</v>
      </c>
      <c r="X26" s="172">
        <f>COUNTIFS('Historique des factures'!$E$3:$E$80,$A26,'Historique des factures'!$C$3:$C$80,1)</f>
        <v>0</v>
      </c>
      <c r="Y26" s="173">
        <f>COUNTIFS('Historique des factures'!$E$3:$E$80,$A26,'Historique des factures'!$C$3:$C$80,2)</f>
        <v>0</v>
      </c>
      <c r="Z26" s="173">
        <f>COUNTIFS('Historique des factures'!$E$3:$E$80,$A26,'Historique des factures'!$C$3:$C$80,3)</f>
        <v>0</v>
      </c>
      <c r="AA26" s="173">
        <f>COUNTIFS('Historique des factures'!$E$3:$E$80,$A26,'Historique des factures'!$C$3:$C$80,4)</f>
        <v>0</v>
      </c>
      <c r="AB26" s="173">
        <f>COUNTIFS('Historique des factures'!$E$3:$E$80,$A26,'Historique des factures'!$C$3:$C$80,5)</f>
        <v>0</v>
      </c>
      <c r="AC26" s="173">
        <f>COUNTIFS('Historique des factures'!$E$3:$E$80,$A26,'Historique des factures'!$C$3:$C$80,6)</f>
        <v>0</v>
      </c>
      <c r="AD26" s="173">
        <f>COUNTIFS('Historique des factures'!$E$3:$E$80,$A26,'Historique des factures'!$C$3:$C$80,7)</f>
        <v>0</v>
      </c>
      <c r="AE26" s="173">
        <f>COUNTIFS('Historique des factures'!$E$3:$E$80,$A26,'Historique des factures'!$C$3:$C$80,8)</f>
        <v>0</v>
      </c>
      <c r="AF26" s="173">
        <f>COUNTIFS('Historique des factures'!$E$3:$E$80,$A26,'Historique des factures'!$C$3:$C$80,9)</f>
        <v>0</v>
      </c>
      <c r="AG26" s="173">
        <f>COUNTIFS('Historique des factures'!$E$3:$E$80,$A26,'Historique des factures'!$C$3:$C$80,10)</f>
        <v>0</v>
      </c>
      <c r="AH26" s="173">
        <f>COUNTIFS('Historique des factures'!$E$3:$E$80,$A26,'Historique des factures'!$C$3:$C$80,11)</f>
        <v>0</v>
      </c>
      <c r="AI26" s="174">
        <f>COUNTIFS('Historique des factures'!$E$3:$E$80,$A26,'Historique des factures'!$C$3:$C$80,12)</f>
        <v>0</v>
      </c>
      <c r="AJ26" s="175">
        <f t="shared" si="0"/>
        <v>0</v>
      </c>
    </row>
    <row r="27" spans="1:36">
      <c r="A27" s="2" t="s">
        <v>76</v>
      </c>
      <c r="B27" s="3" t="s">
        <v>77</v>
      </c>
      <c r="C27" s="4">
        <v>21000</v>
      </c>
      <c r="D27" s="9" t="s">
        <v>78</v>
      </c>
      <c r="E27" s="188" t="s">
        <v>148</v>
      </c>
      <c r="F27" s="184">
        <f t="shared" si="1"/>
        <v>0</v>
      </c>
      <c r="G27" s="186">
        <f t="shared" si="2"/>
        <v>0</v>
      </c>
      <c r="H27" s="9"/>
      <c r="J27" s="156">
        <f>SUMIFS('Historique des factures'!$G$3:$G$80,'Historique des factures'!$E$3:$E$80,$A27,'Historique des factures'!$C$3:$C$80,1)</f>
        <v>0</v>
      </c>
      <c r="K27" s="157">
        <f>SUMIFS('Historique des factures'!$G$3:$G$80,'Historique des factures'!$E$3:$E$80,$A27,'Historique des factures'!$C$3:$C$80,2)</f>
        <v>0</v>
      </c>
      <c r="L27" s="157">
        <f>SUMIFS('Historique des factures'!$G$3:$G$80,'Historique des factures'!$E$3:$E$80,$A27,'Historique des factures'!$C$3:$C$80,3)</f>
        <v>0</v>
      </c>
      <c r="M27" s="157">
        <f>SUMIFS('Historique des factures'!$G$3:$G$80,'Historique des factures'!$E$3:$E$80,$A27,'Historique des factures'!$C$3:$C$80,4)</f>
        <v>0</v>
      </c>
      <c r="N27" s="157">
        <f>SUMIFS('Historique des factures'!$G$3:$G$80,'Historique des factures'!$E$3:$E$80,$A27,'Historique des factures'!$C$3:$C$80,5)</f>
        <v>0</v>
      </c>
      <c r="O27" s="157">
        <f>SUMIFS('Historique des factures'!$G$3:$G$80,'Historique des factures'!$E$3:$E$80,$A27,'Historique des factures'!$C$3:$C$80,6)</f>
        <v>0</v>
      </c>
      <c r="P27" s="157">
        <f>SUMIFS('Historique des factures'!$G$3:$G$80,'Historique des factures'!$E$3:$E$80,$A27,'Historique des factures'!$C$3:$C$80,7)</f>
        <v>0</v>
      </c>
      <c r="Q27" s="157">
        <f>SUMIFS('Historique des factures'!$G$3:$G$80,'Historique des factures'!$E$3:$E$80,$A27,'Historique des factures'!$C$3:$C$80,8)</f>
        <v>0</v>
      </c>
      <c r="R27" s="157">
        <f>SUMIFS('Historique des factures'!$G$3:$G$80,'Historique des factures'!$E$3:$E$80,$A27,'Historique des factures'!$C$3:$C$80,9)</f>
        <v>0</v>
      </c>
      <c r="S27" s="157">
        <f>SUMIFS('Historique des factures'!$G$3:$G$80,'Historique des factures'!$E$3:$E$80,$A27,'Historique des factures'!$C$3:$C$80,10)</f>
        <v>0</v>
      </c>
      <c r="T27" s="157">
        <f>SUMIFS('Historique des factures'!$G$3:$G$80,'Historique des factures'!$E$3:$E$80,$A27,'Historique des factures'!$C$3:$C$80,11)</f>
        <v>0</v>
      </c>
      <c r="U27" s="158">
        <f>SUMIFS('Historique des factures'!$G$3:$G$80,'Historique des factures'!$E$3:$E$80,$A27,'Historique des factures'!$C$3:$C$80,12)</f>
        <v>0</v>
      </c>
      <c r="V27" s="159">
        <f t="shared" si="3"/>
        <v>0</v>
      </c>
      <c r="X27" s="172">
        <f>COUNTIFS('Historique des factures'!$E$3:$E$80,$A27,'Historique des factures'!$C$3:$C$80,1)</f>
        <v>0</v>
      </c>
      <c r="Y27" s="173">
        <f>COUNTIFS('Historique des factures'!$E$3:$E$80,$A27,'Historique des factures'!$C$3:$C$80,2)</f>
        <v>0</v>
      </c>
      <c r="Z27" s="173">
        <f>COUNTIFS('Historique des factures'!$E$3:$E$80,$A27,'Historique des factures'!$C$3:$C$80,3)</f>
        <v>0</v>
      </c>
      <c r="AA27" s="173">
        <f>COUNTIFS('Historique des factures'!$E$3:$E$80,$A27,'Historique des factures'!$C$3:$C$80,4)</f>
        <v>0</v>
      </c>
      <c r="AB27" s="173">
        <f>COUNTIFS('Historique des factures'!$E$3:$E$80,$A27,'Historique des factures'!$C$3:$C$80,5)</f>
        <v>0</v>
      </c>
      <c r="AC27" s="173">
        <f>COUNTIFS('Historique des factures'!$E$3:$E$80,$A27,'Historique des factures'!$C$3:$C$80,6)</f>
        <v>0</v>
      </c>
      <c r="AD27" s="173">
        <f>COUNTIFS('Historique des factures'!$E$3:$E$80,$A27,'Historique des factures'!$C$3:$C$80,7)</f>
        <v>0</v>
      </c>
      <c r="AE27" s="173">
        <f>COUNTIFS('Historique des factures'!$E$3:$E$80,$A27,'Historique des factures'!$C$3:$C$80,8)</f>
        <v>0</v>
      </c>
      <c r="AF27" s="173">
        <f>COUNTIFS('Historique des factures'!$E$3:$E$80,$A27,'Historique des factures'!$C$3:$C$80,9)</f>
        <v>0</v>
      </c>
      <c r="AG27" s="173">
        <f>COUNTIFS('Historique des factures'!$E$3:$E$80,$A27,'Historique des factures'!$C$3:$C$80,10)</f>
        <v>0</v>
      </c>
      <c r="AH27" s="173">
        <f>COUNTIFS('Historique des factures'!$E$3:$E$80,$A27,'Historique des factures'!$C$3:$C$80,11)</f>
        <v>0</v>
      </c>
      <c r="AI27" s="174">
        <f>COUNTIFS('Historique des factures'!$E$3:$E$80,$A27,'Historique des factures'!$C$3:$C$80,12)</f>
        <v>0</v>
      </c>
      <c r="AJ27" s="175">
        <f t="shared" si="0"/>
        <v>0</v>
      </c>
    </row>
    <row r="28" spans="1:36">
      <c r="A28" s="2" t="s">
        <v>79</v>
      </c>
      <c r="B28" s="3" t="s">
        <v>80</v>
      </c>
      <c r="C28" s="3">
        <v>54890</v>
      </c>
      <c r="D28" s="9" t="s">
        <v>81</v>
      </c>
      <c r="E28" s="188" t="s">
        <v>145</v>
      </c>
      <c r="F28" s="184">
        <f t="shared" si="1"/>
        <v>0</v>
      </c>
      <c r="G28" s="186">
        <f t="shared" si="2"/>
        <v>0</v>
      </c>
      <c r="H28" s="9"/>
      <c r="J28" s="156">
        <f>SUMIFS('Historique des factures'!$G$3:$G$80,'Historique des factures'!$E$3:$E$80,$A28,'Historique des factures'!$C$3:$C$80,1)</f>
        <v>0</v>
      </c>
      <c r="K28" s="157">
        <f>SUMIFS('Historique des factures'!$G$3:$G$80,'Historique des factures'!$E$3:$E$80,$A28,'Historique des factures'!$C$3:$C$80,2)</f>
        <v>0</v>
      </c>
      <c r="L28" s="157">
        <f>SUMIFS('Historique des factures'!$G$3:$G$80,'Historique des factures'!$E$3:$E$80,$A28,'Historique des factures'!$C$3:$C$80,3)</f>
        <v>0</v>
      </c>
      <c r="M28" s="157">
        <f>SUMIFS('Historique des factures'!$G$3:$G$80,'Historique des factures'!$E$3:$E$80,$A28,'Historique des factures'!$C$3:$C$80,4)</f>
        <v>0</v>
      </c>
      <c r="N28" s="157">
        <f>SUMIFS('Historique des factures'!$G$3:$G$80,'Historique des factures'!$E$3:$E$80,$A28,'Historique des factures'!$C$3:$C$80,5)</f>
        <v>0</v>
      </c>
      <c r="O28" s="157">
        <f>SUMIFS('Historique des factures'!$G$3:$G$80,'Historique des factures'!$E$3:$E$80,$A28,'Historique des factures'!$C$3:$C$80,6)</f>
        <v>0</v>
      </c>
      <c r="P28" s="157">
        <f>SUMIFS('Historique des factures'!$G$3:$G$80,'Historique des factures'!$E$3:$E$80,$A28,'Historique des factures'!$C$3:$C$80,7)</f>
        <v>0</v>
      </c>
      <c r="Q28" s="157">
        <f>SUMIFS('Historique des factures'!$G$3:$G$80,'Historique des factures'!$E$3:$E$80,$A28,'Historique des factures'!$C$3:$C$80,8)</f>
        <v>0</v>
      </c>
      <c r="R28" s="157">
        <f>SUMIFS('Historique des factures'!$G$3:$G$80,'Historique des factures'!$E$3:$E$80,$A28,'Historique des factures'!$C$3:$C$80,9)</f>
        <v>0</v>
      </c>
      <c r="S28" s="157">
        <f>SUMIFS('Historique des factures'!$G$3:$G$80,'Historique des factures'!$E$3:$E$80,$A28,'Historique des factures'!$C$3:$C$80,10)</f>
        <v>0</v>
      </c>
      <c r="T28" s="157">
        <f>SUMIFS('Historique des factures'!$G$3:$G$80,'Historique des factures'!$E$3:$E$80,$A28,'Historique des factures'!$C$3:$C$80,11)</f>
        <v>0</v>
      </c>
      <c r="U28" s="158">
        <f>SUMIFS('Historique des factures'!$G$3:$G$80,'Historique des factures'!$E$3:$E$80,$A28,'Historique des factures'!$C$3:$C$80,12)</f>
        <v>0</v>
      </c>
      <c r="V28" s="159">
        <f t="shared" si="3"/>
        <v>0</v>
      </c>
      <c r="X28" s="172">
        <f>COUNTIFS('Historique des factures'!$E$3:$E$80,$A28,'Historique des factures'!$C$3:$C$80,1)</f>
        <v>0</v>
      </c>
      <c r="Y28" s="173">
        <f>COUNTIFS('Historique des factures'!$E$3:$E$80,$A28,'Historique des factures'!$C$3:$C$80,2)</f>
        <v>0</v>
      </c>
      <c r="Z28" s="173">
        <f>COUNTIFS('Historique des factures'!$E$3:$E$80,$A28,'Historique des factures'!$C$3:$C$80,3)</f>
        <v>0</v>
      </c>
      <c r="AA28" s="173">
        <f>COUNTIFS('Historique des factures'!$E$3:$E$80,$A28,'Historique des factures'!$C$3:$C$80,4)</f>
        <v>0</v>
      </c>
      <c r="AB28" s="173">
        <f>COUNTIFS('Historique des factures'!$E$3:$E$80,$A28,'Historique des factures'!$C$3:$C$80,5)</f>
        <v>0</v>
      </c>
      <c r="AC28" s="173">
        <f>COUNTIFS('Historique des factures'!$E$3:$E$80,$A28,'Historique des factures'!$C$3:$C$80,6)</f>
        <v>0</v>
      </c>
      <c r="AD28" s="173">
        <f>COUNTIFS('Historique des factures'!$E$3:$E$80,$A28,'Historique des factures'!$C$3:$C$80,7)</f>
        <v>0</v>
      </c>
      <c r="AE28" s="173">
        <f>COUNTIFS('Historique des factures'!$E$3:$E$80,$A28,'Historique des factures'!$C$3:$C$80,8)</f>
        <v>0</v>
      </c>
      <c r="AF28" s="173">
        <f>COUNTIFS('Historique des factures'!$E$3:$E$80,$A28,'Historique des factures'!$C$3:$C$80,9)</f>
        <v>0</v>
      </c>
      <c r="AG28" s="173">
        <f>COUNTIFS('Historique des factures'!$E$3:$E$80,$A28,'Historique des factures'!$C$3:$C$80,10)</f>
        <v>0</v>
      </c>
      <c r="AH28" s="173">
        <f>COUNTIFS('Historique des factures'!$E$3:$E$80,$A28,'Historique des factures'!$C$3:$C$80,11)</f>
        <v>0</v>
      </c>
      <c r="AI28" s="174">
        <f>COUNTIFS('Historique des factures'!$E$3:$E$80,$A28,'Historique des factures'!$C$3:$C$80,12)</f>
        <v>0</v>
      </c>
      <c r="AJ28" s="175">
        <f t="shared" si="0"/>
        <v>0</v>
      </c>
    </row>
    <row r="29" spans="1:36">
      <c r="A29" s="2" t="s">
        <v>82</v>
      </c>
      <c r="B29" s="3" t="s">
        <v>83</v>
      </c>
      <c r="C29" s="3">
        <v>77090</v>
      </c>
      <c r="D29" s="9" t="s">
        <v>84</v>
      </c>
      <c r="E29" s="188" t="s">
        <v>146</v>
      </c>
      <c r="F29" s="184">
        <f t="shared" si="1"/>
        <v>0</v>
      </c>
      <c r="G29" s="186">
        <f t="shared" si="2"/>
        <v>0</v>
      </c>
      <c r="H29" s="9"/>
      <c r="J29" s="156">
        <f>SUMIFS('Historique des factures'!$G$3:$G$80,'Historique des factures'!$E$3:$E$80,$A29,'Historique des factures'!$C$3:$C$80,1)</f>
        <v>0</v>
      </c>
      <c r="K29" s="157">
        <f>SUMIFS('Historique des factures'!$G$3:$G$80,'Historique des factures'!$E$3:$E$80,$A29,'Historique des factures'!$C$3:$C$80,2)</f>
        <v>0</v>
      </c>
      <c r="L29" s="157">
        <f>SUMIFS('Historique des factures'!$G$3:$G$80,'Historique des factures'!$E$3:$E$80,$A29,'Historique des factures'!$C$3:$C$80,3)</f>
        <v>0</v>
      </c>
      <c r="M29" s="157">
        <f>SUMIFS('Historique des factures'!$G$3:$G$80,'Historique des factures'!$E$3:$E$80,$A29,'Historique des factures'!$C$3:$C$80,4)</f>
        <v>0</v>
      </c>
      <c r="N29" s="157">
        <f>SUMIFS('Historique des factures'!$G$3:$G$80,'Historique des factures'!$E$3:$E$80,$A29,'Historique des factures'!$C$3:$C$80,5)</f>
        <v>0</v>
      </c>
      <c r="O29" s="157">
        <f>SUMIFS('Historique des factures'!$G$3:$G$80,'Historique des factures'!$E$3:$E$80,$A29,'Historique des factures'!$C$3:$C$80,6)</f>
        <v>0</v>
      </c>
      <c r="P29" s="157">
        <f>SUMIFS('Historique des factures'!$G$3:$G$80,'Historique des factures'!$E$3:$E$80,$A29,'Historique des factures'!$C$3:$C$80,7)</f>
        <v>0</v>
      </c>
      <c r="Q29" s="157">
        <f>SUMIFS('Historique des factures'!$G$3:$G$80,'Historique des factures'!$E$3:$E$80,$A29,'Historique des factures'!$C$3:$C$80,8)</f>
        <v>0</v>
      </c>
      <c r="R29" s="157">
        <f>SUMIFS('Historique des factures'!$G$3:$G$80,'Historique des factures'!$E$3:$E$80,$A29,'Historique des factures'!$C$3:$C$80,9)</f>
        <v>0</v>
      </c>
      <c r="S29" s="157">
        <f>SUMIFS('Historique des factures'!$G$3:$G$80,'Historique des factures'!$E$3:$E$80,$A29,'Historique des factures'!$C$3:$C$80,10)</f>
        <v>0</v>
      </c>
      <c r="T29" s="157">
        <f>SUMIFS('Historique des factures'!$G$3:$G$80,'Historique des factures'!$E$3:$E$80,$A29,'Historique des factures'!$C$3:$C$80,11)</f>
        <v>0</v>
      </c>
      <c r="U29" s="158">
        <f>SUMIFS('Historique des factures'!$G$3:$G$80,'Historique des factures'!$E$3:$E$80,$A29,'Historique des factures'!$C$3:$C$80,12)</f>
        <v>0</v>
      </c>
      <c r="V29" s="159">
        <f t="shared" si="3"/>
        <v>0</v>
      </c>
      <c r="X29" s="172">
        <f>COUNTIFS('Historique des factures'!$E$3:$E$80,$A29,'Historique des factures'!$C$3:$C$80,1)</f>
        <v>0</v>
      </c>
      <c r="Y29" s="173">
        <f>COUNTIFS('Historique des factures'!$E$3:$E$80,$A29,'Historique des factures'!$C$3:$C$80,2)</f>
        <v>0</v>
      </c>
      <c r="Z29" s="173">
        <f>COUNTIFS('Historique des factures'!$E$3:$E$80,$A29,'Historique des factures'!$C$3:$C$80,3)</f>
        <v>0</v>
      </c>
      <c r="AA29" s="173">
        <f>COUNTIFS('Historique des factures'!$E$3:$E$80,$A29,'Historique des factures'!$C$3:$C$80,4)</f>
        <v>0</v>
      </c>
      <c r="AB29" s="173">
        <f>COUNTIFS('Historique des factures'!$E$3:$E$80,$A29,'Historique des factures'!$C$3:$C$80,5)</f>
        <v>0</v>
      </c>
      <c r="AC29" s="173">
        <f>COUNTIFS('Historique des factures'!$E$3:$E$80,$A29,'Historique des factures'!$C$3:$C$80,6)</f>
        <v>0</v>
      </c>
      <c r="AD29" s="173">
        <f>COUNTIFS('Historique des factures'!$E$3:$E$80,$A29,'Historique des factures'!$C$3:$C$80,7)</f>
        <v>0</v>
      </c>
      <c r="AE29" s="173">
        <f>COUNTIFS('Historique des factures'!$E$3:$E$80,$A29,'Historique des factures'!$C$3:$C$80,8)</f>
        <v>0</v>
      </c>
      <c r="AF29" s="173">
        <f>COUNTIFS('Historique des factures'!$E$3:$E$80,$A29,'Historique des factures'!$C$3:$C$80,9)</f>
        <v>0</v>
      </c>
      <c r="AG29" s="173">
        <f>COUNTIFS('Historique des factures'!$E$3:$E$80,$A29,'Historique des factures'!$C$3:$C$80,10)</f>
        <v>0</v>
      </c>
      <c r="AH29" s="173">
        <f>COUNTIFS('Historique des factures'!$E$3:$E$80,$A29,'Historique des factures'!$C$3:$C$80,11)</f>
        <v>0</v>
      </c>
      <c r="AI29" s="174">
        <f>COUNTIFS('Historique des factures'!$E$3:$E$80,$A29,'Historique des factures'!$C$3:$C$80,12)</f>
        <v>0</v>
      </c>
      <c r="AJ29" s="175">
        <f t="shared" si="0"/>
        <v>0</v>
      </c>
    </row>
    <row r="30" spans="1:36">
      <c r="A30" s="2" t="s">
        <v>19</v>
      </c>
      <c r="B30" s="3" t="s">
        <v>85</v>
      </c>
      <c r="C30" s="3">
        <v>73100</v>
      </c>
      <c r="D30" s="9" t="s">
        <v>86</v>
      </c>
      <c r="E30" s="188" t="s">
        <v>147</v>
      </c>
      <c r="F30" s="184">
        <f t="shared" si="1"/>
        <v>0</v>
      </c>
      <c r="G30" s="186">
        <f t="shared" si="2"/>
        <v>0</v>
      </c>
      <c r="H30" s="9"/>
      <c r="J30" s="156">
        <f>SUMIFS('Historique des factures'!$G$3:$G$80,'Historique des factures'!$E$3:$E$80,$A30,'Historique des factures'!$C$3:$C$80,1)</f>
        <v>0</v>
      </c>
      <c r="K30" s="157">
        <f>SUMIFS('Historique des factures'!$G$3:$G$80,'Historique des factures'!$E$3:$E$80,$A30,'Historique des factures'!$C$3:$C$80,2)</f>
        <v>0</v>
      </c>
      <c r="L30" s="157">
        <f>SUMIFS('Historique des factures'!$G$3:$G$80,'Historique des factures'!$E$3:$E$80,$A30,'Historique des factures'!$C$3:$C$80,3)</f>
        <v>0</v>
      </c>
      <c r="M30" s="157">
        <f>SUMIFS('Historique des factures'!$G$3:$G$80,'Historique des factures'!$E$3:$E$80,$A30,'Historique des factures'!$C$3:$C$80,4)</f>
        <v>0</v>
      </c>
      <c r="N30" s="157">
        <f>SUMIFS('Historique des factures'!$G$3:$G$80,'Historique des factures'!$E$3:$E$80,$A30,'Historique des factures'!$C$3:$C$80,5)</f>
        <v>0</v>
      </c>
      <c r="O30" s="157">
        <f>SUMIFS('Historique des factures'!$G$3:$G$80,'Historique des factures'!$E$3:$E$80,$A30,'Historique des factures'!$C$3:$C$80,6)</f>
        <v>0</v>
      </c>
      <c r="P30" s="157">
        <f>SUMIFS('Historique des factures'!$G$3:$G$80,'Historique des factures'!$E$3:$E$80,$A30,'Historique des factures'!$C$3:$C$80,7)</f>
        <v>0</v>
      </c>
      <c r="Q30" s="157">
        <f>SUMIFS('Historique des factures'!$G$3:$G$80,'Historique des factures'!$E$3:$E$80,$A30,'Historique des factures'!$C$3:$C$80,8)</f>
        <v>0</v>
      </c>
      <c r="R30" s="157">
        <f>SUMIFS('Historique des factures'!$G$3:$G$80,'Historique des factures'!$E$3:$E$80,$A30,'Historique des factures'!$C$3:$C$80,9)</f>
        <v>0</v>
      </c>
      <c r="S30" s="157">
        <f>SUMIFS('Historique des factures'!$G$3:$G$80,'Historique des factures'!$E$3:$E$80,$A30,'Historique des factures'!$C$3:$C$80,10)</f>
        <v>0</v>
      </c>
      <c r="T30" s="157">
        <f>SUMIFS('Historique des factures'!$G$3:$G$80,'Historique des factures'!$E$3:$E$80,$A30,'Historique des factures'!$C$3:$C$80,11)</f>
        <v>0</v>
      </c>
      <c r="U30" s="158">
        <f>SUMIFS('Historique des factures'!$G$3:$G$80,'Historique des factures'!$E$3:$E$80,$A30,'Historique des factures'!$C$3:$C$80,12)</f>
        <v>0</v>
      </c>
      <c r="V30" s="159">
        <f t="shared" si="3"/>
        <v>0</v>
      </c>
      <c r="X30" s="172">
        <f>COUNTIFS('Historique des factures'!$E$3:$E$80,$A30,'Historique des factures'!$C$3:$C$80,1)</f>
        <v>0</v>
      </c>
      <c r="Y30" s="173">
        <f>COUNTIFS('Historique des factures'!$E$3:$E$80,$A30,'Historique des factures'!$C$3:$C$80,2)</f>
        <v>0</v>
      </c>
      <c r="Z30" s="173">
        <f>COUNTIFS('Historique des factures'!$E$3:$E$80,$A30,'Historique des factures'!$C$3:$C$80,3)</f>
        <v>0</v>
      </c>
      <c r="AA30" s="173">
        <f>COUNTIFS('Historique des factures'!$E$3:$E$80,$A30,'Historique des factures'!$C$3:$C$80,4)</f>
        <v>0</v>
      </c>
      <c r="AB30" s="173">
        <f>COUNTIFS('Historique des factures'!$E$3:$E$80,$A30,'Historique des factures'!$C$3:$C$80,5)</f>
        <v>0</v>
      </c>
      <c r="AC30" s="173">
        <f>COUNTIFS('Historique des factures'!$E$3:$E$80,$A30,'Historique des factures'!$C$3:$C$80,6)</f>
        <v>0</v>
      </c>
      <c r="AD30" s="173">
        <f>COUNTIFS('Historique des factures'!$E$3:$E$80,$A30,'Historique des factures'!$C$3:$C$80,7)</f>
        <v>0</v>
      </c>
      <c r="AE30" s="173">
        <f>COUNTIFS('Historique des factures'!$E$3:$E$80,$A30,'Historique des factures'!$C$3:$C$80,8)</f>
        <v>0</v>
      </c>
      <c r="AF30" s="173">
        <f>COUNTIFS('Historique des factures'!$E$3:$E$80,$A30,'Historique des factures'!$C$3:$C$80,9)</f>
        <v>0</v>
      </c>
      <c r="AG30" s="173">
        <f>COUNTIFS('Historique des factures'!$E$3:$E$80,$A30,'Historique des factures'!$C$3:$C$80,10)</f>
        <v>0</v>
      </c>
      <c r="AH30" s="173">
        <f>COUNTIFS('Historique des factures'!$E$3:$E$80,$A30,'Historique des factures'!$C$3:$C$80,11)</f>
        <v>0</v>
      </c>
      <c r="AI30" s="174">
        <f>COUNTIFS('Historique des factures'!$E$3:$E$80,$A30,'Historique des factures'!$C$3:$C$80,12)</f>
        <v>0</v>
      </c>
      <c r="AJ30" s="175">
        <f t="shared" si="0"/>
        <v>0</v>
      </c>
    </row>
    <row r="31" spans="1:36">
      <c r="A31" s="2" t="s">
        <v>87</v>
      </c>
      <c r="B31" s="3" t="s">
        <v>88</v>
      </c>
      <c r="C31" s="3">
        <v>92150</v>
      </c>
      <c r="D31" s="9" t="s">
        <v>89</v>
      </c>
      <c r="E31" s="188" t="s">
        <v>148</v>
      </c>
      <c r="F31" s="184">
        <f t="shared" si="1"/>
        <v>0</v>
      </c>
      <c r="G31" s="186">
        <f t="shared" si="2"/>
        <v>0</v>
      </c>
      <c r="H31" s="9"/>
      <c r="J31" s="156">
        <f>SUMIFS('Historique des factures'!$G$3:$G$80,'Historique des factures'!$E$3:$E$80,$A31,'Historique des factures'!$C$3:$C$80,1)</f>
        <v>0</v>
      </c>
      <c r="K31" s="157">
        <f>SUMIFS('Historique des factures'!$G$3:$G$80,'Historique des factures'!$E$3:$E$80,$A31,'Historique des factures'!$C$3:$C$80,2)</f>
        <v>0</v>
      </c>
      <c r="L31" s="157">
        <f>SUMIFS('Historique des factures'!$G$3:$G$80,'Historique des factures'!$E$3:$E$80,$A31,'Historique des factures'!$C$3:$C$80,3)</f>
        <v>0</v>
      </c>
      <c r="M31" s="157">
        <f>SUMIFS('Historique des factures'!$G$3:$G$80,'Historique des factures'!$E$3:$E$80,$A31,'Historique des factures'!$C$3:$C$80,4)</f>
        <v>0</v>
      </c>
      <c r="N31" s="157">
        <f>SUMIFS('Historique des factures'!$G$3:$G$80,'Historique des factures'!$E$3:$E$80,$A31,'Historique des factures'!$C$3:$C$80,5)</f>
        <v>0</v>
      </c>
      <c r="O31" s="157">
        <f>SUMIFS('Historique des factures'!$G$3:$G$80,'Historique des factures'!$E$3:$E$80,$A31,'Historique des factures'!$C$3:$C$80,6)</f>
        <v>0</v>
      </c>
      <c r="P31" s="157">
        <f>SUMIFS('Historique des factures'!$G$3:$G$80,'Historique des factures'!$E$3:$E$80,$A31,'Historique des factures'!$C$3:$C$80,7)</f>
        <v>0</v>
      </c>
      <c r="Q31" s="157">
        <f>SUMIFS('Historique des factures'!$G$3:$G$80,'Historique des factures'!$E$3:$E$80,$A31,'Historique des factures'!$C$3:$C$80,8)</f>
        <v>0</v>
      </c>
      <c r="R31" s="157">
        <f>SUMIFS('Historique des factures'!$G$3:$G$80,'Historique des factures'!$E$3:$E$80,$A31,'Historique des factures'!$C$3:$C$80,9)</f>
        <v>0</v>
      </c>
      <c r="S31" s="157">
        <f>SUMIFS('Historique des factures'!$G$3:$G$80,'Historique des factures'!$E$3:$E$80,$A31,'Historique des factures'!$C$3:$C$80,10)</f>
        <v>0</v>
      </c>
      <c r="T31" s="157">
        <f>SUMIFS('Historique des factures'!$G$3:$G$80,'Historique des factures'!$E$3:$E$80,$A31,'Historique des factures'!$C$3:$C$80,11)</f>
        <v>0</v>
      </c>
      <c r="U31" s="158">
        <f>SUMIFS('Historique des factures'!$G$3:$G$80,'Historique des factures'!$E$3:$E$80,$A31,'Historique des factures'!$C$3:$C$80,12)</f>
        <v>0</v>
      </c>
      <c r="V31" s="159">
        <f t="shared" si="3"/>
        <v>0</v>
      </c>
      <c r="X31" s="172">
        <f>COUNTIFS('Historique des factures'!$E$3:$E$80,$A31,'Historique des factures'!$C$3:$C$80,1)</f>
        <v>0</v>
      </c>
      <c r="Y31" s="173">
        <f>COUNTIFS('Historique des factures'!$E$3:$E$80,$A31,'Historique des factures'!$C$3:$C$80,2)</f>
        <v>0</v>
      </c>
      <c r="Z31" s="173">
        <f>COUNTIFS('Historique des factures'!$E$3:$E$80,$A31,'Historique des factures'!$C$3:$C$80,3)</f>
        <v>0</v>
      </c>
      <c r="AA31" s="173">
        <f>COUNTIFS('Historique des factures'!$E$3:$E$80,$A31,'Historique des factures'!$C$3:$C$80,4)</f>
        <v>0</v>
      </c>
      <c r="AB31" s="173">
        <f>COUNTIFS('Historique des factures'!$E$3:$E$80,$A31,'Historique des factures'!$C$3:$C$80,5)</f>
        <v>0</v>
      </c>
      <c r="AC31" s="173">
        <f>COUNTIFS('Historique des factures'!$E$3:$E$80,$A31,'Historique des factures'!$C$3:$C$80,6)</f>
        <v>0</v>
      </c>
      <c r="AD31" s="173">
        <f>COUNTIFS('Historique des factures'!$E$3:$E$80,$A31,'Historique des factures'!$C$3:$C$80,7)</f>
        <v>0</v>
      </c>
      <c r="AE31" s="173">
        <f>COUNTIFS('Historique des factures'!$E$3:$E$80,$A31,'Historique des factures'!$C$3:$C$80,8)</f>
        <v>0</v>
      </c>
      <c r="AF31" s="173">
        <f>COUNTIFS('Historique des factures'!$E$3:$E$80,$A31,'Historique des factures'!$C$3:$C$80,9)</f>
        <v>0</v>
      </c>
      <c r="AG31" s="173">
        <f>COUNTIFS('Historique des factures'!$E$3:$E$80,$A31,'Historique des factures'!$C$3:$C$80,10)</f>
        <v>0</v>
      </c>
      <c r="AH31" s="173">
        <f>COUNTIFS('Historique des factures'!$E$3:$E$80,$A31,'Historique des factures'!$C$3:$C$80,11)</f>
        <v>0</v>
      </c>
      <c r="AI31" s="174">
        <f>COUNTIFS('Historique des factures'!$E$3:$E$80,$A31,'Historique des factures'!$C$3:$C$80,12)</f>
        <v>0</v>
      </c>
      <c r="AJ31" s="175">
        <f t="shared" si="0"/>
        <v>0</v>
      </c>
    </row>
    <row r="32" spans="1:36">
      <c r="A32" s="2" t="s">
        <v>90</v>
      </c>
      <c r="B32" s="3" t="s">
        <v>91</v>
      </c>
      <c r="C32" s="3">
        <v>91380</v>
      </c>
      <c r="D32" s="9" t="s">
        <v>92</v>
      </c>
      <c r="E32" s="188" t="s">
        <v>145</v>
      </c>
      <c r="F32" s="184">
        <f t="shared" si="1"/>
        <v>0</v>
      </c>
      <c r="G32" s="186">
        <f t="shared" si="2"/>
        <v>0</v>
      </c>
      <c r="H32" s="9"/>
      <c r="J32" s="156">
        <f>SUMIFS('Historique des factures'!$G$3:$G$80,'Historique des factures'!$E$3:$E$80,$A32,'Historique des factures'!$C$3:$C$80,1)</f>
        <v>0</v>
      </c>
      <c r="K32" s="157">
        <f>SUMIFS('Historique des factures'!$G$3:$G$80,'Historique des factures'!$E$3:$E$80,$A32,'Historique des factures'!$C$3:$C$80,2)</f>
        <v>0</v>
      </c>
      <c r="L32" s="157">
        <f>SUMIFS('Historique des factures'!$G$3:$G$80,'Historique des factures'!$E$3:$E$80,$A32,'Historique des factures'!$C$3:$C$80,3)</f>
        <v>0</v>
      </c>
      <c r="M32" s="157">
        <f>SUMIFS('Historique des factures'!$G$3:$G$80,'Historique des factures'!$E$3:$E$80,$A32,'Historique des factures'!$C$3:$C$80,4)</f>
        <v>0</v>
      </c>
      <c r="N32" s="157">
        <f>SUMIFS('Historique des factures'!$G$3:$G$80,'Historique des factures'!$E$3:$E$80,$A32,'Historique des factures'!$C$3:$C$80,5)</f>
        <v>0</v>
      </c>
      <c r="O32" s="157">
        <f>SUMIFS('Historique des factures'!$G$3:$G$80,'Historique des factures'!$E$3:$E$80,$A32,'Historique des factures'!$C$3:$C$80,6)</f>
        <v>0</v>
      </c>
      <c r="P32" s="157">
        <f>SUMIFS('Historique des factures'!$G$3:$G$80,'Historique des factures'!$E$3:$E$80,$A32,'Historique des factures'!$C$3:$C$80,7)</f>
        <v>0</v>
      </c>
      <c r="Q32" s="157">
        <f>SUMIFS('Historique des factures'!$G$3:$G$80,'Historique des factures'!$E$3:$E$80,$A32,'Historique des factures'!$C$3:$C$80,8)</f>
        <v>0</v>
      </c>
      <c r="R32" s="157">
        <f>SUMIFS('Historique des factures'!$G$3:$G$80,'Historique des factures'!$E$3:$E$80,$A32,'Historique des factures'!$C$3:$C$80,9)</f>
        <v>0</v>
      </c>
      <c r="S32" s="157">
        <f>SUMIFS('Historique des factures'!$G$3:$G$80,'Historique des factures'!$E$3:$E$80,$A32,'Historique des factures'!$C$3:$C$80,10)</f>
        <v>0</v>
      </c>
      <c r="T32" s="157">
        <f>SUMIFS('Historique des factures'!$G$3:$G$80,'Historique des factures'!$E$3:$E$80,$A32,'Historique des factures'!$C$3:$C$80,11)</f>
        <v>0</v>
      </c>
      <c r="U32" s="158">
        <f>SUMIFS('Historique des factures'!$G$3:$G$80,'Historique des factures'!$E$3:$E$80,$A32,'Historique des factures'!$C$3:$C$80,12)</f>
        <v>0</v>
      </c>
      <c r="V32" s="159">
        <f t="shared" si="3"/>
        <v>0</v>
      </c>
      <c r="X32" s="172">
        <f>COUNTIFS('Historique des factures'!$E$3:$E$80,$A32,'Historique des factures'!$C$3:$C$80,1)</f>
        <v>0</v>
      </c>
      <c r="Y32" s="173">
        <f>COUNTIFS('Historique des factures'!$E$3:$E$80,$A32,'Historique des factures'!$C$3:$C$80,2)</f>
        <v>0</v>
      </c>
      <c r="Z32" s="173">
        <f>COUNTIFS('Historique des factures'!$E$3:$E$80,$A32,'Historique des factures'!$C$3:$C$80,3)</f>
        <v>0</v>
      </c>
      <c r="AA32" s="173">
        <f>COUNTIFS('Historique des factures'!$E$3:$E$80,$A32,'Historique des factures'!$C$3:$C$80,4)</f>
        <v>0</v>
      </c>
      <c r="AB32" s="173">
        <f>COUNTIFS('Historique des factures'!$E$3:$E$80,$A32,'Historique des factures'!$C$3:$C$80,5)</f>
        <v>0</v>
      </c>
      <c r="AC32" s="173">
        <f>COUNTIFS('Historique des factures'!$E$3:$E$80,$A32,'Historique des factures'!$C$3:$C$80,6)</f>
        <v>0</v>
      </c>
      <c r="AD32" s="173">
        <f>COUNTIFS('Historique des factures'!$E$3:$E$80,$A32,'Historique des factures'!$C$3:$C$80,7)</f>
        <v>0</v>
      </c>
      <c r="AE32" s="173">
        <f>COUNTIFS('Historique des factures'!$E$3:$E$80,$A32,'Historique des factures'!$C$3:$C$80,8)</f>
        <v>0</v>
      </c>
      <c r="AF32" s="173">
        <f>COUNTIFS('Historique des factures'!$E$3:$E$80,$A32,'Historique des factures'!$C$3:$C$80,9)</f>
        <v>0</v>
      </c>
      <c r="AG32" s="173">
        <f>COUNTIFS('Historique des factures'!$E$3:$E$80,$A32,'Historique des factures'!$C$3:$C$80,10)</f>
        <v>0</v>
      </c>
      <c r="AH32" s="173">
        <f>COUNTIFS('Historique des factures'!$E$3:$E$80,$A32,'Historique des factures'!$C$3:$C$80,11)</f>
        <v>0</v>
      </c>
      <c r="AI32" s="174">
        <f>COUNTIFS('Historique des factures'!$E$3:$E$80,$A32,'Historique des factures'!$C$3:$C$80,12)</f>
        <v>0</v>
      </c>
      <c r="AJ32" s="175">
        <f t="shared" si="0"/>
        <v>0</v>
      </c>
    </row>
    <row r="33" spans="1:36">
      <c r="A33" s="2" t="s">
        <v>93</v>
      </c>
      <c r="B33" s="3" t="s">
        <v>94</v>
      </c>
      <c r="C33" s="3">
        <v>75017</v>
      </c>
      <c r="D33" s="9" t="s">
        <v>62</v>
      </c>
      <c r="E33" s="188" t="s">
        <v>146</v>
      </c>
      <c r="F33" s="184">
        <f t="shared" si="1"/>
        <v>0</v>
      </c>
      <c r="G33" s="186">
        <f t="shared" si="2"/>
        <v>0</v>
      </c>
      <c r="H33" s="9"/>
      <c r="J33" s="156">
        <f>SUMIFS('Historique des factures'!$G$3:$G$80,'Historique des factures'!$E$3:$E$80,$A33,'Historique des factures'!$C$3:$C$80,1)</f>
        <v>0</v>
      </c>
      <c r="K33" s="157">
        <f>SUMIFS('Historique des factures'!$G$3:$G$80,'Historique des factures'!$E$3:$E$80,$A33,'Historique des factures'!$C$3:$C$80,2)</f>
        <v>0</v>
      </c>
      <c r="L33" s="157">
        <f>SUMIFS('Historique des factures'!$G$3:$G$80,'Historique des factures'!$E$3:$E$80,$A33,'Historique des factures'!$C$3:$C$80,3)</f>
        <v>0</v>
      </c>
      <c r="M33" s="157">
        <f>SUMIFS('Historique des factures'!$G$3:$G$80,'Historique des factures'!$E$3:$E$80,$A33,'Historique des factures'!$C$3:$C$80,4)</f>
        <v>0</v>
      </c>
      <c r="N33" s="157">
        <f>SUMIFS('Historique des factures'!$G$3:$G$80,'Historique des factures'!$E$3:$E$80,$A33,'Historique des factures'!$C$3:$C$80,5)</f>
        <v>0</v>
      </c>
      <c r="O33" s="157">
        <f>SUMIFS('Historique des factures'!$G$3:$G$80,'Historique des factures'!$E$3:$E$80,$A33,'Historique des factures'!$C$3:$C$80,6)</f>
        <v>0</v>
      </c>
      <c r="P33" s="157">
        <f>SUMIFS('Historique des factures'!$G$3:$G$80,'Historique des factures'!$E$3:$E$80,$A33,'Historique des factures'!$C$3:$C$80,7)</f>
        <v>0</v>
      </c>
      <c r="Q33" s="157">
        <f>SUMIFS('Historique des factures'!$G$3:$G$80,'Historique des factures'!$E$3:$E$80,$A33,'Historique des factures'!$C$3:$C$80,8)</f>
        <v>0</v>
      </c>
      <c r="R33" s="157">
        <f>SUMIFS('Historique des factures'!$G$3:$G$80,'Historique des factures'!$E$3:$E$80,$A33,'Historique des factures'!$C$3:$C$80,9)</f>
        <v>0</v>
      </c>
      <c r="S33" s="157">
        <f>SUMIFS('Historique des factures'!$G$3:$G$80,'Historique des factures'!$E$3:$E$80,$A33,'Historique des factures'!$C$3:$C$80,10)</f>
        <v>0</v>
      </c>
      <c r="T33" s="157">
        <f>SUMIFS('Historique des factures'!$G$3:$G$80,'Historique des factures'!$E$3:$E$80,$A33,'Historique des factures'!$C$3:$C$80,11)</f>
        <v>0</v>
      </c>
      <c r="U33" s="158">
        <f>SUMIFS('Historique des factures'!$G$3:$G$80,'Historique des factures'!$E$3:$E$80,$A33,'Historique des factures'!$C$3:$C$80,12)</f>
        <v>0</v>
      </c>
      <c r="V33" s="159">
        <f t="shared" si="3"/>
        <v>0</v>
      </c>
      <c r="X33" s="172">
        <f>COUNTIFS('Historique des factures'!$E$3:$E$80,$A33,'Historique des factures'!$C$3:$C$80,1)</f>
        <v>0</v>
      </c>
      <c r="Y33" s="173">
        <f>COUNTIFS('Historique des factures'!$E$3:$E$80,$A33,'Historique des factures'!$C$3:$C$80,2)</f>
        <v>0</v>
      </c>
      <c r="Z33" s="173">
        <f>COUNTIFS('Historique des factures'!$E$3:$E$80,$A33,'Historique des factures'!$C$3:$C$80,3)</f>
        <v>0</v>
      </c>
      <c r="AA33" s="173">
        <f>COUNTIFS('Historique des factures'!$E$3:$E$80,$A33,'Historique des factures'!$C$3:$C$80,4)</f>
        <v>0</v>
      </c>
      <c r="AB33" s="173">
        <f>COUNTIFS('Historique des factures'!$E$3:$E$80,$A33,'Historique des factures'!$C$3:$C$80,5)</f>
        <v>0</v>
      </c>
      <c r="AC33" s="173">
        <f>COUNTIFS('Historique des factures'!$E$3:$E$80,$A33,'Historique des factures'!$C$3:$C$80,6)</f>
        <v>0</v>
      </c>
      <c r="AD33" s="173">
        <f>COUNTIFS('Historique des factures'!$E$3:$E$80,$A33,'Historique des factures'!$C$3:$C$80,7)</f>
        <v>0</v>
      </c>
      <c r="AE33" s="173">
        <f>COUNTIFS('Historique des factures'!$E$3:$E$80,$A33,'Historique des factures'!$C$3:$C$80,8)</f>
        <v>0</v>
      </c>
      <c r="AF33" s="173">
        <f>COUNTIFS('Historique des factures'!$E$3:$E$80,$A33,'Historique des factures'!$C$3:$C$80,9)</f>
        <v>0</v>
      </c>
      <c r="AG33" s="173">
        <f>COUNTIFS('Historique des factures'!$E$3:$E$80,$A33,'Historique des factures'!$C$3:$C$80,10)</f>
        <v>0</v>
      </c>
      <c r="AH33" s="173">
        <f>COUNTIFS('Historique des factures'!$E$3:$E$80,$A33,'Historique des factures'!$C$3:$C$80,11)</f>
        <v>0</v>
      </c>
      <c r="AI33" s="174">
        <f>COUNTIFS('Historique des factures'!$E$3:$E$80,$A33,'Historique des factures'!$C$3:$C$80,12)</f>
        <v>0</v>
      </c>
      <c r="AJ33" s="175">
        <f t="shared" si="0"/>
        <v>0</v>
      </c>
    </row>
    <row r="34" spans="1:36">
      <c r="A34" s="2" t="s">
        <v>95</v>
      </c>
      <c r="B34" s="3" t="s">
        <v>96</v>
      </c>
      <c r="C34" s="3">
        <v>92635</v>
      </c>
      <c r="D34" s="9" t="s">
        <v>97</v>
      </c>
      <c r="E34" s="188" t="s">
        <v>147</v>
      </c>
      <c r="F34" s="184">
        <f t="shared" si="1"/>
        <v>0</v>
      </c>
      <c r="G34" s="186">
        <f t="shared" si="2"/>
        <v>0</v>
      </c>
      <c r="H34" s="9"/>
      <c r="J34" s="156">
        <f>SUMIFS('Historique des factures'!$G$3:$G$80,'Historique des factures'!$E$3:$E$80,$A34,'Historique des factures'!$C$3:$C$80,1)</f>
        <v>0</v>
      </c>
      <c r="K34" s="157">
        <f>SUMIFS('Historique des factures'!$G$3:$G$80,'Historique des factures'!$E$3:$E$80,$A34,'Historique des factures'!$C$3:$C$80,2)</f>
        <v>0</v>
      </c>
      <c r="L34" s="157">
        <f>SUMIFS('Historique des factures'!$G$3:$G$80,'Historique des factures'!$E$3:$E$80,$A34,'Historique des factures'!$C$3:$C$80,3)</f>
        <v>0</v>
      </c>
      <c r="M34" s="157">
        <f>SUMIFS('Historique des factures'!$G$3:$G$80,'Historique des factures'!$E$3:$E$80,$A34,'Historique des factures'!$C$3:$C$80,4)</f>
        <v>0</v>
      </c>
      <c r="N34" s="157">
        <f>SUMIFS('Historique des factures'!$G$3:$G$80,'Historique des factures'!$E$3:$E$80,$A34,'Historique des factures'!$C$3:$C$80,5)</f>
        <v>0</v>
      </c>
      <c r="O34" s="157">
        <f>SUMIFS('Historique des factures'!$G$3:$G$80,'Historique des factures'!$E$3:$E$80,$A34,'Historique des factures'!$C$3:$C$80,6)</f>
        <v>0</v>
      </c>
      <c r="P34" s="157">
        <f>SUMIFS('Historique des factures'!$G$3:$G$80,'Historique des factures'!$E$3:$E$80,$A34,'Historique des factures'!$C$3:$C$80,7)</f>
        <v>0</v>
      </c>
      <c r="Q34" s="157">
        <f>SUMIFS('Historique des factures'!$G$3:$G$80,'Historique des factures'!$E$3:$E$80,$A34,'Historique des factures'!$C$3:$C$80,8)</f>
        <v>0</v>
      </c>
      <c r="R34" s="157">
        <f>SUMIFS('Historique des factures'!$G$3:$G$80,'Historique des factures'!$E$3:$E$80,$A34,'Historique des factures'!$C$3:$C$80,9)</f>
        <v>0</v>
      </c>
      <c r="S34" s="157">
        <f>SUMIFS('Historique des factures'!$G$3:$G$80,'Historique des factures'!$E$3:$E$80,$A34,'Historique des factures'!$C$3:$C$80,10)</f>
        <v>0</v>
      </c>
      <c r="T34" s="157">
        <f>SUMIFS('Historique des factures'!$G$3:$G$80,'Historique des factures'!$E$3:$E$80,$A34,'Historique des factures'!$C$3:$C$80,11)</f>
        <v>0</v>
      </c>
      <c r="U34" s="158">
        <f>SUMIFS('Historique des factures'!$G$3:$G$80,'Historique des factures'!$E$3:$E$80,$A34,'Historique des factures'!$C$3:$C$80,12)</f>
        <v>0</v>
      </c>
      <c r="V34" s="159">
        <f t="shared" si="3"/>
        <v>0</v>
      </c>
      <c r="X34" s="172">
        <f>COUNTIFS('Historique des factures'!$E$3:$E$80,$A34,'Historique des factures'!$C$3:$C$80,1)</f>
        <v>0</v>
      </c>
      <c r="Y34" s="173">
        <f>COUNTIFS('Historique des factures'!$E$3:$E$80,$A34,'Historique des factures'!$C$3:$C$80,2)</f>
        <v>0</v>
      </c>
      <c r="Z34" s="173">
        <f>COUNTIFS('Historique des factures'!$E$3:$E$80,$A34,'Historique des factures'!$C$3:$C$80,3)</f>
        <v>0</v>
      </c>
      <c r="AA34" s="173">
        <f>COUNTIFS('Historique des factures'!$E$3:$E$80,$A34,'Historique des factures'!$C$3:$C$80,4)</f>
        <v>0</v>
      </c>
      <c r="AB34" s="173">
        <f>COUNTIFS('Historique des factures'!$E$3:$E$80,$A34,'Historique des factures'!$C$3:$C$80,5)</f>
        <v>0</v>
      </c>
      <c r="AC34" s="173">
        <f>COUNTIFS('Historique des factures'!$E$3:$E$80,$A34,'Historique des factures'!$C$3:$C$80,6)</f>
        <v>0</v>
      </c>
      <c r="AD34" s="173">
        <f>COUNTIFS('Historique des factures'!$E$3:$E$80,$A34,'Historique des factures'!$C$3:$C$80,7)</f>
        <v>0</v>
      </c>
      <c r="AE34" s="173">
        <f>COUNTIFS('Historique des factures'!$E$3:$E$80,$A34,'Historique des factures'!$C$3:$C$80,8)</f>
        <v>0</v>
      </c>
      <c r="AF34" s="173">
        <f>COUNTIFS('Historique des factures'!$E$3:$E$80,$A34,'Historique des factures'!$C$3:$C$80,9)</f>
        <v>0</v>
      </c>
      <c r="AG34" s="173">
        <f>COUNTIFS('Historique des factures'!$E$3:$E$80,$A34,'Historique des factures'!$C$3:$C$80,10)</f>
        <v>0</v>
      </c>
      <c r="AH34" s="173">
        <f>COUNTIFS('Historique des factures'!$E$3:$E$80,$A34,'Historique des factures'!$C$3:$C$80,11)</f>
        <v>0</v>
      </c>
      <c r="AI34" s="174">
        <f>COUNTIFS('Historique des factures'!$E$3:$E$80,$A34,'Historique des factures'!$C$3:$C$80,12)</f>
        <v>0</v>
      </c>
      <c r="AJ34" s="175">
        <f t="shared" si="0"/>
        <v>0</v>
      </c>
    </row>
    <row r="35" spans="1:36">
      <c r="A35" s="2" t="s">
        <v>98</v>
      </c>
      <c r="B35" s="3" t="s">
        <v>99</v>
      </c>
      <c r="C35" s="3">
        <v>58600</v>
      </c>
      <c r="D35" s="9" t="s">
        <v>100</v>
      </c>
      <c r="E35" s="188" t="s">
        <v>148</v>
      </c>
      <c r="F35" s="184">
        <f t="shared" si="1"/>
        <v>0</v>
      </c>
      <c r="G35" s="186">
        <f t="shared" si="2"/>
        <v>0</v>
      </c>
      <c r="H35" s="9"/>
      <c r="J35" s="156">
        <f>SUMIFS('Historique des factures'!$G$3:$G$80,'Historique des factures'!$E$3:$E$80,$A35,'Historique des factures'!$C$3:$C$80,1)</f>
        <v>0</v>
      </c>
      <c r="K35" s="157">
        <f>SUMIFS('Historique des factures'!$G$3:$G$80,'Historique des factures'!$E$3:$E$80,$A35,'Historique des factures'!$C$3:$C$80,2)</f>
        <v>0</v>
      </c>
      <c r="L35" s="157">
        <f>SUMIFS('Historique des factures'!$G$3:$G$80,'Historique des factures'!$E$3:$E$80,$A35,'Historique des factures'!$C$3:$C$80,3)</f>
        <v>0</v>
      </c>
      <c r="M35" s="157">
        <f>SUMIFS('Historique des factures'!$G$3:$G$80,'Historique des factures'!$E$3:$E$80,$A35,'Historique des factures'!$C$3:$C$80,4)</f>
        <v>0</v>
      </c>
      <c r="N35" s="157">
        <f>SUMIFS('Historique des factures'!$G$3:$G$80,'Historique des factures'!$E$3:$E$80,$A35,'Historique des factures'!$C$3:$C$80,5)</f>
        <v>0</v>
      </c>
      <c r="O35" s="157">
        <f>SUMIFS('Historique des factures'!$G$3:$G$80,'Historique des factures'!$E$3:$E$80,$A35,'Historique des factures'!$C$3:$C$80,6)</f>
        <v>0</v>
      </c>
      <c r="P35" s="157">
        <f>SUMIFS('Historique des factures'!$G$3:$G$80,'Historique des factures'!$E$3:$E$80,$A35,'Historique des factures'!$C$3:$C$80,7)</f>
        <v>0</v>
      </c>
      <c r="Q35" s="157">
        <f>SUMIFS('Historique des factures'!$G$3:$G$80,'Historique des factures'!$E$3:$E$80,$A35,'Historique des factures'!$C$3:$C$80,8)</f>
        <v>0</v>
      </c>
      <c r="R35" s="157">
        <f>SUMIFS('Historique des factures'!$G$3:$G$80,'Historique des factures'!$E$3:$E$80,$A35,'Historique des factures'!$C$3:$C$80,9)</f>
        <v>0</v>
      </c>
      <c r="S35" s="157">
        <f>SUMIFS('Historique des factures'!$G$3:$G$80,'Historique des factures'!$E$3:$E$80,$A35,'Historique des factures'!$C$3:$C$80,10)</f>
        <v>0</v>
      </c>
      <c r="T35" s="157">
        <f>SUMIFS('Historique des factures'!$G$3:$G$80,'Historique des factures'!$E$3:$E$80,$A35,'Historique des factures'!$C$3:$C$80,11)</f>
        <v>0</v>
      </c>
      <c r="U35" s="158">
        <f>SUMIFS('Historique des factures'!$G$3:$G$80,'Historique des factures'!$E$3:$E$80,$A35,'Historique des factures'!$C$3:$C$80,12)</f>
        <v>0</v>
      </c>
      <c r="V35" s="159">
        <f t="shared" si="3"/>
        <v>0</v>
      </c>
      <c r="X35" s="172">
        <f>COUNTIFS('Historique des factures'!$E$3:$E$80,$A35,'Historique des factures'!$C$3:$C$80,1)</f>
        <v>0</v>
      </c>
      <c r="Y35" s="173">
        <f>COUNTIFS('Historique des factures'!$E$3:$E$80,$A35,'Historique des factures'!$C$3:$C$80,2)</f>
        <v>0</v>
      </c>
      <c r="Z35" s="173">
        <f>COUNTIFS('Historique des factures'!$E$3:$E$80,$A35,'Historique des factures'!$C$3:$C$80,3)</f>
        <v>0</v>
      </c>
      <c r="AA35" s="173">
        <f>COUNTIFS('Historique des factures'!$E$3:$E$80,$A35,'Historique des factures'!$C$3:$C$80,4)</f>
        <v>0</v>
      </c>
      <c r="AB35" s="173">
        <f>COUNTIFS('Historique des factures'!$E$3:$E$80,$A35,'Historique des factures'!$C$3:$C$80,5)</f>
        <v>0</v>
      </c>
      <c r="AC35" s="173">
        <f>COUNTIFS('Historique des factures'!$E$3:$E$80,$A35,'Historique des factures'!$C$3:$C$80,6)</f>
        <v>0</v>
      </c>
      <c r="AD35" s="173">
        <f>COUNTIFS('Historique des factures'!$E$3:$E$80,$A35,'Historique des factures'!$C$3:$C$80,7)</f>
        <v>0</v>
      </c>
      <c r="AE35" s="173">
        <f>COUNTIFS('Historique des factures'!$E$3:$E$80,$A35,'Historique des factures'!$C$3:$C$80,8)</f>
        <v>0</v>
      </c>
      <c r="AF35" s="173">
        <f>COUNTIFS('Historique des factures'!$E$3:$E$80,$A35,'Historique des factures'!$C$3:$C$80,9)</f>
        <v>0</v>
      </c>
      <c r="AG35" s="173">
        <f>COUNTIFS('Historique des factures'!$E$3:$E$80,$A35,'Historique des factures'!$C$3:$C$80,10)</f>
        <v>0</v>
      </c>
      <c r="AH35" s="173">
        <f>COUNTIFS('Historique des factures'!$E$3:$E$80,$A35,'Historique des factures'!$C$3:$C$80,11)</f>
        <v>0</v>
      </c>
      <c r="AI35" s="174">
        <f>COUNTIFS('Historique des factures'!$E$3:$E$80,$A35,'Historique des factures'!$C$3:$C$80,12)</f>
        <v>0</v>
      </c>
      <c r="AJ35" s="175">
        <f t="shared" si="0"/>
        <v>0</v>
      </c>
    </row>
    <row r="36" spans="1:36">
      <c r="A36" s="2" t="s">
        <v>101</v>
      </c>
      <c r="B36" s="3" t="s">
        <v>102</v>
      </c>
      <c r="C36" s="3">
        <v>95880</v>
      </c>
      <c r="D36" s="9" t="s">
        <v>103</v>
      </c>
      <c r="E36" s="188" t="s">
        <v>145</v>
      </c>
      <c r="F36" s="184">
        <f t="shared" si="1"/>
        <v>0</v>
      </c>
      <c r="G36" s="186">
        <f t="shared" si="2"/>
        <v>0</v>
      </c>
      <c r="H36" s="9"/>
      <c r="J36" s="156">
        <f>SUMIFS('Historique des factures'!$G$3:$G$80,'Historique des factures'!$E$3:$E$80,$A36,'Historique des factures'!$C$3:$C$80,1)</f>
        <v>0</v>
      </c>
      <c r="K36" s="157">
        <f>SUMIFS('Historique des factures'!$G$3:$G$80,'Historique des factures'!$E$3:$E$80,$A36,'Historique des factures'!$C$3:$C$80,2)</f>
        <v>0</v>
      </c>
      <c r="L36" s="157">
        <f>SUMIFS('Historique des factures'!$G$3:$G$80,'Historique des factures'!$E$3:$E$80,$A36,'Historique des factures'!$C$3:$C$80,3)</f>
        <v>0</v>
      </c>
      <c r="M36" s="157">
        <f>SUMIFS('Historique des factures'!$G$3:$G$80,'Historique des factures'!$E$3:$E$80,$A36,'Historique des factures'!$C$3:$C$80,4)</f>
        <v>0</v>
      </c>
      <c r="N36" s="157">
        <f>SUMIFS('Historique des factures'!$G$3:$G$80,'Historique des factures'!$E$3:$E$80,$A36,'Historique des factures'!$C$3:$C$80,5)</f>
        <v>0</v>
      </c>
      <c r="O36" s="157">
        <f>SUMIFS('Historique des factures'!$G$3:$G$80,'Historique des factures'!$E$3:$E$80,$A36,'Historique des factures'!$C$3:$C$80,6)</f>
        <v>0</v>
      </c>
      <c r="P36" s="157">
        <f>SUMIFS('Historique des factures'!$G$3:$G$80,'Historique des factures'!$E$3:$E$80,$A36,'Historique des factures'!$C$3:$C$80,7)</f>
        <v>0</v>
      </c>
      <c r="Q36" s="157">
        <f>SUMIFS('Historique des factures'!$G$3:$G$80,'Historique des factures'!$E$3:$E$80,$A36,'Historique des factures'!$C$3:$C$80,8)</f>
        <v>0</v>
      </c>
      <c r="R36" s="157">
        <f>SUMIFS('Historique des factures'!$G$3:$G$80,'Historique des factures'!$E$3:$E$80,$A36,'Historique des factures'!$C$3:$C$80,9)</f>
        <v>0</v>
      </c>
      <c r="S36" s="157">
        <f>SUMIFS('Historique des factures'!$G$3:$G$80,'Historique des factures'!$E$3:$E$80,$A36,'Historique des factures'!$C$3:$C$80,10)</f>
        <v>0</v>
      </c>
      <c r="T36" s="157">
        <f>SUMIFS('Historique des factures'!$G$3:$G$80,'Historique des factures'!$E$3:$E$80,$A36,'Historique des factures'!$C$3:$C$80,11)</f>
        <v>0</v>
      </c>
      <c r="U36" s="158">
        <f>SUMIFS('Historique des factures'!$G$3:$G$80,'Historique des factures'!$E$3:$E$80,$A36,'Historique des factures'!$C$3:$C$80,12)</f>
        <v>0</v>
      </c>
      <c r="V36" s="159">
        <f t="shared" si="3"/>
        <v>0</v>
      </c>
      <c r="X36" s="172">
        <f>COUNTIFS('Historique des factures'!$E$3:$E$80,$A36,'Historique des factures'!$C$3:$C$80,1)</f>
        <v>0</v>
      </c>
      <c r="Y36" s="173">
        <f>COUNTIFS('Historique des factures'!$E$3:$E$80,$A36,'Historique des factures'!$C$3:$C$80,2)</f>
        <v>0</v>
      </c>
      <c r="Z36" s="173">
        <f>COUNTIFS('Historique des factures'!$E$3:$E$80,$A36,'Historique des factures'!$C$3:$C$80,3)</f>
        <v>0</v>
      </c>
      <c r="AA36" s="173">
        <f>COUNTIFS('Historique des factures'!$E$3:$E$80,$A36,'Historique des factures'!$C$3:$C$80,4)</f>
        <v>0</v>
      </c>
      <c r="AB36" s="173">
        <f>COUNTIFS('Historique des factures'!$E$3:$E$80,$A36,'Historique des factures'!$C$3:$C$80,5)</f>
        <v>0</v>
      </c>
      <c r="AC36" s="173">
        <f>COUNTIFS('Historique des factures'!$E$3:$E$80,$A36,'Historique des factures'!$C$3:$C$80,6)</f>
        <v>0</v>
      </c>
      <c r="AD36" s="173">
        <f>COUNTIFS('Historique des factures'!$E$3:$E$80,$A36,'Historique des factures'!$C$3:$C$80,7)</f>
        <v>0</v>
      </c>
      <c r="AE36" s="173">
        <f>COUNTIFS('Historique des factures'!$E$3:$E$80,$A36,'Historique des factures'!$C$3:$C$80,8)</f>
        <v>0</v>
      </c>
      <c r="AF36" s="173">
        <f>COUNTIFS('Historique des factures'!$E$3:$E$80,$A36,'Historique des factures'!$C$3:$C$80,9)</f>
        <v>0</v>
      </c>
      <c r="AG36" s="173">
        <f>COUNTIFS('Historique des factures'!$E$3:$E$80,$A36,'Historique des factures'!$C$3:$C$80,10)</f>
        <v>0</v>
      </c>
      <c r="AH36" s="173">
        <f>COUNTIFS('Historique des factures'!$E$3:$E$80,$A36,'Historique des factures'!$C$3:$C$80,11)</f>
        <v>0</v>
      </c>
      <c r="AI36" s="174">
        <f>COUNTIFS('Historique des factures'!$E$3:$E$80,$A36,'Historique des factures'!$C$3:$C$80,12)</f>
        <v>0</v>
      </c>
      <c r="AJ36" s="175">
        <f t="shared" si="0"/>
        <v>0</v>
      </c>
    </row>
    <row r="37" spans="1:36">
      <c r="A37" s="2" t="s">
        <v>51</v>
      </c>
      <c r="B37" s="3" t="s">
        <v>104</v>
      </c>
      <c r="C37" s="3">
        <v>91430</v>
      </c>
      <c r="D37" s="9" t="s">
        <v>53</v>
      </c>
      <c r="E37" s="188" t="s">
        <v>146</v>
      </c>
      <c r="F37" s="184">
        <f t="shared" si="1"/>
        <v>0</v>
      </c>
      <c r="G37" s="186">
        <f t="shared" si="2"/>
        <v>0</v>
      </c>
      <c r="H37" s="9"/>
      <c r="J37" s="156">
        <f>SUMIFS('Historique des factures'!$G$3:$G$80,'Historique des factures'!$E$3:$E$80,$A37,'Historique des factures'!$C$3:$C$80,1)</f>
        <v>0</v>
      </c>
      <c r="K37" s="157">
        <f>SUMIFS('Historique des factures'!$G$3:$G$80,'Historique des factures'!$E$3:$E$80,$A37,'Historique des factures'!$C$3:$C$80,2)</f>
        <v>0</v>
      </c>
      <c r="L37" s="157">
        <f>SUMIFS('Historique des factures'!$G$3:$G$80,'Historique des factures'!$E$3:$E$80,$A37,'Historique des factures'!$C$3:$C$80,3)</f>
        <v>0</v>
      </c>
      <c r="M37" s="157">
        <f>SUMIFS('Historique des factures'!$G$3:$G$80,'Historique des factures'!$E$3:$E$80,$A37,'Historique des factures'!$C$3:$C$80,4)</f>
        <v>0</v>
      </c>
      <c r="N37" s="157">
        <f>SUMIFS('Historique des factures'!$G$3:$G$80,'Historique des factures'!$E$3:$E$80,$A37,'Historique des factures'!$C$3:$C$80,5)</f>
        <v>0</v>
      </c>
      <c r="O37" s="157">
        <f>SUMIFS('Historique des factures'!$G$3:$G$80,'Historique des factures'!$E$3:$E$80,$A37,'Historique des factures'!$C$3:$C$80,6)</f>
        <v>0</v>
      </c>
      <c r="P37" s="157">
        <f>SUMIFS('Historique des factures'!$G$3:$G$80,'Historique des factures'!$E$3:$E$80,$A37,'Historique des factures'!$C$3:$C$80,7)</f>
        <v>0</v>
      </c>
      <c r="Q37" s="157">
        <f>SUMIFS('Historique des factures'!$G$3:$G$80,'Historique des factures'!$E$3:$E$80,$A37,'Historique des factures'!$C$3:$C$80,8)</f>
        <v>0</v>
      </c>
      <c r="R37" s="157">
        <f>SUMIFS('Historique des factures'!$G$3:$G$80,'Historique des factures'!$E$3:$E$80,$A37,'Historique des factures'!$C$3:$C$80,9)</f>
        <v>0</v>
      </c>
      <c r="S37" s="157">
        <f>SUMIFS('Historique des factures'!$G$3:$G$80,'Historique des factures'!$E$3:$E$80,$A37,'Historique des factures'!$C$3:$C$80,10)</f>
        <v>0</v>
      </c>
      <c r="T37" s="157">
        <f>SUMIFS('Historique des factures'!$G$3:$G$80,'Historique des factures'!$E$3:$E$80,$A37,'Historique des factures'!$C$3:$C$80,11)</f>
        <v>0</v>
      </c>
      <c r="U37" s="158">
        <f>SUMIFS('Historique des factures'!$G$3:$G$80,'Historique des factures'!$E$3:$E$80,$A37,'Historique des factures'!$C$3:$C$80,12)</f>
        <v>0</v>
      </c>
      <c r="V37" s="159">
        <f t="shared" si="3"/>
        <v>0</v>
      </c>
      <c r="X37" s="172">
        <f>COUNTIFS('Historique des factures'!$E$3:$E$80,$A37,'Historique des factures'!$C$3:$C$80,1)</f>
        <v>0</v>
      </c>
      <c r="Y37" s="173">
        <f>COUNTIFS('Historique des factures'!$E$3:$E$80,$A37,'Historique des factures'!$C$3:$C$80,2)</f>
        <v>0</v>
      </c>
      <c r="Z37" s="173">
        <f>COUNTIFS('Historique des factures'!$E$3:$E$80,$A37,'Historique des factures'!$C$3:$C$80,3)</f>
        <v>0</v>
      </c>
      <c r="AA37" s="173">
        <f>COUNTIFS('Historique des factures'!$E$3:$E$80,$A37,'Historique des factures'!$C$3:$C$80,4)</f>
        <v>0</v>
      </c>
      <c r="AB37" s="173">
        <f>COUNTIFS('Historique des factures'!$E$3:$E$80,$A37,'Historique des factures'!$C$3:$C$80,5)</f>
        <v>0</v>
      </c>
      <c r="AC37" s="173">
        <f>COUNTIFS('Historique des factures'!$E$3:$E$80,$A37,'Historique des factures'!$C$3:$C$80,6)</f>
        <v>0</v>
      </c>
      <c r="AD37" s="173">
        <f>COUNTIFS('Historique des factures'!$E$3:$E$80,$A37,'Historique des factures'!$C$3:$C$80,7)</f>
        <v>0</v>
      </c>
      <c r="AE37" s="173">
        <f>COUNTIFS('Historique des factures'!$E$3:$E$80,$A37,'Historique des factures'!$C$3:$C$80,8)</f>
        <v>0</v>
      </c>
      <c r="AF37" s="173">
        <f>COUNTIFS('Historique des factures'!$E$3:$E$80,$A37,'Historique des factures'!$C$3:$C$80,9)</f>
        <v>0</v>
      </c>
      <c r="AG37" s="173">
        <f>COUNTIFS('Historique des factures'!$E$3:$E$80,$A37,'Historique des factures'!$C$3:$C$80,10)</f>
        <v>0</v>
      </c>
      <c r="AH37" s="173">
        <f>COUNTIFS('Historique des factures'!$E$3:$E$80,$A37,'Historique des factures'!$C$3:$C$80,11)</f>
        <v>0</v>
      </c>
      <c r="AI37" s="174">
        <f>COUNTIFS('Historique des factures'!$E$3:$E$80,$A37,'Historique des factures'!$C$3:$C$80,12)</f>
        <v>0</v>
      </c>
      <c r="AJ37" s="175">
        <f t="shared" si="0"/>
        <v>0</v>
      </c>
    </row>
    <row r="38" spans="1:36">
      <c r="A38" s="2" t="s">
        <v>105</v>
      </c>
      <c r="B38" s="3" t="s">
        <v>106</v>
      </c>
      <c r="C38" s="3">
        <v>91160</v>
      </c>
      <c r="D38" s="9" t="s">
        <v>107</v>
      </c>
      <c r="E38" s="188" t="s">
        <v>147</v>
      </c>
      <c r="F38" s="184">
        <f t="shared" si="1"/>
        <v>0</v>
      </c>
      <c r="G38" s="186">
        <f t="shared" si="2"/>
        <v>0</v>
      </c>
      <c r="H38" s="9"/>
      <c r="J38" s="156">
        <f>SUMIFS('Historique des factures'!$G$3:$G$80,'Historique des factures'!$E$3:$E$80,$A38,'Historique des factures'!$C$3:$C$80,1)</f>
        <v>0</v>
      </c>
      <c r="K38" s="157">
        <f>SUMIFS('Historique des factures'!$G$3:$G$80,'Historique des factures'!$E$3:$E$80,$A38,'Historique des factures'!$C$3:$C$80,2)</f>
        <v>0</v>
      </c>
      <c r="L38" s="157">
        <f>SUMIFS('Historique des factures'!$G$3:$G$80,'Historique des factures'!$E$3:$E$80,$A38,'Historique des factures'!$C$3:$C$80,3)</f>
        <v>0</v>
      </c>
      <c r="M38" s="157">
        <f>SUMIFS('Historique des factures'!$G$3:$G$80,'Historique des factures'!$E$3:$E$80,$A38,'Historique des factures'!$C$3:$C$80,4)</f>
        <v>0</v>
      </c>
      <c r="N38" s="157">
        <f>SUMIFS('Historique des factures'!$G$3:$G$80,'Historique des factures'!$E$3:$E$80,$A38,'Historique des factures'!$C$3:$C$80,5)</f>
        <v>0</v>
      </c>
      <c r="O38" s="157">
        <f>SUMIFS('Historique des factures'!$G$3:$G$80,'Historique des factures'!$E$3:$E$80,$A38,'Historique des factures'!$C$3:$C$80,6)</f>
        <v>0</v>
      </c>
      <c r="P38" s="157">
        <f>SUMIFS('Historique des factures'!$G$3:$G$80,'Historique des factures'!$E$3:$E$80,$A38,'Historique des factures'!$C$3:$C$80,7)</f>
        <v>0</v>
      </c>
      <c r="Q38" s="157">
        <f>SUMIFS('Historique des factures'!$G$3:$G$80,'Historique des factures'!$E$3:$E$80,$A38,'Historique des factures'!$C$3:$C$80,8)</f>
        <v>0</v>
      </c>
      <c r="R38" s="157">
        <f>SUMIFS('Historique des factures'!$G$3:$G$80,'Historique des factures'!$E$3:$E$80,$A38,'Historique des factures'!$C$3:$C$80,9)</f>
        <v>0</v>
      </c>
      <c r="S38" s="157">
        <f>SUMIFS('Historique des factures'!$G$3:$G$80,'Historique des factures'!$E$3:$E$80,$A38,'Historique des factures'!$C$3:$C$80,10)</f>
        <v>0</v>
      </c>
      <c r="T38" s="157">
        <f>SUMIFS('Historique des factures'!$G$3:$G$80,'Historique des factures'!$E$3:$E$80,$A38,'Historique des factures'!$C$3:$C$80,11)</f>
        <v>0</v>
      </c>
      <c r="U38" s="158">
        <f>SUMIFS('Historique des factures'!$G$3:$G$80,'Historique des factures'!$E$3:$E$80,$A38,'Historique des factures'!$C$3:$C$80,12)</f>
        <v>0</v>
      </c>
      <c r="V38" s="159">
        <f t="shared" si="3"/>
        <v>0</v>
      </c>
      <c r="X38" s="172">
        <f>COUNTIFS('Historique des factures'!$E$3:$E$80,$A38,'Historique des factures'!$C$3:$C$80,1)</f>
        <v>0</v>
      </c>
      <c r="Y38" s="173">
        <f>COUNTIFS('Historique des factures'!$E$3:$E$80,$A38,'Historique des factures'!$C$3:$C$80,2)</f>
        <v>0</v>
      </c>
      <c r="Z38" s="173">
        <f>COUNTIFS('Historique des factures'!$E$3:$E$80,$A38,'Historique des factures'!$C$3:$C$80,3)</f>
        <v>0</v>
      </c>
      <c r="AA38" s="173">
        <f>COUNTIFS('Historique des factures'!$E$3:$E$80,$A38,'Historique des factures'!$C$3:$C$80,4)</f>
        <v>0</v>
      </c>
      <c r="AB38" s="173">
        <f>COUNTIFS('Historique des factures'!$E$3:$E$80,$A38,'Historique des factures'!$C$3:$C$80,5)</f>
        <v>0</v>
      </c>
      <c r="AC38" s="173">
        <f>COUNTIFS('Historique des factures'!$E$3:$E$80,$A38,'Historique des factures'!$C$3:$C$80,6)</f>
        <v>0</v>
      </c>
      <c r="AD38" s="173">
        <f>COUNTIFS('Historique des factures'!$E$3:$E$80,$A38,'Historique des factures'!$C$3:$C$80,7)</f>
        <v>0</v>
      </c>
      <c r="AE38" s="173">
        <f>COUNTIFS('Historique des factures'!$E$3:$E$80,$A38,'Historique des factures'!$C$3:$C$80,8)</f>
        <v>0</v>
      </c>
      <c r="AF38" s="173">
        <f>COUNTIFS('Historique des factures'!$E$3:$E$80,$A38,'Historique des factures'!$C$3:$C$80,9)</f>
        <v>0</v>
      </c>
      <c r="AG38" s="173">
        <f>COUNTIFS('Historique des factures'!$E$3:$E$80,$A38,'Historique des factures'!$C$3:$C$80,10)</f>
        <v>0</v>
      </c>
      <c r="AH38" s="173">
        <f>COUNTIFS('Historique des factures'!$E$3:$E$80,$A38,'Historique des factures'!$C$3:$C$80,11)</f>
        <v>0</v>
      </c>
      <c r="AI38" s="174">
        <f>COUNTIFS('Historique des factures'!$E$3:$E$80,$A38,'Historique des factures'!$C$3:$C$80,12)</f>
        <v>0</v>
      </c>
      <c r="AJ38" s="175">
        <f t="shared" si="0"/>
        <v>0</v>
      </c>
    </row>
    <row r="39" spans="1:36">
      <c r="A39" s="2" t="s">
        <v>108</v>
      </c>
      <c r="B39" s="3" t="s">
        <v>109</v>
      </c>
      <c r="C39" s="3">
        <v>92000</v>
      </c>
      <c r="D39" s="9" t="s">
        <v>110</v>
      </c>
      <c r="E39" s="188" t="s">
        <v>148</v>
      </c>
      <c r="F39" s="184">
        <f t="shared" si="1"/>
        <v>0</v>
      </c>
      <c r="G39" s="186">
        <f t="shared" si="2"/>
        <v>0</v>
      </c>
      <c r="H39" s="9"/>
      <c r="J39" s="156">
        <f>SUMIFS('Historique des factures'!$G$3:$G$80,'Historique des factures'!$E$3:$E$80,$A39,'Historique des factures'!$C$3:$C$80,1)</f>
        <v>0</v>
      </c>
      <c r="K39" s="157">
        <f>SUMIFS('Historique des factures'!$G$3:$G$80,'Historique des factures'!$E$3:$E$80,$A39,'Historique des factures'!$C$3:$C$80,2)</f>
        <v>0</v>
      </c>
      <c r="L39" s="157">
        <f>SUMIFS('Historique des factures'!$G$3:$G$80,'Historique des factures'!$E$3:$E$80,$A39,'Historique des factures'!$C$3:$C$80,3)</f>
        <v>0</v>
      </c>
      <c r="M39" s="157">
        <f>SUMIFS('Historique des factures'!$G$3:$G$80,'Historique des factures'!$E$3:$E$80,$A39,'Historique des factures'!$C$3:$C$80,4)</f>
        <v>0</v>
      </c>
      <c r="N39" s="157">
        <f>SUMIFS('Historique des factures'!$G$3:$G$80,'Historique des factures'!$E$3:$E$80,$A39,'Historique des factures'!$C$3:$C$80,5)</f>
        <v>0</v>
      </c>
      <c r="O39" s="157">
        <f>SUMIFS('Historique des factures'!$G$3:$G$80,'Historique des factures'!$E$3:$E$80,$A39,'Historique des factures'!$C$3:$C$80,6)</f>
        <v>0</v>
      </c>
      <c r="P39" s="157">
        <f>SUMIFS('Historique des factures'!$G$3:$G$80,'Historique des factures'!$E$3:$E$80,$A39,'Historique des factures'!$C$3:$C$80,7)</f>
        <v>0</v>
      </c>
      <c r="Q39" s="157">
        <f>SUMIFS('Historique des factures'!$G$3:$G$80,'Historique des factures'!$E$3:$E$80,$A39,'Historique des factures'!$C$3:$C$80,8)</f>
        <v>0</v>
      </c>
      <c r="R39" s="157">
        <f>SUMIFS('Historique des factures'!$G$3:$G$80,'Historique des factures'!$E$3:$E$80,$A39,'Historique des factures'!$C$3:$C$80,9)</f>
        <v>0</v>
      </c>
      <c r="S39" s="157">
        <f>SUMIFS('Historique des factures'!$G$3:$G$80,'Historique des factures'!$E$3:$E$80,$A39,'Historique des factures'!$C$3:$C$80,10)</f>
        <v>0</v>
      </c>
      <c r="T39" s="157">
        <f>SUMIFS('Historique des factures'!$G$3:$G$80,'Historique des factures'!$E$3:$E$80,$A39,'Historique des factures'!$C$3:$C$80,11)</f>
        <v>0</v>
      </c>
      <c r="U39" s="158">
        <f>SUMIFS('Historique des factures'!$G$3:$G$80,'Historique des factures'!$E$3:$E$80,$A39,'Historique des factures'!$C$3:$C$80,12)</f>
        <v>0</v>
      </c>
      <c r="V39" s="159">
        <f t="shared" si="3"/>
        <v>0</v>
      </c>
      <c r="X39" s="172">
        <f>COUNTIFS('Historique des factures'!$E$3:$E$80,$A39,'Historique des factures'!$C$3:$C$80,1)</f>
        <v>0</v>
      </c>
      <c r="Y39" s="173">
        <f>COUNTIFS('Historique des factures'!$E$3:$E$80,$A39,'Historique des factures'!$C$3:$C$80,2)</f>
        <v>0</v>
      </c>
      <c r="Z39" s="173">
        <f>COUNTIFS('Historique des factures'!$E$3:$E$80,$A39,'Historique des factures'!$C$3:$C$80,3)</f>
        <v>0</v>
      </c>
      <c r="AA39" s="173">
        <f>COUNTIFS('Historique des factures'!$E$3:$E$80,$A39,'Historique des factures'!$C$3:$C$80,4)</f>
        <v>0</v>
      </c>
      <c r="AB39" s="173">
        <f>COUNTIFS('Historique des factures'!$E$3:$E$80,$A39,'Historique des factures'!$C$3:$C$80,5)</f>
        <v>0</v>
      </c>
      <c r="AC39" s="173">
        <f>COUNTIFS('Historique des factures'!$E$3:$E$80,$A39,'Historique des factures'!$C$3:$C$80,6)</f>
        <v>0</v>
      </c>
      <c r="AD39" s="173">
        <f>COUNTIFS('Historique des factures'!$E$3:$E$80,$A39,'Historique des factures'!$C$3:$C$80,7)</f>
        <v>0</v>
      </c>
      <c r="AE39" s="173">
        <f>COUNTIFS('Historique des factures'!$E$3:$E$80,$A39,'Historique des factures'!$C$3:$C$80,8)</f>
        <v>0</v>
      </c>
      <c r="AF39" s="173">
        <f>COUNTIFS('Historique des factures'!$E$3:$E$80,$A39,'Historique des factures'!$C$3:$C$80,9)</f>
        <v>0</v>
      </c>
      <c r="AG39" s="173">
        <f>COUNTIFS('Historique des factures'!$E$3:$E$80,$A39,'Historique des factures'!$C$3:$C$80,10)</f>
        <v>0</v>
      </c>
      <c r="AH39" s="173">
        <f>COUNTIFS('Historique des factures'!$E$3:$E$80,$A39,'Historique des factures'!$C$3:$C$80,11)</f>
        <v>0</v>
      </c>
      <c r="AI39" s="174">
        <f>COUNTIFS('Historique des factures'!$E$3:$E$80,$A39,'Historique des factures'!$C$3:$C$80,12)</f>
        <v>0</v>
      </c>
      <c r="AJ39" s="175">
        <f t="shared" si="0"/>
        <v>0</v>
      </c>
    </row>
    <row r="40" spans="1:36">
      <c r="A40" s="2" t="s">
        <v>111</v>
      </c>
      <c r="B40" s="3" t="s">
        <v>112</v>
      </c>
      <c r="C40" s="3">
        <v>94400</v>
      </c>
      <c r="D40" s="9" t="s">
        <v>113</v>
      </c>
      <c r="E40" s="188" t="s">
        <v>145</v>
      </c>
      <c r="F40" s="184">
        <f t="shared" si="1"/>
        <v>0</v>
      </c>
      <c r="G40" s="186">
        <f t="shared" si="2"/>
        <v>0</v>
      </c>
      <c r="H40" s="9"/>
      <c r="J40" s="156">
        <f>SUMIFS('Historique des factures'!$G$3:$G$80,'Historique des factures'!$E$3:$E$80,$A40,'Historique des factures'!$C$3:$C$80,1)</f>
        <v>0</v>
      </c>
      <c r="K40" s="157">
        <f>SUMIFS('Historique des factures'!$G$3:$G$80,'Historique des factures'!$E$3:$E$80,$A40,'Historique des factures'!$C$3:$C$80,2)</f>
        <v>0</v>
      </c>
      <c r="L40" s="157">
        <f>SUMIFS('Historique des factures'!$G$3:$G$80,'Historique des factures'!$E$3:$E$80,$A40,'Historique des factures'!$C$3:$C$80,3)</f>
        <v>0</v>
      </c>
      <c r="M40" s="157">
        <f>SUMIFS('Historique des factures'!$G$3:$G$80,'Historique des factures'!$E$3:$E$80,$A40,'Historique des factures'!$C$3:$C$80,4)</f>
        <v>0</v>
      </c>
      <c r="N40" s="157">
        <f>SUMIFS('Historique des factures'!$G$3:$G$80,'Historique des factures'!$E$3:$E$80,$A40,'Historique des factures'!$C$3:$C$80,5)</f>
        <v>0</v>
      </c>
      <c r="O40" s="157">
        <f>SUMIFS('Historique des factures'!$G$3:$G$80,'Historique des factures'!$E$3:$E$80,$A40,'Historique des factures'!$C$3:$C$80,6)</f>
        <v>0</v>
      </c>
      <c r="P40" s="157">
        <f>SUMIFS('Historique des factures'!$G$3:$G$80,'Historique des factures'!$E$3:$E$80,$A40,'Historique des factures'!$C$3:$C$80,7)</f>
        <v>0</v>
      </c>
      <c r="Q40" s="157">
        <f>SUMIFS('Historique des factures'!$G$3:$G$80,'Historique des factures'!$E$3:$E$80,$A40,'Historique des factures'!$C$3:$C$80,8)</f>
        <v>0</v>
      </c>
      <c r="R40" s="157">
        <f>SUMIFS('Historique des factures'!$G$3:$G$80,'Historique des factures'!$E$3:$E$80,$A40,'Historique des factures'!$C$3:$C$80,9)</f>
        <v>0</v>
      </c>
      <c r="S40" s="157">
        <f>SUMIFS('Historique des factures'!$G$3:$G$80,'Historique des factures'!$E$3:$E$80,$A40,'Historique des factures'!$C$3:$C$80,10)</f>
        <v>0</v>
      </c>
      <c r="T40" s="157">
        <f>SUMIFS('Historique des factures'!$G$3:$G$80,'Historique des factures'!$E$3:$E$80,$A40,'Historique des factures'!$C$3:$C$80,11)</f>
        <v>0</v>
      </c>
      <c r="U40" s="158">
        <f>SUMIFS('Historique des factures'!$G$3:$G$80,'Historique des factures'!$E$3:$E$80,$A40,'Historique des factures'!$C$3:$C$80,12)</f>
        <v>0</v>
      </c>
      <c r="V40" s="159">
        <f t="shared" si="3"/>
        <v>0</v>
      </c>
      <c r="X40" s="172">
        <f>COUNTIFS('Historique des factures'!$E$3:$E$80,$A40,'Historique des factures'!$C$3:$C$80,1)</f>
        <v>0</v>
      </c>
      <c r="Y40" s="173">
        <f>COUNTIFS('Historique des factures'!$E$3:$E$80,$A40,'Historique des factures'!$C$3:$C$80,2)</f>
        <v>0</v>
      </c>
      <c r="Z40" s="173">
        <f>COUNTIFS('Historique des factures'!$E$3:$E$80,$A40,'Historique des factures'!$C$3:$C$80,3)</f>
        <v>0</v>
      </c>
      <c r="AA40" s="173">
        <f>COUNTIFS('Historique des factures'!$E$3:$E$80,$A40,'Historique des factures'!$C$3:$C$80,4)</f>
        <v>0</v>
      </c>
      <c r="AB40" s="173">
        <f>COUNTIFS('Historique des factures'!$E$3:$E$80,$A40,'Historique des factures'!$C$3:$C$80,5)</f>
        <v>0</v>
      </c>
      <c r="AC40" s="173">
        <f>COUNTIFS('Historique des factures'!$E$3:$E$80,$A40,'Historique des factures'!$C$3:$C$80,6)</f>
        <v>0</v>
      </c>
      <c r="AD40" s="173">
        <f>COUNTIFS('Historique des factures'!$E$3:$E$80,$A40,'Historique des factures'!$C$3:$C$80,7)</f>
        <v>0</v>
      </c>
      <c r="AE40" s="173">
        <f>COUNTIFS('Historique des factures'!$E$3:$E$80,$A40,'Historique des factures'!$C$3:$C$80,8)</f>
        <v>0</v>
      </c>
      <c r="AF40" s="173">
        <f>COUNTIFS('Historique des factures'!$E$3:$E$80,$A40,'Historique des factures'!$C$3:$C$80,9)</f>
        <v>0</v>
      </c>
      <c r="AG40" s="173">
        <f>COUNTIFS('Historique des factures'!$E$3:$E$80,$A40,'Historique des factures'!$C$3:$C$80,10)</f>
        <v>0</v>
      </c>
      <c r="AH40" s="173">
        <f>COUNTIFS('Historique des factures'!$E$3:$E$80,$A40,'Historique des factures'!$C$3:$C$80,11)</f>
        <v>0</v>
      </c>
      <c r="AI40" s="174">
        <f>COUNTIFS('Historique des factures'!$E$3:$E$80,$A40,'Historique des factures'!$C$3:$C$80,12)</f>
        <v>0</v>
      </c>
      <c r="AJ40" s="175">
        <f t="shared" si="0"/>
        <v>0</v>
      </c>
    </row>
    <row r="41" spans="1:36">
      <c r="A41" s="2" t="s">
        <v>114</v>
      </c>
      <c r="B41" s="3" t="s">
        <v>115</v>
      </c>
      <c r="C41" s="3">
        <v>27950</v>
      </c>
      <c r="D41" s="9" t="s">
        <v>116</v>
      </c>
      <c r="E41" s="188" t="s">
        <v>146</v>
      </c>
      <c r="F41" s="184">
        <f t="shared" si="1"/>
        <v>0</v>
      </c>
      <c r="G41" s="186">
        <f t="shared" si="2"/>
        <v>0</v>
      </c>
      <c r="H41" s="9"/>
      <c r="J41" s="156">
        <f>SUMIFS('Historique des factures'!$G$3:$G$80,'Historique des factures'!$E$3:$E$80,$A41,'Historique des factures'!$C$3:$C$80,1)</f>
        <v>0</v>
      </c>
      <c r="K41" s="157">
        <f>SUMIFS('Historique des factures'!$G$3:$G$80,'Historique des factures'!$E$3:$E$80,$A41,'Historique des factures'!$C$3:$C$80,2)</f>
        <v>0</v>
      </c>
      <c r="L41" s="157">
        <f>SUMIFS('Historique des factures'!$G$3:$G$80,'Historique des factures'!$E$3:$E$80,$A41,'Historique des factures'!$C$3:$C$80,3)</f>
        <v>0</v>
      </c>
      <c r="M41" s="157">
        <f>SUMIFS('Historique des factures'!$G$3:$G$80,'Historique des factures'!$E$3:$E$80,$A41,'Historique des factures'!$C$3:$C$80,4)</f>
        <v>0</v>
      </c>
      <c r="N41" s="157">
        <f>SUMIFS('Historique des factures'!$G$3:$G$80,'Historique des factures'!$E$3:$E$80,$A41,'Historique des factures'!$C$3:$C$80,5)</f>
        <v>0</v>
      </c>
      <c r="O41" s="157">
        <f>SUMIFS('Historique des factures'!$G$3:$G$80,'Historique des factures'!$E$3:$E$80,$A41,'Historique des factures'!$C$3:$C$80,6)</f>
        <v>0</v>
      </c>
      <c r="P41" s="157">
        <f>SUMIFS('Historique des factures'!$G$3:$G$80,'Historique des factures'!$E$3:$E$80,$A41,'Historique des factures'!$C$3:$C$80,7)</f>
        <v>0</v>
      </c>
      <c r="Q41" s="157">
        <f>SUMIFS('Historique des factures'!$G$3:$G$80,'Historique des factures'!$E$3:$E$80,$A41,'Historique des factures'!$C$3:$C$80,8)</f>
        <v>0</v>
      </c>
      <c r="R41" s="157">
        <f>SUMIFS('Historique des factures'!$G$3:$G$80,'Historique des factures'!$E$3:$E$80,$A41,'Historique des factures'!$C$3:$C$80,9)</f>
        <v>0</v>
      </c>
      <c r="S41" s="157">
        <f>SUMIFS('Historique des factures'!$G$3:$G$80,'Historique des factures'!$E$3:$E$80,$A41,'Historique des factures'!$C$3:$C$80,10)</f>
        <v>0</v>
      </c>
      <c r="T41" s="157">
        <f>SUMIFS('Historique des factures'!$G$3:$G$80,'Historique des factures'!$E$3:$E$80,$A41,'Historique des factures'!$C$3:$C$80,11)</f>
        <v>0</v>
      </c>
      <c r="U41" s="158">
        <f>SUMIFS('Historique des factures'!$G$3:$G$80,'Historique des factures'!$E$3:$E$80,$A41,'Historique des factures'!$C$3:$C$80,12)</f>
        <v>0</v>
      </c>
      <c r="V41" s="159">
        <f t="shared" si="3"/>
        <v>0</v>
      </c>
      <c r="X41" s="172">
        <f>COUNTIFS('Historique des factures'!$E$3:$E$80,$A41,'Historique des factures'!$C$3:$C$80,1)</f>
        <v>0</v>
      </c>
      <c r="Y41" s="173">
        <f>COUNTIFS('Historique des factures'!$E$3:$E$80,$A41,'Historique des factures'!$C$3:$C$80,2)</f>
        <v>0</v>
      </c>
      <c r="Z41" s="173">
        <f>COUNTIFS('Historique des factures'!$E$3:$E$80,$A41,'Historique des factures'!$C$3:$C$80,3)</f>
        <v>0</v>
      </c>
      <c r="AA41" s="173">
        <f>COUNTIFS('Historique des factures'!$E$3:$E$80,$A41,'Historique des factures'!$C$3:$C$80,4)</f>
        <v>0</v>
      </c>
      <c r="AB41" s="173">
        <f>COUNTIFS('Historique des factures'!$E$3:$E$80,$A41,'Historique des factures'!$C$3:$C$80,5)</f>
        <v>0</v>
      </c>
      <c r="AC41" s="173">
        <f>COUNTIFS('Historique des factures'!$E$3:$E$80,$A41,'Historique des factures'!$C$3:$C$80,6)</f>
        <v>0</v>
      </c>
      <c r="AD41" s="173">
        <f>COUNTIFS('Historique des factures'!$E$3:$E$80,$A41,'Historique des factures'!$C$3:$C$80,7)</f>
        <v>0</v>
      </c>
      <c r="AE41" s="173">
        <f>COUNTIFS('Historique des factures'!$E$3:$E$80,$A41,'Historique des factures'!$C$3:$C$80,8)</f>
        <v>0</v>
      </c>
      <c r="AF41" s="173">
        <f>COUNTIFS('Historique des factures'!$E$3:$E$80,$A41,'Historique des factures'!$C$3:$C$80,9)</f>
        <v>0</v>
      </c>
      <c r="AG41" s="173">
        <f>COUNTIFS('Historique des factures'!$E$3:$E$80,$A41,'Historique des factures'!$C$3:$C$80,10)</f>
        <v>0</v>
      </c>
      <c r="AH41" s="173">
        <f>COUNTIFS('Historique des factures'!$E$3:$E$80,$A41,'Historique des factures'!$C$3:$C$80,11)</f>
        <v>0</v>
      </c>
      <c r="AI41" s="174">
        <f>COUNTIFS('Historique des factures'!$E$3:$E$80,$A41,'Historique des factures'!$C$3:$C$80,12)</f>
        <v>0</v>
      </c>
      <c r="AJ41" s="175">
        <f t="shared" si="0"/>
        <v>0</v>
      </c>
    </row>
    <row r="42" spans="1:36">
      <c r="A42" s="2" t="s">
        <v>117</v>
      </c>
      <c r="B42" s="3" t="s">
        <v>118</v>
      </c>
      <c r="C42" s="3">
        <v>50180</v>
      </c>
      <c r="D42" s="9" t="s">
        <v>119</v>
      </c>
      <c r="E42" s="188" t="s">
        <v>147</v>
      </c>
      <c r="F42" s="184">
        <f t="shared" si="1"/>
        <v>0</v>
      </c>
      <c r="G42" s="186">
        <f t="shared" si="2"/>
        <v>0</v>
      </c>
      <c r="H42" s="9"/>
      <c r="J42" s="156">
        <f>SUMIFS('Historique des factures'!$G$3:$G$80,'Historique des factures'!$E$3:$E$80,$A42,'Historique des factures'!$C$3:$C$80,1)</f>
        <v>0</v>
      </c>
      <c r="K42" s="157">
        <f>SUMIFS('Historique des factures'!$G$3:$G$80,'Historique des factures'!$E$3:$E$80,$A42,'Historique des factures'!$C$3:$C$80,2)</f>
        <v>0</v>
      </c>
      <c r="L42" s="157">
        <f>SUMIFS('Historique des factures'!$G$3:$G$80,'Historique des factures'!$E$3:$E$80,$A42,'Historique des factures'!$C$3:$C$80,3)</f>
        <v>0</v>
      </c>
      <c r="M42" s="157">
        <f>SUMIFS('Historique des factures'!$G$3:$G$80,'Historique des factures'!$E$3:$E$80,$A42,'Historique des factures'!$C$3:$C$80,4)</f>
        <v>0</v>
      </c>
      <c r="N42" s="157">
        <f>SUMIFS('Historique des factures'!$G$3:$G$80,'Historique des factures'!$E$3:$E$80,$A42,'Historique des factures'!$C$3:$C$80,5)</f>
        <v>0</v>
      </c>
      <c r="O42" s="157">
        <f>SUMIFS('Historique des factures'!$G$3:$G$80,'Historique des factures'!$E$3:$E$80,$A42,'Historique des factures'!$C$3:$C$80,6)</f>
        <v>0</v>
      </c>
      <c r="P42" s="157">
        <f>SUMIFS('Historique des factures'!$G$3:$G$80,'Historique des factures'!$E$3:$E$80,$A42,'Historique des factures'!$C$3:$C$80,7)</f>
        <v>0</v>
      </c>
      <c r="Q42" s="157">
        <f>SUMIFS('Historique des factures'!$G$3:$G$80,'Historique des factures'!$E$3:$E$80,$A42,'Historique des factures'!$C$3:$C$80,8)</f>
        <v>0</v>
      </c>
      <c r="R42" s="157">
        <f>SUMIFS('Historique des factures'!$G$3:$G$80,'Historique des factures'!$E$3:$E$80,$A42,'Historique des factures'!$C$3:$C$80,9)</f>
        <v>0</v>
      </c>
      <c r="S42" s="157">
        <f>SUMIFS('Historique des factures'!$G$3:$G$80,'Historique des factures'!$E$3:$E$80,$A42,'Historique des factures'!$C$3:$C$80,10)</f>
        <v>0</v>
      </c>
      <c r="T42" s="157">
        <f>SUMIFS('Historique des factures'!$G$3:$G$80,'Historique des factures'!$E$3:$E$80,$A42,'Historique des factures'!$C$3:$C$80,11)</f>
        <v>0</v>
      </c>
      <c r="U42" s="158">
        <f>SUMIFS('Historique des factures'!$G$3:$G$80,'Historique des factures'!$E$3:$E$80,$A42,'Historique des factures'!$C$3:$C$80,12)</f>
        <v>0</v>
      </c>
      <c r="V42" s="159">
        <f t="shared" si="3"/>
        <v>0</v>
      </c>
      <c r="X42" s="172">
        <f>COUNTIFS('Historique des factures'!$E$3:$E$80,$A42,'Historique des factures'!$C$3:$C$80,1)</f>
        <v>0</v>
      </c>
      <c r="Y42" s="173">
        <f>COUNTIFS('Historique des factures'!$E$3:$E$80,$A42,'Historique des factures'!$C$3:$C$80,2)</f>
        <v>0</v>
      </c>
      <c r="Z42" s="173">
        <f>COUNTIFS('Historique des factures'!$E$3:$E$80,$A42,'Historique des factures'!$C$3:$C$80,3)</f>
        <v>0</v>
      </c>
      <c r="AA42" s="173">
        <f>COUNTIFS('Historique des factures'!$E$3:$E$80,$A42,'Historique des factures'!$C$3:$C$80,4)</f>
        <v>0</v>
      </c>
      <c r="AB42" s="173">
        <f>COUNTIFS('Historique des factures'!$E$3:$E$80,$A42,'Historique des factures'!$C$3:$C$80,5)</f>
        <v>0</v>
      </c>
      <c r="AC42" s="173">
        <f>COUNTIFS('Historique des factures'!$E$3:$E$80,$A42,'Historique des factures'!$C$3:$C$80,6)</f>
        <v>0</v>
      </c>
      <c r="AD42" s="173">
        <f>COUNTIFS('Historique des factures'!$E$3:$E$80,$A42,'Historique des factures'!$C$3:$C$80,7)</f>
        <v>0</v>
      </c>
      <c r="AE42" s="173">
        <f>COUNTIFS('Historique des factures'!$E$3:$E$80,$A42,'Historique des factures'!$C$3:$C$80,8)</f>
        <v>0</v>
      </c>
      <c r="AF42" s="173">
        <f>COUNTIFS('Historique des factures'!$E$3:$E$80,$A42,'Historique des factures'!$C$3:$C$80,9)</f>
        <v>0</v>
      </c>
      <c r="AG42" s="173">
        <f>COUNTIFS('Historique des factures'!$E$3:$E$80,$A42,'Historique des factures'!$C$3:$C$80,10)</f>
        <v>0</v>
      </c>
      <c r="AH42" s="173">
        <f>COUNTIFS('Historique des factures'!$E$3:$E$80,$A42,'Historique des factures'!$C$3:$C$80,11)</f>
        <v>0</v>
      </c>
      <c r="AI42" s="174">
        <f>COUNTIFS('Historique des factures'!$E$3:$E$80,$A42,'Historique des factures'!$C$3:$C$80,12)</f>
        <v>0</v>
      </c>
      <c r="AJ42" s="175">
        <f t="shared" si="0"/>
        <v>0</v>
      </c>
    </row>
    <row r="43" spans="1:36">
      <c r="A43" s="2" t="s">
        <v>120</v>
      </c>
      <c r="B43" s="3" t="s">
        <v>121</v>
      </c>
      <c r="C43" s="3">
        <v>93695</v>
      </c>
      <c r="D43" s="9" t="s">
        <v>122</v>
      </c>
      <c r="E43" s="188" t="s">
        <v>148</v>
      </c>
      <c r="F43" s="184">
        <f t="shared" si="1"/>
        <v>0</v>
      </c>
      <c r="G43" s="186">
        <f t="shared" si="2"/>
        <v>0</v>
      </c>
      <c r="H43" s="9"/>
      <c r="J43" s="156">
        <f>SUMIFS('Historique des factures'!$G$3:$G$80,'Historique des factures'!$E$3:$E$80,$A43,'Historique des factures'!$C$3:$C$80,1)</f>
        <v>0</v>
      </c>
      <c r="K43" s="157">
        <f>SUMIFS('Historique des factures'!$G$3:$G$80,'Historique des factures'!$E$3:$E$80,$A43,'Historique des factures'!$C$3:$C$80,2)</f>
        <v>0</v>
      </c>
      <c r="L43" s="157">
        <f>SUMIFS('Historique des factures'!$G$3:$G$80,'Historique des factures'!$E$3:$E$80,$A43,'Historique des factures'!$C$3:$C$80,3)</f>
        <v>0</v>
      </c>
      <c r="M43" s="157">
        <f>SUMIFS('Historique des factures'!$G$3:$G$80,'Historique des factures'!$E$3:$E$80,$A43,'Historique des factures'!$C$3:$C$80,4)</f>
        <v>0</v>
      </c>
      <c r="N43" s="157">
        <f>SUMIFS('Historique des factures'!$G$3:$G$80,'Historique des factures'!$E$3:$E$80,$A43,'Historique des factures'!$C$3:$C$80,5)</f>
        <v>0</v>
      </c>
      <c r="O43" s="157">
        <f>SUMIFS('Historique des factures'!$G$3:$G$80,'Historique des factures'!$E$3:$E$80,$A43,'Historique des factures'!$C$3:$C$80,6)</f>
        <v>0</v>
      </c>
      <c r="P43" s="157">
        <f>SUMIFS('Historique des factures'!$G$3:$G$80,'Historique des factures'!$E$3:$E$80,$A43,'Historique des factures'!$C$3:$C$80,7)</f>
        <v>0</v>
      </c>
      <c r="Q43" s="157">
        <f>SUMIFS('Historique des factures'!$G$3:$G$80,'Historique des factures'!$E$3:$E$80,$A43,'Historique des factures'!$C$3:$C$80,8)</f>
        <v>0</v>
      </c>
      <c r="R43" s="157">
        <f>SUMIFS('Historique des factures'!$G$3:$G$80,'Historique des factures'!$E$3:$E$80,$A43,'Historique des factures'!$C$3:$C$80,9)</f>
        <v>0</v>
      </c>
      <c r="S43" s="157">
        <f>SUMIFS('Historique des factures'!$G$3:$G$80,'Historique des factures'!$E$3:$E$80,$A43,'Historique des factures'!$C$3:$C$80,10)</f>
        <v>0</v>
      </c>
      <c r="T43" s="157">
        <f>SUMIFS('Historique des factures'!$G$3:$G$80,'Historique des factures'!$E$3:$E$80,$A43,'Historique des factures'!$C$3:$C$80,11)</f>
        <v>0</v>
      </c>
      <c r="U43" s="158">
        <f>SUMIFS('Historique des factures'!$G$3:$G$80,'Historique des factures'!$E$3:$E$80,$A43,'Historique des factures'!$C$3:$C$80,12)</f>
        <v>0</v>
      </c>
      <c r="V43" s="159">
        <f t="shared" si="3"/>
        <v>0</v>
      </c>
      <c r="X43" s="172">
        <f>COUNTIFS('Historique des factures'!$E$3:$E$80,$A43,'Historique des factures'!$C$3:$C$80,1)</f>
        <v>0</v>
      </c>
      <c r="Y43" s="173">
        <f>COUNTIFS('Historique des factures'!$E$3:$E$80,$A43,'Historique des factures'!$C$3:$C$80,2)</f>
        <v>0</v>
      </c>
      <c r="Z43" s="173">
        <f>COUNTIFS('Historique des factures'!$E$3:$E$80,$A43,'Historique des factures'!$C$3:$C$80,3)</f>
        <v>0</v>
      </c>
      <c r="AA43" s="173">
        <f>COUNTIFS('Historique des factures'!$E$3:$E$80,$A43,'Historique des factures'!$C$3:$C$80,4)</f>
        <v>0</v>
      </c>
      <c r="AB43" s="173">
        <f>COUNTIFS('Historique des factures'!$E$3:$E$80,$A43,'Historique des factures'!$C$3:$C$80,5)</f>
        <v>0</v>
      </c>
      <c r="AC43" s="173">
        <f>COUNTIFS('Historique des factures'!$E$3:$E$80,$A43,'Historique des factures'!$C$3:$C$80,6)</f>
        <v>0</v>
      </c>
      <c r="AD43" s="173">
        <f>COUNTIFS('Historique des factures'!$E$3:$E$80,$A43,'Historique des factures'!$C$3:$C$80,7)</f>
        <v>0</v>
      </c>
      <c r="AE43" s="173">
        <f>COUNTIFS('Historique des factures'!$E$3:$E$80,$A43,'Historique des factures'!$C$3:$C$80,8)</f>
        <v>0</v>
      </c>
      <c r="AF43" s="173">
        <f>COUNTIFS('Historique des factures'!$E$3:$E$80,$A43,'Historique des factures'!$C$3:$C$80,9)</f>
        <v>0</v>
      </c>
      <c r="AG43" s="173">
        <f>COUNTIFS('Historique des factures'!$E$3:$E$80,$A43,'Historique des factures'!$C$3:$C$80,10)</f>
        <v>0</v>
      </c>
      <c r="AH43" s="173">
        <f>COUNTIFS('Historique des factures'!$E$3:$E$80,$A43,'Historique des factures'!$C$3:$C$80,11)</f>
        <v>0</v>
      </c>
      <c r="AI43" s="174">
        <f>COUNTIFS('Historique des factures'!$E$3:$E$80,$A43,'Historique des factures'!$C$3:$C$80,12)</f>
        <v>0</v>
      </c>
      <c r="AJ43" s="175">
        <f t="shared" si="0"/>
        <v>0</v>
      </c>
    </row>
    <row r="44" spans="1:36">
      <c r="A44" s="2" t="s">
        <v>123</v>
      </c>
      <c r="B44" s="3" t="s">
        <v>124</v>
      </c>
      <c r="C44" s="3">
        <v>78960</v>
      </c>
      <c r="D44" s="9" t="s">
        <v>125</v>
      </c>
      <c r="E44" s="188" t="s">
        <v>145</v>
      </c>
      <c r="F44" s="184">
        <f t="shared" si="1"/>
        <v>0</v>
      </c>
      <c r="G44" s="186">
        <f t="shared" si="2"/>
        <v>0</v>
      </c>
      <c r="H44" s="9"/>
      <c r="J44" s="156">
        <f>SUMIFS('Historique des factures'!$G$3:$G$80,'Historique des factures'!$E$3:$E$80,$A44,'Historique des factures'!$C$3:$C$80,1)</f>
        <v>0</v>
      </c>
      <c r="K44" s="157">
        <f>SUMIFS('Historique des factures'!$G$3:$G$80,'Historique des factures'!$E$3:$E$80,$A44,'Historique des factures'!$C$3:$C$80,2)</f>
        <v>0</v>
      </c>
      <c r="L44" s="157">
        <f>SUMIFS('Historique des factures'!$G$3:$G$80,'Historique des factures'!$E$3:$E$80,$A44,'Historique des factures'!$C$3:$C$80,3)</f>
        <v>0</v>
      </c>
      <c r="M44" s="157">
        <f>SUMIFS('Historique des factures'!$G$3:$G$80,'Historique des factures'!$E$3:$E$80,$A44,'Historique des factures'!$C$3:$C$80,4)</f>
        <v>0</v>
      </c>
      <c r="N44" s="157">
        <f>SUMIFS('Historique des factures'!$G$3:$G$80,'Historique des factures'!$E$3:$E$80,$A44,'Historique des factures'!$C$3:$C$80,5)</f>
        <v>0</v>
      </c>
      <c r="O44" s="157">
        <f>SUMIFS('Historique des factures'!$G$3:$G$80,'Historique des factures'!$E$3:$E$80,$A44,'Historique des factures'!$C$3:$C$80,6)</f>
        <v>0</v>
      </c>
      <c r="P44" s="157">
        <f>SUMIFS('Historique des factures'!$G$3:$G$80,'Historique des factures'!$E$3:$E$80,$A44,'Historique des factures'!$C$3:$C$80,7)</f>
        <v>0</v>
      </c>
      <c r="Q44" s="157">
        <f>SUMIFS('Historique des factures'!$G$3:$G$80,'Historique des factures'!$E$3:$E$80,$A44,'Historique des factures'!$C$3:$C$80,8)</f>
        <v>0</v>
      </c>
      <c r="R44" s="157">
        <f>SUMIFS('Historique des factures'!$G$3:$G$80,'Historique des factures'!$E$3:$E$80,$A44,'Historique des factures'!$C$3:$C$80,9)</f>
        <v>0</v>
      </c>
      <c r="S44" s="157">
        <f>SUMIFS('Historique des factures'!$G$3:$G$80,'Historique des factures'!$E$3:$E$80,$A44,'Historique des factures'!$C$3:$C$80,10)</f>
        <v>0</v>
      </c>
      <c r="T44" s="157">
        <f>SUMIFS('Historique des factures'!$G$3:$G$80,'Historique des factures'!$E$3:$E$80,$A44,'Historique des factures'!$C$3:$C$80,11)</f>
        <v>0</v>
      </c>
      <c r="U44" s="158">
        <f>SUMIFS('Historique des factures'!$G$3:$G$80,'Historique des factures'!$E$3:$E$80,$A44,'Historique des factures'!$C$3:$C$80,12)</f>
        <v>0</v>
      </c>
      <c r="V44" s="159">
        <f t="shared" si="3"/>
        <v>0</v>
      </c>
      <c r="X44" s="172">
        <f>COUNTIFS('Historique des factures'!$E$3:$E$80,$A44,'Historique des factures'!$C$3:$C$80,1)</f>
        <v>0</v>
      </c>
      <c r="Y44" s="173">
        <f>COUNTIFS('Historique des factures'!$E$3:$E$80,$A44,'Historique des factures'!$C$3:$C$80,2)</f>
        <v>0</v>
      </c>
      <c r="Z44" s="173">
        <f>COUNTIFS('Historique des factures'!$E$3:$E$80,$A44,'Historique des factures'!$C$3:$C$80,3)</f>
        <v>0</v>
      </c>
      <c r="AA44" s="173">
        <f>COUNTIFS('Historique des factures'!$E$3:$E$80,$A44,'Historique des factures'!$C$3:$C$80,4)</f>
        <v>0</v>
      </c>
      <c r="AB44" s="173">
        <f>COUNTIFS('Historique des factures'!$E$3:$E$80,$A44,'Historique des factures'!$C$3:$C$80,5)</f>
        <v>0</v>
      </c>
      <c r="AC44" s="173">
        <f>COUNTIFS('Historique des factures'!$E$3:$E$80,$A44,'Historique des factures'!$C$3:$C$80,6)</f>
        <v>0</v>
      </c>
      <c r="AD44" s="173">
        <f>COUNTIFS('Historique des factures'!$E$3:$E$80,$A44,'Historique des factures'!$C$3:$C$80,7)</f>
        <v>0</v>
      </c>
      <c r="AE44" s="173">
        <f>COUNTIFS('Historique des factures'!$E$3:$E$80,$A44,'Historique des factures'!$C$3:$C$80,8)</f>
        <v>0</v>
      </c>
      <c r="AF44" s="173">
        <f>COUNTIFS('Historique des factures'!$E$3:$E$80,$A44,'Historique des factures'!$C$3:$C$80,9)</f>
        <v>0</v>
      </c>
      <c r="AG44" s="173">
        <f>COUNTIFS('Historique des factures'!$E$3:$E$80,$A44,'Historique des factures'!$C$3:$C$80,10)</f>
        <v>0</v>
      </c>
      <c r="AH44" s="173">
        <f>COUNTIFS('Historique des factures'!$E$3:$E$80,$A44,'Historique des factures'!$C$3:$C$80,11)</f>
        <v>0</v>
      </c>
      <c r="AI44" s="174">
        <f>COUNTIFS('Historique des factures'!$E$3:$E$80,$A44,'Historique des factures'!$C$3:$C$80,12)</f>
        <v>0</v>
      </c>
      <c r="AJ44" s="175">
        <f t="shared" si="0"/>
        <v>0</v>
      </c>
    </row>
    <row r="45" spans="1:36">
      <c r="A45" s="2" t="s">
        <v>126</v>
      </c>
      <c r="B45" s="3" t="s">
        <v>127</v>
      </c>
      <c r="C45" s="3">
        <v>92220</v>
      </c>
      <c r="D45" s="9" t="s">
        <v>128</v>
      </c>
      <c r="E45" s="188" t="s">
        <v>146</v>
      </c>
      <c r="F45" s="184">
        <f t="shared" si="1"/>
        <v>0</v>
      </c>
      <c r="G45" s="186">
        <f t="shared" si="2"/>
        <v>0</v>
      </c>
      <c r="H45" s="9"/>
      <c r="J45" s="156">
        <f>SUMIFS('Historique des factures'!$G$3:$G$80,'Historique des factures'!$E$3:$E$80,$A45,'Historique des factures'!$C$3:$C$80,1)</f>
        <v>0</v>
      </c>
      <c r="K45" s="157">
        <f>SUMIFS('Historique des factures'!$G$3:$G$80,'Historique des factures'!$E$3:$E$80,$A45,'Historique des factures'!$C$3:$C$80,2)</f>
        <v>0</v>
      </c>
      <c r="L45" s="157">
        <f>SUMIFS('Historique des factures'!$G$3:$G$80,'Historique des factures'!$E$3:$E$80,$A45,'Historique des factures'!$C$3:$C$80,3)</f>
        <v>0</v>
      </c>
      <c r="M45" s="157">
        <f>SUMIFS('Historique des factures'!$G$3:$G$80,'Historique des factures'!$E$3:$E$80,$A45,'Historique des factures'!$C$3:$C$80,4)</f>
        <v>0</v>
      </c>
      <c r="N45" s="157">
        <f>SUMIFS('Historique des factures'!$G$3:$G$80,'Historique des factures'!$E$3:$E$80,$A45,'Historique des factures'!$C$3:$C$80,5)</f>
        <v>0</v>
      </c>
      <c r="O45" s="157">
        <f>SUMIFS('Historique des factures'!$G$3:$G$80,'Historique des factures'!$E$3:$E$80,$A45,'Historique des factures'!$C$3:$C$80,6)</f>
        <v>0</v>
      </c>
      <c r="P45" s="157">
        <f>SUMIFS('Historique des factures'!$G$3:$G$80,'Historique des factures'!$E$3:$E$80,$A45,'Historique des factures'!$C$3:$C$80,7)</f>
        <v>0</v>
      </c>
      <c r="Q45" s="157">
        <f>SUMIFS('Historique des factures'!$G$3:$G$80,'Historique des factures'!$E$3:$E$80,$A45,'Historique des factures'!$C$3:$C$80,8)</f>
        <v>0</v>
      </c>
      <c r="R45" s="157">
        <f>SUMIFS('Historique des factures'!$G$3:$G$80,'Historique des factures'!$E$3:$E$80,$A45,'Historique des factures'!$C$3:$C$80,9)</f>
        <v>0</v>
      </c>
      <c r="S45" s="157">
        <f>SUMIFS('Historique des factures'!$G$3:$G$80,'Historique des factures'!$E$3:$E$80,$A45,'Historique des factures'!$C$3:$C$80,10)</f>
        <v>0</v>
      </c>
      <c r="T45" s="157">
        <f>SUMIFS('Historique des factures'!$G$3:$G$80,'Historique des factures'!$E$3:$E$80,$A45,'Historique des factures'!$C$3:$C$80,11)</f>
        <v>0</v>
      </c>
      <c r="U45" s="158">
        <f>SUMIFS('Historique des factures'!$G$3:$G$80,'Historique des factures'!$E$3:$E$80,$A45,'Historique des factures'!$C$3:$C$80,12)</f>
        <v>0</v>
      </c>
      <c r="V45" s="159">
        <f t="shared" si="3"/>
        <v>0</v>
      </c>
      <c r="X45" s="172">
        <f>COUNTIFS('Historique des factures'!$E$3:$E$80,$A45,'Historique des factures'!$C$3:$C$80,1)</f>
        <v>0</v>
      </c>
      <c r="Y45" s="173">
        <f>COUNTIFS('Historique des factures'!$E$3:$E$80,$A45,'Historique des factures'!$C$3:$C$80,2)</f>
        <v>0</v>
      </c>
      <c r="Z45" s="173">
        <f>COUNTIFS('Historique des factures'!$E$3:$E$80,$A45,'Historique des factures'!$C$3:$C$80,3)</f>
        <v>0</v>
      </c>
      <c r="AA45" s="173">
        <f>COUNTIFS('Historique des factures'!$E$3:$E$80,$A45,'Historique des factures'!$C$3:$C$80,4)</f>
        <v>0</v>
      </c>
      <c r="AB45" s="173">
        <f>COUNTIFS('Historique des factures'!$E$3:$E$80,$A45,'Historique des factures'!$C$3:$C$80,5)</f>
        <v>0</v>
      </c>
      <c r="AC45" s="173">
        <f>COUNTIFS('Historique des factures'!$E$3:$E$80,$A45,'Historique des factures'!$C$3:$C$80,6)</f>
        <v>0</v>
      </c>
      <c r="AD45" s="173">
        <f>COUNTIFS('Historique des factures'!$E$3:$E$80,$A45,'Historique des factures'!$C$3:$C$80,7)</f>
        <v>0</v>
      </c>
      <c r="AE45" s="173">
        <f>COUNTIFS('Historique des factures'!$E$3:$E$80,$A45,'Historique des factures'!$C$3:$C$80,8)</f>
        <v>0</v>
      </c>
      <c r="AF45" s="173">
        <f>COUNTIFS('Historique des factures'!$E$3:$E$80,$A45,'Historique des factures'!$C$3:$C$80,9)</f>
        <v>0</v>
      </c>
      <c r="AG45" s="173">
        <f>COUNTIFS('Historique des factures'!$E$3:$E$80,$A45,'Historique des factures'!$C$3:$C$80,10)</f>
        <v>0</v>
      </c>
      <c r="AH45" s="173">
        <f>COUNTIFS('Historique des factures'!$E$3:$E$80,$A45,'Historique des factures'!$C$3:$C$80,11)</f>
        <v>0</v>
      </c>
      <c r="AI45" s="174">
        <f>COUNTIFS('Historique des factures'!$E$3:$E$80,$A45,'Historique des factures'!$C$3:$C$80,12)</f>
        <v>0</v>
      </c>
      <c r="AJ45" s="175">
        <f t="shared" si="0"/>
        <v>0</v>
      </c>
    </row>
    <row r="46" spans="1:36">
      <c r="A46" s="2" t="s">
        <v>129</v>
      </c>
      <c r="B46" s="3" t="s">
        <v>130</v>
      </c>
      <c r="C46" s="3">
        <v>94410</v>
      </c>
      <c r="D46" s="9" t="s">
        <v>131</v>
      </c>
      <c r="E46" s="188" t="s">
        <v>147</v>
      </c>
      <c r="F46" s="184">
        <f t="shared" si="1"/>
        <v>0</v>
      </c>
      <c r="G46" s="186">
        <f t="shared" si="2"/>
        <v>0</v>
      </c>
      <c r="H46" s="9"/>
      <c r="J46" s="156">
        <f>SUMIFS('Historique des factures'!$G$3:$G$80,'Historique des factures'!$E$3:$E$80,$A46,'Historique des factures'!$C$3:$C$80,1)</f>
        <v>0</v>
      </c>
      <c r="K46" s="157">
        <f>SUMIFS('Historique des factures'!$G$3:$G$80,'Historique des factures'!$E$3:$E$80,$A46,'Historique des factures'!$C$3:$C$80,2)</f>
        <v>0</v>
      </c>
      <c r="L46" s="157">
        <f>SUMIFS('Historique des factures'!$G$3:$G$80,'Historique des factures'!$E$3:$E$80,$A46,'Historique des factures'!$C$3:$C$80,3)</f>
        <v>0</v>
      </c>
      <c r="M46" s="157">
        <f>SUMIFS('Historique des factures'!$G$3:$G$80,'Historique des factures'!$E$3:$E$80,$A46,'Historique des factures'!$C$3:$C$80,4)</f>
        <v>0</v>
      </c>
      <c r="N46" s="157">
        <f>SUMIFS('Historique des factures'!$G$3:$G$80,'Historique des factures'!$E$3:$E$80,$A46,'Historique des factures'!$C$3:$C$80,5)</f>
        <v>0</v>
      </c>
      <c r="O46" s="157">
        <f>SUMIFS('Historique des factures'!$G$3:$G$80,'Historique des factures'!$E$3:$E$80,$A46,'Historique des factures'!$C$3:$C$80,6)</f>
        <v>0</v>
      </c>
      <c r="P46" s="157">
        <f>SUMIFS('Historique des factures'!$G$3:$G$80,'Historique des factures'!$E$3:$E$80,$A46,'Historique des factures'!$C$3:$C$80,7)</f>
        <v>0</v>
      </c>
      <c r="Q46" s="157">
        <f>SUMIFS('Historique des factures'!$G$3:$G$80,'Historique des factures'!$E$3:$E$80,$A46,'Historique des factures'!$C$3:$C$80,8)</f>
        <v>0</v>
      </c>
      <c r="R46" s="157">
        <f>SUMIFS('Historique des factures'!$G$3:$G$80,'Historique des factures'!$E$3:$E$80,$A46,'Historique des factures'!$C$3:$C$80,9)</f>
        <v>0</v>
      </c>
      <c r="S46" s="157">
        <f>SUMIFS('Historique des factures'!$G$3:$G$80,'Historique des factures'!$E$3:$E$80,$A46,'Historique des factures'!$C$3:$C$80,10)</f>
        <v>0</v>
      </c>
      <c r="T46" s="157">
        <f>SUMIFS('Historique des factures'!$G$3:$G$80,'Historique des factures'!$E$3:$E$80,$A46,'Historique des factures'!$C$3:$C$80,11)</f>
        <v>0</v>
      </c>
      <c r="U46" s="158">
        <f>SUMIFS('Historique des factures'!$G$3:$G$80,'Historique des factures'!$E$3:$E$80,$A46,'Historique des factures'!$C$3:$C$80,12)</f>
        <v>0</v>
      </c>
      <c r="V46" s="159">
        <f t="shared" si="3"/>
        <v>0</v>
      </c>
      <c r="X46" s="172">
        <f>COUNTIFS('Historique des factures'!$E$3:$E$80,$A46,'Historique des factures'!$C$3:$C$80,1)</f>
        <v>0</v>
      </c>
      <c r="Y46" s="173">
        <f>COUNTIFS('Historique des factures'!$E$3:$E$80,$A46,'Historique des factures'!$C$3:$C$80,2)</f>
        <v>0</v>
      </c>
      <c r="Z46" s="173">
        <f>COUNTIFS('Historique des factures'!$E$3:$E$80,$A46,'Historique des factures'!$C$3:$C$80,3)</f>
        <v>0</v>
      </c>
      <c r="AA46" s="173">
        <f>COUNTIFS('Historique des factures'!$E$3:$E$80,$A46,'Historique des factures'!$C$3:$C$80,4)</f>
        <v>0</v>
      </c>
      <c r="AB46" s="173">
        <f>COUNTIFS('Historique des factures'!$E$3:$E$80,$A46,'Historique des factures'!$C$3:$C$80,5)</f>
        <v>0</v>
      </c>
      <c r="AC46" s="173">
        <f>COUNTIFS('Historique des factures'!$E$3:$E$80,$A46,'Historique des factures'!$C$3:$C$80,6)</f>
        <v>0</v>
      </c>
      <c r="AD46" s="173">
        <f>COUNTIFS('Historique des factures'!$E$3:$E$80,$A46,'Historique des factures'!$C$3:$C$80,7)</f>
        <v>0</v>
      </c>
      <c r="AE46" s="173">
        <f>COUNTIFS('Historique des factures'!$E$3:$E$80,$A46,'Historique des factures'!$C$3:$C$80,8)</f>
        <v>0</v>
      </c>
      <c r="AF46" s="173">
        <f>COUNTIFS('Historique des factures'!$E$3:$E$80,$A46,'Historique des factures'!$C$3:$C$80,9)</f>
        <v>0</v>
      </c>
      <c r="AG46" s="173">
        <f>COUNTIFS('Historique des factures'!$E$3:$E$80,$A46,'Historique des factures'!$C$3:$C$80,10)</f>
        <v>0</v>
      </c>
      <c r="AH46" s="173">
        <f>COUNTIFS('Historique des factures'!$E$3:$E$80,$A46,'Historique des factures'!$C$3:$C$80,11)</f>
        <v>0</v>
      </c>
      <c r="AI46" s="174">
        <f>COUNTIFS('Historique des factures'!$E$3:$E$80,$A46,'Historique des factures'!$C$3:$C$80,12)</f>
        <v>0</v>
      </c>
      <c r="AJ46" s="175">
        <f t="shared" si="0"/>
        <v>0</v>
      </c>
    </row>
    <row r="47" spans="1:36">
      <c r="A47" s="2" t="s">
        <v>132</v>
      </c>
      <c r="B47" s="3" t="s">
        <v>133</v>
      </c>
      <c r="C47" s="3">
        <v>33000</v>
      </c>
      <c r="D47" s="9" t="s">
        <v>68</v>
      </c>
      <c r="E47" s="188" t="s">
        <v>148</v>
      </c>
      <c r="F47" s="184">
        <f t="shared" si="1"/>
        <v>0</v>
      </c>
      <c r="G47" s="186">
        <f t="shared" si="2"/>
        <v>0</v>
      </c>
      <c r="H47" s="9"/>
      <c r="J47" s="156">
        <f>SUMIFS('Historique des factures'!$G$3:$G$80,'Historique des factures'!$E$3:$E$80,$A47,'Historique des factures'!$C$3:$C$80,1)</f>
        <v>0</v>
      </c>
      <c r="K47" s="157">
        <f>SUMIFS('Historique des factures'!$G$3:$G$80,'Historique des factures'!$E$3:$E$80,$A47,'Historique des factures'!$C$3:$C$80,2)</f>
        <v>0</v>
      </c>
      <c r="L47" s="157">
        <f>SUMIFS('Historique des factures'!$G$3:$G$80,'Historique des factures'!$E$3:$E$80,$A47,'Historique des factures'!$C$3:$C$80,3)</f>
        <v>0</v>
      </c>
      <c r="M47" s="157">
        <f>SUMIFS('Historique des factures'!$G$3:$G$80,'Historique des factures'!$E$3:$E$80,$A47,'Historique des factures'!$C$3:$C$80,4)</f>
        <v>0</v>
      </c>
      <c r="N47" s="157">
        <f>SUMIFS('Historique des factures'!$G$3:$G$80,'Historique des factures'!$E$3:$E$80,$A47,'Historique des factures'!$C$3:$C$80,5)</f>
        <v>0</v>
      </c>
      <c r="O47" s="157">
        <f>SUMIFS('Historique des factures'!$G$3:$G$80,'Historique des factures'!$E$3:$E$80,$A47,'Historique des factures'!$C$3:$C$80,6)</f>
        <v>0</v>
      </c>
      <c r="P47" s="157">
        <f>SUMIFS('Historique des factures'!$G$3:$G$80,'Historique des factures'!$E$3:$E$80,$A47,'Historique des factures'!$C$3:$C$80,7)</f>
        <v>0</v>
      </c>
      <c r="Q47" s="157">
        <f>SUMIFS('Historique des factures'!$G$3:$G$80,'Historique des factures'!$E$3:$E$80,$A47,'Historique des factures'!$C$3:$C$80,8)</f>
        <v>0</v>
      </c>
      <c r="R47" s="157">
        <f>SUMIFS('Historique des factures'!$G$3:$G$80,'Historique des factures'!$E$3:$E$80,$A47,'Historique des factures'!$C$3:$C$80,9)</f>
        <v>0</v>
      </c>
      <c r="S47" s="157">
        <f>SUMIFS('Historique des factures'!$G$3:$G$80,'Historique des factures'!$E$3:$E$80,$A47,'Historique des factures'!$C$3:$C$80,10)</f>
        <v>0</v>
      </c>
      <c r="T47" s="157">
        <f>SUMIFS('Historique des factures'!$G$3:$G$80,'Historique des factures'!$E$3:$E$80,$A47,'Historique des factures'!$C$3:$C$80,11)</f>
        <v>0</v>
      </c>
      <c r="U47" s="158">
        <f>SUMIFS('Historique des factures'!$G$3:$G$80,'Historique des factures'!$E$3:$E$80,$A47,'Historique des factures'!$C$3:$C$80,12)</f>
        <v>0</v>
      </c>
      <c r="V47" s="159">
        <f t="shared" si="3"/>
        <v>0</v>
      </c>
      <c r="X47" s="172">
        <f>COUNTIFS('Historique des factures'!$E$3:$E$80,$A47,'Historique des factures'!$C$3:$C$80,1)</f>
        <v>0</v>
      </c>
      <c r="Y47" s="173">
        <f>COUNTIFS('Historique des factures'!$E$3:$E$80,$A47,'Historique des factures'!$C$3:$C$80,2)</f>
        <v>0</v>
      </c>
      <c r="Z47" s="173">
        <f>COUNTIFS('Historique des factures'!$E$3:$E$80,$A47,'Historique des factures'!$C$3:$C$80,3)</f>
        <v>0</v>
      </c>
      <c r="AA47" s="173">
        <f>COUNTIFS('Historique des factures'!$E$3:$E$80,$A47,'Historique des factures'!$C$3:$C$80,4)</f>
        <v>0</v>
      </c>
      <c r="AB47" s="173">
        <f>COUNTIFS('Historique des factures'!$E$3:$E$80,$A47,'Historique des factures'!$C$3:$C$80,5)</f>
        <v>0</v>
      </c>
      <c r="AC47" s="173">
        <f>COUNTIFS('Historique des factures'!$E$3:$E$80,$A47,'Historique des factures'!$C$3:$C$80,6)</f>
        <v>0</v>
      </c>
      <c r="AD47" s="173">
        <f>COUNTIFS('Historique des factures'!$E$3:$E$80,$A47,'Historique des factures'!$C$3:$C$80,7)</f>
        <v>0</v>
      </c>
      <c r="AE47" s="173">
        <f>COUNTIFS('Historique des factures'!$E$3:$E$80,$A47,'Historique des factures'!$C$3:$C$80,8)</f>
        <v>0</v>
      </c>
      <c r="AF47" s="173">
        <f>COUNTIFS('Historique des factures'!$E$3:$E$80,$A47,'Historique des factures'!$C$3:$C$80,9)</f>
        <v>0</v>
      </c>
      <c r="AG47" s="173">
        <f>COUNTIFS('Historique des factures'!$E$3:$E$80,$A47,'Historique des factures'!$C$3:$C$80,10)</f>
        <v>0</v>
      </c>
      <c r="AH47" s="173">
        <f>COUNTIFS('Historique des factures'!$E$3:$E$80,$A47,'Historique des factures'!$C$3:$C$80,11)</f>
        <v>0</v>
      </c>
      <c r="AI47" s="174">
        <f>COUNTIFS('Historique des factures'!$E$3:$E$80,$A47,'Historique des factures'!$C$3:$C$80,12)</f>
        <v>0</v>
      </c>
      <c r="AJ47" s="175">
        <f t="shared" si="0"/>
        <v>0</v>
      </c>
    </row>
    <row r="48" spans="1:36" ht="15" thickBot="1">
      <c r="A48" s="5" t="s">
        <v>134</v>
      </c>
      <c r="B48" s="6" t="s">
        <v>135</v>
      </c>
      <c r="C48" s="6">
        <v>77100</v>
      </c>
      <c r="D48" s="10" t="s">
        <v>136</v>
      </c>
      <c r="E48" s="189" t="s">
        <v>149</v>
      </c>
      <c r="F48" s="185">
        <f t="shared" si="1"/>
        <v>0</v>
      </c>
      <c r="G48" s="187">
        <f t="shared" si="2"/>
        <v>0</v>
      </c>
      <c r="H48" s="9"/>
      <c r="J48" s="160">
        <f>SUMIFS('Historique des factures'!$G$3:$G$80,'Historique des factures'!$E$3:$E$80,$A48,'Historique des factures'!$C$3:$C$80,1)</f>
        <v>0</v>
      </c>
      <c r="K48" s="161">
        <f>SUMIFS('Historique des factures'!$G$3:$G$80,'Historique des factures'!$E$3:$E$80,$A48,'Historique des factures'!$C$3:$C$80,2)</f>
        <v>0</v>
      </c>
      <c r="L48" s="161">
        <f>SUMIFS('Historique des factures'!$G$3:$G$80,'Historique des factures'!$E$3:$E$80,$A48,'Historique des factures'!$C$3:$C$80,3)</f>
        <v>0</v>
      </c>
      <c r="M48" s="161">
        <f>SUMIFS('Historique des factures'!$G$3:$G$80,'Historique des factures'!$E$3:$E$80,$A48,'Historique des factures'!$C$3:$C$80,4)</f>
        <v>0</v>
      </c>
      <c r="N48" s="161">
        <f>SUMIFS('Historique des factures'!$G$3:$G$80,'Historique des factures'!$E$3:$E$80,$A48,'Historique des factures'!$C$3:$C$80,5)</f>
        <v>0</v>
      </c>
      <c r="O48" s="161">
        <f>SUMIFS('Historique des factures'!$G$3:$G$80,'Historique des factures'!$E$3:$E$80,$A48,'Historique des factures'!$C$3:$C$80,6)</f>
        <v>0</v>
      </c>
      <c r="P48" s="161">
        <f>SUMIFS('Historique des factures'!$G$3:$G$80,'Historique des factures'!$E$3:$E$80,$A48,'Historique des factures'!$C$3:$C$80,7)</f>
        <v>0</v>
      </c>
      <c r="Q48" s="161">
        <f>SUMIFS('Historique des factures'!$G$3:$G$80,'Historique des factures'!$E$3:$E$80,$A48,'Historique des factures'!$C$3:$C$80,8)</f>
        <v>0</v>
      </c>
      <c r="R48" s="161">
        <f>SUMIFS('Historique des factures'!$G$3:$G$80,'Historique des factures'!$E$3:$E$80,$A48,'Historique des factures'!$C$3:$C$80,9)</f>
        <v>0</v>
      </c>
      <c r="S48" s="161">
        <f>SUMIFS('Historique des factures'!$G$3:$G$80,'Historique des factures'!$E$3:$E$80,$A48,'Historique des factures'!$C$3:$C$80,10)</f>
        <v>0</v>
      </c>
      <c r="T48" s="161">
        <f>SUMIFS('Historique des factures'!$G$3:$G$80,'Historique des factures'!$E$3:$E$80,$A48,'Historique des factures'!$C$3:$C$80,11)</f>
        <v>0</v>
      </c>
      <c r="U48" s="162">
        <f>SUMIFS('Historique des factures'!$G$3:$G$80,'Historique des factures'!$E$3:$E$80,$A48,'Historique des factures'!$C$3:$C$80,12)</f>
        <v>0</v>
      </c>
      <c r="V48" s="163">
        <f>SUM(J48:U48)</f>
        <v>0</v>
      </c>
      <c r="X48" s="176">
        <f>COUNTIFS('Historique des factures'!$E$3:$E$80,$A48,'Historique des factures'!$C$3:$C$80,1)</f>
        <v>0</v>
      </c>
      <c r="Y48" s="177">
        <f>COUNTIFS('Historique des factures'!$E$3:$E$80,$A48,'Historique des factures'!$C$3:$C$80,2)</f>
        <v>0</v>
      </c>
      <c r="Z48" s="177">
        <f>COUNTIFS('Historique des factures'!$E$3:$E$80,$A48,'Historique des factures'!$C$3:$C$80,3)</f>
        <v>0</v>
      </c>
      <c r="AA48" s="177">
        <f>COUNTIFS('Historique des factures'!$E$3:$E$80,$A48,'Historique des factures'!$C$3:$C$80,4)</f>
        <v>0</v>
      </c>
      <c r="AB48" s="177">
        <f>COUNTIFS('Historique des factures'!$E$3:$E$80,$A48,'Historique des factures'!$C$3:$C$80,5)</f>
        <v>0</v>
      </c>
      <c r="AC48" s="177">
        <f>COUNTIFS('Historique des factures'!$E$3:$E$80,$A48,'Historique des factures'!$C$3:$C$80,6)</f>
        <v>0</v>
      </c>
      <c r="AD48" s="177">
        <f>COUNTIFS('Historique des factures'!$E$3:$E$80,$A48,'Historique des factures'!$C$3:$C$80,7)</f>
        <v>0</v>
      </c>
      <c r="AE48" s="177">
        <f>COUNTIFS('Historique des factures'!$E$3:$E$80,$A48,'Historique des factures'!$C$3:$C$80,8)</f>
        <v>0</v>
      </c>
      <c r="AF48" s="177">
        <f>COUNTIFS('Historique des factures'!$E$3:$E$80,$A48,'Historique des factures'!$C$3:$C$80,9)</f>
        <v>0</v>
      </c>
      <c r="AG48" s="177">
        <f>COUNTIFS('Historique des factures'!$E$3:$E$80,$A48,'Historique des factures'!$C$3:$C$80,10)</f>
        <v>0</v>
      </c>
      <c r="AH48" s="177">
        <f>COUNTIFS('Historique des factures'!$E$3:$E$80,$A48,'Historique des factures'!$C$3:$C$80,11)</f>
        <v>0</v>
      </c>
      <c r="AI48" s="178">
        <f>COUNTIFS('Historique des factures'!$E$3:$E$80,$A48,'Historique des factures'!$C$3:$C$80,12)</f>
        <v>0</v>
      </c>
      <c r="AJ48" s="179">
        <f>SUM(X48:AI48)</f>
        <v>0</v>
      </c>
    </row>
    <row r="49" spans="10:36" ht="15" thickBot="1">
      <c r="J49" s="164">
        <f>SUM(J3:J48)</f>
        <v>600</v>
      </c>
      <c r="K49" s="165">
        <f t="shared" ref="K49:U49" si="4">SUM(K3:K48)</f>
        <v>1500</v>
      </c>
      <c r="L49" s="165">
        <f t="shared" si="4"/>
        <v>0</v>
      </c>
      <c r="M49" s="165">
        <f t="shared" si="4"/>
        <v>0</v>
      </c>
      <c r="N49" s="165">
        <f t="shared" si="4"/>
        <v>0</v>
      </c>
      <c r="O49" s="165">
        <f t="shared" si="4"/>
        <v>0</v>
      </c>
      <c r="P49" s="165">
        <f t="shared" si="4"/>
        <v>0</v>
      </c>
      <c r="Q49" s="165">
        <f t="shared" si="4"/>
        <v>0</v>
      </c>
      <c r="R49" s="165">
        <f t="shared" si="4"/>
        <v>0</v>
      </c>
      <c r="S49" s="165">
        <f t="shared" si="4"/>
        <v>0</v>
      </c>
      <c r="T49" s="165">
        <f t="shared" si="4"/>
        <v>0</v>
      </c>
      <c r="U49" s="166">
        <f t="shared" si="4"/>
        <v>0</v>
      </c>
      <c r="V49" s="167">
        <f>IF(SUM(J49:U49)=SUM(V3:V48),'Tableau de bord'!B9,FALSE)</f>
        <v>2100</v>
      </c>
      <c r="X49" s="180">
        <f t="shared" ref="X49:AI49" si="5">SUM(X3:X48)</f>
        <v>3</v>
      </c>
      <c r="Y49" s="181">
        <f t="shared" si="5"/>
        <v>3</v>
      </c>
      <c r="Z49" s="181">
        <f t="shared" si="5"/>
        <v>0</v>
      </c>
      <c r="AA49" s="181">
        <f t="shared" si="5"/>
        <v>0</v>
      </c>
      <c r="AB49" s="181">
        <f t="shared" si="5"/>
        <v>0</v>
      </c>
      <c r="AC49" s="181">
        <f t="shared" si="5"/>
        <v>0</v>
      </c>
      <c r="AD49" s="181">
        <f t="shared" si="5"/>
        <v>0</v>
      </c>
      <c r="AE49" s="181">
        <f t="shared" si="5"/>
        <v>0</v>
      </c>
      <c r="AF49" s="181">
        <f t="shared" si="5"/>
        <v>0</v>
      </c>
      <c r="AG49" s="181">
        <f t="shared" si="5"/>
        <v>0</v>
      </c>
      <c r="AH49" s="181">
        <f t="shared" si="5"/>
        <v>0</v>
      </c>
      <c r="AI49" s="182">
        <f t="shared" si="5"/>
        <v>0</v>
      </c>
      <c r="AJ49" s="183">
        <f>IF(SUM(X49:AI49)=SUM(AJ3:AJ48),'Tableau de bord'!B10,FALSE)</f>
        <v>6</v>
      </c>
    </row>
  </sheetData>
  <mergeCells count="9">
    <mergeCell ref="X1:AJ1"/>
    <mergeCell ref="J1:V1"/>
    <mergeCell ref="A1:A2"/>
    <mergeCell ref="B1:B2"/>
    <mergeCell ref="C1:C2"/>
    <mergeCell ref="D1:D2"/>
    <mergeCell ref="E1:E2"/>
    <mergeCell ref="G1:G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Tableau de bord</vt:lpstr>
      <vt:lpstr>Facture</vt:lpstr>
      <vt:lpstr>Historique des factures</vt:lpstr>
      <vt:lpstr>Stock</vt:lpstr>
      <vt:lpstr>Clients - Statistiques</vt:lpstr>
      <vt:lpstr>Clients</vt:lpstr>
      <vt:lpstr>FDP</vt:lpstr>
      <vt:lpstr>FDPD</vt:lpstr>
      <vt:lpstr>Stock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anonyme</cp:lastModifiedBy>
  <cp:lastPrinted>2018-09-28T13:50:48Z</cp:lastPrinted>
  <dcterms:created xsi:type="dcterms:W3CDTF">2018-09-28T10:20:46Z</dcterms:created>
  <dcterms:modified xsi:type="dcterms:W3CDTF">2018-11-06T07:15:21Z</dcterms:modified>
</cp:coreProperties>
</file>