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ml.chartshap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tables/table11.xml" ContentType="application/vnd.openxmlformats-officedocument.spreadsheetml.tab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heets/sheet1.xml" ContentType="application/vnd.openxmlformats-officedocument.spreadsheetml.chart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68" yWindow="360" windowWidth="21828" windowHeight="9792" tabRatio="744"/>
  </bookViews>
  <sheets>
    <sheet name="Tableau de bord" sheetId="1" r:id="rId1"/>
    <sheet name="CARNET_DE_VOL" sheetId="2" r:id="rId2"/>
    <sheet name="ANCIEN CV" sheetId="3" r:id="rId3"/>
    <sheet name="Feuilles de progression" sheetId="4" r:id="rId4"/>
    <sheet name="LOG NAV" sheetId="5" r:id="rId5"/>
    <sheet name="PREPARATION nav" sheetId="6" r:id="rId6"/>
    <sheet name="Data" sheetId="7" r:id="rId7"/>
    <sheet name="DATAIOAC" sheetId="8" r:id="rId8"/>
    <sheet name="Graphique1" sheetId="9" r:id="rId9"/>
    <sheet name="Graphique2" sheetId="10" r:id="rId10"/>
    <sheet name="Graphique3" sheetId="11" r:id="rId11"/>
  </sheets>
  <externalReferences>
    <externalReference r:id="rId12"/>
    <externalReference r:id="rId13"/>
  </externalReferences>
  <definedNames>
    <definedName name="_05_10_2016" localSheetId="4">[2]!AVION[AVION]</definedName>
    <definedName name="_05_10_2016">[1]!AVION1[AVION]</definedName>
    <definedName name="Arrivee">'[1]PREPARATION nav'!$D$13</definedName>
    <definedName name="Autono">'PREPARATION nav'!$I$3</definedName>
    <definedName name="Autovol">'LOG NAV'!$F$46</definedName>
    <definedName name="Choix">'PREPARATION nav'!$C$36</definedName>
    <definedName name="Conso">'[1]PREPARATION nav'!$J$3</definedName>
    <definedName name="COUT" localSheetId="4">[2]!Tableau3[[#Totals],[TOTAL ]]</definedName>
    <definedName name="COUT">#REF!</definedName>
    <definedName name="derive1">'[1]LOG NAV'!$D$4</definedName>
    <definedName name="derive2">'[1]LOG NAV'!$D$11</definedName>
    <definedName name="derive3">'[1]LOG NAV'!$D$16</definedName>
    <definedName name="derive4">'[1]LOG NAV'!$D$21</definedName>
    <definedName name="derive5">'LOG NAV'!$D$26</definedName>
    <definedName name="dtg">'[1]LOG NAV'!$F$36</definedName>
    <definedName name="ETA">'PREPARATION nav'!$G$3</definedName>
    <definedName name="ETD">'[1]PREPARATION nav'!$F$3</definedName>
    <definedName name="FACTURES">#REF!</definedName>
    <definedName name="fuel">'[1]PREPARATION nav'!$I$4</definedName>
    <definedName name="GPSLat">DATAIOAC!$B$57</definedName>
    <definedName name="GPSLatD">DATAIOAC!$D$57</definedName>
    <definedName name="GPSLong">DATAIOAC!$C$57</definedName>
    <definedName name="GPSLongD">DATAIOAC!$E$57</definedName>
    <definedName name="heuredualac">[1]!Tableau11[[#Totals],[dual]]</definedName>
    <definedName name="heuresingleac">[1]!Tableau11[[#Totals],[single]]</definedName>
    <definedName name="IDENTITE">[1]!Tableau4[#All]</definedName>
    <definedName name="IOAC">[1]!IOAC1[#All]</definedName>
    <definedName name="latitude1">[1]CALCUL!$J$4</definedName>
    <definedName name="latitude10">[1]CALCUL!$J$13</definedName>
    <definedName name="latitude11">[1]CALCUL!$J$14</definedName>
    <definedName name="latitude12">[1]CALCUL!$J$15</definedName>
    <definedName name="latitude2">[1]CALCUL!$J$5</definedName>
    <definedName name="latitude3">[1]CALCUL!$J$6</definedName>
    <definedName name="latitude4">[1]CALCUL!$J$7</definedName>
    <definedName name="latitude5">[1]CALCUL!$J$8</definedName>
    <definedName name="latitude6">[1]CALCUL!$J$9</definedName>
    <definedName name="latitude7">[1]CALCUL!$J$10</definedName>
    <definedName name="latitude8">[1]CALCUL!$J$11</definedName>
    <definedName name="latitude9">[1]CALCUL!$J$12</definedName>
    <definedName name="longitude1">[1]CALCUL!$K$4</definedName>
    <definedName name="longitude10">[1]CALCUL!$K$13</definedName>
    <definedName name="longitude11">[1]CALCUL!$K$14</definedName>
    <definedName name="longitude12">[1]CALCUL!$K$15</definedName>
    <definedName name="longitude2">[1]CALCUL!$K$5</definedName>
    <definedName name="longitude3">[1]CALCUL!$K$6</definedName>
    <definedName name="longitude4">[1]CALCUL!$K$7</definedName>
    <definedName name="longitude5">[1]CALCUL!$K$8</definedName>
    <definedName name="longitude6">[1]CALCUL!$K$9</definedName>
    <definedName name="longitude7">[1]CALCUL!$K$10</definedName>
    <definedName name="longitude8">[1]CALCUL!$K$11</definedName>
    <definedName name="longitude9">[1]CALCUL!$K$12</definedName>
    <definedName name="LTC" localSheetId="2">'[1]Tableau de bord'!$H$18</definedName>
    <definedName name="LTC" localSheetId="1">'[1]Tableau de bord'!$H$18</definedName>
    <definedName name="LTC" localSheetId="6">'[1]Tableau de bord'!$H$18</definedName>
    <definedName name="LTC" localSheetId="7">'[1]Tableau de bord'!$H$18</definedName>
    <definedName name="LTC" localSheetId="3">'[1]Tableau de bord'!$H$18</definedName>
    <definedName name="LTC" localSheetId="4">'[1]Tableau de bord'!$H$18</definedName>
    <definedName name="LTC" localSheetId="5">'[1]Tableau de bord'!$H$18</definedName>
    <definedName name="LTC">'Tableau de bord'!$H$18</definedName>
    <definedName name="Point1">'[1]PREPARATION nav'!$D$8</definedName>
    <definedName name="Point2">'[1]PREPARATION nav'!$D$9</definedName>
    <definedName name="Point3">'[1]PREPARATION nav'!$D$10</definedName>
    <definedName name="Point4">'[1]PREPARATION nav'!$D$11</definedName>
    <definedName name="Point5">'[1]PREPARATION nav'!$D$12</definedName>
    <definedName name="route1">[1]CALCUL!$D$18</definedName>
    <definedName name="route2">[1]CALCUL!$I$18</definedName>
    <definedName name="route3">[1]CALCUL!$D$36</definedName>
    <definedName name="route4">[1]CALCUL!$I$36</definedName>
    <definedName name="route5">[1]CALCUL!$D$55</definedName>
    <definedName name="route6">[1]CALCUL!$I$55</definedName>
    <definedName name="seul">[1]!Tableau11[[#Totals],[single]]</definedName>
    <definedName name="SOMMETOTALE" localSheetId="4">[2]!Tableau3[[#Totals],[TOTAL ]]</definedName>
    <definedName name="SOMMETOTALE">#REF!</definedName>
    <definedName name="TANK">'PREPARATION nav'!$I$5</definedName>
    <definedName name="TAS">'[1]PREPARATION nav'!$G$6</definedName>
    <definedName name="totalac">'[1]ANCIEN CV'!$G$275</definedName>
    <definedName name="totalacd">'[1]ANCIEN CV'!$L$275</definedName>
    <definedName name="totalacland">'[1]ANCIEN CV'!$I$275</definedName>
    <definedName name="totalacs">'[1]ANCIEN CV'!$K$275</definedName>
    <definedName name="totalad1">CARNET_DE_VOL!$O$23</definedName>
    <definedName name="totalad2">CARNET_DE_VOL!$O$44</definedName>
    <definedName name="totalad3">CARNET_DE_VOL!$O$65</definedName>
    <definedName name="totalad4">CARNET_DE_VOL!$O$86</definedName>
    <definedName name="totalad5">CARNET_DE_VOL!$O$107</definedName>
    <definedName name="totalad6">CARNET_DE_VOL!$O$128</definedName>
    <definedName name="totalad7">CARNET_DE_VOL!$O$149</definedName>
    <definedName name="totalanciencarnet">[1]!Tableau11[[#Totals],[TIME OF FLIGHT]]</definedName>
    <definedName name="totalfuel">'[1]LOG NAV'!$G$46</definedName>
    <definedName name="totalp1d">[1]CARNET_DE_VOL!$U$23</definedName>
    <definedName name="totalp2d">[1]CARNET_DE_VOL!$U$44</definedName>
    <definedName name="totalp3d">[1]CARNET_DE_VOL!$U$65</definedName>
    <definedName name="totalp3s">[1]CARNET_DE_VOL!$T$65</definedName>
    <definedName name="totalp4d">[1]CARNET_DE_VOL!$U$86</definedName>
    <definedName name="totalp4s">[1]CARNET_DE_VOL!$T$86</definedName>
    <definedName name="totalp5d">[1]CARNET_DE_VOL!$U$107</definedName>
    <definedName name="totalp5s">[1]CARNET_DE_VOL!$T$107</definedName>
    <definedName name="totalp6d">[1]CARNET_DE_VOL!$U$128</definedName>
    <definedName name="totalp6s">[1]CARNET_DE_VOL!$T$128</definedName>
    <definedName name="totalp7d">[1]CARNET_DE_VOL!$U$149</definedName>
    <definedName name="totalp7s">[1]CARNET_DE_VOL!$T$149</definedName>
    <definedName name="totalpage1s">[1]CARNET_DE_VOL!$T$23</definedName>
    <definedName name="totalseul">[1]!Tableau11[[#Totals],[single]]</definedName>
    <definedName name="totalsingllep2">[1]CARNET_DE_VOL!$T$44</definedName>
    <definedName name="TOTSEUL">[1]!Tableau11[[#Totals],[single]]</definedName>
    <definedName name="Ttnc" localSheetId="2">'[1]Tableau de bord'!$I$7</definedName>
    <definedName name="Ttnc" localSheetId="1">'[1]Tableau de bord'!$I$7</definedName>
    <definedName name="Ttnc" localSheetId="6">'[1]Tableau de bord'!$I$7</definedName>
    <definedName name="Ttnc" localSheetId="7">'[1]Tableau de bord'!$I$7</definedName>
    <definedName name="Ttnc" localSheetId="3">'[1]Tableau de bord'!$I$7</definedName>
    <definedName name="Ttnc" localSheetId="4">'[1]Tableau de bord'!$I$7</definedName>
    <definedName name="Ttnc" localSheetId="5">'[1]Tableau de bord'!$I$7</definedName>
    <definedName name="Ttnc">'Tableau de bord'!$I$7</definedName>
    <definedName name="Ttt">'[1]LOG NAV'!$G$36</definedName>
    <definedName name="Ttth">'[1]PREPARATION nav'!$I$6</definedName>
    <definedName name="UTC" localSheetId="2">'[1]Tableau de bord'!$I$18</definedName>
    <definedName name="UTC" localSheetId="1">'[1]Tableau de bord'!$I$18</definedName>
    <definedName name="UTC" localSheetId="6">'[1]Tableau de bord'!$I$18</definedName>
    <definedName name="UTC" localSheetId="7">'[1]Tableau de bord'!$I$18</definedName>
    <definedName name="UTC" localSheetId="3">'[1]Tableau de bord'!$I$18</definedName>
    <definedName name="UTC" localSheetId="4">'[1]Tableau de bord'!$I$18</definedName>
    <definedName name="UTC" localSheetId="5">'[1]Tableau de bord'!$I$18</definedName>
    <definedName name="UTC">'Tableau de bord'!$I$18</definedName>
    <definedName name="variable">[1]CALCUL!$P$2</definedName>
    <definedName name="Vfb">'[1]LOG NAV'!#REF!</definedName>
    <definedName name="WINd">'[1]PREPARATION nav'!$J$6</definedName>
    <definedName name="WINf">'[1]PREPARATION nav'!$K$6</definedName>
    <definedName name="_xlnm.Print_Area" localSheetId="1">CARNET_DE_VOL!$C$1:$P$7</definedName>
    <definedName name="_xlnm.Print_Area" localSheetId="3">'Feuilles de progression'!$A$1:$H$23</definedName>
    <definedName name="_xlnm.Print_Area" localSheetId="4">'LOG NAV'!$A$1:$O$47</definedName>
    <definedName name="_xlnm.Print_Area" localSheetId="5">'PREPARATION nav'!$A$16:$K$38</definedName>
    <definedName name="_xlnm.Print_Area" localSheetId="0">'Tableau de bord'!$B$1:$K$19</definedName>
  </definedNames>
  <calcPr calcId="125725" concurrentCalc="0"/>
</workbook>
</file>

<file path=xl/calcChain.xml><?xml version="1.0" encoding="utf-8"?>
<calcChain xmlns="http://schemas.openxmlformats.org/spreadsheetml/2006/main">
  <c r="E66" i="8"/>
  <c r="D6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B1"/>
  <c r="C1"/>
  <c r="D1"/>
  <c r="E1"/>
  <c r="F1"/>
  <c r="G1"/>
  <c r="H1"/>
  <c r="I1"/>
  <c r="J1"/>
  <c r="K1"/>
  <c r="L1"/>
  <c r="M1"/>
  <c r="N1"/>
  <c r="O1"/>
  <c r="P1"/>
  <c r="Q1"/>
  <c r="F25" i="7"/>
  <c r="F26"/>
  <c r="F27"/>
  <c r="F28"/>
  <c r="F29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30"/>
  <c r="H1"/>
  <c r="I1"/>
  <c r="J1"/>
  <c r="K1"/>
  <c r="L1"/>
  <c r="M1"/>
  <c r="N1"/>
  <c r="O1"/>
  <c r="P1"/>
  <c r="Q1"/>
  <c r="C36" i="6"/>
  <c r="E32"/>
  <c r="D32"/>
  <c r="F32"/>
  <c r="E30"/>
  <c r="D30"/>
  <c r="F30"/>
  <c r="E28"/>
  <c r="C28"/>
  <c r="D28"/>
  <c r="F28"/>
  <c r="E25"/>
  <c r="D25"/>
  <c r="F25"/>
  <c r="E23"/>
  <c r="D23"/>
  <c r="F23"/>
  <c r="E24"/>
  <c r="D24"/>
  <c r="F24"/>
  <c r="E22"/>
  <c r="D22"/>
  <c r="F22"/>
  <c r="F18"/>
  <c r="E33"/>
  <c r="F17"/>
  <c r="D33"/>
  <c r="F33"/>
  <c r="F35"/>
  <c r="D35"/>
  <c r="E35"/>
  <c r="E27"/>
  <c r="D27"/>
  <c r="F27"/>
  <c r="F34"/>
  <c r="D34"/>
  <c r="E34"/>
  <c r="A21"/>
  <c r="A20"/>
  <c r="F19"/>
  <c r="A19"/>
  <c r="A18"/>
  <c r="A3"/>
  <c r="C17"/>
  <c r="F15"/>
  <c r="F1"/>
  <c r="E13"/>
  <c r="D13"/>
  <c r="E12"/>
  <c r="E11"/>
  <c r="E10"/>
  <c r="E9"/>
  <c r="H4"/>
  <c r="I8"/>
  <c r="E8"/>
  <c r="D7"/>
  <c r="E7"/>
  <c r="I6"/>
  <c r="H6"/>
  <c r="G6"/>
  <c r="C4"/>
  <c r="K3"/>
  <c r="J3"/>
  <c r="I3"/>
  <c r="G3"/>
  <c r="C3"/>
  <c r="G1"/>
  <c r="F42" i="5"/>
  <c r="G42"/>
  <c r="G43"/>
  <c r="G44"/>
  <c r="G45"/>
  <c r="G46"/>
  <c r="G47"/>
  <c r="F47"/>
  <c r="J40"/>
  <c r="K46"/>
  <c r="L46"/>
  <c r="J46"/>
  <c r="F46"/>
  <c r="I34"/>
  <c r="L37"/>
  <c r="I29"/>
  <c r="L36"/>
  <c r="J36"/>
  <c r="F32"/>
  <c r="C35"/>
  <c r="D31"/>
  <c r="E31"/>
  <c r="G31"/>
  <c r="F27"/>
  <c r="C30"/>
  <c r="D26"/>
  <c r="E26"/>
  <c r="G26"/>
  <c r="F22"/>
  <c r="C25"/>
  <c r="D21"/>
  <c r="E21"/>
  <c r="G21"/>
  <c r="F17"/>
  <c r="C20"/>
  <c r="D16"/>
  <c r="E16"/>
  <c r="G16"/>
  <c r="F12"/>
  <c r="C15"/>
  <c r="D11"/>
  <c r="E11"/>
  <c r="G11"/>
  <c r="F5"/>
  <c r="C8"/>
  <c r="D4"/>
  <c r="E4"/>
  <c r="G4"/>
  <c r="G36"/>
  <c r="F36"/>
  <c r="J35"/>
  <c r="F8"/>
  <c r="F11"/>
  <c r="F15"/>
  <c r="F16"/>
  <c r="F20"/>
  <c r="F21"/>
  <c r="F25"/>
  <c r="F26"/>
  <c r="F30"/>
  <c r="F31"/>
  <c r="F35"/>
  <c r="B35"/>
  <c r="M2"/>
  <c r="M7"/>
  <c r="M14"/>
  <c r="M19"/>
  <c r="M24"/>
  <c r="M29"/>
  <c r="M34"/>
  <c r="J34"/>
  <c r="I2"/>
  <c r="H33"/>
  <c r="L32"/>
  <c r="C32"/>
  <c r="B32"/>
  <c r="J30"/>
  <c r="B30"/>
  <c r="J29"/>
  <c r="H28"/>
  <c r="I24"/>
  <c r="L27"/>
  <c r="C27"/>
  <c r="B27"/>
  <c r="J25"/>
  <c r="B25"/>
  <c r="J24"/>
  <c r="H23"/>
  <c r="I14"/>
  <c r="L22"/>
  <c r="C22"/>
  <c r="B22"/>
  <c r="I19"/>
  <c r="J20"/>
  <c r="B20"/>
  <c r="J19"/>
  <c r="H18"/>
  <c r="L17"/>
  <c r="C17"/>
  <c r="B17"/>
  <c r="J15"/>
  <c r="B15"/>
  <c r="J14"/>
  <c r="H13"/>
  <c r="I7"/>
  <c r="L12"/>
  <c r="C12"/>
  <c r="B12"/>
  <c r="J9"/>
  <c r="B8"/>
  <c r="J7"/>
  <c r="H6"/>
  <c r="L5"/>
  <c r="C5"/>
  <c r="B5"/>
  <c r="L4"/>
  <c r="F4"/>
  <c r="J3"/>
  <c r="J2"/>
  <c r="A24" i="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G8"/>
  <c r="H8"/>
  <c r="G7"/>
  <c r="H7"/>
  <c r="G6"/>
  <c r="H6"/>
  <c r="G5"/>
  <c r="H5"/>
  <c r="G4"/>
  <c r="H4"/>
  <c r="G3"/>
  <c r="H3"/>
  <c r="L259" i="3"/>
  <c r="L260"/>
  <c r="L261"/>
  <c r="L262"/>
  <c r="L263"/>
  <c r="L264"/>
  <c r="L265"/>
  <c r="L267"/>
  <c r="L268"/>
  <c r="L269"/>
  <c r="L270"/>
  <c r="L271"/>
  <c r="L273"/>
  <c r="L242"/>
  <c r="L243"/>
  <c r="L244"/>
  <c r="L245"/>
  <c r="L246"/>
  <c r="L247"/>
  <c r="L248"/>
  <c r="L249"/>
  <c r="L250"/>
  <c r="L251"/>
  <c r="L252"/>
  <c r="L253"/>
  <c r="L254"/>
  <c r="L255"/>
  <c r="L256"/>
  <c r="L225"/>
  <c r="L226"/>
  <c r="L227"/>
  <c r="L228"/>
  <c r="L229"/>
  <c r="L230"/>
  <c r="L231"/>
  <c r="L232"/>
  <c r="L233"/>
  <c r="L234"/>
  <c r="L235"/>
  <c r="L236"/>
  <c r="L237"/>
  <c r="L238"/>
  <c r="L239"/>
  <c r="L208"/>
  <c r="L209"/>
  <c r="L210"/>
  <c r="L211"/>
  <c r="L212"/>
  <c r="L213"/>
  <c r="L214"/>
  <c r="L215"/>
  <c r="L216"/>
  <c r="L217"/>
  <c r="L218"/>
  <c r="L219"/>
  <c r="L220"/>
  <c r="L221"/>
  <c r="L222"/>
  <c r="L191"/>
  <c r="L192"/>
  <c r="L193"/>
  <c r="L194"/>
  <c r="L195"/>
  <c r="L196"/>
  <c r="L197"/>
  <c r="L198"/>
  <c r="L199"/>
  <c r="L200"/>
  <c r="L201"/>
  <c r="L203"/>
  <c r="L204"/>
  <c r="L205"/>
  <c r="L174"/>
  <c r="L175"/>
  <c r="L176"/>
  <c r="L177"/>
  <c r="L178"/>
  <c r="L179"/>
  <c r="L180"/>
  <c r="L181"/>
  <c r="L182"/>
  <c r="L183"/>
  <c r="L184"/>
  <c r="L185"/>
  <c r="L186"/>
  <c r="L187"/>
  <c r="L188"/>
  <c r="L157"/>
  <c r="L158"/>
  <c r="L159"/>
  <c r="L160"/>
  <c r="L161"/>
  <c r="L162"/>
  <c r="L163"/>
  <c r="L164"/>
  <c r="L165"/>
  <c r="L166"/>
  <c r="L167"/>
  <c r="L168"/>
  <c r="L169"/>
  <c r="L170"/>
  <c r="L171"/>
  <c r="L140"/>
  <c r="L141"/>
  <c r="L142"/>
  <c r="L143"/>
  <c r="L144"/>
  <c r="L145"/>
  <c r="L146"/>
  <c r="L147"/>
  <c r="L148"/>
  <c r="L149"/>
  <c r="L150"/>
  <c r="L151"/>
  <c r="L152"/>
  <c r="L153"/>
  <c r="L154"/>
  <c r="L123"/>
  <c r="L124"/>
  <c r="L125"/>
  <c r="L126"/>
  <c r="L127"/>
  <c r="L128"/>
  <c r="L129"/>
  <c r="L130"/>
  <c r="L131"/>
  <c r="L132"/>
  <c r="L133"/>
  <c r="L134"/>
  <c r="L135"/>
  <c r="L136"/>
  <c r="L137"/>
  <c r="L106"/>
  <c r="L107"/>
  <c r="L108"/>
  <c r="L109"/>
  <c r="L110"/>
  <c r="L111"/>
  <c r="L112"/>
  <c r="L113"/>
  <c r="L114"/>
  <c r="L115"/>
  <c r="L116"/>
  <c r="L117"/>
  <c r="L118"/>
  <c r="L119"/>
  <c r="L120"/>
  <c r="L89"/>
  <c r="L90"/>
  <c r="L91"/>
  <c r="L92"/>
  <c r="L93"/>
  <c r="L94"/>
  <c r="L95"/>
  <c r="L96"/>
  <c r="L97"/>
  <c r="L98"/>
  <c r="L99"/>
  <c r="L100"/>
  <c r="L101"/>
  <c r="L102"/>
  <c r="L103"/>
  <c r="L72"/>
  <c r="L73"/>
  <c r="L74"/>
  <c r="L75"/>
  <c r="L76"/>
  <c r="L77"/>
  <c r="L78"/>
  <c r="L79"/>
  <c r="L80"/>
  <c r="L81"/>
  <c r="L82"/>
  <c r="L83"/>
  <c r="L84"/>
  <c r="L85"/>
  <c r="L86"/>
  <c r="L55"/>
  <c r="L56"/>
  <c r="L57"/>
  <c r="L58"/>
  <c r="L59"/>
  <c r="L60"/>
  <c r="L61"/>
  <c r="L62"/>
  <c r="L63"/>
  <c r="L64"/>
  <c r="L65"/>
  <c r="L66"/>
  <c r="L67"/>
  <c r="L68"/>
  <c r="L69"/>
  <c r="L38"/>
  <c r="L39"/>
  <c r="L40"/>
  <c r="L41"/>
  <c r="L42"/>
  <c r="L43"/>
  <c r="L44"/>
  <c r="L45"/>
  <c r="L46"/>
  <c r="L47"/>
  <c r="L48"/>
  <c r="L49"/>
  <c r="L50"/>
  <c r="L51"/>
  <c r="L52"/>
  <c r="L21"/>
  <c r="L22"/>
  <c r="L23"/>
  <c r="L24"/>
  <c r="L25"/>
  <c r="L26"/>
  <c r="L27"/>
  <c r="L28"/>
  <c r="L29"/>
  <c r="L30"/>
  <c r="L31"/>
  <c r="L32"/>
  <c r="L33"/>
  <c r="L34"/>
  <c r="L35"/>
  <c r="L4"/>
  <c r="L5"/>
  <c r="L6"/>
  <c r="L7"/>
  <c r="L8"/>
  <c r="L9"/>
  <c r="L10"/>
  <c r="L11"/>
  <c r="L12"/>
  <c r="L13"/>
  <c r="L14"/>
  <c r="L15"/>
  <c r="L16"/>
  <c r="L17"/>
  <c r="L18"/>
  <c r="L20"/>
  <c r="L36"/>
  <c r="L37"/>
  <c r="L53"/>
  <c r="L54"/>
  <c r="L70"/>
  <c r="L71"/>
  <c r="L87"/>
  <c r="L88"/>
  <c r="L104"/>
  <c r="L105"/>
  <c r="L121"/>
  <c r="L122"/>
  <c r="L138"/>
  <c r="L139"/>
  <c r="L155"/>
  <c r="L156"/>
  <c r="L172"/>
  <c r="L173"/>
  <c r="L189"/>
  <c r="L190"/>
  <c r="L206"/>
  <c r="L207"/>
  <c r="L223"/>
  <c r="L224"/>
  <c r="L240"/>
  <c r="L241"/>
  <c r="L257"/>
  <c r="L258"/>
  <c r="L274"/>
  <c r="L275"/>
  <c r="K259"/>
  <c r="K260"/>
  <c r="K261"/>
  <c r="K262"/>
  <c r="K263"/>
  <c r="K264"/>
  <c r="K265"/>
  <c r="K266"/>
  <c r="K267"/>
  <c r="K268"/>
  <c r="K269"/>
  <c r="K270"/>
  <c r="K271"/>
  <c r="K273"/>
  <c r="K242"/>
  <c r="K243"/>
  <c r="K244"/>
  <c r="K245"/>
  <c r="K246"/>
  <c r="K247"/>
  <c r="K248"/>
  <c r="K249"/>
  <c r="K250"/>
  <c r="K251"/>
  <c r="K252"/>
  <c r="K253"/>
  <c r="K254"/>
  <c r="K255"/>
  <c r="K256"/>
  <c r="K225"/>
  <c r="K226"/>
  <c r="K227"/>
  <c r="K228"/>
  <c r="K229"/>
  <c r="K230"/>
  <c r="K231"/>
  <c r="K232"/>
  <c r="K233"/>
  <c r="K234"/>
  <c r="K235"/>
  <c r="K236"/>
  <c r="K237"/>
  <c r="K238"/>
  <c r="K239"/>
  <c r="K208"/>
  <c r="K209"/>
  <c r="K210"/>
  <c r="K211"/>
  <c r="K212"/>
  <c r="K213"/>
  <c r="K214"/>
  <c r="K215"/>
  <c r="K216"/>
  <c r="K217"/>
  <c r="K218"/>
  <c r="K219"/>
  <c r="K220"/>
  <c r="K221"/>
  <c r="K222"/>
  <c r="K191"/>
  <c r="K192"/>
  <c r="K193"/>
  <c r="K194"/>
  <c r="K195"/>
  <c r="K196"/>
  <c r="K197"/>
  <c r="K198"/>
  <c r="K199"/>
  <c r="K200"/>
  <c r="K201"/>
  <c r="K202"/>
  <c r="K203"/>
  <c r="K204"/>
  <c r="K205"/>
  <c r="K174"/>
  <c r="K175"/>
  <c r="K176"/>
  <c r="K177"/>
  <c r="K178"/>
  <c r="K179"/>
  <c r="K180"/>
  <c r="K181"/>
  <c r="K182"/>
  <c r="K183"/>
  <c r="K184"/>
  <c r="K185"/>
  <c r="K186"/>
  <c r="K187"/>
  <c r="K188"/>
  <c r="K157"/>
  <c r="K158"/>
  <c r="K159"/>
  <c r="K160"/>
  <c r="K161"/>
  <c r="K162"/>
  <c r="K163"/>
  <c r="K164"/>
  <c r="K165"/>
  <c r="K166"/>
  <c r="K167"/>
  <c r="K168"/>
  <c r="K169"/>
  <c r="K170"/>
  <c r="K171"/>
  <c r="K140"/>
  <c r="K141"/>
  <c r="K142"/>
  <c r="K143"/>
  <c r="K144"/>
  <c r="K145"/>
  <c r="K146"/>
  <c r="K147"/>
  <c r="K148"/>
  <c r="K149"/>
  <c r="K150"/>
  <c r="K151"/>
  <c r="K152"/>
  <c r="K153"/>
  <c r="K154"/>
  <c r="K123"/>
  <c r="K124"/>
  <c r="K125"/>
  <c r="K126"/>
  <c r="K127"/>
  <c r="K128"/>
  <c r="K129"/>
  <c r="K130"/>
  <c r="K131"/>
  <c r="K132"/>
  <c r="K133"/>
  <c r="K134"/>
  <c r="K135"/>
  <c r="K136"/>
  <c r="K137"/>
  <c r="K106"/>
  <c r="K107"/>
  <c r="K108"/>
  <c r="K109"/>
  <c r="K110"/>
  <c r="K111"/>
  <c r="K112"/>
  <c r="K113"/>
  <c r="K114"/>
  <c r="K115"/>
  <c r="K116"/>
  <c r="K117"/>
  <c r="K118"/>
  <c r="K119"/>
  <c r="K120"/>
  <c r="K89"/>
  <c r="K90"/>
  <c r="K91"/>
  <c r="K92"/>
  <c r="K93"/>
  <c r="K94"/>
  <c r="K95"/>
  <c r="K96"/>
  <c r="K97"/>
  <c r="K98"/>
  <c r="K99"/>
  <c r="K100"/>
  <c r="K101"/>
  <c r="K102"/>
  <c r="K103"/>
  <c r="K72"/>
  <c r="K73"/>
  <c r="K74"/>
  <c r="K75"/>
  <c r="K76"/>
  <c r="K77"/>
  <c r="K78"/>
  <c r="K79"/>
  <c r="K80"/>
  <c r="K81"/>
  <c r="K82"/>
  <c r="K83"/>
  <c r="K84"/>
  <c r="K85"/>
  <c r="K86"/>
  <c r="K55"/>
  <c r="K56"/>
  <c r="K57"/>
  <c r="K58"/>
  <c r="K59"/>
  <c r="K60"/>
  <c r="K61"/>
  <c r="K62"/>
  <c r="K63"/>
  <c r="K64"/>
  <c r="K65"/>
  <c r="K66"/>
  <c r="K67"/>
  <c r="K68"/>
  <c r="K69"/>
  <c r="K38"/>
  <c r="K39"/>
  <c r="K40"/>
  <c r="K41"/>
  <c r="K42"/>
  <c r="K43"/>
  <c r="K44"/>
  <c r="K45"/>
  <c r="K46"/>
  <c r="K47"/>
  <c r="K48"/>
  <c r="K49"/>
  <c r="K50"/>
  <c r="K51"/>
  <c r="K52"/>
  <c r="K21"/>
  <c r="K22"/>
  <c r="K23"/>
  <c r="K24"/>
  <c r="K25"/>
  <c r="K26"/>
  <c r="K27"/>
  <c r="K28"/>
  <c r="K29"/>
  <c r="K30"/>
  <c r="K31"/>
  <c r="K32"/>
  <c r="K33"/>
  <c r="K34"/>
  <c r="K35"/>
  <c r="K4"/>
  <c r="K5"/>
  <c r="K6"/>
  <c r="K7"/>
  <c r="K8"/>
  <c r="K9"/>
  <c r="K10"/>
  <c r="K11"/>
  <c r="K12"/>
  <c r="K13"/>
  <c r="K14"/>
  <c r="K15"/>
  <c r="K16"/>
  <c r="K17"/>
  <c r="K18"/>
  <c r="K20"/>
  <c r="K36"/>
  <c r="K37"/>
  <c r="K53"/>
  <c r="K54"/>
  <c r="K70"/>
  <c r="K71"/>
  <c r="K87"/>
  <c r="K88"/>
  <c r="K104"/>
  <c r="K105"/>
  <c r="K121"/>
  <c r="K122"/>
  <c r="K138"/>
  <c r="K139"/>
  <c r="K155"/>
  <c r="K156"/>
  <c r="K172"/>
  <c r="K173"/>
  <c r="K189"/>
  <c r="K190"/>
  <c r="K206"/>
  <c r="K207"/>
  <c r="K223"/>
  <c r="K224"/>
  <c r="K240"/>
  <c r="K241"/>
  <c r="K257"/>
  <c r="K258"/>
  <c r="K274"/>
  <c r="K275"/>
  <c r="I18"/>
  <c r="I20"/>
  <c r="I36"/>
  <c r="I35"/>
  <c r="I37"/>
  <c r="I53"/>
  <c r="I52"/>
  <c r="I54"/>
  <c r="I70"/>
  <c r="I69"/>
  <c r="I71"/>
  <c r="I87"/>
  <c r="I86"/>
  <c r="I88"/>
  <c r="I104"/>
  <c r="I103"/>
  <c r="I105"/>
  <c r="I121"/>
  <c r="I120"/>
  <c r="I122"/>
  <c r="I138"/>
  <c r="I137"/>
  <c r="I139"/>
  <c r="I155"/>
  <c r="I154"/>
  <c r="I156"/>
  <c r="I172"/>
  <c r="I171"/>
  <c r="I173"/>
  <c r="I189"/>
  <c r="I188"/>
  <c r="I190"/>
  <c r="I206"/>
  <c r="I205"/>
  <c r="I207"/>
  <c r="I223"/>
  <c r="I222"/>
  <c r="I224"/>
  <c r="I240"/>
  <c r="I239"/>
  <c r="I241"/>
  <c r="I257"/>
  <c r="I256"/>
  <c r="I258"/>
  <c r="I274"/>
  <c r="I273"/>
  <c r="I275"/>
  <c r="G273"/>
  <c r="G256"/>
  <c r="G239"/>
  <c r="G222"/>
  <c r="G205"/>
  <c r="G188"/>
  <c r="G171"/>
  <c r="G154"/>
  <c r="G137"/>
  <c r="G120"/>
  <c r="G103"/>
  <c r="G86"/>
  <c r="G69"/>
  <c r="G52"/>
  <c r="G18"/>
  <c r="G20"/>
  <c r="G36"/>
  <c r="G35"/>
  <c r="G37"/>
  <c r="G53"/>
  <c r="G54"/>
  <c r="G70"/>
  <c r="G71"/>
  <c r="G87"/>
  <c r="G88"/>
  <c r="G104"/>
  <c r="G105"/>
  <c r="G121"/>
  <c r="G122"/>
  <c r="G138"/>
  <c r="G139"/>
  <c r="G155"/>
  <c r="G156"/>
  <c r="G172"/>
  <c r="G173"/>
  <c r="G189"/>
  <c r="G190"/>
  <c r="G206"/>
  <c r="G207"/>
  <c r="G223"/>
  <c r="G224"/>
  <c r="G240"/>
  <c r="G241"/>
  <c r="G257"/>
  <c r="G258"/>
  <c r="G274"/>
  <c r="G275"/>
  <c r="B260"/>
  <c r="B261"/>
  <c r="B262"/>
  <c r="B263"/>
  <c r="B264"/>
  <c r="B265"/>
  <c r="B266"/>
  <c r="B267"/>
  <c r="B268"/>
  <c r="B269"/>
  <c r="B270"/>
  <c r="B271"/>
  <c r="B272"/>
  <c r="C271"/>
  <c r="C270"/>
  <c r="C269"/>
  <c r="C268"/>
  <c r="C267"/>
  <c r="C266"/>
  <c r="C265"/>
  <c r="C264"/>
  <c r="C263"/>
  <c r="C262"/>
  <c r="C261"/>
  <c r="C260"/>
  <c r="C259"/>
  <c r="A21"/>
  <c r="A38"/>
  <c r="A55"/>
  <c r="A72"/>
  <c r="A89"/>
  <c r="A106"/>
  <c r="A123"/>
  <c r="A140"/>
  <c r="A157"/>
  <c r="A174"/>
  <c r="A191"/>
  <c r="A208"/>
  <c r="A225"/>
  <c r="A242"/>
  <c r="A259"/>
  <c r="C255"/>
  <c r="B243"/>
  <c r="B244"/>
  <c r="B245"/>
  <c r="B246"/>
  <c r="B247"/>
  <c r="B248"/>
  <c r="B249"/>
  <c r="B250"/>
  <c r="B251"/>
  <c r="B252"/>
  <c r="B253"/>
  <c r="B254"/>
  <c r="B255"/>
  <c r="C254"/>
  <c r="C253"/>
  <c r="C252"/>
  <c r="C251"/>
  <c r="C250"/>
  <c r="C249"/>
  <c r="C248"/>
  <c r="C247"/>
  <c r="C246"/>
  <c r="C245"/>
  <c r="C244"/>
  <c r="C243"/>
  <c r="C242"/>
  <c r="C238"/>
  <c r="B226"/>
  <c r="B227"/>
  <c r="B228"/>
  <c r="B229"/>
  <c r="B230"/>
  <c r="B231"/>
  <c r="B232"/>
  <c r="B233"/>
  <c r="B234"/>
  <c r="B235"/>
  <c r="B236"/>
  <c r="B237"/>
  <c r="B238"/>
  <c r="C237"/>
  <c r="C236"/>
  <c r="C235"/>
  <c r="C234"/>
  <c r="C233"/>
  <c r="C232"/>
  <c r="C231"/>
  <c r="C230"/>
  <c r="C229"/>
  <c r="C228"/>
  <c r="C227"/>
  <c r="C226"/>
  <c r="C225"/>
  <c r="C221"/>
  <c r="B209"/>
  <c r="B210"/>
  <c r="B211"/>
  <c r="B212"/>
  <c r="B213"/>
  <c r="B214"/>
  <c r="B215"/>
  <c r="B216"/>
  <c r="B217"/>
  <c r="B218"/>
  <c r="B219"/>
  <c r="B220"/>
  <c r="B221"/>
  <c r="C220"/>
  <c r="C219"/>
  <c r="C218"/>
  <c r="C217"/>
  <c r="C216"/>
  <c r="C215"/>
  <c r="C214"/>
  <c r="C213"/>
  <c r="C212"/>
  <c r="C211"/>
  <c r="C210"/>
  <c r="C209"/>
  <c r="C208"/>
  <c r="C204"/>
  <c r="B192"/>
  <c r="B193"/>
  <c r="B194"/>
  <c r="B195"/>
  <c r="B196"/>
  <c r="B197"/>
  <c r="B198"/>
  <c r="B199"/>
  <c r="B200"/>
  <c r="B201"/>
  <c r="B202"/>
  <c r="B203"/>
  <c r="B204"/>
  <c r="C203"/>
  <c r="C202"/>
  <c r="C201"/>
  <c r="C200"/>
  <c r="C199"/>
  <c r="C198"/>
  <c r="C197"/>
  <c r="C196"/>
  <c r="C195"/>
  <c r="C194"/>
  <c r="C193"/>
  <c r="C192"/>
  <c r="C191"/>
  <c r="C187"/>
  <c r="B175"/>
  <c r="B176"/>
  <c r="B177"/>
  <c r="B178"/>
  <c r="B179"/>
  <c r="B180"/>
  <c r="B181"/>
  <c r="B182"/>
  <c r="B183"/>
  <c r="B184"/>
  <c r="B185"/>
  <c r="B186"/>
  <c r="B187"/>
  <c r="C186"/>
  <c r="C185"/>
  <c r="C184"/>
  <c r="C183"/>
  <c r="C182"/>
  <c r="C181"/>
  <c r="C180"/>
  <c r="C179"/>
  <c r="C178"/>
  <c r="C177"/>
  <c r="C176"/>
  <c r="C175"/>
  <c r="C174"/>
  <c r="C170"/>
  <c r="B158"/>
  <c r="B159"/>
  <c r="B160"/>
  <c r="B161"/>
  <c r="B162"/>
  <c r="B163"/>
  <c r="B164"/>
  <c r="B165"/>
  <c r="B166"/>
  <c r="B167"/>
  <c r="B168"/>
  <c r="B169"/>
  <c r="B170"/>
  <c r="C169"/>
  <c r="C168"/>
  <c r="C167"/>
  <c r="C166"/>
  <c r="C165"/>
  <c r="C164"/>
  <c r="C163"/>
  <c r="C162"/>
  <c r="C161"/>
  <c r="C160"/>
  <c r="C159"/>
  <c r="C158"/>
  <c r="C157"/>
  <c r="C153"/>
  <c r="B141"/>
  <c r="B142"/>
  <c r="B143"/>
  <c r="B144"/>
  <c r="B145"/>
  <c r="B146"/>
  <c r="B147"/>
  <c r="B148"/>
  <c r="B149"/>
  <c r="B150"/>
  <c r="B151"/>
  <c r="B152"/>
  <c r="B153"/>
  <c r="C152"/>
  <c r="C151"/>
  <c r="C150"/>
  <c r="C149"/>
  <c r="C148"/>
  <c r="C147"/>
  <c r="C146"/>
  <c r="C145"/>
  <c r="C144"/>
  <c r="C143"/>
  <c r="C142"/>
  <c r="C141"/>
  <c r="C140"/>
  <c r="C136"/>
  <c r="B124"/>
  <c r="B125"/>
  <c r="B126"/>
  <c r="B127"/>
  <c r="B128"/>
  <c r="B129"/>
  <c r="B130"/>
  <c r="B131"/>
  <c r="B132"/>
  <c r="B133"/>
  <c r="B134"/>
  <c r="B135"/>
  <c r="B136"/>
  <c r="C135"/>
  <c r="C134"/>
  <c r="C133"/>
  <c r="C132"/>
  <c r="C131"/>
  <c r="C130"/>
  <c r="C129"/>
  <c r="C128"/>
  <c r="C127"/>
  <c r="C126"/>
  <c r="C125"/>
  <c r="C124"/>
  <c r="C123"/>
  <c r="C119"/>
  <c r="B107"/>
  <c r="B108"/>
  <c r="B109"/>
  <c r="B110"/>
  <c r="B111"/>
  <c r="B112"/>
  <c r="B113"/>
  <c r="B114"/>
  <c r="B115"/>
  <c r="B116"/>
  <c r="B117"/>
  <c r="B118"/>
  <c r="B119"/>
  <c r="C118"/>
  <c r="C117"/>
  <c r="C116"/>
  <c r="C115"/>
  <c r="C114"/>
  <c r="C113"/>
  <c r="C112"/>
  <c r="C111"/>
  <c r="C110"/>
  <c r="C109"/>
  <c r="C108"/>
  <c r="C107"/>
  <c r="C106"/>
  <c r="C102"/>
  <c r="B90"/>
  <c r="B91"/>
  <c r="B92"/>
  <c r="B93"/>
  <c r="B94"/>
  <c r="B95"/>
  <c r="B96"/>
  <c r="B97"/>
  <c r="B98"/>
  <c r="B99"/>
  <c r="B100"/>
  <c r="B101"/>
  <c r="B102"/>
  <c r="C101"/>
  <c r="C100"/>
  <c r="C99"/>
  <c r="C98"/>
  <c r="C97"/>
  <c r="C96"/>
  <c r="C95"/>
  <c r="C94"/>
  <c r="C93"/>
  <c r="C92"/>
  <c r="C91"/>
  <c r="C90"/>
  <c r="C89"/>
  <c r="C85"/>
  <c r="B73"/>
  <c r="B74"/>
  <c r="B75"/>
  <c r="B76"/>
  <c r="B77"/>
  <c r="B78"/>
  <c r="B79"/>
  <c r="B80"/>
  <c r="B81"/>
  <c r="B82"/>
  <c r="B83"/>
  <c r="B84"/>
  <c r="B85"/>
  <c r="C84"/>
  <c r="C83"/>
  <c r="C82"/>
  <c r="C81"/>
  <c r="C80"/>
  <c r="C79"/>
  <c r="C78"/>
  <c r="C77"/>
  <c r="C76"/>
  <c r="C75"/>
  <c r="C74"/>
  <c r="C73"/>
  <c r="C72"/>
  <c r="C68"/>
  <c r="B56"/>
  <c r="B57"/>
  <c r="B58"/>
  <c r="B59"/>
  <c r="B60"/>
  <c r="B61"/>
  <c r="B62"/>
  <c r="B63"/>
  <c r="B64"/>
  <c r="B65"/>
  <c r="B66"/>
  <c r="B67"/>
  <c r="B68"/>
  <c r="C67"/>
  <c r="C66"/>
  <c r="C65"/>
  <c r="C64"/>
  <c r="C63"/>
  <c r="C62"/>
  <c r="C61"/>
  <c r="C60"/>
  <c r="C59"/>
  <c r="C58"/>
  <c r="C57"/>
  <c r="C56"/>
  <c r="C55"/>
  <c r="C51"/>
  <c r="B39"/>
  <c r="B40"/>
  <c r="B41"/>
  <c r="B42"/>
  <c r="B43"/>
  <c r="B44"/>
  <c r="B45"/>
  <c r="B46"/>
  <c r="B47"/>
  <c r="B48"/>
  <c r="B49"/>
  <c r="B50"/>
  <c r="B51"/>
  <c r="C50"/>
  <c r="C49"/>
  <c r="C48"/>
  <c r="C47"/>
  <c r="C46"/>
  <c r="C45"/>
  <c r="C44"/>
  <c r="C43"/>
  <c r="C42"/>
  <c r="C41"/>
  <c r="C40"/>
  <c r="C39"/>
  <c r="C38"/>
  <c r="C34"/>
  <c r="B22"/>
  <c r="B23"/>
  <c r="B24"/>
  <c r="B25"/>
  <c r="B26"/>
  <c r="B27"/>
  <c r="B28"/>
  <c r="B29"/>
  <c r="B30"/>
  <c r="B31"/>
  <c r="B32"/>
  <c r="B33"/>
  <c r="B34"/>
  <c r="C33"/>
  <c r="C32"/>
  <c r="C31"/>
  <c r="C30"/>
  <c r="C29"/>
  <c r="C28"/>
  <c r="C27"/>
  <c r="C26"/>
  <c r="C25"/>
  <c r="C24"/>
  <c r="C23"/>
  <c r="C22"/>
  <c r="C21"/>
  <c r="C17"/>
  <c r="B5"/>
  <c r="B6"/>
  <c r="B7"/>
  <c r="B8"/>
  <c r="B9"/>
  <c r="B10"/>
  <c r="B11"/>
  <c r="B12"/>
  <c r="B13"/>
  <c r="B14"/>
  <c r="B15"/>
  <c r="B16"/>
  <c r="B17"/>
  <c r="C16"/>
  <c r="C15"/>
  <c r="C14"/>
  <c r="C13"/>
  <c r="C12"/>
  <c r="C11"/>
  <c r="C10"/>
  <c r="C9"/>
  <c r="C8"/>
  <c r="C7"/>
  <c r="C6"/>
  <c r="C5"/>
  <c r="C4"/>
  <c r="X28" i="2"/>
  <c r="R28"/>
  <c r="V28"/>
  <c r="Q28"/>
  <c r="S28"/>
  <c r="W29"/>
  <c r="X29"/>
  <c r="R29"/>
  <c r="V29"/>
  <c r="Q29"/>
  <c r="S29"/>
  <c r="X30"/>
  <c r="R30"/>
  <c r="V30"/>
  <c r="Q30"/>
  <c r="S30"/>
  <c r="X31"/>
  <c r="R31"/>
  <c r="V31"/>
  <c r="Q31"/>
  <c r="S31"/>
  <c r="S355"/>
  <c r="M354"/>
  <c r="X354"/>
  <c r="W354"/>
  <c r="V354"/>
  <c r="U354"/>
  <c r="T354"/>
  <c r="R354"/>
  <c r="Q354"/>
  <c r="S354"/>
  <c r="I354"/>
  <c r="H354"/>
  <c r="M353"/>
  <c r="X353"/>
  <c r="W353"/>
  <c r="V353"/>
  <c r="U353"/>
  <c r="T353"/>
  <c r="R353"/>
  <c r="Q353"/>
  <c r="S353"/>
  <c r="I353"/>
  <c r="H353"/>
  <c r="M352"/>
  <c r="X352"/>
  <c r="W352"/>
  <c r="V352"/>
  <c r="U352"/>
  <c r="T352"/>
  <c r="R352"/>
  <c r="Q352"/>
  <c r="S352"/>
  <c r="I352"/>
  <c r="H352"/>
  <c r="M351"/>
  <c r="X351"/>
  <c r="W351"/>
  <c r="V351"/>
  <c r="U351"/>
  <c r="T351"/>
  <c r="R351"/>
  <c r="Q351"/>
  <c r="S351"/>
  <c r="I351"/>
  <c r="H351"/>
  <c r="M350"/>
  <c r="X350"/>
  <c r="W350"/>
  <c r="V350"/>
  <c r="U350"/>
  <c r="T350"/>
  <c r="R350"/>
  <c r="Q350"/>
  <c r="S350"/>
  <c r="I350"/>
  <c r="H350"/>
  <c r="M349"/>
  <c r="X349"/>
  <c r="W349"/>
  <c r="V349"/>
  <c r="U349"/>
  <c r="T349"/>
  <c r="R349"/>
  <c r="Q349"/>
  <c r="S349"/>
  <c r="I349"/>
  <c r="H349"/>
  <c r="M348"/>
  <c r="X348"/>
  <c r="W348"/>
  <c r="V348"/>
  <c r="U348"/>
  <c r="T348"/>
  <c r="R348"/>
  <c r="Q348"/>
  <c r="S348"/>
  <c r="I348"/>
  <c r="H348"/>
  <c r="M347"/>
  <c r="X347"/>
  <c r="W347"/>
  <c r="V347"/>
  <c r="U347"/>
  <c r="T347"/>
  <c r="R347"/>
  <c r="Q347"/>
  <c r="S347"/>
  <c r="I347"/>
  <c r="H347"/>
  <c r="M346"/>
  <c r="X346"/>
  <c r="W346"/>
  <c r="V346"/>
  <c r="U346"/>
  <c r="T346"/>
  <c r="R346"/>
  <c r="Q346"/>
  <c r="S346"/>
  <c r="I346"/>
  <c r="H346"/>
  <c r="M345"/>
  <c r="X345"/>
  <c r="W345"/>
  <c r="V345"/>
  <c r="U345"/>
  <c r="T345"/>
  <c r="R345"/>
  <c r="Q345"/>
  <c r="S345"/>
  <c r="I345"/>
  <c r="H345"/>
  <c r="M344"/>
  <c r="X344"/>
  <c r="W344"/>
  <c r="V344"/>
  <c r="U344"/>
  <c r="T344"/>
  <c r="R344"/>
  <c r="Q344"/>
  <c r="S344"/>
  <c r="I344"/>
  <c r="H344"/>
  <c r="M343"/>
  <c r="X343"/>
  <c r="W343"/>
  <c r="V343"/>
  <c r="U343"/>
  <c r="T343"/>
  <c r="R343"/>
  <c r="Q343"/>
  <c r="S343"/>
  <c r="I343"/>
  <c r="H343"/>
  <c r="M342"/>
  <c r="X342"/>
  <c r="W342"/>
  <c r="V342"/>
  <c r="U342"/>
  <c r="T342"/>
  <c r="R342"/>
  <c r="Q342"/>
  <c r="S342"/>
  <c r="I342"/>
  <c r="H342"/>
  <c r="M341"/>
  <c r="X341"/>
  <c r="W341"/>
  <c r="V341"/>
  <c r="U341"/>
  <c r="T341"/>
  <c r="R341"/>
  <c r="Q341"/>
  <c r="S341"/>
  <c r="I341"/>
  <c r="H341"/>
  <c r="M340"/>
  <c r="X340"/>
  <c r="W340"/>
  <c r="V340"/>
  <c r="U340"/>
  <c r="T340"/>
  <c r="R340"/>
  <c r="Q340"/>
  <c r="S340"/>
  <c r="I340"/>
  <c r="H340"/>
  <c r="M339"/>
  <c r="X339"/>
  <c r="W339"/>
  <c r="V339"/>
  <c r="U339"/>
  <c r="T339"/>
  <c r="R339"/>
  <c r="Q339"/>
  <c r="S339"/>
  <c r="I339"/>
  <c r="H339"/>
  <c r="M338"/>
  <c r="X338"/>
  <c r="W338"/>
  <c r="V338"/>
  <c r="U338"/>
  <c r="T338"/>
  <c r="R338"/>
  <c r="Q338"/>
  <c r="S338"/>
  <c r="I338"/>
  <c r="H338"/>
  <c r="M337"/>
  <c r="X337"/>
  <c r="W337"/>
  <c r="V337"/>
  <c r="U337"/>
  <c r="T337"/>
  <c r="R337"/>
  <c r="Q337"/>
  <c r="S337"/>
  <c r="I337"/>
  <c r="H337"/>
  <c r="M336"/>
  <c r="X336"/>
  <c r="W336"/>
  <c r="V336"/>
  <c r="U336"/>
  <c r="T336"/>
  <c r="R336"/>
  <c r="Q336"/>
  <c r="S336"/>
  <c r="I336"/>
  <c r="H336"/>
  <c r="M335"/>
  <c r="X335"/>
  <c r="W335"/>
  <c r="V335"/>
  <c r="U335"/>
  <c r="T335"/>
  <c r="R335"/>
  <c r="Q335"/>
  <c r="S335"/>
  <c r="I335"/>
  <c r="H335"/>
  <c r="M334"/>
  <c r="X334"/>
  <c r="W334"/>
  <c r="V334"/>
  <c r="U334"/>
  <c r="T334"/>
  <c r="R334"/>
  <c r="Q334"/>
  <c r="S334"/>
  <c r="I334"/>
  <c r="H334"/>
  <c r="M333"/>
  <c r="X333"/>
  <c r="W333"/>
  <c r="V333"/>
  <c r="U333"/>
  <c r="T333"/>
  <c r="R333"/>
  <c r="Q333"/>
  <c r="S333"/>
  <c r="I333"/>
  <c r="H333"/>
  <c r="M332"/>
  <c r="X332"/>
  <c r="W332"/>
  <c r="V332"/>
  <c r="U332"/>
  <c r="T332"/>
  <c r="R332"/>
  <c r="Q332"/>
  <c r="S332"/>
  <c r="I332"/>
  <c r="H332"/>
  <c r="M331"/>
  <c r="X331"/>
  <c r="W331"/>
  <c r="V331"/>
  <c r="U331"/>
  <c r="T331"/>
  <c r="R331"/>
  <c r="Q331"/>
  <c r="S331"/>
  <c r="I331"/>
  <c r="H331"/>
  <c r="M330"/>
  <c r="X330"/>
  <c r="W330"/>
  <c r="V330"/>
  <c r="U330"/>
  <c r="T330"/>
  <c r="R330"/>
  <c r="Q330"/>
  <c r="S330"/>
  <c r="I330"/>
  <c r="H330"/>
  <c r="M329"/>
  <c r="X329"/>
  <c r="W329"/>
  <c r="V329"/>
  <c r="U329"/>
  <c r="T329"/>
  <c r="R329"/>
  <c r="Q329"/>
  <c r="S329"/>
  <c r="I329"/>
  <c r="H329"/>
  <c r="M328"/>
  <c r="X328"/>
  <c r="W328"/>
  <c r="V328"/>
  <c r="U328"/>
  <c r="T328"/>
  <c r="R328"/>
  <c r="Q328"/>
  <c r="S328"/>
  <c r="I328"/>
  <c r="H328"/>
  <c r="M327"/>
  <c r="X327"/>
  <c r="W327"/>
  <c r="V327"/>
  <c r="U327"/>
  <c r="T327"/>
  <c r="R327"/>
  <c r="Q327"/>
  <c r="S327"/>
  <c r="I327"/>
  <c r="H327"/>
  <c r="M326"/>
  <c r="X326"/>
  <c r="W326"/>
  <c r="V326"/>
  <c r="U326"/>
  <c r="T326"/>
  <c r="R326"/>
  <c r="Q326"/>
  <c r="S326"/>
  <c r="I326"/>
  <c r="H326"/>
  <c r="M325"/>
  <c r="X325"/>
  <c r="W325"/>
  <c r="V325"/>
  <c r="U325"/>
  <c r="T325"/>
  <c r="R325"/>
  <c r="Q325"/>
  <c r="S325"/>
  <c r="I325"/>
  <c r="H325"/>
  <c r="M324"/>
  <c r="X324"/>
  <c r="W324"/>
  <c r="V324"/>
  <c r="U324"/>
  <c r="T324"/>
  <c r="R324"/>
  <c r="Q324"/>
  <c r="S324"/>
  <c r="I324"/>
  <c r="H324"/>
  <c r="M323"/>
  <c r="X323"/>
  <c r="W323"/>
  <c r="V323"/>
  <c r="U323"/>
  <c r="T323"/>
  <c r="R323"/>
  <c r="Q323"/>
  <c r="S323"/>
  <c r="I323"/>
  <c r="H323"/>
  <c r="M322"/>
  <c r="X322"/>
  <c r="W322"/>
  <c r="V322"/>
  <c r="U322"/>
  <c r="T322"/>
  <c r="R322"/>
  <c r="Q322"/>
  <c r="S322"/>
  <c r="I322"/>
  <c r="H322"/>
  <c r="M321"/>
  <c r="X321"/>
  <c r="W321"/>
  <c r="V321"/>
  <c r="U321"/>
  <c r="T321"/>
  <c r="R321"/>
  <c r="Q321"/>
  <c r="S321"/>
  <c r="I321"/>
  <c r="H321"/>
  <c r="M320"/>
  <c r="X320"/>
  <c r="W320"/>
  <c r="V320"/>
  <c r="U320"/>
  <c r="T320"/>
  <c r="R320"/>
  <c r="Q320"/>
  <c r="S320"/>
  <c r="I320"/>
  <c r="H320"/>
  <c r="M319"/>
  <c r="X319"/>
  <c r="W319"/>
  <c r="V319"/>
  <c r="U319"/>
  <c r="T319"/>
  <c r="R319"/>
  <c r="Q319"/>
  <c r="S319"/>
  <c r="I319"/>
  <c r="H319"/>
  <c r="M318"/>
  <c r="X318"/>
  <c r="W318"/>
  <c r="V318"/>
  <c r="U318"/>
  <c r="T318"/>
  <c r="R318"/>
  <c r="Q318"/>
  <c r="S318"/>
  <c r="I318"/>
  <c r="H318"/>
  <c r="M317"/>
  <c r="X317"/>
  <c r="W317"/>
  <c r="V317"/>
  <c r="U317"/>
  <c r="T317"/>
  <c r="R317"/>
  <c r="Q317"/>
  <c r="S317"/>
  <c r="I317"/>
  <c r="H317"/>
  <c r="M316"/>
  <c r="X316"/>
  <c r="W316"/>
  <c r="V316"/>
  <c r="U316"/>
  <c r="T316"/>
  <c r="R316"/>
  <c r="Q316"/>
  <c r="S316"/>
  <c r="I316"/>
  <c r="H316"/>
  <c r="M315"/>
  <c r="X315"/>
  <c r="W315"/>
  <c r="V315"/>
  <c r="U315"/>
  <c r="T315"/>
  <c r="R315"/>
  <c r="Q315"/>
  <c r="S315"/>
  <c r="I315"/>
  <c r="H315"/>
  <c r="M314"/>
  <c r="X314"/>
  <c r="W314"/>
  <c r="V314"/>
  <c r="U314"/>
  <c r="T314"/>
  <c r="R314"/>
  <c r="Q314"/>
  <c r="S314"/>
  <c r="I314"/>
  <c r="H314"/>
  <c r="M313"/>
  <c r="X313"/>
  <c r="W313"/>
  <c r="V313"/>
  <c r="U313"/>
  <c r="T313"/>
  <c r="R313"/>
  <c r="Q313"/>
  <c r="S313"/>
  <c r="I313"/>
  <c r="H313"/>
  <c r="M312"/>
  <c r="X312"/>
  <c r="W312"/>
  <c r="V312"/>
  <c r="U312"/>
  <c r="T312"/>
  <c r="R312"/>
  <c r="Q312"/>
  <c r="S312"/>
  <c r="I312"/>
  <c r="H312"/>
  <c r="M311"/>
  <c r="X311"/>
  <c r="W311"/>
  <c r="V311"/>
  <c r="U311"/>
  <c r="T311"/>
  <c r="R311"/>
  <c r="Q311"/>
  <c r="S311"/>
  <c r="I311"/>
  <c r="H311"/>
  <c r="M310"/>
  <c r="X310"/>
  <c r="W310"/>
  <c r="V310"/>
  <c r="U310"/>
  <c r="T310"/>
  <c r="R310"/>
  <c r="Q310"/>
  <c r="S310"/>
  <c r="I310"/>
  <c r="H310"/>
  <c r="M309"/>
  <c r="X309"/>
  <c r="W309"/>
  <c r="V309"/>
  <c r="U309"/>
  <c r="T309"/>
  <c r="R309"/>
  <c r="Q309"/>
  <c r="S309"/>
  <c r="I309"/>
  <c r="H309"/>
  <c r="M308"/>
  <c r="X308"/>
  <c r="W308"/>
  <c r="V308"/>
  <c r="U308"/>
  <c r="T308"/>
  <c r="R308"/>
  <c r="Q308"/>
  <c r="S308"/>
  <c r="I308"/>
  <c r="H308"/>
  <c r="M307"/>
  <c r="X307"/>
  <c r="W307"/>
  <c r="V307"/>
  <c r="U307"/>
  <c r="T307"/>
  <c r="R307"/>
  <c r="Q307"/>
  <c r="S307"/>
  <c r="I307"/>
  <c r="H307"/>
  <c r="M306"/>
  <c r="X306"/>
  <c r="W306"/>
  <c r="V306"/>
  <c r="U306"/>
  <c r="T306"/>
  <c r="R306"/>
  <c r="Q306"/>
  <c r="S306"/>
  <c r="I306"/>
  <c r="H306"/>
  <c r="M305"/>
  <c r="X305"/>
  <c r="W305"/>
  <c r="V305"/>
  <c r="U305"/>
  <c r="T305"/>
  <c r="R305"/>
  <c r="Q305"/>
  <c r="S305"/>
  <c r="I305"/>
  <c r="H305"/>
  <c r="M304"/>
  <c r="X304"/>
  <c r="W304"/>
  <c r="V304"/>
  <c r="U304"/>
  <c r="T304"/>
  <c r="R304"/>
  <c r="Q304"/>
  <c r="S304"/>
  <c r="I304"/>
  <c r="H304"/>
  <c r="M303"/>
  <c r="X303"/>
  <c r="W303"/>
  <c r="V303"/>
  <c r="U303"/>
  <c r="T303"/>
  <c r="R303"/>
  <c r="Q303"/>
  <c r="S303"/>
  <c r="I303"/>
  <c r="H303"/>
  <c r="M302"/>
  <c r="X302"/>
  <c r="W302"/>
  <c r="V302"/>
  <c r="U302"/>
  <c r="T302"/>
  <c r="R302"/>
  <c r="Q302"/>
  <c r="S302"/>
  <c r="I302"/>
  <c r="H302"/>
  <c r="M301"/>
  <c r="X301"/>
  <c r="W301"/>
  <c r="V301"/>
  <c r="U301"/>
  <c r="T301"/>
  <c r="R301"/>
  <c r="Q301"/>
  <c r="S301"/>
  <c r="I301"/>
  <c r="H301"/>
  <c r="M300"/>
  <c r="X300"/>
  <c r="W300"/>
  <c r="V300"/>
  <c r="U300"/>
  <c r="T300"/>
  <c r="R300"/>
  <c r="Q300"/>
  <c r="S300"/>
  <c r="I300"/>
  <c r="H300"/>
  <c r="M299"/>
  <c r="X299"/>
  <c r="W299"/>
  <c r="V299"/>
  <c r="U299"/>
  <c r="T299"/>
  <c r="R299"/>
  <c r="Q299"/>
  <c r="S299"/>
  <c r="I299"/>
  <c r="H299"/>
  <c r="M298"/>
  <c r="X298"/>
  <c r="W298"/>
  <c r="V298"/>
  <c r="U298"/>
  <c r="T298"/>
  <c r="R298"/>
  <c r="Q298"/>
  <c r="S298"/>
  <c r="I298"/>
  <c r="H298"/>
  <c r="M297"/>
  <c r="X297"/>
  <c r="W297"/>
  <c r="V297"/>
  <c r="U297"/>
  <c r="T297"/>
  <c r="R297"/>
  <c r="Q297"/>
  <c r="S297"/>
  <c r="I297"/>
  <c r="H297"/>
  <c r="M296"/>
  <c r="X296"/>
  <c r="W296"/>
  <c r="V296"/>
  <c r="U296"/>
  <c r="T296"/>
  <c r="R296"/>
  <c r="Q296"/>
  <c r="S296"/>
  <c r="I296"/>
  <c r="H296"/>
  <c r="M295"/>
  <c r="X295"/>
  <c r="W295"/>
  <c r="V295"/>
  <c r="U295"/>
  <c r="T295"/>
  <c r="R295"/>
  <c r="Q295"/>
  <c r="S295"/>
  <c r="I295"/>
  <c r="H295"/>
  <c r="M294"/>
  <c r="X294"/>
  <c r="W294"/>
  <c r="V294"/>
  <c r="U294"/>
  <c r="T294"/>
  <c r="R294"/>
  <c r="Q294"/>
  <c r="S294"/>
  <c r="I294"/>
  <c r="H294"/>
  <c r="M293"/>
  <c r="X293"/>
  <c r="W293"/>
  <c r="V293"/>
  <c r="U293"/>
  <c r="T293"/>
  <c r="R293"/>
  <c r="Q293"/>
  <c r="S293"/>
  <c r="I293"/>
  <c r="H293"/>
  <c r="M292"/>
  <c r="X292"/>
  <c r="W292"/>
  <c r="V292"/>
  <c r="U292"/>
  <c r="T292"/>
  <c r="R292"/>
  <c r="Q292"/>
  <c r="S292"/>
  <c r="I292"/>
  <c r="H292"/>
  <c r="M291"/>
  <c r="X291"/>
  <c r="W291"/>
  <c r="V291"/>
  <c r="U291"/>
  <c r="T291"/>
  <c r="R291"/>
  <c r="Q291"/>
  <c r="S291"/>
  <c r="I291"/>
  <c r="H291"/>
  <c r="M290"/>
  <c r="X290"/>
  <c r="W290"/>
  <c r="V290"/>
  <c r="U290"/>
  <c r="T290"/>
  <c r="R290"/>
  <c r="Q290"/>
  <c r="S290"/>
  <c r="I290"/>
  <c r="H290"/>
  <c r="M289"/>
  <c r="X289"/>
  <c r="W289"/>
  <c r="V289"/>
  <c r="U289"/>
  <c r="T289"/>
  <c r="R289"/>
  <c r="Q289"/>
  <c r="S289"/>
  <c r="I289"/>
  <c r="H289"/>
  <c r="M288"/>
  <c r="X288"/>
  <c r="W288"/>
  <c r="V288"/>
  <c r="U288"/>
  <c r="T288"/>
  <c r="R288"/>
  <c r="Q288"/>
  <c r="S288"/>
  <c r="I288"/>
  <c r="H288"/>
  <c r="M287"/>
  <c r="X287"/>
  <c r="W287"/>
  <c r="V287"/>
  <c r="U287"/>
  <c r="T287"/>
  <c r="R287"/>
  <c r="Q287"/>
  <c r="S287"/>
  <c r="I287"/>
  <c r="H287"/>
  <c r="M286"/>
  <c r="X286"/>
  <c r="W286"/>
  <c r="V286"/>
  <c r="U286"/>
  <c r="T286"/>
  <c r="R286"/>
  <c r="Q286"/>
  <c r="S286"/>
  <c r="I286"/>
  <c r="H286"/>
  <c r="M285"/>
  <c r="X285"/>
  <c r="W285"/>
  <c r="V285"/>
  <c r="U285"/>
  <c r="T285"/>
  <c r="R285"/>
  <c r="Q285"/>
  <c r="S285"/>
  <c r="I285"/>
  <c r="H285"/>
  <c r="M284"/>
  <c r="X284"/>
  <c r="W284"/>
  <c r="V284"/>
  <c r="U284"/>
  <c r="T284"/>
  <c r="R284"/>
  <c r="Q284"/>
  <c r="S284"/>
  <c r="I284"/>
  <c r="H284"/>
  <c r="M283"/>
  <c r="X283"/>
  <c r="W283"/>
  <c r="V283"/>
  <c r="U283"/>
  <c r="T283"/>
  <c r="R283"/>
  <c r="Q283"/>
  <c r="S283"/>
  <c r="I283"/>
  <c r="H283"/>
  <c r="M282"/>
  <c r="X282"/>
  <c r="W282"/>
  <c r="V282"/>
  <c r="U282"/>
  <c r="T282"/>
  <c r="R282"/>
  <c r="Q282"/>
  <c r="S282"/>
  <c r="I282"/>
  <c r="H282"/>
  <c r="M281"/>
  <c r="X281"/>
  <c r="W281"/>
  <c r="V281"/>
  <c r="U281"/>
  <c r="T281"/>
  <c r="R281"/>
  <c r="Q281"/>
  <c r="S281"/>
  <c r="I281"/>
  <c r="H281"/>
  <c r="M280"/>
  <c r="X280"/>
  <c r="W280"/>
  <c r="V280"/>
  <c r="U280"/>
  <c r="T280"/>
  <c r="R280"/>
  <c r="Q280"/>
  <c r="S280"/>
  <c r="I280"/>
  <c r="H280"/>
  <c r="M279"/>
  <c r="X279"/>
  <c r="W279"/>
  <c r="V279"/>
  <c r="U279"/>
  <c r="T279"/>
  <c r="R279"/>
  <c r="Q279"/>
  <c r="S279"/>
  <c r="I279"/>
  <c r="H279"/>
  <c r="M278"/>
  <c r="X278"/>
  <c r="W278"/>
  <c r="V278"/>
  <c r="U278"/>
  <c r="T278"/>
  <c r="R278"/>
  <c r="Q278"/>
  <c r="S278"/>
  <c r="I278"/>
  <c r="H278"/>
  <c r="M277"/>
  <c r="X277"/>
  <c r="W277"/>
  <c r="V277"/>
  <c r="U277"/>
  <c r="T277"/>
  <c r="R277"/>
  <c r="Q277"/>
  <c r="S277"/>
  <c r="I277"/>
  <c r="H277"/>
  <c r="M276"/>
  <c r="X276"/>
  <c r="W276"/>
  <c r="V276"/>
  <c r="U276"/>
  <c r="T276"/>
  <c r="R276"/>
  <c r="Q276"/>
  <c r="S276"/>
  <c r="I276"/>
  <c r="H276"/>
  <c r="M275"/>
  <c r="X275"/>
  <c r="W275"/>
  <c r="V275"/>
  <c r="U275"/>
  <c r="T275"/>
  <c r="R275"/>
  <c r="Q275"/>
  <c r="S275"/>
  <c r="I275"/>
  <c r="H275"/>
  <c r="M274"/>
  <c r="X274"/>
  <c r="W274"/>
  <c r="V274"/>
  <c r="U274"/>
  <c r="T274"/>
  <c r="R274"/>
  <c r="Q274"/>
  <c r="S274"/>
  <c r="I274"/>
  <c r="H274"/>
  <c r="M273"/>
  <c r="X273"/>
  <c r="W273"/>
  <c r="V273"/>
  <c r="U273"/>
  <c r="T273"/>
  <c r="R273"/>
  <c r="Q273"/>
  <c r="S273"/>
  <c r="I273"/>
  <c r="H273"/>
  <c r="M272"/>
  <c r="X272"/>
  <c r="W272"/>
  <c r="V272"/>
  <c r="U272"/>
  <c r="T272"/>
  <c r="R272"/>
  <c r="Q272"/>
  <c r="S272"/>
  <c r="I272"/>
  <c r="H272"/>
  <c r="M271"/>
  <c r="X271"/>
  <c r="W271"/>
  <c r="V271"/>
  <c r="U271"/>
  <c r="T271"/>
  <c r="R271"/>
  <c r="Q271"/>
  <c r="S271"/>
  <c r="I271"/>
  <c r="H271"/>
  <c r="M270"/>
  <c r="X270"/>
  <c r="W270"/>
  <c r="V270"/>
  <c r="U270"/>
  <c r="T270"/>
  <c r="R270"/>
  <c r="Q270"/>
  <c r="S270"/>
  <c r="I270"/>
  <c r="H270"/>
  <c r="M269"/>
  <c r="X269"/>
  <c r="W269"/>
  <c r="V269"/>
  <c r="U269"/>
  <c r="T269"/>
  <c r="R269"/>
  <c r="Q269"/>
  <c r="S269"/>
  <c r="I269"/>
  <c r="H269"/>
  <c r="M268"/>
  <c r="X268"/>
  <c r="W268"/>
  <c r="V268"/>
  <c r="U268"/>
  <c r="T268"/>
  <c r="R268"/>
  <c r="Q268"/>
  <c r="S268"/>
  <c r="I268"/>
  <c r="H268"/>
  <c r="M267"/>
  <c r="X267"/>
  <c r="W267"/>
  <c r="V267"/>
  <c r="U267"/>
  <c r="T267"/>
  <c r="R267"/>
  <c r="Q267"/>
  <c r="S267"/>
  <c r="I267"/>
  <c r="H267"/>
  <c r="M266"/>
  <c r="X266"/>
  <c r="W266"/>
  <c r="V266"/>
  <c r="U266"/>
  <c r="T266"/>
  <c r="R266"/>
  <c r="Q266"/>
  <c r="S266"/>
  <c r="I266"/>
  <c r="H266"/>
  <c r="M265"/>
  <c r="X265"/>
  <c r="W265"/>
  <c r="V265"/>
  <c r="U265"/>
  <c r="T265"/>
  <c r="R265"/>
  <c r="Q265"/>
  <c r="S265"/>
  <c r="I265"/>
  <c r="H265"/>
  <c r="M264"/>
  <c r="X264"/>
  <c r="W264"/>
  <c r="V264"/>
  <c r="U264"/>
  <c r="T264"/>
  <c r="R264"/>
  <c r="Q264"/>
  <c r="S264"/>
  <c r="I264"/>
  <c r="H264"/>
  <c r="M263"/>
  <c r="X263"/>
  <c r="W263"/>
  <c r="V263"/>
  <c r="U263"/>
  <c r="T263"/>
  <c r="R263"/>
  <c r="Q263"/>
  <c r="S263"/>
  <c r="I263"/>
  <c r="H263"/>
  <c r="M262"/>
  <c r="X262"/>
  <c r="W262"/>
  <c r="V262"/>
  <c r="U262"/>
  <c r="T262"/>
  <c r="R262"/>
  <c r="Q262"/>
  <c r="S262"/>
  <c r="I262"/>
  <c r="H262"/>
  <c r="M261"/>
  <c r="X261"/>
  <c r="W261"/>
  <c r="V261"/>
  <c r="U261"/>
  <c r="T261"/>
  <c r="R261"/>
  <c r="Q261"/>
  <c r="S261"/>
  <c r="I261"/>
  <c r="H261"/>
  <c r="M260"/>
  <c r="X260"/>
  <c r="W260"/>
  <c r="V260"/>
  <c r="U260"/>
  <c r="T260"/>
  <c r="R260"/>
  <c r="Q260"/>
  <c r="S260"/>
  <c r="I260"/>
  <c r="H260"/>
  <c r="M259"/>
  <c r="X259"/>
  <c r="W259"/>
  <c r="V259"/>
  <c r="U259"/>
  <c r="T259"/>
  <c r="R259"/>
  <c r="Q259"/>
  <c r="S259"/>
  <c r="I259"/>
  <c r="H259"/>
  <c r="M258"/>
  <c r="X258"/>
  <c r="W258"/>
  <c r="V258"/>
  <c r="U258"/>
  <c r="T258"/>
  <c r="R258"/>
  <c r="Q258"/>
  <c r="S258"/>
  <c r="I258"/>
  <c r="H258"/>
  <c r="M257"/>
  <c r="X257"/>
  <c r="W257"/>
  <c r="V257"/>
  <c r="U257"/>
  <c r="T257"/>
  <c r="R257"/>
  <c r="Q257"/>
  <c r="S257"/>
  <c r="I257"/>
  <c r="H257"/>
  <c r="M256"/>
  <c r="X256"/>
  <c r="W256"/>
  <c r="V256"/>
  <c r="U256"/>
  <c r="T256"/>
  <c r="R256"/>
  <c r="Q256"/>
  <c r="S256"/>
  <c r="I256"/>
  <c r="H256"/>
  <c r="M255"/>
  <c r="X255"/>
  <c r="W255"/>
  <c r="V255"/>
  <c r="U255"/>
  <c r="T255"/>
  <c r="R255"/>
  <c r="Q255"/>
  <c r="S255"/>
  <c r="I255"/>
  <c r="H255"/>
  <c r="M254"/>
  <c r="X254"/>
  <c r="W254"/>
  <c r="V254"/>
  <c r="U254"/>
  <c r="T254"/>
  <c r="R254"/>
  <c r="Q254"/>
  <c r="S254"/>
  <c r="I254"/>
  <c r="H254"/>
  <c r="M253"/>
  <c r="X253"/>
  <c r="W253"/>
  <c r="V253"/>
  <c r="U253"/>
  <c r="T253"/>
  <c r="R253"/>
  <c r="Q253"/>
  <c r="S253"/>
  <c r="I253"/>
  <c r="H253"/>
  <c r="M252"/>
  <c r="X252"/>
  <c r="W252"/>
  <c r="V252"/>
  <c r="U252"/>
  <c r="T252"/>
  <c r="R252"/>
  <c r="Q252"/>
  <c r="S252"/>
  <c r="I252"/>
  <c r="H252"/>
  <c r="M251"/>
  <c r="X251"/>
  <c r="W251"/>
  <c r="V251"/>
  <c r="U251"/>
  <c r="T251"/>
  <c r="R251"/>
  <c r="Q251"/>
  <c r="S251"/>
  <c r="I251"/>
  <c r="H251"/>
  <c r="M250"/>
  <c r="X250"/>
  <c r="W250"/>
  <c r="V250"/>
  <c r="U250"/>
  <c r="T250"/>
  <c r="R250"/>
  <c r="Q250"/>
  <c r="S250"/>
  <c r="I250"/>
  <c r="H250"/>
  <c r="M249"/>
  <c r="X249"/>
  <c r="W249"/>
  <c r="V249"/>
  <c r="U249"/>
  <c r="T249"/>
  <c r="R249"/>
  <c r="Q249"/>
  <c r="S249"/>
  <c r="I249"/>
  <c r="H249"/>
  <c r="M248"/>
  <c r="X248"/>
  <c r="W248"/>
  <c r="V248"/>
  <c r="U248"/>
  <c r="T248"/>
  <c r="R248"/>
  <c r="Q248"/>
  <c r="S248"/>
  <c r="I248"/>
  <c r="H248"/>
  <c r="M247"/>
  <c r="X247"/>
  <c r="W247"/>
  <c r="V247"/>
  <c r="U247"/>
  <c r="T247"/>
  <c r="R247"/>
  <c r="Q247"/>
  <c r="S247"/>
  <c r="I247"/>
  <c r="H247"/>
  <c r="M246"/>
  <c r="X246"/>
  <c r="W246"/>
  <c r="V246"/>
  <c r="U246"/>
  <c r="T246"/>
  <c r="R246"/>
  <c r="Q246"/>
  <c r="S246"/>
  <c r="I246"/>
  <c r="H246"/>
  <c r="M245"/>
  <c r="X245"/>
  <c r="W245"/>
  <c r="V245"/>
  <c r="U245"/>
  <c r="T245"/>
  <c r="R245"/>
  <c r="Q245"/>
  <c r="S245"/>
  <c r="I245"/>
  <c r="H245"/>
  <c r="M244"/>
  <c r="X244"/>
  <c r="W244"/>
  <c r="V244"/>
  <c r="U244"/>
  <c r="T244"/>
  <c r="R244"/>
  <c r="Q244"/>
  <c r="S244"/>
  <c r="I244"/>
  <c r="H244"/>
  <c r="M243"/>
  <c r="X243"/>
  <c r="W243"/>
  <c r="V243"/>
  <c r="U243"/>
  <c r="T243"/>
  <c r="R243"/>
  <c r="Q243"/>
  <c r="S243"/>
  <c r="I243"/>
  <c r="H243"/>
  <c r="M242"/>
  <c r="X242"/>
  <c r="W242"/>
  <c r="V242"/>
  <c r="U242"/>
  <c r="T242"/>
  <c r="R242"/>
  <c r="Q242"/>
  <c r="S242"/>
  <c r="I242"/>
  <c r="H242"/>
  <c r="M241"/>
  <c r="X241"/>
  <c r="W241"/>
  <c r="V241"/>
  <c r="U241"/>
  <c r="T241"/>
  <c r="R241"/>
  <c r="Q241"/>
  <c r="S241"/>
  <c r="I241"/>
  <c r="H241"/>
  <c r="M240"/>
  <c r="X240"/>
  <c r="W240"/>
  <c r="V240"/>
  <c r="U240"/>
  <c r="T240"/>
  <c r="R240"/>
  <c r="Q240"/>
  <c r="S240"/>
  <c r="I240"/>
  <c r="H240"/>
  <c r="M239"/>
  <c r="X239"/>
  <c r="W239"/>
  <c r="V239"/>
  <c r="U239"/>
  <c r="T239"/>
  <c r="R239"/>
  <c r="Q239"/>
  <c r="S239"/>
  <c r="I239"/>
  <c r="H239"/>
  <c r="M238"/>
  <c r="X238"/>
  <c r="W238"/>
  <c r="V238"/>
  <c r="U238"/>
  <c r="T238"/>
  <c r="R238"/>
  <c r="Q238"/>
  <c r="S238"/>
  <c r="I238"/>
  <c r="H238"/>
  <c r="M237"/>
  <c r="X237"/>
  <c r="W237"/>
  <c r="V237"/>
  <c r="U237"/>
  <c r="T237"/>
  <c r="R237"/>
  <c r="Q237"/>
  <c r="S237"/>
  <c r="I237"/>
  <c r="H237"/>
  <c r="M236"/>
  <c r="X236"/>
  <c r="W236"/>
  <c r="V236"/>
  <c r="U236"/>
  <c r="T236"/>
  <c r="R236"/>
  <c r="Q236"/>
  <c r="S236"/>
  <c r="I236"/>
  <c r="H236"/>
  <c r="M235"/>
  <c r="X235"/>
  <c r="W235"/>
  <c r="V235"/>
  <c r="U235"/>
  <c r="T235"/>
  <c r="R235"/>
  <c r="Q235"/>
  <c r="S235"/>
  <c r="I235"/>
  <c r="H235"/>
  <c r="M234"/>
  <c r="X234"/>
  <c r="W234"/>
  <c r="V234"/>
  <c r="U234"/>
  <c r="T234"/>
  <c r="R234"/>
  <c r="Q234"/>
  <c r="S234"/>
  <c r="I234"/>
  <c r="H234"/>
  <c r="M233"/>
  <c r="X233"/>
  <c r="W233"/>
  <c r="V233"/>
  <c r="U233"/>
  <c r="T233"/>
  <c r="R233"/>
  <c r="Q233"/>
  <c r="S233"/>
  <c r="I233"/>
  <c r="H233"/>
  <c r="M232"/>
  <c r="X232"/>
  <c r="W232"/>
  <c r="V232"/>
  <c r="U232"/>
  <c r="T232"/>
  <c r="R232"/>
  <c r="Q232"/>
  <c r="S232"/>
  <c r="I232"/>
  <c r="H232"/>
  <c r="M231"/>
  <c r="X231"/>
  <c r="W231"/>
  <c r="V231"/>
  <c r="U231"/>
  <c r="T231"/>
  <c r="R231"/>
  <c r="Q231"/>
  <c r="S231"/>
  <c r="I231"/>
  <c r="H231"/>
  <c r="M230"/>
  <c r="X230"/>
  <c r="W230"/>
  <c r="V230"/>
  <c r="U230"/>
  <c r="T230"/>
  <c r="R230"/>
  <c r="Q230"/>
  <c r="S230"/>
  <c r="I230"/>
  <c r="H230"/>
  <c r="M229"/>
  <c r="X229"/>
  <c r="W229"/>
  <c r="V229"/>
  <c r="U229"/>
  <c r="T229"/>
  <c r="R229"/>
  <c r="Q229"/>
  <c r="S229"/>
  <c r="I229"/>
  <c r="H229"/>
  <c r="M228"/>
  <c r="X228"/>
  <c r="W228"/>
  <c r="V228"/>
  <c r="U228"/>
  <c r="T228"/>
  <c r="R228"/>
  <c r="Q228"/>
  <c r="S228"/>
  <c r="I228"/>
  <c r="H228"/>
  <c r="M227"/>
  <c r="X227"/>
  <c r="W227"/>
  <c r="V227"/>
  <c r="U227"/>
  <c r="T227"/>
  <c r="R227"/>
  <c r="Q227"/>
  <c r="S227"/>
  <c r="I227"/>
  <c r="H227"/>
  <c r="M226"/>
  <c r="X226"/>
  <c r="W226"/>
  <c r="V226"/>
  <c r="U226"/>
  <c r="T226"/>
  <c r="R226"/>
  <c r="Q226"/>
  <c r="S226"/>
  <c r="I226"/>
  <c r="H226"/>
  <c r="M225"/>
  <c r="X225"/>
  <c r="W225"/>
  <c r="V225"/>
  <c r="U225"/>
  <c r="T225"/>
  <c r="R225"/>
  <c r="Q225"/>
  <c r="S225"/>
  <c r="I225"/>
  <c r="H225"/>
  <c r="M224"/>
  <c r="X224"/>
  <c r="W224"/>
  <c r="V224"/>
  <c r="U224"/>
  <c r="T224"/>
  <c r="R224"/>
  <c r="Q224"/>
  <c r="S224"/>
  <c r="I224"/>
  <c r="H224"/>
  <c r="M223"/>
  <c r="X223"/>
  <c r="W223"/>
  <c r="V223"/>
  <c r="U223"/>
  <c r="T223"/>
  <c r="R223"/>
  <c r="Q223"/>
  <c r="S223"/>
  <c r="I223"/>
  <c r="H223"/>
  <c r="M222"/>
  <c r="X222"/>
  <c r="W222"/>
  <c r="V222"/>
  <c r="U222"/>
  <c r="T222"/>
  <c r="R222"/>
  <c r="Q222"/>
  <c r="S222"/>
  <c r="I222"/>
  <c r="H222"/>
  <c r="M221"/>
  <c r="X221"/>
  <c r="W221"/>
  <c r="V221"/>
  <c r="U221"/>
  <c r="T221"/>
  <c r="R221"/>
  <c r="Q221"/>
  <c r="S221"/>
  <c r="I221"/>
  <c r="H221"/>
  <c r="M220"/>
  <c r="X220"/>
  <c r="W220"/>
  <c r="V220"/>
  <c r="U220"/>
  <c r="T220"/>
  <c r="R220"/>
  <c r="Q220"/>
  <c r="S220"/>
  <c r="I220"/>
  <c r="H220"/>
  <c r="M219"/>
  <c r="X219"/>
  <c r="W219"/>
  <c r="V219"/>
  <c r="U219"/>
  <c r="T219"/>
  <c r="R219"/>
  <c r="Q219"/>
  <c r="S219"/>
  <c r="I219"/>
  <c r="H219"/>
  <c r="M218"/>
  <c r="X218"/>
  <c r="W218"/>
  <c r="V218"/>
  <c r="U218"/>
  <c r="T218"/>
  <c r="R218"/>
  <c r="Q218"/>
  <c r="S218"/>
  <c r="I218"/>
  <c r="H218"/>
  <c r="M217"/>
  <c r="X217"/>
  <c r="W217"/>
  <c r="V217"/>
  <c r="U217"/>
  <c r="T217"/>
  <c r="R217"/>
  <c r="Q217"/>
  <c r="S217"/>
  <c r="I217"/>
  <c r="H217"/>
  <c r="M216"/>
  <c r="X216"/>
  <c r="W216"/>
  <c r="V216"/>
  <c r="U216"/>
  <c r="T216"/>
  <c r="R216"/>
  <c r="Q216"/>
  <c r="S216"/>
  <c r="I216"/>
  <c r="H216"/>
  <c r="M215"/>
  <c r="X215"/>
  <c r="W215"/>
  <c r="V215"/>
  <c r="U215"/>
  <c r="T215"/>
  <c r="R215"/>
  <c r="Q215"/>
  <c r="S215"/>
  <c r="I215"/>
  <c r="H215"/>
  <c r="M214"/>
  <c r="X214"/>
  <c r="W214"/>
  <c r="V214"/>
  <c r="U214"/>
  <c r="T214"/>
  <c r="R214"/>
  <c r="Q214"/>
  <c r="S214"/>
  <c r="I214"/>
  <c r="H214"/>
  <c r="M213"/>
  <c r="X213"/>
  <c r="W213"/>
  <c r="V213"/>
  <c r="U213"/>
  <c r="T213"/>
  <c r="R213"/>
  <c r="Q213"/>
  <c r="S213"/>
  <c r="I213"/>
  <c r="H213"/>
  <c r="M212"/>
  <c r="X212"/>
  <c r="W212"/>
  <c r="V212"/>
  <c r="U212"/>
  <c r="T212"/>
  <c r="R212"/>
  <c r="Q212"/>
  <c r="S212"/>
  <c r="I212"/>
  <c r="H212"/>
  <c r="M211"/>
  <c r="X211"/>
  <c r="W211"/>
  <c r="V211"/>
  <c r="U211"/>
  <c r="T211"/>
  <c r="R211"/>
  <c r="Q211"/>
  <c r="S211"/>
  <c r="I211"/>
  <c r="H211"/>
  <c r="M210"/>
  <c r="X210"/>
  <c r="W210"/>
  <c r="V210"/>
  <c r="U210"/>
  <c r="T210"/>
  <c r="R210"/>
  <c r="Q210"/>
  <c r="S210"/>
  <c r="I210"/>
  <c r="H210"/>
  <c r="M209"/>
  <c r="X209"/>
  <c r="W209"/>
  <c r="V209"/>
  <c r="U209"/>
  <c r="T209"/>
  <c r="R209"/>
  <c r="Q209"/>
  <c r="S209"/>
  <c r="I209"/>
  <c r="H209"/>
  <c r="M208"/>
  <c r="X208"/>
  <c r="W208"/>
  <c r="V208"/>
  <c r="U208"/>
  <c r="T208"/>
  <c r="R208"/>
  <c r="Q208"/>
  <c r="S208"/>
  <c r="I208"/>
  <c r="H208"/>
  <c r="M207"/>
  <c r="X207"/>
  <c r="W207"/>
  <c r="V207"/>
  <c r="U207"/>
  <c r="T207"/>
  <c r="R207"/>
  <c r="Q207"/>
  <c r="S207"/>
  <c r="I207"/>
  <c r="H207"/>
  <c r="M206"/>
  <c r="X206"/>
  <c r="W206"/>
  <c r="V206"/>
  <c r="U206"/>
  <c r="T206"/>
  <c r="R206"/>
  <c r="Q206"/>
  <c r="S206"/>
  <c r="I206"/>
  <c r="H206"/>
  <c r="M205"/>
  <c r="X205"/>
  <c r="W205"/>
  <c r="V205"/>
  <c r="U205"/>
  <c r="T205"/>
  <c r="R205"/>
  <c r="Q205"/>
  <c r="S205"/>
  <c r="I205"/>
  <c r="H205"/>
  <c r="M204"/>
  <c r="X204"/>
  <c r="W204"/>
  <c r="V204"/>
  <c r="U204"/>
  <c r="T204"/>
  <c r="R204"/>
  <c r="Q204"/>
  <c r="S204"/>
  <c r="I204"/>
  <c r="H204"/>
  <c r="M203"/>
  <c r="X203"/>
  <c r="W203"/>
  <c r="V203"/>
  <c r="U203"/>
  <c r="T203"/>
  <c r="R203"/>
  <c r="Q203"/>
  <c r="S203"/>
  <c r="I203"/>
  <c r="H203"/>
  <c r="M202"/>
  <c r="X202"/>
  <c r="W202"/>
  <c r="V202"/>
  <c r="U202"/>
  <c r="T202"/>
  <c r="R202"/>
  <c r="Q202"/>
  <c r="S202"/>
  <c r="I202"/>
  <c r="H202"/>
  <c r="M201"/>
  <c r="X201"/>
  <c r="W201"/>
  <c r="V201"/>
  <c r="U201"/>
  <c r="T201"/>
  <c r="R201"/>
  <c r="Q201"/>
  <c r="S201"/>
  <c r="I201"/>
  <c r="H201"/>
  <c r="M200"/>
  <c r="X200"/>
  <c r="W200"/>
  <c r="V200"/>
  <c r="U200"/>
  <c r="T200"/>
  <c r="R200"/>
  <c r="Q200"/>
  <c r="S200"/>
  <c r="I200"/>
  <c r="H200"/>
  <c r="M199"/>
  <c r="X199"/>
  <c r="W199"/>
  <c r="V199"/>
  <c r="U199"/>
  <c r="T199"/>
  <c r="R199"/>
  <c r="Q199"/>
  <c r="S199"/>
  <c r="I199"/>
  <c r="H199"/>
  <c r="M198"/>
  <c r="X198"/>
  <c r="W198"/>
  <c r="V198"/>
  <c r="U198"/>
  <c r="T198"/>
  <c r="R198"/>
  <c r="Q198"/>
  <c r="S198"/>
  <c r="I198"/>
  <c r="H198"/>
  <c r="M197"/>
  <c r="X197"/>
  <c r="W197"/>
  <c r="V197"/>
  <c r="U197"/>
  <c r="T197"/>
  <c r="R197"/>
  <c r="Q197"/>
  <c r="S197"/>
  <c r="I197"/>
  <c r="H197"/>
  <c r="M196"/>
  <c r="X196"/>
  <c r="W196"/>
  <c r="V196"/>
  <c r="U196"/>
  <c r="T196"/>
  <c r="R196"/>
  <c r="Q196"/>
  <c r="S196"/>
  <c r="I196"/>
  <c r="H196"/>
  <c r="M195"/>
  <c r="X195"/>
  <c r="W195"/>
  <c r="V195"/>
  <c r="U195"/>
  <c r="T195"/>
  <c r="R195"/>
  <c r="Q195"/>
  <c r="S195"/>
  <c r="I195"/>
  <c r="H195"/>
  <c r="M194"/>
  <c r="X194"/>
  <c r="W194"/>
  <c r="V194"/>
  <c r="U194"/>
  <c r="T194"/>
  <c r="R194"/>
  <c r="Q194"/>
  <c r="S194"/>
  <c r="I194"/>
  <c r="H194"/>
  <c r="M193"/>
  <c r="X193"/>
  <c r="W193"/>
  <c r="V193"/>
  <c r="U193"/>
  <c r="T193"/>
  <c r="R193"/>
  <c r="Q193"/>
  <c r="S193"/>
  <c r="I193"/>
  <c r="H193"/>
  <c r="M192"/>
  <c r="X192"/>
  <c r="W192"/>
  <c r="V192"/>
  <c r="U192"/>
  <c r="T192"/>
  <c r="R192"/>
  <c r="Q192"/>
  <c r="S192"/>
  <c r="I192"/>
  <c r="H192"/>
  <c r="M191"/>
  <c r="X191"/>
  <c r="W191"/>
  <c r="V191"/>
  <c r="U191"/>
  <c r="T191"/>
  <c r="R191"/>
  <c r="Q191"/>
  <c r="S191"/>
  <c r="I191"/>
  <c r="H191"/>
  <c r="M190"/>
  <c r="X190"/>
  <c r="W190"/>
  <c r="V190"/>
  <c r="U190"/>
  <c r="T190"/>
  <c r="R190"/>
  <c r="Q190"/>
  <c r="S190"/>
  <c r="I190"/>
  <c r="H190"/>
  <c r="M189"/>
  <c r="X189"/>
  <c r="W189"/>
  <c r="V189"/>
  <c r="U189"/>
  <c r="T189"/>
  <c r="R189"/>
  <c r="Q189"/>
  <c r="S189"/>
  <c r="I189"/>
  <c r="H189"/>
  <c r="M188"/>
  <c r="X188"/>
  <c r="W188"/>
  <c r="V188"/>
  <c r="U188"/>
  <c r="T188"/>
  <c r="R188"/>
  <c r="Q188"/>
  <c r="S188"/>
  <c r="I188"/>
  <c r="H188"/>
  <c r="M187"/>
  <c r="X187"/>
  <c r="W187"/>
  <c r="V187"/>
  <c r="U187"/>
  <c r="T187"/>
  <c r="R187"/>
  <c r="Q187"/>
  <c r="S187"/>
  <c r="I187"/>
  <c r="H187"/>
  <c r="M186"/>
  <c r="X186"/>
  <c r="W186"/>
  <c r="V186"/>
  <c r="U186"/>
  <c r="T186"/>
  <c r="R186"/>
  <c r="Q186"/>
  <c r="S186"/>
  <c r="I186"/>
  <c r="H186"/>
  <c r="M185"/>
  <c r="X185"/>
  <c r="W185"/>
  <c r="V185"/>
  <c r="U185"/>
  <c r="T185"/>
  <c r="R185"/>
  <c r="Q185"/>
  <c r="S185"/>
  <c r="I185"/>
  <c r="H185"/>
  <c r="M184"/>
  <c r="X184"/>
  <c r="W184"/>
  <c r="V184"/>
  <c r="U184"/>
  <c r="T184"/>
  <c r="R184"/>
  <c r="Q184"/>
  <c r="S184"/>
  <c r="I184"/>
  <c r="H184"/>
  <c r="M183"/>
  <c r="X183"/>
  <c r="W183"/>
  <c r="V183"/>
  <c r="U183"/>
  <c r="T183"/>
  <c r="R183"/>
  <c r="Q183"/>
  <c r="S183"/>
  <c r="I183"/>
  <c r="H183"/>
  <c r="M182"/>
  <c r="X182"/>
  <c r="W182"/>
  <c r="V182"/>
  <c r="U182"/>
  <c r="T182"/>
  <c r="R182"/>
  <c r="Q182"/>
  <c r="S182"/>
  <c r="I182"/>
  <c r="H182"/>
  <c r="M181"/>
  <c r="X181"/>
  <c r="W181"/>
  <c r="V181"/>
  <c r="U181"/>
  <c r="T181"/>
  <c r="R181"/>
  <c r="Q181"/>
  <c r="S181"/>
  <c r="I181"/>
  <c r="H181"/>
  <c r="M180"/>
  <c r="X180"/>
  <c r="W180"/>
  <c r="V180"/>
  <c r="U180"/>
  <c r="T180"/>
  <c r="R180"/>
  <c r="Q180"/>
  <c r="S180"/>
  <c r="I180"/>
  <c r="H180"/>
  <c r="M179"/>
  <c r="X179"/>
  <c r="W179"/>
  <c r="V179"/>
  <c r="U179"/>
  <c r="T179"/>
  <c r="R179"/>
  <c r="Q179"/>
  <c r="S179"/>
  <c r="I179"/>
  <c r="H179"/>
  <c r="M178"/>
  <c r="X178"/>
  <c r="W178"/>
  <c r="V178"/>
  <c r="U178"/>
  <c r="T178"/>
  <c r="R178"/>
  <c r="Q178"/>
  <c r="S178"/>
  <c r="I178"/>
  <c r="H178"/>
  <c r="M177"/>
  <c r="X177"/>
  <c r="W177"/>
  <c r="V177"/>
  <c r="U177"/>
  <c r="T177"/>
  <c r="R177"/>
  <c r="Q177"/>
  <c r="S177"/>
  <c r="I177"/>
  <c r="H177"/>
  <c r="M176"/>
  <c r="X176"/>
  <c r="W176"/>
  <c r="V176"/>
  <c r="U176"/>
  <c r="T176"/>
  <c r="R176"/>
  <c r="Q176"/>
  <c r="S176"/>
  <c r="I176"/>
  <c r="H176"/>
  <c r="M175"/>
  <c r="X175"/>
  <c r="W175"/>
  <c r="V175"/>
  <c r="U175"/>
  <c r="T175"/>
  <c r="R175"/>
  <c r="Q175"/>
  <c r="S175"/>
  <c r="I175"/>
  <c r="H175"/>
  <c r="M174"/>
  <c r="X174"/>
  <c r="W174"/>
  <c r="V174"/>
  <c r="U174"/>
  <c r="T174"/>
  <c r="R174"/>
  <c r="Q174"/>
  <c r="S174"/>
  <c r="I174"/>
  <c r="H174"/>
  <c r="M173"/>
  <c r="X173"/>
  <c r="W173"/>
  <c r="V173"/>
  <c r="U173"/>
  <c r="T173"/>
  <c r="R173"/>
  <c r="Q173"/>
  <c r="S173"/>
  <c r="I173"/>
  <c r="H173"/>
  <c r="M172"/>
  <c r="X172"/>
  <c r="W172"/>
  <c r="V172"/>
  <c r="U172"/>
  <c r="T172"/>
  <c r="R172"/>
  <c r="Q172"/>
  <c r="S172"/>
  <c r="I172"/>
  <c r="H172"/>
  <c r="M171"/>
  <c r="X171"/>
  <c r="W171"/>
  <c r="V171"/>
  <c r="U171"/>
  <c r="T171"/>
  <c r="R171"/>
  <c r="Q171"/>
  <c r="S171"/>
  <c r="I171"/>
  <c r="H171"/>
  <c r="M170"/>
  <c r="X170"/>
  <c r="W170"/>
  <c r="V170"/>
  <c r="U170"/>
  <c r="T170"/>
  <c r="R170"/>
  <c r="Q170"/>
  <c r="S170"/>
  <c r="I170"/>
  <c r="H170"/>
  <c r="M169"/>
  <c r="X169"/>
  <c r="W169"/>
  <c r="V169"/>
  <c r="U169"/>
  <c r="T169"/>
  <c r="R169"/>
  <c r="Q169"/>
  <c r="S169"/>
  <c r="I169"/>
  <c r="H169"/>
  <c r="M168"/>
  <c r="X168"/>
  <c r="W168"/>
  <c r="V168"/>
  <c r="U168"/>
  <c r="T168"/>
  <c r="R168"/>
  <c r="Q168"/>
  <c r="S168"/>
  <c r="I168"/>
  <c r="H168"/>
  <c r="M167"/>
  <c r="X167"/>
  <c r="W167"/>
  <c r="V167"/>
  <c r="U167"/>
  <c r="T167"/>
  <c r="R167"/>
  <c r="Q167"/>
  <c r="S167"/>
  <c r="I167"/>
  <c r="H167"/>
  <c r="M166"/>
  <c r="X166"/>
  <c r="W166"/>
  <c r="V166"/>
  <c r="U166"/>
  <c r="T166"/>
  <c r="R166"/>
  <c r="Q166"/>
  <c r="S166"/>
  <c r="I166"/>
  <c r="H166"/>
  <c r="M165"/>
  <c r="X165"/>
  <c r="W165"/>
  <c r="V165"/>
  <c r="U165"/>
  <c r="T165"/>
  <c r="R165"/>
  <c r="Q165"/>
  <c r="S165"/>
  <c r="I165"/>
  <c r="H165"/>
  <c r="M164"/>
  <c r="X164"/>
  <c r="W164"/>
  <c r="V164"/>
  <c r="U164"/>
  <c r="T164"/>
  <c r="R164"/>
  <c r="Q164"/>
  <c r="S164"/>
  <c r="I164"/>
  <c r="H164"/>
  <c r="M163"/>
  <c r="X163"/>
  <c r="W163"/>
  <c r="V163"/>
  <c r="U163"/>
  <c r="T163"/>
  <c r="R163"/>
  <c r="Q163"/>
  <c r="S163"/>
  <c r="I163"/>
  <c r="H163"/>
  <c r="M162"/>
  <c r="X162"/>
  <c r="W162"/>
  <c r="V162"/>
  <c r="U162"/>
  <c r="T162"/>
  <c r="R162"/>
  <c r="Q162"/>
  <c r="S162"/>
  <c r="I162"/>
  <c r="H162"/>
  <c r="M161"/>
  <c r="X161"/>
  <c r="W161"/>
  <c r="V161"/>
  <c r="U161"/>
  <c r="T161"/>
  <c r="R161"/>
  <c r="Q161"/>
  <c r="S161"/>
  <c r="I161"/>
  <c r="H161"/>
  <c r="M160"/>
  <c r="X160"/>
  <c r="W160"/>
  <c r="V160"/>
  <c r="U160"/>
  <c r="T160"/>
  <c r="R160"/>
  <c r="Q160"/>
  <c r="S160"/>
  <c r="I160"/>
  <c r="H160"/>
  <c r="M159"/>
  <c r="X159"/>
  <c r="W159"/>
  <c r="V159"/>
  <c r="U159"/>
  <c r="T159"/>
  <c r="R159"/>
  <c r="Q159"/>
  <c r="S159"/>
  <c r="I159"/>
  <c r="H159"/>
  <c r="M158"/>
  <c r="X158"/>
  <c r="W158"/>
  <c r="V158"/>
  <c r="U158"/>
  <c r="T158"/>
  <c r="R158"/>
  <c r="Q158"/>
  <c r="S158"/>
  <c r="I158"/>
  <c r="H158"/>
  <c r="M157"/>
  <c r="X157"/>
  <c r="W157"/>
  <c r="V157"/>
  <c r="U157"/>
  <c r="T157"/>
  <c r="R157"/>
  <c r="Q157"/>
  <c r="S157"/>
  <c r="I157"/>
  <c r="H157"/>
  <c r="M156"/>
  <c r="X156"/>
  <c r="W156"/>
  <c r="V156"/>
  <c r="U156"/>
  <c r="T156"/>
  <c r="R156"/>
  <c r="Q156"/>
  <c r="S156"/>
  <c r="I156"/>
  <c r="H156"/>
  <c r="M155"/>
  <c r="X155"/>
  <c r="W155"/>
  <c r="V155"/>
  <c r="U155"/>
  <c r="T155"/>
  <c r="R155"/>
  <c r="Q155"/>
  <c r="S155"/>
  <c r="I155"/>
  <c r="H155"/>
  <c r="M154"/>
  <c r="X154"/>
  <c r="W154"/>
  <c r="V154"/>
  <c r="U154"/>
  <c r="T154"/>
  <c r="R154"/>
  <c r="Q154"/>
  <c r="S154"/>
  <c r="I154"/>
  <c r="H154"/>
  <c r="M153"/>
  <c r="X153"/>
  <c r="W153"/>
  <c r="V153"/>
  <c r="U153"/>
  <c r="T153"/>
  <c r="R153"/>
  <c r="Q153"/>
  <c r="S153"/>
  <c r="I153"/>
  <c r="H153"/>
  <c r="M152"/>
  <c r="X152"/>
  <c r="W152"/>
  <c r="V152"/>
  <c r="U152"/>
  <c r="T152"/>
  <c r="R152"/>
  <c r="Q152"/>
  <c r="S152"/>
  <c r="I152"/>
  <c r="H152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50"/>
  <c r="M51"/>
  <c r="M52"/>
  <c r="M53"/>
  <c r="M54"/>
  <c r="M55"/>
  <c r="M56"/>
  <c r="M57"/>
  <c r="M58"/>
  <c r="M59"/>
  <c r="M60"/>
  <c r="M61"/>
  <c r="M62"/>
  <c r="M63"/>
  <c r="M64"/>
  <c r="M65"/>
  <c r="M36"/>
  <c r="M39"/>
  <c r="M40"/>
  <c r="M41"/>
  <c r="M44"/>
  <c r="M23"/>
  <c r="M24"/>
  <c r="M25"/>
  <c r="M45"/>
  <c r="M46"/>
  <c r="M66"/>
  <c r="M67"/>
  <c r="M87"/>
  <c r="M88"/>
  <c r="M108"/>
  <c r="M109"/>
  <c r="M129"/>
  <c r="M130"/>
  <c r="M150"/>
  <c r="M151"/>
  <c r="X151"/>
  <c r="W151"/>
  <c r="V151"/>
  <c r="U24"/>
  <c r="X5"/>
  <c r="U5"/>
  <c r="X6"/>
  <c r="U6"/>
  <c r="X7"/>
  <c r="U7"/>
  <c r="X8"/>
  <c r="U8"/>
  <c r="X9"/>
  <c r="U9"/>
  <c r="X10"/>
  <c r="U10"/>
  <c r="X11"/>
  <c r="U11"/>
  <c r="U12"/>
  <c r="X13"/>
  <c r="U13"/>
  <c r="X14"/>
  <c r="U14"/>
  <c r="X15"/>
  <c r="U15"/>
  <c r="X16"/>
  <c r="U16"/>
  <c r="X17"/>
  <c r="U17"/>
  <c r="X18"/>
  <c r="U18"/>
  <c r="X19"/>
  <c r="U19"/>
  <c r="X20"/>
  <c r="U20"/>
  <c r="X21"/>
  <c r="U21"/>
  <c r="U22"/>
  <c r="U23"/>
  <c r="U25"/>
  <c r="U45"/>
  <c r="X26"/>
  <c r="U26"/>
  <c r="X27"/>
  <c r="U27"/>
  <c r="U28"/>
  <c r="U29"/>
  <c r="U30"/>
  <c r="U31"/>
  <c r="X32"/>
  <c r="U32"/>
  <c r="X33"/>
  <c r="U33"/>
  <c r="U34"/>
  <c r="X35"/>
  <c r="U35"/>
  <c r="X36"/>
  <c r="U36"/>
  <c r="U37"/>
  <c r="X38"/>
  <c r="U38"/>
  <c r="X39"/>
  <c r="U39"/>
  <c r="X40"/>
  <c r="U40"/>
  <c r="X41"/>
  <c r="U41"/>
  <c r="X42"/>
  <c r="U42"/>
  <c r="X43"/>
  <c r="U43"/>
  <c r="U44"/>
  <c r="U46"/>
  <c r="U66"/>
  <c r="X47"/>
  <c r="U47"/>
  <c r="X48"/>
  <c r="U48"/>
  <c r="X49"/>
  <c r="U49"/>
  <c r="X50"/>
  <c r="U50"/>
  <c r="X51"/>
  <c r="U51"/>
  <c r="X52"/>
  <c r="U52"/>
  <c r="X53"/>
  <c r="U53"/>
  <c r="X54"/>
  <c r="U54"/>
  <c r="X55"/>
  <c r="U55"/>
  <c r="X56"/>
  <c r="U56"/>
  <c r="X57"/>
  <c r="U57"/>
  <c r="X58"/>
  <c r="U58"/>
  <c r="X59"/>
  <c r="U59"/>
  <c r="X60"/>
  <c r="U60"/>
  <c r="X61"/>
  <c r="U61"/>
  <c r="X62"/>
  <c r="U62"/>
  <c r="X63"/>
  <c r="U63"/>
  <c r="X64"/>
  <c r="U64"/>
  <c r="U65"/>
  <c r="U67"/>
  <c r="U87"/>
  <c r="X68"/>
  <c r="U68"/>
  <c r="X69"/>
  <c r="U69"/>
  <c r="X70"/>
  <c r="U70"/>
  <c r="X71"/>
  <c r="U71"/>
  <c r="X72"/>
  <c r="U72"/>
  <c r="X73"/>
  <c r="U73"/>
  <c r="X74"/>
  <c r="U74"/>
  <c r="X75"/>
  <c r="U75"/>
  <c r="X76"/>
  <c r="U76"/>
  <c r="X77"/>
  <c r="U77"/>
  <c r="X78"/>
  <c r="U78"/>
  <c r="X79"/>
  <c r="U79"/>
  <c r="X80"/>
  <c r="U80"/>
  <c r="X81"/>
  <c r="U81"/>
  <c r="X82"/>
  <c r="U82"/>
  <c r="X83"/>
  <c r="U83"/>
  <c r="X84"/>
  <c r="U84"/>
  <c r="X85"/>
  <c r="U85"/>
  <c r="U86"/>
  <c r="U88"/>
  <c r="U108"/>
  <c r="X89"/>
  <c r="U89"/>
  <c r="X90"/>
  <c r="U90"/>
  <c r="X91"/>
  <c r="U91"/>
  <c r="X92"/>
  <c r="U92"/>
  <c r="X93"/>
  <c r="U93"/>
  <c r="X94"/>
  <c r="U94"/>
  <c r="X95"/>
  <c r="U95"/>
  <c r="X96"/>
  <c r="U96"/>
  <c r="X97"/>
  <c r="U97"/>
  <c r="X98"/>
  <c r="U98"/>
  <c r="X99"/>
  <c r="U99"/>
  <c r="X100"/>
  <c r="U100"/>
  <c r="X101"/>
  <c r="U101"/>
  <c r="X102"/>
  <c r="U102"/>
  <c r="X103"/>
  <c r="U103"/>
  <c r="X104"/>
  <c r="U104"/>
  <c r="X105"/>
  <c r="U105"/>
  <c r="X106"/>
  <c r="U106"/>
  <c r="U107"/>
  <c r="U109"/>
  <c r="U129"/>
  <c r="X110"/>
  <c r="U110"/>
  <c r="X111"/>
  <c r="U111"/>
  <c r="X112"/>
  <c r="U112"/>
  <c r="X113"/>
  <c r="U113"/>
  <c r="X114"/>
  <c r="U114"/>
  <c r="X115"/>
  <c r="U115"/>
  <c r="X116"/>
  <c r="U116"/>
  <c r="X117"/>
  <c r="U117"/>
  <c r="X118"/>
  <c r="U118"/>
  <c r="X119"/>
  <c r="U119"/>
  <c r="X120"/>
  <c r="U120"/>
  <c r="X121"/>
  <c r="U121"/>
  <c r="X122"/>
  <c r="U122"/>
  <c r="X123"/>
  <c r="U123"/>
  <c r="X124"/>
  <c r="U124"/>
  <c r="X125"/>
  <c r="U125"/>
  <c r="X126"/>
  <c r="U126"/>
  <c r="X127"/>
  <c r="U127"/>
  <c r="U128"/>
  <c r="U130"/>
  <c r="U150"/>
  <c r="X131"/>
  <c r="U131"/>
  <c r="X132"/>
  <c r="U132"/>
  <c r="X133"/>
  <c r="U133"/>
  <c r="X134"/>
  <c r="U134"/>
  <c r="X135"/>
  <c r="U135"/>
  <c r="X136"/>
  <c r="U136"/>
  <c r="X137"/>
  <c r="U137"/>
  <c r="X138"/>
  <c r="U138"/>
  <c r="X139"/>
  <c r="U139"/>
  <c r="X140"/>
  <c r="U140"/>
  <c r="X141"/>
  <c r="U141"/>
  <c r="X142"/>
  <c r="U142"/>
  <c r="X143"/>
  <c r="U143"/>
  <c r="X144"/>
  <c r="U144"/>
  <c r="X145"/>
  <c r="U145"/>
  <c r="X146"/>
  <c r="U146"/>
  <c r="X147"/>
  <c r="U147"/>
  <c r="X148"/>
  <c r="U148"/>
  <c r="U149"/>
  <c r="U151"/>
  <c r="T24"/>
  <c r="T5"/>
  <c r="T6"/>
  <c r="T7"/>
  <c r="T8"/>
  <c r="T9"/>
  <c r="T10"/>
  <c r="T11"/>
  <c r="X12"/>
  <c r="T12"/>
  <c r="T13"/>
  <c r="T14"/>
  <c r="T15"/>
  <c r="T16"/>
  <c r="T17"/>
  <c r="T18"/>
  <c r="T19"/>
  <c r="T20"/>
  <c r="T21"/>
  <c r="X22"/>
  <c r="T22"/>
  <c r="T23"/>
  <c r="T25"/>
  <c r="T45"/>
  <c r="T26"/>
  <c r="T27"/>
  <c r="T28"/>
  <c r="T29"/>
  <c r="T30"/>
  <c r="T31"/>
  <c r="T32"/>
  <c r="T33"/>
  <c r="X34"/>
  <c r="T34"/>
  <c r="T35"/>
  <c r="T36"/>
  <c r="X37"/>
  <c r="T37"/>
  <c r="T38"/>
  <c r="T39"/>
  <c r="T40"/>
  <c r="T41"/>
  <c r="T42"/>
  <c r="T43"/>
  <c r="T44"/>
  <c r="T46"/>
  <c r="T6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7"/>
  <c r="T8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8"/>
  <c r="T10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9"/>
  <c r="T12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30"/>
  <c r="T15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1"/>
  <c r="O149"/>
  <c r="O128"/>
  <c r="O107"/>
  <c r="O86"/>
  <c r="O65"/>
  <c r="O44"/>
  <c r="O23"/>
  <c r="O25"/>
  <c r="O45"/>
  <c r="O46"/>
  <c r="O66"/>
  <c r="O67"/>
  <c r="O87"/>
  <c r="O88"/>
  <c r="O108"/>
  <c r="O109"/>
  <c r="O129"/>
  <c r="O130"/>
  <c r="O150"/>
  <c r="O151"/>
  <c r="I151"/>
  <c r="X150"/>
  <c r="W150"/>
  <c r="V150"/>
  <c r="I150"/>
  <c r="X149"/>
  <c r="W149"/>
  <c r="V149"/>
  <c r="I149"/>
  <c r="W148"/>
  <c r="V148"/>
  <c r="R148"/>
  <c r="Q148"/>
  <c r="S148"/>
  <c r="I148"/>
  <c r="H148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W147"/>
  <c r="V147"/>
  <c r="R147"/>
  <c r="Q147"/>
  <c r="S147"/>
  <c r="I147"/>
  <c r="H147"/>
  <c r="W146"/>
  <c r="V146"/>
  <c r="R146"/>
  <c r="Q146"/>
  <c r="S146"/>
  <c r="I146"/>
  <c r="H146"/>
  <c r="W145"/>
  <c r="V145"/>
  <c r="R145"/>
  <c r="Q145"/>
  <c r="S145"/>
  <c r="I145"/>
  <c r="H145"/>
  <c r="W144"/>
  <c r="V144"/>
  <c r="R144"/>
  <c r="Q144"/>
  <c r="S144"/>
  <c r="I144"/>
  <c r="H144"/>
  <c r="W143"/>
  <c r="V143"/>
  <c r="R143"/>
  <c r="Q143"/>
  <c r="S143"/>
  <c r="I143"/>
  <c r="H143"/>
  <c r="W142"/>
  <c r="V142"/>
  <c r="R142"/>
  <c r="Q142"/>
  <c r="S142"/>
  <c r="I142"/>
  <c r="H142"/>
  <c r="W141"/>
  <c r="V141"/>
  <c r="R141"/>
  <c r="Q141"/>
  <c r="S141"/>
  <c r="I141"/>
  <c r="H141"/>
  <c r="W140"/>
  <c r="V140"/>
  <c r="R140"/>
  <c r="Q140"/>
  <c r="S140"/>
  <c r="I140"/>
  <c r="H140"/>
  <c r="W139"/>
  <c r="V139"/>
  <c r="R139"/>
  <c r="Q139"/>
  <c r="S139"/>
  <c r="I139"/>
  <c r="H139"/>
  <c r="W138"/>
  <c r="V138"/>
  <c r="R138"/>
  <c r="Q138"/>
  <c r="S138"/>
  <c r="I138"/>
  <c r="H138"/>
  <c r="W137"/>
  <c r="V137"/>
  <c r="R137"/>
  <c r="Q137"/>
  <c r="S137"/>
  <c r="I137"/>
  <c r="H137"/>
  <c r="W136"/>
  <c r="V136"/>
  <c r="R136"/>
  <c r="Q136"/>
  <c r="S136"/>
  <c r="I136"/>
  <c r="H136"/>
  <c r="W135"/>
  <c r="V135"/>
  <c r="R135"/>
  <c r="Q135"/>
  <c r="S135"/>
  <c r="I135"/>
  <c r="H135"/>
  <c r="W134"/>
  <c r="V134"/>
  <c r="R134"/>
  <c r="Q134"/>
  <c r="S134"/>
  <c r="I134"/>
  <c r="H134"/>
  <c r="W133"/>
  <c r="V133"/>
  <c r="R133"/>
  <c r="Q133"/>
  <c r="S133"/>
  <c r="I133"/>
  <c r="H133"/>
  <c r="W132"/>
  <c r="V132"/>
  <c r="R132"/>
  <c r="Q132"/>
  <c r="S132"/>
  <c r="I132"/>
  <c r="H132"/>
  <c r="W131"/>
  <c r="V131"/>
  <c r="R131"/>
  <c r="Q131"/>
  <c r="S131"/>
  <c r="I131"/>
  <c r="H131"/>
  <c r="X130"/>
  <c r="W130"/>
  <c r="V130"/>
  <c r="I130"/>
  <c r="X129"/>
  <c r="W129"/>
  <c r="V129"/>
  <c r="I129"/>
  <c r="X128"/>
  <c r="W128"/>
  <c r="V128"/>
  <c r="I128"/>
  <c r="W127"/>
  <c r="V127"/>
  <c r="R127"/>
  <c r="Q127"/>
  <c r="S127"/>
  <c r="I127"/>
  <c r="H127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W126"/>
  <c r="V126"/>
  <c r="R126"/>
  <c r="Q126"/>
  <c r="S126"/>
  <c r="I126"/>
  <c r="H126"/>
  <c r="W125"/>
  <c r="V125"/>
  <c r="R125"/>
  <c r="Q125"/>
  <c r="S125"/>
  <c r="I125"/>
  <c r="H125"/>
  <c r="W124"/>
  <c r="V124"/>
  <c r="R124"/>
  <c r="Q124"/>
  <c r="S124"/>
  <c r="I124"/>
  <c r="H124"/>
  <c r="W123"/>
  <c r="V123"/>
  <c r="R123"/>
  <c r="Q123"/>
  <c r="S123"/>
  <c r="I123"/>
  <c r="H123"/>
  <c r="W122"/>
  <c r="V122"/>
  <c r="R122"/>
  <c r="Q122"/>
  <c r="S122"/>
  <c r="I122"/>
  <c r="H122"/>
  <c r="W121"/>
  <c r="V121"/>
  <c r="R121"/>
  <c r="Q121"/>
  <c r="S121"/>
  <c r="I121"/>
  <c r="H121"/>
  <c r="W120"/>
  <c r="V120"/>
  <c r="R120"/>
  <c r="Q120"/>
  <c r="S120"/>
  <c r="I120"/>
  <c r="H120"/>
  <c r="W119"/>
  <c r="V119"/>
  <c r="R119"/>
  <c r="Q119"/>
  <c r="S119"/>
  <c r="I119"/>
  <c r="H119"/>
  <c r="W118"/>
  <c r="V118"/>
  <c r="R118"/>
  <c r="Q118"/>
  <c r="S118"/>
  <c r="I118"/>
  <c r="H118"/>
  <c r="W117"/>
  <c r="V117"/>
  <c r="R117"/>
  <c r="Q117"/>
  <c r="S117"/>
  <c r="I117"/>
  <c r="H117"/>
  <c r="W116"/>
  <c r="V116"/>
  <c r="R116"/>
  <c r="Q116"/>
  <c r="S116"/>
  <c r="I116"/>
  <c r="H116"/>
  <c r="W115"/>
  <c r="V115"/>
  <c r="R115"/>
  <c r="Q115"/>
  <c r="S115"/>
  <c r="I115"/>
  <c r="H115"/>
  <c r="W114"/>
  <c r="V114"/>
  <c r="R114"/>
  <c r="Q114"/>
  <c r="S114"/>
  <c r="I114"/>
  <c r="H114"/>
  <c r="W113"/>
  <c r="V113"/>
  <c r="R113"/>
  <c r="Q113"/>
  <c r="S113"/>
  <c r="I113"/>
  <c r="H113"/>
  <c r="W112"/>
  <c r="V112"/>
  <c r="R112"/>
  <c r="Q112"/>
  <c r="S112"/>
  <c r="I112"/>
  <c r="H112"/>
  <c r="W111"/>
  <c r="V111"/>
  <c r="R111"/>
  <c r="Q111"/>
  <c r="S111"/>
  <c r="I111"/>
  <c r="H111"/>
  <c r="W110"/>
  <c r="V110"/>
  <c r="R110"/>
  <c r="Q110"/>
  <c r="S110"/>
  <c r="I110"/>
  <c r="H110"/>
  <c r="X109"/>
  <c r="W109"/>
  <c r="V109"/>
  <c r="I109"/>
  <c r="X108"/>
  <c r="W108"/>
  <c r="V108"/>
  <c r="I108"/>
  <c r="X107"/>
  <c r="W107"/>
  <c r="V107"/>
  <c r="I107"/>
  <c r="W106"/>
  <c r="V106"/>
  <c r="R106"/>
  <c r="Q106"/>
  <c r="S106"/>
  <c r="I106"/>
  <c r="H106"/>
  <c r="B90"/>
  <c r="B91"/>
  <c r="B92"/>
  <c r="B93"/>
  <c r="B94"/>
  <c r="B95"/>
  <c r="B96"/>
  <c r="B97"/>
  <c r="B98"/>
  <c r="B99"/>
  <c r="B100"/>
  <c r="B101"/>
  <c r="B102"/>
  <c r="B103"/>
  <c r="B104"/>
  <c r="B105"/>
  <c r="B106"/>
  <c r="W105"/>
  <c r="V105"/>
  <c r="R105"/>
  <c r="Q105"/>
  <c r="S105"/>
  <c r="I105"/>
  <c r="H105"/>
  <c r="W104"/>
  <c r="V104"/>
  <c r="R104"/>
  <c r="Q104"/>
  <c r="S104"/>
  <c r="I104"/>
  <c r="H104"/>
  <c r="W103"/>
  <c r="V103"/>
  <c r="R103"/>
  <c r="Q103"/>
  <c r="S103"/>
  <c r="I103"/>
  <c r="H103"/>
  <c r="W102"/>
  <c r="V102"/>
  <c r="R102"/>
  <c r="Q102"/>
  <c r="S102"/>
  <c r="I102"/>
  <c r="H102"/>
  <c r="W101"/>
  <c r="V101"/>
  <c r="R101"/>
  <c r="Q101"/>
  <c r="S101"/>
  <c r="I101"/>
  <c r="H101"/>
  <c r="W100"/>
  <c r="V100"/>
  <c r="R100"/>
  <c r="Q100"/>
  <c r="S100"/>
  <c r="I100"/>
  <c r="H100"/>
  <c r="W99"/>
  <c r="V99"/>
  <c r="R99"/>
  <c r="Q99"/>
  <c r="S99"/>
  <c r="I99"/>
  <c r="H99"/>
  <c r="W98"/>
  <c r="V98"/>
  <c r="R98"/>
  <c r="Q98"/>
  <c r="S98"/>
  <c r="I98"/>
  <c r="H98"/>
  <c r="W97"/>
  <c r="V97"/>
  <c r="R97"/>
  <c r="Q97"/>
  <c r="S97"/>
  <c r="I97"/>
  <c r="H97"/>
  <c r="W96"/>
  <c r="V96"/>
  <c r="R96"/>
  <c r="Q96"/>
  <c r="S96"/>
  <c r="I96"/>
  <c r="H96"/>
  <c r="W95"/>
  <c r="V95"/>
  <c r="R95"/>
  <c r="Q95"/>
  <c r="S95"/>
  <c r="I95"/>
  <c r="H95"/>
  <c r="W94"/>
  <c r="V94"/>
  <c r="R94"/>
  <c r="Q94"/>
  <c r="S94"/>
  <c r="I94"/>
  <c r="H94"/>
  <c r="W93"/>
  <c r="V93"/>
  <c r="R93"/>
  <c r="Q93"/>
  <c r="S93"/>
  <c r="I93"/>
  <c r="H93"/>
  <c r="W92"/>
  <c r="V92"/>
  <c r="R92"/>
  <c r="Q92"/>
  <c r="S92"/>
  <c r="I92"/>
  <c r="H92"/>
  <c r="W91"/>
  <c r="V91"/>
  <c r="R91"/>
  <c r="Q91"/>
  <c r="S91"/>
  <c r="I91"/>
  <c r="H91"/>
  <c r="W90"/>
  <c r="V90"/>
  <c r="R90"/>
  <c r="Q90"/>
  <c r="S90"/>
  <c r="I90"/>
  <c r="H90"/>
  <c r="W89"/>
  <c r="V89"/>
  <c r="R89"/>
  <c r="Q89"/>
  <c r="S89"/>
  <c r="I89"/>
  <c r="H89"/>
  <c r="X88"/>
  <c r="W88"/>
  <c r="V88"/>
  <c r="I88"/>
  <c r="X87"/>
  <c r="W87"/>
  <c r="V87"/>
  <c r="I87"/>
  <c r="X86"/>
  <c r="W86"/>
  <c r="V86"/>
  <c r="I86"/>
  <c r="W85"/>
  <c r="V85"/>
  <c r="R85"/>
  <c r="Q85"/>
  <c r="S85"/>
  <c r="I85"/>
  <c r="H85"/>
  <c r="B69"/>
  <c r="B70"/>
  <c r="B71"/>
  <c r="B72"/>
  <c r="B73"/>
  <c r="B74"/>
  <c r="B75"/>
  <c r="B76"/>
  <c r="B77"/>
  <c r="B78"/>
  <c r="B79"/>
  <c r="B80"/>
  <c r="B81"/>
  <c r="B82"/>
  <c r="B83"/>
  <c r="B84"/>
  <c r="B85"/>
  <c r="W84"/>
  <c r="V84"/>
  <c r="R84"/>
  <c r="Q84"/>
  <c r="S84"/>
  <c r="I84"/>
  <c r="H84"/>
  <c r="W83"/>
  <c r="V83"/>
  <c r="R83"/>
  <c r="Q83"/>
  <c r="S83"/>
  <c r="I83"/>
  <c r="H83"/>
  <c r="W82"/>
  <c r="V82"/>
  <c r="R82"/>
  <c r="Q82"/>
  <c r="S82"/>
  <c r="I82"/>
  <c r="H82"/>
  <c r="W81"/>
  <c r="V81"/>
  <c r="R81"/>
  <c r="Q81"/>
  <c r="S81"/>
  <c r="I81"/>
  <c r="H81"/>
  <c r="W80"/>
  <c r="V80"/>
  <c r="R80"/>
  <c r="Q80"/>
  <c r="S80"/>
  <c r="I80"/>
  <c r="H80"/>
  <c r="W79"/>
  <c r="V79"/>
  <c r="R79"/>
  <c r="Q79"/>
  <c r="S79"/>
  <c r="I79"/>
  <c r="H79"/>
  <c r="W78"/>
  <c r="V78"/>
  <c r="R78"/>
  <c r="Q78"/>
  <c r="S78"/>
  <c r="I78"/>
  <c r="H78"/>
  <c r="W77"/>
  <c r="V77"/>
  <c r="R77"/>
  <c r="Q77"/>
  <c r="S77"/>
  <c r="I77"/>
  <c r="H77"/>
  <c r="W76"/>
  <c r="V76"/>
  <c r="R76"/>
  <c r="Q76"/>
  <c r="S76"/>
  <c r="I76"/>
  <c r="H76"/>
  <c r="W75"/>
  <c r="V75"/>
  <c r="R75"/>
  <c r="Q75"/>
  <c r="S75"/>
  <c r="I75"/>
  <c r="H75"/>
  <c r="W74"/>
  <c r="V74"/>
  <c r="R74"/>
  <c r="Q74"/>
  <c r="S74"/>
  <c r="I74"/>
  <c r="H74"/>
  <c r="W73"/>
  <c r="V73"/>
  <c r="R73"/>
  <c r="Q73"/>
  <c r="S73"/>
  <c r="I73"/>
  <c r="H73"/>
  <c r="W72"/>
  <c r="V72"/>
  <c r="R72"/>
  <c r="Q72"/>
  <c r="S72"/>
  <c r="I72"/>
  <c r="H72"/>
  <c r="W71"/>
  <c r="V71"/>
  <c r="R71"/>
  <c r="Q71"/>
  <c r="S71"/>
  <c r="I71"/>
  <c r="H71"/>
  <c r="W70"/>
  <c r="V70"/>
  <c r="R70"/>
  <c r="Q70"/>
  <c r="S70"/>
  <c r="I70"/>
  <c r="H70"/>
  <c r="W69"/>
  <c r="V69"/>
  <c r="R69"/>
  <c r="Q69"/>
  <c r="S69"/>
  <c r="I69"/>
  <c r="H69"/>
  <c r="W68"/>
  <c r="V68"/>
  <c r="R68"/>
  <c r="Q68"/>
  <c r="S68"/>
  <c r="I68"/>
  <c r="H68"/>
  <c r="X67"/>
  <c r="W67"/>
  <c r="V67"/>
  <c r="I67"/>
  <c r="X66"/>
  <c r="W66"/>
  <c r="V66"/>
  <c r="I66"/>
  <c r="X65"/>
  <c r="W65"/>
  <c r="V65"/>
  <c r="I65"/>
  <c r="W64"/>
  <c r="V64"/>
  <c r="R64"/>
  <c r="Q64"/>
  <c r="S64"/>
  <c r="I64"/>
  <c r="H64"/>
  <c r="B48"/>
  <c r="B49"/>
  <c r="B50"/>
  <c r="B51"/>
  <c r="B52"/>
  <c r="B53"/>
  <c r="B54"/>
  <c r="B55"/>
  <c r="B56"/>
  <c r="B57"/>
  <c r="B58"/>
  <c r="B59"/>
  <c r="B60"/>
  <c r="B61"/>
  <c r="B62"/>
  <c r="B63"/>
  <c r="B64"/>
  <c r="W63"/>
  <c r="V63"/>
  <c r="R63"/>
  <c r="Q63"/>
  <c r="S63"/>
  <c r="I63"/>
  <c r="H63"/>
  <c r="W62"/>
  <c r="V62"/>
  <c r="R62"/>
  <c r="Q62"/>
  <c r="S62"/>
  <c r="I62"/>
  <c r="H62"/>
  <c r="W61"/>
  <c r="V61"/>
  <c r="R61"/>
  <c r="Q61"/>
  <c r="S61"/>
  <c r="I61"/>
  <c r="H61"/>
  <c r="W60"/>
  <c r="V60"/>
  <c r="R60"/>
  <c r="Q60"/>
  <c r="S60"/>
  <c r="I60"/>
  <c r="H60"/>
  <c r="W59"/>
  <c r="V59"/>
  <c r="R59"/>
  <c r="Q59"/>
  <c r="S59"/>
  <c r="I59"/>
  <c r="H59"/>
  <c r="W58"/>
  <c r="V58"/>
  <c r="R58"/>
  <c r="Q58"/>
  <c r="S58"/>
  <c r="I58"/>
  <c r="H58"/>
  <c r="W57"/>
  <c r="V57"/>
  <c r="R57"/>
  <c r="Q57"/>
  <c r="S57"/>
  <c r="I57"/>
  <c r="H57"/>
  <c r="W56"/>
  <c r="V56"/>
  <c r="R56"/>
  <c r="Q56"/>
  <c r="S56"/>
  <c r="I56"/>
  <c r="H56"/>
  <c r="W55"/>
  <c r="V55"/>
  <c r="R55"/>
  <c r="Q55"/>
  <c r="S55"/>
  <c r="I55"/>
  <c r="H55"/>
  <c r="W54"/>
  <c r="V54"/>
  <c r="R54"/>
  <c r="Q54"/>
  <c r="S54"/>
  <c r="I54"/>
  <c r="H54"/>
  <c r="W53"/>
  <c r="V53"/>
  <c r="R53"/>
  <c r="Q53"/>
  <c r="S53"/>
  <c r="I53"/>
  <c r="H53"/>
  <c r="W52"/>
  <c r="V52"/>
  <c r="R52"/>
  <c r="Q52"/>
  <c r="S52"/>
  <c r="I52"/>
  <c r="H52"/>
  <c r="W51"/>
  <c r="V51"/>
  <c r="R51"/>
  <c r="Q51"/>
  <c r="S51"/>
  <c r="I51"/>
  <c r="H51"/>
  <c r="W50"/>
  <c r="V50"/>
  <c r="R50"/>
  <c r="Q50"/>
  <c r="S50"/>
  <c r="I50"/>
  <c r="H50"/>
  <c r="W49"/>
  <c r="V49"/>
  <c r="R49"/>
  <c r="Q49"/>
  <c r="S49"/>
  <c r="W48"/>
  <c r="V48"/>
  <c r="R48"/>
  <c r="Q48"/>
  <c r="S48"/>
  <c r="H48"/>
  <c r="W47"/>
  <c r="V47"/>
  <c r="R47"/>
  <c r="Q47"/>
  <c r="S47"/>
  <c r="I47"/>
  <c r="C47"/>
  <c r="X46"/>
  <c r="W46"/>
  <c r="V46"/>
  <c r="I46"/>
  <c r="X45"/>
  <c r="W45"/>
  <c r="V45"/>
  <c r="I45"/>
  <c r="X44"/>
  <c r="W44"/>
  <c r="V44"/>
  <c r="I44"/>
  <c r="W43"/>
  <c r="V43"/>
  <c r="R43"/>
  <c r="Q43"/>
  <c r="S43"/>
  <c r="I43"/>
  <c r="H43"/>
  <c r="B27"/>
  <c r="B28"/>
  <c r="B29"/>
  <c r="B30"/>
  <c r="B31"/>
  <c r="B32"/>
  <c r="B33"/>
  <c r="B34"/>
  <c r="B35"/>
  <c r="B36"/>
  <c r="B37"/>
  <c r="B38"/>
  <c r="B39"/>
  <c r="B40"/>
  <c r="B41"/>
  <c r="B42"/>
  <c r="B43"/>
  <c r="W42"/>
  <c r="V42"/>
  <c r="R42"/>
  <c r="Q42"/>
  <c r="S42"/>
  <c r="W41"/>
  <c r="V41"/>
  <c r="R41"/>
  <c r="Q41"/>
  <c r="S41"/>
  <c r="W40"/>
  <c r="V40"/>
  <c r="R40"/>
  <c r="Q40"/>
  <c r="S40"/>
  <c r="H40"/>
  <c r="W39"/>
  <c r="V39"/>
  <c r="R39"/>
  <c r="Q39"/>
  <c r="S39"/>
  <c r="W38"/>
  <c r="V38"/>
  <c r="R38"/>
  <c r="Q38"/>
  <c r="S38"/>
  <c r="W37"/>
  <c r="V37"/>
  <c r="R37"/>
  <c r="Q37"/>
  <c r="S37"/>
  <c r="H37"/>
  <c r="W36"/>
  <c r="V36"/>
  <c r="R36"/>
  <c r="Q36"/>
  <c r="S36"/>
  <c r="H36"/>
  <c r="W35"/>
  <c r="V35"/>
  <c r="R35"/>
  <c r="Q35"/>
  <c r="S35"/>
  <c r="H35"/>
  <c r="W34"/>
  <c r="V34"/>
  <c r="R34"/>
  <c r="Q34"/>
  <c r="S34"/>
  <c r="W33"/>
  <c r="V33"/>
  <c r="R33"/>
  <c r="Q33"/>
  <c r="S33"/>
  <c r="I33"/>
  <c r="C33"/>
  <c r="W32"/>
  <c r="V32"/>
  <c r="R32"/>
  <c r="Q32"/>
  <c r="S32"/>
  <c r="I32"/>
  <c r="C32"/>
  <c r="I31"/>
  <c r="C31"/>
  <c r="I30"/>
  <c r="C30"/>
  <c r="I29"/>
  <c r="C29"/>
  <c r="I28"/>
  <c r="C28"/>
  <c r="W27"/>
  <c r="V27"/>
  <c r="R27"/>
  <c r="Q27"/>
  <c r="S27"/>
  <c r="I27"/>
  <c r="C27"/>
  <c r="W26"/>
  <c r="V26"/>
  <c r="R26"/>
  <c r="Q26"/>
  <c r="S26"/>
  <c r="I26"/>
  <c r="C26"/>
  <c r="X25"/>
  <c r="W25"/>
  <c r="V25"/>
  <c r="I25"/>
  <c r="X24"/>
  <c r="W24"/>
  <c r="V24"/>
  <c r="I24"/>
  <c r="X23"/>
  <c r="W23"/>
  <c r="V23"/>
  <c r="I23"/>
  <c r="V22"/>
  <c r="R22"/>
  <c r="Q22"/>
  <c r="S22"/>
  <c r="I22"/>
  <c r="C22"/>
  <c r="B6"/>
  <c r="B7"/>
  <c r="B8"/>
  <c r="B9"/>
  <c r="B10"/>
  <c r="B11"/>
  <c r="B12"/>
  <c r="B13"/>
  <c r="B14"/>
  <c r="B15"/>
  <c r="B16"/>
  <c r="B17"/>
  <c r="B18"/>
  <c r="B19"/>
  <c r="B20"/>
  <c r="B21"/>
  <c r="B22"/>
  <c r="W21"/>
  <c r="V21"/>
  <c r="R21"/>
  <c r="Q21"/>
  <c r="S21"/>
  <c r="I21"/>
  <c r="C21"/>
  <c r="AD20"/>
  <c r="W20"/>
  <c r="V20"/>
  <c r="R20"/>
  <c r="Q20"/>
  <c r="S20"/>
  <c r="I20"/>
  <c r="C20"/>
  <c r="W19"/>
  <c r="V19"/>
  <c r="R19"/>
  <c r="Q19"/>
  <c r="S19"/>
  <c r="I19"/>
  <c r="C19"/>
  <c r="W18"/>
  <c r="V18"/>
  <c r="R18"/>
  <c r="Q18"/>
  <c r="S18"/>
  <c r="I18"/>
  <c r="C18"/>
  <c r="W17"/>
  <c r="V17"/>
  <c r="R17"/>
  <c r="Q17"/>
  <c r="S17"/>
  <c r="I17"/>
  <c r="C17"/>
  <c r="W16"/>
  <c r="V16"/>
  <c r="R16"/>
  <c r="Q16"/>
  <c r="S16"/>
  <c r="I16"/>
  <c r="C16"/>
  <c r="W15"/>
  <c r="V15"/>
  <c r="R15"/>
  <c r="Q15"/>
  <c r="S15"/>
  <c r="I15"/>
  <c r="C15"/>
  <c r="W14"/>
  <c r="V14"/>
  <c r="R14"/>
  <c r="Q14"/>
  <c r="S14"/>
  <c r="I14"/>
  <c r="C14"/>
  <c r="W13"/>
  <c r="V13"/>
  <c r="R13"/>
  <c r="Q13"/>
  <c r="S13"/>
  <c r="I13"/>
  <c r="C13"/>
  <c r="W12"/>
  <c r="V12"/>
  <c r="R12"/>
  <c r="Q12"/>
  <c r="S12"/>
  <c r="I12"/>
  <c r="C12"/>
  <c r="W11"/>
  <c r="V11"/>
  <c r="R11"/>
  <c r="Q11"/>
  <c r="S11"/>
  <c r="I11"/>
  <c r="C11"/>
  <c r="W10"/>
  <c r="V10"/>
  <c r="R10"/>
  <c r="Q10"/>
  <c r="S10"/>
  <c r="I10"/>
  <c r="C10"/>
  <c r="W9"/>
  <c r="V9"/>
  <c r="R9"/>
  <c r="Q9"/>
  <c r="S9"/>
  <c r="I9"/>
  <c r="C9"/>
  <c r="W8"/>
  <c r="V8"/>
  <c r="R8"/>
  <c r="Q8"/>
  <c r="S8"/>
  <c r="I8"/>
  <c r="C8"/>
  <c r="W7"/>
  <c r="V7"/>
  <c r="R7"/>
  <c r="Q7"/>
  <c r="S7"/>
  <c r="I7"/>
  <c r="C7"/>
  <c r="W6"/>
  <c r="V6"/>
  <c r="R6"/>
  <c r="Q6"/>
  <c r="S6"/>
  <c r="I6"/>
  <c r="C6"/>
  <c r="W5"/>
  <c r="V5"/>
  <c r="R5"/>
  <c r="Q5"/>
  <c r="S5"/>
  <c r="I5"/>
  <c r="C5"/>
  <c r="B2" i="1"/>
  <c r="H18"/>
  <c r="I18"/>
  <c r="H15"/>
  <c r="I15"/>
  <c r="H14"/>
  <c r="I14"/>
  <c r="H13"/>
  <c r="I13"/>
  <c r="F7"/>
  <c r="F8"/>
  <c r="F13"/>
  <c r="D8"/>
  <c r="G7"/>
  <c r="H7"/>
  <c r="I7"/>
  <c r="D10"/>
  <c r="D13"/>
  <c r="H12"/>
  <c r="I12"/>
  <c r="H11"/>
  <c r="I11"/>
  <c r="B10"/>
  <c r="E9"/>
  <c r="B8"/>
  <c r="E7"/>
  <c r="D7"/>
  <c r="B6"/>
  <c r="H2"/>
</calcChain>
</file>

<file path=xl/comments1.xml><?xml version="1.0" encoding="utf-8"?>
<comments xmlns="http://schemas.openxmlformats.org/spreadsheetml/2006/main">
  <authors>
    <author>Utilisateur de Microsoft Office</author>
    <author>Penders Bernard</author>
  </authors>
  <commentList>
    <comment ref="B6" authorId="0">
      <text>
        <r>
          <rPr>
            <sz val="10"/>
            <color indexed="81"/>
            <rFont val="Calibri"/>
            <family val="2"/>
          </rPr>
          <t xml:space="preserve">
</t>
        </r>
        <r>
          <rPr>
            <b/>
            <sz val="10"/>
            <color indexed="81"/>
            <rFont val="Calibri"/>
            <family val="2"/>
          </rPr>
          <t xml:space="preserve">Coût Total </t>
        </r>
      </text>
    </comment>
    <comment ref="B8" authorId="1">
      <text>
        <r>
          <rPr>
            <b/>
            <sz val="9"/>
            <color indexed="81"/>
            <rFont val="Tahoma"/>
            <family val="2"/>
          </rPr>
          <t>Coût Avion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Cout Instructeur</t>
        </r>
      </text>
    </comment>
  </commentList>
</comments>
</file>

<file path=xl/sharedStrings.xml><?xml version="1.0" encoding="utf-8"?>
<sst xmlns="http://schemas.openxmlformats.org/spreadsheetml/2006/main" count="1625" uniqueCount="453">
  <si>
    <t>TABLEAU DE BORD</t>
  </si>
  <si>
    <t>COUT TOTAL</t>
  </si>
  <si>
    <t>ANCIEN</t>
  </si>
  <si>
    <t>NOUVEAU CARNET</t>
  </si>
  <si>
    <t>CARNET</t>
  </si>
  <si>
    <t>PIC</t>
  </si>
  <si>
    <t>DUAL</t>
  </si>
  <si>
    <t>LANDING</t>
  </si>
  <si>
    <t>TOTAL</t>
  </si>
  <si>
    <t>H:min</t>
  </si>
  <si>
    <t>TOTAL TIME OF FLIGHT SINCE</t>
  </si>
  <si>
    <t>Validité jusqu'au</t>
  </si>
  <si>
    <t>Date échéance revalidation:</t>
  </si>
  <si>
    <t>Simulateur</t>
  </si>
  <si>
    <t>Médical général</t>
  </si>
  <si>
    <t>ECG</t>
  </si>
  <si>
    <t>ELP</t>
  </si>
  <si>
    <t>SEP</t>
  </si>
  <si>
    <t>LOCAL TIME</t>
  </si>
  <si>
    <t>UTC</t>
  </si>
  <si>
    <t>Mois/An</t>
  </si>
  <si>
    <t>DATE</t>
  </si>
  <si>
    <t>DEPARTURE</t>
  </si>
  <si>
    <t>ARRIVAL</t>
  </si>
  <si>
    <t>AIRCRAFT</t>
  </si>
  <si>
    <t xml:space="preserve">COMPTEUR </t>
  </si>
  <si>
    <t>NAME PIC</t>
  </si>
  <si>
    <t>Cout Avion</t>
  </si>
  <si>
    <t>Cout Instructeur</t>
  </si>
  <si>
    <t>Cout du Vol</t>
  </si>
  <si>
    <t>single</t>
  </si>
  <si>
    <t>dual</t>
  </si>
  <si>
    <t>(dd/mm/yy)</t>
  </si>
  <si>
    <t>PLACE</t>
  </si>
  <si>
    <t>TIME</t>
  </si>
  <si>
    <t>TYPE</t>
  </si>
  <si>
    <t>IMMATRICULATION</t>
  </si>
  <si>
    <t>DEPART</t>
  </si>
  <si>
    <t>ARRIVEE</t>
  </si>
  <si>
    <t>TIME OF FLIGHT</t>
  </si>
  <si>
    <t>Day</t>
  </si>
  <si>
    <t>Night</t>
  </si>
  <si>
    <t>mois</t>
  </si>
  <si>
    <t>DATE2</t>
  </si>
  <si>
    <t>PLACE2</t>
  </si>
  <si>
    <t>TIME3</t>
  </si>
  <si>
    <t>CA</t>
  </si>
  <si>
    <t>CI</t>
  </si>
  <si>
    <t>CV</t>
  </si>
  <si>
    <t>MIN AVION</t>
  </si>
  <si>
    <t>MIN INSTRUC</t>
  </si>
  <si>
    <t>TEMPS VOL</t>
  </si>
  <si>
    <t>EBSP</t>
  </si>
  <si>
    <t>OO-SPP</t>
  </si>
  <si>
    <t>MENDES Benoit</t>
  </si>
  <si>
    <t>PENDERS Bernard</t>
  </si>
  <si>
    <t>OO-ALD</t>
  </si>
  <si>
    <t>CLAESSEN Nicolas</t>
  </si>
  <si>
    <t>EBST</t>
  </si>
  <si>
    <t>EBZW</t>
  </si>
  <si>
    <t>TOTAL OF THIS PAGE</t>
  </si>
  <si>
    <t>TOTAL OF PREVIOUS PAGES</t>
  </si>
  <si>
    <t>TOTAL TIME</t>
  </si>
  <si>
    <t>EBSH</t>
  </si>
  <si>
    <t>MENDES Benoît</t>
  </si>
  <si>
    <t>EDKA</t>
  </si>
  <si>
    <t>EBNM</t>
  </si>
  <si>
    <t>C150</t>
  </si>
  <si>
    <t>EBZH</t>
  </si>
  <si>
    <t>C152</t>
  </si>
  <si>
    <t xml:space="preserve"> </t>
  </si>
  <si>
    <t>LFQJ</t>
  </si>
  <si>
    <t>EBCF</t>
  </si>
  <si>
    <t>EDLN</t>
  </si>
  <si>
    <t>13/20</t>
  </si>
  <si>
    <t>OO-JRB</t>
  </si>
  <si>
    <t>REMARQUES</t>
  </si>
  <si>
    <t>CLAUDE Georges</t>
  </si>
  <si>
    <t>OO-SPE</t>
  </si>
  <si>
    <t>OO-SPC</t>
  </si>
  <si>
    <t>ROTHEUTH Guy</t>
  </si>
  <si>
    <t>Total of this page</t>
  </si>
  <si>
    <t>Total of previous page</t>
  </si>
  <si>
    <t>Total  time</t>
  </si>
  <si>
    <t>c150</t>
  </si>
  <si>
    <t>EBTX</t>
  </si>
  <si>
    <t>C172M</t>
  </si>
  <si>
    <t>OO-EHO</t>
  </si>
  <si>
    <t>OO-SPT</t>
  </si>
  <si>
    <t>PA28</t>
  </si>
  <si>
    <t>OO-SPQ</t>
  </si>
  <si>
    <t>OO-CMT</t>
  </si>
  <si>
    <t>EBTN</t>
  </si>
  <si>
    <t>TEST</t>
  </si>
  <si>
    <t>Ex PPL</t>
  </si>
  <si>
    <t>OO-SIW</t>
  </si>
  <si>
    <t>ELLX</t>
  </si>
  <si>
    <t>VOR</t>
  </si>
  <si>
    <t>test</t>
  </si>
  <si>
    <t>radio</t>
  </si>
  <si>
    <t>Rnav</t>
  </si>
  <si>
    <t>ebnm</t>
  </si>
  <si>
    <t>OO-ALE</t>
  </si>
  <si>
    <t>EBAW-EHBK</t>
  </si>
  <si>
    <t>EHBK-EBSP</t>
  </si>
  <si>
    <t>EBSP-EDDR</t>
  </si>
  <si>
    <t>EBSP-EHDR</t>
  </si>
  <si>
    <t>Baro</t>
  </si>
  <si>
    <t>EBCI-EBSP</t>
  </si>
  <si>
    <t>EDLN-EBSP</t>
  </si>
  <si>
    <t>EBSP-EBLG</t>
  </si>
  <si>
    <t>EBLG-EBSP</t>
  </si>
  <si>
    <t>EBSP-ELLX</t>
  </si>
  <si>
    <t>ELLX-EBSP</t>
  </si>
  <si>
    <t>EBSP-EBTX</t>
  </si>
  <si>
    <t>EBTX-EBSP</t>
  </si>
  <si>
    <t>EBSP-LFGA</t>
  </si>
  <si>
    <t>OO-CNW</t>
  </si>
  <si>
    <t>EBSP-EBCI</t>
  </si>
  <si>
    <t>EGSX-EBSP</t>
  </si>
  <si>
    <t>EBFN-EBLG</t>
  </si>
  <si>
    <t>C-206</t>
  </si>
  <si>
    <t>OO-SPA</t>
  </si>
  <si>
    <t>LFSH-EBSP</t>
  </si>
  <si>
    <t>ebsp-eblg</t>
  </si>
  <si>
    <t>c-206</t>
  </si>
  <si>
    <t>OO-SPU</t>
  </si>
  <si>
    <t>LFAT-EBCI</t>
  </si>
  <si>
    <t>EBSG-EBSP</t>
  </si>
  <si>
    <t>EBSH-EBSP</t>
  </si>
  <si>
    <t>check</t>
  </si>
  <si>
    <t>EBSP-EBZW</t>
  </si>
  <si>
    <t>EBOS-EBSP</t>
  </si>
  <si>
    <t>LFQA-EBSP</t>
  </si>
  <si>
    <t>Test 206</t>
  </si>
  <si>
    <t>R22</t>
  </si>
  <si>
    <t>OO-MCT</t>
  </si>
  <si>
    <t>DE COSTER Thibault</t>
  </si>
  <si>
    <t xml:space="preserve">Fiches de progression : </t>
  </si>
  <si>
    <t>Elève:</t>
  </si>
  <si>
    <t>Bernard PENDERS</t>
  </si>
  <si>
    <t>Fiche N°</t>
  </si>
  <si>
    <t>date</t>
  </si>
  <si>
    <t>INSTRUCTEUR</t>
  </si>
  <si>
    <t>DC</t>
  </si>
  <si>
    <t>Solo</t>
  </si>
  <si>
    <t>Cumul DC</t>
  </si>
  <si>
    <t>CumulSOLO</t>
  </si>
  <si>
    <t>Cumul Total</t>
  </si>
  <si>
    <t>7/8</t>
  </si>
  <si>
    <t>31/12/16</t>
  </si>
  <si>
    <t>10/11</t>
  </si>
  <si>
    <t>6/01/17</t>
  </si>
  <si>
    <t>18/02/17</t>
  </si>
  <si>
    <t>10/03/17</t>
  </si>
  <si>
    <t>27/03/17</t>
  </si>
  <si>
    <t>21/04/17</t>
  </si>
  <si>
    <t>04/06/17</t>
  </si>
  <si>
    <t>Zmaxi</t>
  </si>
  <si>
    <t>Dsd</t>
  </si>
  <si>
    <t>TV</t>
  </si>
  <si>
    <t>REPORT</t>
  </si>
  <si>
    <t>HE</t>
  </si>
  <si>
    <t>HR</t>
  </si>
  <si>
    <t>Zvol</t>
  </si>
  <si>
    <t>CM</t>
  </si>
  <si>
    <t>Dérive</t>
  </si>
  <si>
    <t>GS</t>
  </si>
  <si>
    <t>Dist</t>
  </si>
  <si>
    <t>Z Mini</t>
  </si>
  <si>
    <t>RM</t>
  </si>
  <si>
    <t>Dtg</t>
  </si>
  <si>
    <t>GND</t>
  </si>
  <si>
    <t>TWR</t>
  </si>
  <si>
    <t>Total fly</t>
  </si>
  <si>
    <t>Fuel capacity</t>
  </si>
  <si>
    <t xml:space="preserve">Temps de vol: </t>
  </si>
  <si>
    <t>intégration:</t>
  </si>
  <si>
    <t>Roulage</t>
  </si>
  <si>
    <t>Sécurité</t>
  </si>
  <si>
    <t>Type</t>
  </si>
  <si>
    <t>VP</t>
  </si>
  <si>
    <t>Facteur de base</t>
  </si>
  <si>
    <t>Total</t>
  </si>
  <si>
    <t>Restera</t>
  </si>
  <si>
    <t>PREPARATION D'UNE NAVIGATION VERS</t>
  </si>
  <si>
    <t>Date:</t>
  </si>
  <si>
    <t>time</t>
  </si>
  <si>
    <t>ETD</t>
  </si>
  <si>
    <t>ETA</t>
  </si>
  <si>
    <t>AVION</t>
  </si>
  <si>
    <t>AUTONOMIE</t>
  </si>
  <si>
    <t>Consumption</t>
  </si>
  <si>
    <t>FUEL</t>
  </si>
  <si>
    <t>AERODROME</t>
  </si>
  <si>
    <t>PH-AML</t>
  </si>
  <si>
    <t>Départ</t>
  </si>
  <si>
    <t>Arrivée</t>
  </si>
  <si>
    <t>TYPE DE VOL</t>
  </si>
  <si>
    <t>EBKT</t>
  </si>
  <si>
    <t>ALTERNATE</t>
  </si>
  <si>
    <t>Tas/IAS kt</t>
  </si>
  <si>
    <t>Distance Nm</t>
  </si>
  <si>
    <t>Time Fly</t>
  </si>
  <si>
    <t>Win/dir</t>
  </si>
  <si>
    <t>Win/kt</t>
  </si>
  <si>
    <t>NAV</t>
  </si>
  <si>
    <t>EBLG</t>
  </si>
  <si>
    <t>Point tournant 1</t>
  </si>
  <si>
    <t xml:space="preserve">LA SOURCE </t>
  </si>
  <si>
    <t>Cout</t>
  </si>
  <si>
    <t>Point tournant 2</t>
  </si>
  <si>
    <t>SPI</t>
  </si>
  <si>
    <t>Point tournant 3</t>
  </si>
  <si>
    <t>DAUSSOULX</t>
  </si>
  <si>
    <t>Point tournant 4</t>
  </si>
  <si>
    <t>TUBIZE</t>
  </si>
  <si>
    <t>Point tournant 5</t>
  </si>
  <si>
    <t>South Kortrijk</t>
  </si>
  <si>
    <t>DEVIS DE CENTRAGE</t>
  </si>
  <si>
    <t>date du vol</t>
  </si>
  <si>
    <t>empty w</t>
  </si>
  <si>
    <t>PILOTE</t>
  </si>
  <si>
    <t>empty cg</t>
  </si>
  <si>
    <t>Max Weight</t>
  </si>
  <si>
    <t>Item</t>
  </si>
  <si>
    <t>weight kg</t>
  </si>
  <si>
    <t>weight lbs</t>
  </si>
  <si>
    <t>arm</t>
  </si>
  <si>
    <t>moment</t>
  </si>
  <si>
    <t>Pilote</t>
  </si>
  <si>
    <t>Copilote</t>
  </si>
  <si>
    <t>Passagers</t>
  </si>
  <si>
    <t>Huile</t>
  </si>
  <si>
    <t>Fuel Takeoff</t>
  </si>
  <si>
    <t>Fuel Landing</t>
  </si>
  <si>
    <t>Bag 1</t>
  </si>
  <si>
    <t>Bag 2</t>
  </si>
  <si>
    <t>Empty Aircraft</t>
  </si>
  <si>
    <t>Total Take Off</t>
  </si>
  <si>
    <t>Total Landing</t>
  </si>
  <si>
    <t>PU</t>
  </si>
  <si>
    <t>TAS</t>
  </si>
  <si>
    <t>cgF</t>
  </si>
  <si>
    <t>cgB</t>
  </si>
  <si>
    <t>Consomation</t>
  </si>
  <si>
    <t>max weight</t>
  </si>
  <si>
    <t>arm pic</t>
  </si>
  <si>
    <t>arm oil</t>
  </si>
  <si>
    <t>oil</t>
  </si>
  <si>
    <t>arm bg 1</t>
  </si>
  <si>
    <t>arm bg 2</t>
  </si>
  <si>
    <t>arm Fuel</t>
  </si>
  <si>
    <t>arm PAX</t>
  </si>
  <si>
    <t>Graphique</t>
  </si>
  <si>
    <t>PRIX</t>
  </si>
  <si>
    <t>Colonne1</t>
  </si>
  <si>
    <t>Colonne2</t>
  </si>
  <si>
    <t>Date revalidation</t>
  </si>
  <si>
    <t>Graphique1</t>
  </si>
  <si>
    <t>Graphique3</t>
  </si>
  <si>
    <t>C-172</t>
  </si>
  <si>
    <t>C-150</t>
  </si>
  <si>
    <t>OO-FMX</t>
  </si>
  <si>
    <t>C172N</t>
  </si>
  <si>
    <t>C-152</t>
  </si>
  <si>
    <t>C182JT</t>
  </si>
  <si>
    <t>Graphique2</t>
  </si>
  <si>
    <t>UNITE</t>
  </si>
  <si>
    <t>FirstName</t>
  </si>
  <si>
    <t>LastName</t>
  </si>
  <si>
    <t>Date Naissance</t>
  </si>
  <si>
    <t>Numero Licence</t>
  </si>
  <si>
    <t>Bernard</t>
  </si>
  <si>
    <t>PENDERS</t>
  </si>
  <si>
    <t>LOCAL</t>
  </si>
  <si>
    <t>RNAV</t>
  </si>
  <si>
    <t>IOAC</t>
  </si>
  <si>
    <t>lat</t>
  </si>
  <si>
    <t>long</t>
  </si>
  <si>
    <t>lieu</t>
  </si>
  <si>
    <t>Altitude minimale</t>
  </si>
  <si>
    <t>Repère sol/PISTE</t>
  </si>
  <si>
    <t>ALT SECURITE</t>
  </si>
  <si>
    <t>INFO1</t>
  </si>
  <si>
    <t>INFO2</t>
  </si>
  <si>
    <t>RNAV2</t>
  </si>
  <si>
    <t>GRD</t>
  </si>
  <si>
    <t>APP</t>
  </si>
  <si>
    <t>proche</t>
  </si>
  <si>
    <t>ATIS</t>
  </si>
  <si>
    <t>Phone</t>
  </si>
  <si>
    <t>BUN</t>
  </si>
  <si>
    <t>VOR BUN 110.600</t>
  </si>
  <si>
    <t>BELGA 129.325</t>
  </si>
  <si>
    <t>BRU INFO 126.900</t>
  </si>
  <si>
    <t>LNO 112.800</t>
  </si>
  <si>
    <t>FLO 112.050</t>
  </si>
  <si>
    <t>110.600</t>
  </si>
  <si>
    <t>CINEY</t>
  </si>
  <si>
    <t xml:space="preserve">Ciney </t>
  </si>
  <si>
    <t>Ville de Ciney</t>
  </si>
  <si>
    <t>SPI 113.100</t>
  </si>
  <si>
    <t>HUL 117.550</t>
  </si>
  <si>
    <t>-</t>
  </si>
  <si>
    <t>CMB</t>
  </si>
  <si>
    <t>VOR CMB 112.600</t>
  </si>
  <si>
    <t>Vor Cambrai</t>
  </si>
  <si>
    <t>112.600</t>
  </si>
  <si>
    <t>COO</t>
  </si>
  <si>
    <t>COO bassin</t>
  </si>
  <si>
    <t>Bassin hydroélectrique</t>
  </si>
  <si>
    <t>126.900</t>
  </si>
  <si>
    <t>Daussoulx ( Namur)</t>
  </si>
  <si>
    <t>Echangeur autoroutier</t>
  </si>
  <si>
    <t>E</t>
  </si>
  <si>
    <t>ECHO (EBCI)</t>
  </si>
  <si>
    <t>Spy station essence autoroute</t>
  </si>
  <si>
    <t>EAST HASSELT</t>
  </si>
  <si>
    <t>EAST Exit Hasselt</t>
  </si>
  <si>
    <t>EBAW</t>
  </si>
  <si>
    <t>Antwerpen/Deurne</t>
  </si>
  <si>
    <t>11/29 39 ft</t>
  </si>
  <si>
    <t>BUN 110.600</t>
  </si>
  <si>
    <t>135.200 </t>
  </si>
  <si>
    <t>121.900 </t>
  </si>
  <si>
    <t>124.200 </t>
  </si>
  <si>
    <t>Cerfontaine</t>
  </si>
  <si>
    <t>12/30 990 ft</t>
  </si>
  <si>
    <t>bELGA 129.325</t>
  </si>
  <si>
    <t>bRU INFO 126.900</t>
  </si>
  <si>
    <t>EBCI</t>
  </si>
  <si>
    <t>Aeroport de Charleroi</t>
  </si>
  <si>
    <t>25/07 614 ft</t>
  </si>
  <si>
    <t>121.800</t>
  </si>
  <si>
    <t>121.300</t>
  </si>
  <si>
    <t>133.125</t>
  </si>
  <si>
    <t>Aéroport Liège Bierset</t>
  </si>
  <si>
    <t>05R/23L 659 ft</t>
  </si>
  <si>
    <t>LGE 115.450</t>
  </si>
  <si>
    <t>118.125</t>
  </si>
  <si>
    <t>119.275</t>
  </si>
  <si>
    <t xml:space="preserve"> 126.250</t>
  </si>
  <si>
    <t>Aérodrome Namur/Suarlée</t>
  </si>
  <si>
    <t>06/24  594 ft</t>
  </si>
  <si>
    <t>EBOS</t>
  </si>
  <si>
    <t xml:space="preserve">Aéroport Ostende </t>
  </si>
  <si>
    <t>08/26 13 ft</t>
  </si>
  <si>
    <t>Aérodrome St Hubert</t>
  </si>
  <si>
    <t>05/23 14/32 1847 ft</t>
  </si>
  <si>
    <t>122.175</t>
  </si>
  <si>
    <t>Spa La Sauvenière</t>
  </si>
  <si>
    <t>05/23 1542 ft</t>
  </si>
  <si>
    <t>124.750</t>
  </si>
  <si>
    <t>Aérodrome Brustem</t>
  </si>
  <si>
    <t>06/24 246 ft</t>
  </si>
  <si>
    <t>119.975</t>
  </si>
  <si>
    <t>Theux Laboru</t>
  </si>
  <si>
    <t>06/24  grass 1099 ft</t>
  </si>
  <si>
    <t>119.000</t>
  </si>
  <si>
    <t>Aerodrome Kiewit Hasselt</t>
  </si>
  <si>
    <t>09/27 141 ft</t>
  </si>
  <si>
    <t>Aérodrome Genk</t>
  </si>
  <si>
    <t>03/21  278 ft</t>
  </si>
  <si>
    <t>120.400</t>
  </si>
  <si>
    <t>+32(0)89 383.273</t>
  </si>
  <si>
    <t>ECHO</t>
  </si>
  <si>
    <t>ECHO EBLG</t>
  </si>
  <si>
    <t>Point entrée CTR Bierset</t>
  </si>
  <si>
    <t xml:space="preserve">Moenchengladbach </t>
  </si>
  <si>
    <t>13/31 125 ft</t>
  </si>
  <si>
    <t>FLO</t>
  </si>
  <si>
    <t>VOR FLO 112.050</t>
  </si>
  <si>
    <t>VOR Florennes</t>
  </si>
  <si>
    <t>112.050</t>
  </si>
  <si>
    <t>GILEPPE</t>
  </si>
  <si>
    <t>LA GILEPPE</t>
  </si>
  <si>
    <t xml:space="preserve">Barrage </t>
  </si>
  <si>
    <t>source francorpchamps</t>
  </si>
  <si>
    <t>Circuit automobile</t>
  </si>
  <si>
    <t>LFGW</t>
  </si>
  <si>
    <t>Aérodrome Verdun</t>
  </si>
  <si>
    <t>LILLE 126.475</t>
  </si>
  <si>
    <t>Aérodrome de Maubeuge</t>
  </si>
  <si>
    <t>05/23  452ft</t>
  </si>
  <si>
    <t>PARIS 125.700</t>
  </si>
  <si>
    <t>CMB 112.600</t>
  </si>
  <si>
    <t>121.000</t>
  </si>
  <si>
    <t>LNO</t>
  </si>
  <si>
    <t>VOR LNO</t>
  </si>
  <si>
    <t>.-.. -. ---</t>
  </si>
  <si>
    <t>112.800</t>
  </si>
  <si>
    <t>Mont Godinne</t>
  </si>
  <si>
    <t>Mont Godinne WP</t>
  </si>
  <si>
    <t>Antenne</t>
  </si>
  <si>
    <t>N</t>
  </si>
  <si>
    <t>NOVEM (EBCI)</t>
  </si>
  <si>
    <t>Gas Tank CARGAS</t>
  </si>
  <si>
    <t>NA</t>
  </si>
  <si>
    <t>NOVEM ALPHA (EBCI)</t>
  </si>
  <si>
    <t>Chateau d'eau E Gosselies</t>
  </si>
  <si>
    <t>NE</t>
  </si>
  <si>
    <t>NOVEM ECHO(EBCI)</t>
  </si>
  <si>
    <t>Village de Tilly</t>
  </si>
  <si>
    <t>NOVEM</t>
  </si>
  <si>
    <t>NOVEM EBLG</t>
  </si>
  <si>
    <t>NW</t>
  </si>
  <si>
    <t>NOVEM WISKY(EBCI)</t>
  </si>
  <si>
    <t>Gare de Obaix-Buzet</t>
  </si>
  <si>
    <t>OSCAR</t>
  </si>
  <si>
    <t>OSCAR (CTR EBLG)</t>
  </si>
  <si>
    <t>sPI 113.100</t>
  </si>
  <si>
    <t>ROMEO</t>
  </si>
  <si>
    <t>ROMEO (CTR EBLG)</t>
  </si>
  <si>
    <t>S</t>
  </si>
  <si>
    <t>SIERRA ( EBCI)</t>
  </si>
  <si>
    <t>Bultia intersection N5 N574</t>
  </si>
  <si>
    <t>SA</t>
  </si>
  <si>
    <t>SIERRA ALPHA (EBCI)</t>
  </si>
  <si>
    <t>Cora shopping center</t>
  </si>
  <si>
    <t>SE</t>
  </si>
  <si>
    <t>SIERRA ECHO (EBCI)</t>
  </si>
  <si>
    <t>Village de Presles</t>
  </si>
  <si>
    <t>VOR Sprimont</t>
  </si>
  <si>
    <t>... .--. ..</t>
  </si>
  <si>
    <t>113.100</t>
  </si>
  <si>
    <t>TIEGE</t>
  </si>
  <si>
    <t>ECHANGEUR Tiege</t>
  </si>
  <si>
    <t>Aerodrome de KORTRIJK</t>
  </si>
  <si>
    <t>06/24 64 ft</t>
  </si>
  <si>
    <t>120.250</t>
  </si>
  <si>
    <t>+32(0)56.362.040</t>
  </si>
  <si>
    <t>EAST KORTRIJK</t>
  </si>
  <si>
    <t xml:space="preserve">EAST </t>
  </si>
  <si>
    <t>Autoroute E17 route N382</t>
  </si>
  <si>
    <t>North Kortrijk</t>
  </si>
  <si>
    <t>NORTH</t>
  </si>
  <si>
    <t>Route/Canal</t>
  </si>
  <si>
    <t>SOUTH</t>
  </si>
  <si>
    <t>Autoroute A17/route N58</t>
  </si>
  <si>
    <t>WEST Kortrijk</t>
  </si>
  <si>
    <t>WEST</t>
  </si>
  <si>
    <t>Autoroute A19/route N303</t>
  </si>
  <si>
    <t>Tubize</t>
  </si>
  <si>
    <t>Ville de Tubize</t>
  </si>
  <si>
    <t>VIDE</t>
  </si>
  <si>
    <t>Latitude</t>
  </si>
  <si>
    <t>longitude</t>
  </si>
  <si>
    <t>lat degré</t>
  </si>
  <si>
    <t>long degré</t>
  </si>
  <si>
    <t>east</t>
  </si>
  <si>
    <t>North</t>
  </si>
  <si>
    <t>South</t>
  </si>
</sst>
</file>

<file path=xl/styles.xml><?xml version="1.0" encoding="utf-8"?>
<styleSheet xmlns="http://schemas.openxmlformats.org/spreadsheetml/2006/main">
  <numFmts count="47"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  <numFmt numFmtId="166" formatCode="[h]:mm:ss;@"/>
    <numFmt numFmtId="167" formatCode="#,##0.00\ &quot;€&quot;"/>
    <numFmt numFmtId="168" formatCode="[$-409]mmmm\ d\,\ yyyy;@"/>
    <numFmt numFmtId="169" formatCode="_ * #,##0.00_)\ _€_ ;_ * \(#,##0.00\)\ _€_ ;_ * &quot;-&quot;??_)\ _€_ ;_ @_ "/>
    <numFmt numFmtId="170" formatCode="_ * #,##0_)\ _€_ ;_ * \(#,##0\)\ _€_ ;_ * &quot;-&quot;??_)\ _€_ ;_ @_ "/>
    <numFmt numFmtId="171" formatCode="[$-F400]h:mm:ss\ AM/PM"/>
    <numFmt numFmtId="173" formatCode="mmm\-yyyy"/>
    <numFmt numFmtId="174" formatCode="h\.mm;@"/>
    <numFmt numFmtId="175" formatCode="h:mm;@"/>
    <numFmt numFmtId="176" formatCode="hh:mm:ss;@"/>
    <numFmt numFmtId="178" formatCode="[$-40C]mmm\-yy;@"/>
    <numFmt numFmtId="179" formatCode="[$-40C]d\-mmm\-yy;@"/>
    <numFmt numFmtId="180" formatCode="dd/mm/yy;@"/>
    <numFmt numFmtId="181" formatCode="0\°"/>
    <numFmt numFmtId="182" formatCode="0&quot;Nm&quot;"/>
    <numFmt numFmtId="183" formatCode="0\'"/>
    <numFmt numFmtId="184" formatCode="0.0\ &quot;litres&quot;"/>
    <numFmt numFmtId="185" formatCode="[h]:mm"/>
    <numFmt numFmtId="186" formatCode="0\ &quot;Kt&quot;"/>
    <numFmt numFmtId="187" formatCode="&quot;Fb&quot;\ 0.0"/>
    <numFmt numFmtId="188" formatCode="h:mm:ss;@"/>
    <numFmt numFmtId="189" formatCode="0.00&quot;Lit/h&quot;"/>
    <numFmt numFmtId="190" formatCode="0.00\'\l\i\t"/>
    <numFmt numFmtId="191" formatCode="d/mm/yyyy;@"/>
    <numFmt numFmtId="192" formatCode="[$-F400]h:mm:ss\ AM/PM&quot;UTC&quot;"/>
    <numFmt numFmtId="193" formatCode="00&quot;Litres&quot;"/>
    <numFmt numFmtId="194" formatCode="0.00\'\l\i\t\h\r\'"/>
    <numFmt numFmtId="195" formatCode="0&quot;Kt&quot;"/>
    <numFmt numFmtId="196" formatCode="_-* #,##0.00\ [$€-80C]_-;\-* #,##0.00\ [$€-80C]_-;_-* &quot;-&quot;??\ [$€-80C]_-;_-@_-"/>
    <numFmt numFmtId="197" formatCode="0.00\ &quot;Lbs&quot;"/>
    <numFmt numFmtId="198" formatCode="0.00&quot;inch&quot;"/>
    <numFmt numFmtId="199" formatCode="0\ &quot;kg&quot;"/>
    <numFmt numFmtId="200" formatCode="0.0\ &quot;Lbs&quot;"/>
    <numFmt numFmtId="201" formatCode="0.0&quot;inch&quot;"/>
    <numFmt numFmtId="202" formatCode="0.0"/>
    <numFmt numFmtId="203" formatCode="_([$€-2]\ * #,##0.00_);_([$€-2]\ * \(#,##0.00\);_([$€-2]\ * &quot;-&quot;??_);_(@_)"/>
    <numFmt numFmtId="204" formatCode="0.000"/>
    <numFmt numFmtId="205" formatCode="#,##0.000000"/>
    <numFmt numFmtId="206" formatCode="0\ &quot;ft&quot;"/>
    <numFmt numFmtId="207" formatCode="0.0000000"/>
    <numFmt numFmtId="208" formatCode="#,##0.0000000"/>
    <numFmt numFmtId="209" formatCode="0.00000000"/>
    <numFmt numFmtId="210" formatCode="0.000000"/>
    <numFmt numFmtId="211" formatCode="#,##0.00000000"/>
  </numFmts>
  <fonts count="7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2"/>
      <color rgb="FF000000"/>
      <name val="Helvetica"/>
    </font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0000"/>
      <name val="Helvetica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i/>
      <sz val="12"/>
      <color theme="1"/>
      <name val="Calibri"/>
      <family val="2"/>
      <scheme val="minor"/>
    </font>
    <font>
      <b/>
      <i/>
      <sz val="18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 Black"/>
      <family val="2"/>
    </font>
    <font>
      <b/>
      <i/>
      <sz val="12"/>
      <color theme="1"/>
      <name val="Arial"/>
      <family val="2"/>
    </font>
    <font>
      <i/>
      <sz val="18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0"/>
      <color theme="1"/>
      <name val="Arial"/>
      <family val="2"/>
    </font>
    <font>
      <sz val="12"/>
      <color theme="1"/>
      <name val="Arial Black"/>
      <family val="2"/>
    </font>
    <font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i/>
      <sz val="9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8"/>
      <color theme="1"/>
      <name val="Arial Black"/>
      <family val="2"/>
    </font>
    <font>
      <b/>
      <sz val="11"/>
      <color rgb="FF000000"/>
      <name val="Calibri"/>
      <family val="2"/>
      <scheme val="minor"/>
    </font>
    <font>
      <b/>
      <i/>
      <sz val="9"/>
      <color rgb="FF000000"/>
      <name val="Arial"/>
      <family val="2"/>
    </font>
    <font>
      <b/>
      <i/>
      <sz val="14"/>
      <color theme="1"/>
      <name val="Arial"/>
      <family val="2"/>
    </font>
    <font>
      <b/>
      <sz val="11"/>
      <color theme="1"/>
      <name val="Arial"/>
      <family val="2"/>
    </font>
    <font>
      <b/>
      <i/>
      <sz val="9"/>
      <color theme="1"/>
      <name val="Arial"/>
      <family val="2"/>
    </font>
    <font>
      <sz val="18"/>
      <color theme="0"/>
      <name val="Arial Black"/>
      <family val="2"/>
    </font>
    <font>
      <i/>
      <sz val="20"/>
      <color theme="1"/>
      <name val="Arial Black"/>
      <family val="2"/>
    </font>
    <font>
      <b/>
      <i/>
      <sz val="20"/>
      <color theme="1"/>
      <name val="Arial Black"/>
      <family val="2"/>
    </font>
    <font>
      <b/>
      <sz val="4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theme="1"/>
      <name val="Arial Unicode MS"/>
      <family val="2"/>
    </font>
  </fonts>
  <fills count="1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EFFB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D9E1F2"/>
        <bgColor rgb="FFD9E1F2"/>
      </patternFill>
    </fill>
  </fills>
  <borders count="7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4" tint="0.39997558519241921"/>
      </left>
      <right/>
      <top style="medium">
        <color auto="1"/>
      </top>
      <bottom style="thin">
        <color theme="4" tint="0.39997558519241921"/>
      </bottom>
      <diagonal/>
    </border>
    <border>
      <left/>
      <right/>
      <top style="medium">
        <color auto="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 tint="0.39997558519241921"/>
      </bottom>
      <diagonal/>
    </border>
    <border>
      <left style="thin">
        <color theme="4"/>
      </left>
      <right style="medium">
        <color auto="1"/>
      </right>
      <top style="medium">
        <color auto="1"/>
      </top>
      <bottom style="thin">
        <color theme="4"/>
      </bottom>
      <diagonal/>
    </border>
    <border>
      <left style="medium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 style="medium">
        <color auto="1"/>
      </right>
      <top style="thin">
        <color theme="4"/>
      </top>
      <bottom style="thin">
        <color theme="4"/>
      </bottom>
      <diagonal/>
    </border>
    <border>
      <left style="medium">
        <color auto="1"/>
      </left>
      <right style="thin">
        <color theme="4"/>
      </right>
      <top style="thin">
        <color theme="4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medium">
        <color auto="1"/>
      </bottom>
      <diagonal/>
    </border>
    <border>
      <left style="thin">
        <color theme="4"/>
      </left>
      <right style="medium">
        <color auto="1"/>
      </right>
      <top style="thin">
        <color theme="4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/>
      <right style="thick">
        <color theme="1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ck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</borders>
  <cellStyleXfs count="3">
    <xf numFmtId="0" fontId="0" fillId="0" borderId="0"/>
    <xf numFmtId="16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752">
    <xf numFmtId="0" fontId="0" fillId="0" borderId="0" xfId="0"/>
    <xf numFmtId="0" fontId="4" fillId="2" borderId="1" xfId="0" applyFont="1" applyFill="1" applyBorder="1" applyAlignment="1" applyProtection="1">
      <alignment horizontal="center"/>
      <protection hidden="1"/>
    </xf>
    <xf numFmtId="0" fontId="4" fillId="2" borderId="2" xfId="0" applyFont="1" applyFill="1" applyBorder="1" applyAlignment="1" applyProtection="1">
      <alignment horizontal="center"/>
      <protection hidden="1"/>
    </xf>
    <xf numFmtId="0" fontId="3" fillId="2" borderId="3" xfId="0" applyFont="1" applyFill="1" applyBorder="1"/>
    <xf numFmtId="0" fontId="3" fillId="0" borderId="0" xfId="0" applyFont="1"/>
    <xf numFmtId="0" fontId="3" fillId="2" borderId="4" xfId="0" applyFont="1" applyFill="1" applyBorder="1" applyProtection="1">
      <protection hidden="1"/>
    </xf>
    <xf numFmtId="164" fontId="5" fillId="2" borderId="0" xfId="0" applyNumberFormat="1" applyFont="1" applyFill="1" applyBorder="1" applyAlignment="1" applyProtection="1">
      <alignment horizontal="center" vertical="center"/>
      <protection hidden="1"/>
    </xf>
    <xf numFmtId="164" fontId="6" fillId="2" borderId="0" xfId="0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protection hidden="1"/>
    </xf>
    <xf numFmtId="0" fontId="3" fillId="2" borderId="0" xfId="0" applyFont="1" applyFill="1" applyBorder="1" applyProtection="1"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/>
    <xf numFmtId="164" fontId="5" fillId="2" borderId="6" xfId="0" applyNumberFormat="1" applyFont="1" applyFill="1" applyBorder="1" applyAlignment="1" applyProtection="1">
      <alignment horizontal="center" vertical="center"/>
      <protection hidden="1"/>
    </xf>
    <xf numFmtId="164" fontId="6" fillId="2" borderId="6" xfId="0" applyNumberFormat="1" applyFont="1" applyFill="1" applyBorder="1" applyAlignment="1" applyProtection="1">
      <alignment horizontal="center" vertical="center"/>
      <protection hidden="1"/>
    </xf>
    <xf numFmtId="164" fontId="3" fillId="2" borderId="6" xfId="0" applyNumberFormat="1" applyFont="1" applyFill="1" applyBorder="1" applyAlignment="1" applyProtection="1">
      <alignment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center" vertical="center"/>
      <protection hidden="1"/>
    </xf>
    <xf numFmtId="0" fontId="8" fillId="4" borderId="3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Protection="1">
      <protection hidden="1"/>
    </xf>
    <xf numFmtId="0" fontId="3" fillId="0" borderId="0" xfId="0" applyFont="1" applyAlignment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8" fillId="4" borderId="7" xfId="0" applyFont="1" applyFill="1" applyBorder="1" applyAlignment="1" applyProtection="1">
      <alignment horizontal="center" vertical="center"/>
      <protection hidden="1"/>
    </xf>
    <xf numFmtId="0" fontId="8" fillId="4" borderId="6" xfId="0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center" vertical="center"/>
      <protection hidden="1"/>
    </xf>
    <xf numFmtId="165" fontId="10" fillId="3" borderId="9" xfId="0" applyNumberFormat="1" applyFont="1" applyFill="1" applyBorder="1" applyAlignment="1" applyProtection="1">
      <alignment horizontal="center" vertical="center"/>
      <protection hidden="1"/>
    </xf>
    <xf numFmtId="165" fontId="10" fillId="3" borderId="10" xfId="0" applyNumberFormat="1" applyFont="1" applyFill="1" applyBorder="1" applyAlignment="1" applyProtection="1">
      <alignment horizontal="center" vertical="center"/>
      <protection hidden="1"/>
    </xf>
    <xf numFmtId="165" fontId="10" fillId="3" borderId="8" xfId="0" applyNumberFormat="1" applyFont="1" applyFill="1" applyBorder="1" applyAlignment="1" applyProtection="1">
      <alignment horizontal="center"/>
      <protection hidden="1"/>
    </xf>
    <xf numFmtId="0" fontId="8" fillId="4" borderId="11" xfId="0" applyFont="1" applyFill="1" applyBorder="1" applyAlignment="1" applyProtection="1">
      <alignment horizontal="center"/>
      <protection hidden="1"/>
    </xf>
    <xf numFmtId="0" fontId="8" fillId="5" borderId="10" xfId="0" applyFont="1" applyFill="1" applyBorder="1" applyAlignment="1" applyProtection="1">
      <alignment horizontal="center"/>
      <protection hidden="1"/>
    </xf>
    <xf numFmtId="166" fontId="11" fillId="2" borderId="11" xfId="0" applyNumberFormat="1" applyFont="1" applyFill="1" applyBorder="1" applyAlignment="1" applyProtection="1">
      <alignment horizontal="right"/>
      <protection hidden="1"/>
    </xf>
    <xf numFmtId="166" fontId="8" fillId="4" borderId="11" xfId="0" applyNumberFormat="1" applyFont="1" applyFill="1" applyBorder="1" applyAlignment="1" applyProtection="1">
      <alignment horizontal="center"/>
      <protection hidden="1"/>
    </xf>
    <xf numFmtId="46" fontId="8" fillId="4" borderId="11" xfId="0" applyNumberFormat="1" applyFont="1" applyFill="1" applyBorder="1" applyAlignment="1" applyProtection="1">
      <alignment horizontal="center"/>
      <protection hidden="1"/>
    </xf>
    <xf numFmtId="166" fontId="8" fillId="5" borderId="11" xfId="0" applyNumberFormat="1" applyFont="1" applyFill="1" applyBorder="1" applyAlignment="1" applyProtection="1">
      <alignment horizontal="center" vertical="center"/>
      <protection hidden="1"/>
    </xf>
    <xf numFmtId="167" fontId="12" fillId="2" borderId="0" xfId="0" applyNumberFormat="1" applyFont="1" applyFill="1" applyBorder="1" applyAlignment="1" applyProtection="1">
      <alignment horizontal="center" vertical="center"/>
      <protection hidden="1"/>
    </xf>
    <xf numFmtId="166" fontId="11" fillId="2" borderId="9" xfId="0" applyNumberFormat="1" applyFont="1" applyFill="1" applyBorder="1" applyAlignment="1" applyProtection="1">
      <alignment horizontal="center"/>
      <protection hidden="1"/>
    </xf>
    <xf numFmtId="166" fontId="11" fillId="2" borderId="10" xfId="0" applyNumberFormat="1" applyFont="1" applyFill="1" applyBorder="1" applyAlignment="1" applyProtection="1">
      <alignment horizontal="center"/>
      <protection hidden="1"/>
    </xf>
    <xf numFmtId="0" fontId="8" fillId="2" borderId="11" xfId="0" applyFont="1" applyFill="1" applyBorder="1" applyAlignment="1" applyProtection="1">
      <alignment horizontal="center" vertical="center"/>
      <protection hidden="1"/>
    </xf>
    <xf numFmtId="0" fontId="8" fillId="5" borderId="10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left" vertical="top" wrapText="1"/>
      <protection hidden="1"/>
    </xf>
    <xf numFmtId="168" fontId="3" fillId="2" borderId="10" xfId="0" applyNumberFormat="1" applyFont="1" applyFill="1" applyBorder="1" applyAlignment="1" applyProtection="1">
      <alignment vertical="center"/>
      <protection hidden="1"/>
    </xf>
    <xf numFmtId="167" fontId="11" fillId="2" borderId="0" xfId="0" applyNumberFormat="1" applyFont="1" applyFill="1" applyBorder="1" applyAlignment="1" applyProtection="1">
      <alignment horizontal="center" vertical="center"/>
      <protection hidden="1"/>
    </xf>
    <xf numFmtId="0" fontId="11" fillId="2" borderId="10" xfId="0" applyFont="1" applyFill="1" applyBorder="1" applyAlignment="1" applyProtection="1">
      <alignment horizontal="center"/>
      <protection hidden="1"/>
    </xf>
    <xf numFmtId="0" fontId="13" fillId="2" borderId="11" xfId="0" applyFont="1" applyFill="1" applyBorder="1" applyAlignment="1" applyProtection="1">
      <alignment horizontal="center" vertical="center"/>
      <protection hidden="1"/>
    </xf>
    <xf numFmtId="0" fontId="14" fillId="2" borderId="11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/>
      <protection hidden="1"/>
    </xf>
    <xf numFmtId="0" fontId="8" fillId="2" borderId="10" xfId="0" applyFont="1" applyFill="1" applyBorder="1" applyAlignment="1" applyProtection="1">
      <alignment horizontal="center"/>
      <protection hidden="1"/>
    </xf>
    <xf numFmtId="164" fontId="14" fillId="2" borderId="11" xfId="0" applyNumberFormat="1" applyFont="1" applyFill="1" applyBorder="1" applyAlignment="1" applyProtection="1">
      <alignment horizontal="center" vertical="center"/>
      <protection hidden="1"/>
    </xf>
    <xf numFmtId="46" fontId="8" fillId="2" borderId="9" xfId="0" applyNumberFormat="1" applyFont="1" applyFill="1" applyBorder="1" applyAlignment="1" applyProtection="1">
      <alignment horizontal="center"/>
      <protection hidden="1"/>
    </xf>
    <xf numFmtId="46" fontId="8" fillId="2" borderId="1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Protection="1">
      <protection hidden="1"/>
    </xf>
    <xf numFmtId="164" fontId="14" fillId="2" borderId="10" xfId="0" applyNumberFormat="1" applyFont="1" applyFill="1" applyBorder="1" applyAlignment="1" applyProtection="1">
      <alignment horizontal="center" vertical="center"/>
      <protection hidden="1"/>
    </xf>
    <xf numFmtId="46" fontId="15" fillId="2" borderId="1" xfId="0" applyNumberFormat="1" applyFont="1" applyFill="1" applyBorder="1" applyAlignment="1" applyProtection="1">
      <alignment horizontal="center" vertical="center"/>
      <protection hidden="1"/>
    </xf>
    <xf numFmtId="46" fontId="15" fillId="2" borderId="3" xfId="0" applyNumberFormat="1" applyFont="1" applyFill="1" applyBorder="1" applyAlignment="1" applyProtection="1">
      <alignment horizontal="center" vertical="center"/>
      <protection hidden="1"/>
    </xf>
    <xf numFmtId="0" fontId="4" fillId="2" borderId="12" xfId="0" applyFont="1" applyFill="1" applyBorder="1" applyAlignment="1" applyProtection="1">
      <alignment horizontal="center" vertical="center"/>
      <protection hidden="1"/>
    </xf>
    <xf numFmtId="46" fontId="15" fillId="2" borderId="7" xfId="0" applyNumberFormat="1" applyFont="1" applyFill="1" applyBorder="1" applyAlignment="1" applyProtection="1">
      <alignment horizontal="center" vertical="center"/>
      <protection hidden="1"/>
    </xf>
    <xf numFmtId="46" fontId="15" fillId="2" borderId="8" xfId="0" applyNumberFormat="1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hidden="1"/>
    </xf>
    <xf numFmtId="0" fontId="16" fillId="2" borderId="12" xfId="0" applyNumberFormat="1" applyFont="1" applyFill="1" applyBorder="1" applyAlignment="1" applyProtection="1">
      <alignment horizontal="center" vertical="center"/>
      <protection hidden="1"/>
    </xf>
    <xf numFmtId="170" fontId="13" fillId="2" borderId="12" xfId="1" applyNumberFormat="1" applyFont="1" applyFill="1" applyBorder="1" applyAlignment="1" applyProtection="1">
      <alignment horizontal="center" vertical="center"/>
      <protection hidden="1"/>
    </xf>
    <xf numFmtId="0" fontId="14" fillId="2" borderId="13" xfId="0" applyFont="1" applyFill="1" applyBorder="1" applyAlignment="1" applyProtection="1">
      <alignment horizontal="center" vertical="center"/>
      <protection hidden="1"/>
    </xf>
    <xf numFmtId="0" fontId="16" fillId="2" borderId="13" xfId="0" applyNumberFormat="1" applyFont="1" applyFill="1" applyBorder="1" applyAlignment="1" applyProtection="1">
      <alignment horizontal="center" vertical="center"/>
      <protection hidden="1"/>
    </xf>
    <xf numFmtId="170" fontId="13" fillId="2" borderId="13" xfId="1" applyNumberFormat="1" applyFont="1" applyFill="1" applyBorder="1" applyAlignment="1" applyProtection="1">
      <alignment horizontal="center" vertical="center"/>
      <protection hidden="1"/>
    </xf>
    <xf numFmtId="171" fontId="17" fillId="2" borderId="0" xfId="0" applyNumberFormat="1" applyFont="1" applyFill="1" applyBorder="1" applyAlignment="1" applyProtection="1">
      <alignment horizontal="center" vertical="center"/>
      <protection hidden="1"/>
    </xf>
    <xf numFmtId="171" fontId="3" fillId="2" borderId="0" xfId="0" applyNumberFormat="1" applyFont="1" applyFill="1" applyBorder="1" applyProtection="1">
      <protection hidden="1"/>
    </xf>
    <xf numFmtId="0" fontId="3" fillId="2" borderId="7" xfId="0" applyFont="1" applyFill="1" applyBorder="1" applyProtection="1">
      <protection hidden="1"/>
    </xf>
    <xf numFmtId="0" fontId="3" fillId="2" borderId="6" xfId="0" applyFont="1" applyFill="1" applyBorder="1" applyProtection="1">
      <protection hidden="1"/>
    </xf>
    <xf numFmtId="0" fontId="3" fillId="2" borderId="8" xfId="0" applyFont="1" applyFill="1" applyBorder="1"/>
    <xf numFmtId="173" fontId="0" fillId="0" borderId="0" xfId="0" applyNumberFormat="1" applyAlignment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73" fontId="0" fillId="4" borderId="12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173" fontId="0" fillId="4" borderId="13" xfId="0" applyNumberForma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174" fontId="0" fillId="4" borderId="11" xfId="0" applyNumberForma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173" fontId="0" fillId="6" borderId="0" xfId="0" applyNumberFormat="1" applyFill="1" applyBorder="1" applyAlignment="1"/>
    <xf numFmtId="0" fontId="0" fillId="6" borderId="0" xfId="0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0" fillId="6" borderId="0" xfId="0" applyFill="1" applyBorder="1"/>
    <xf numFmtId="174" fontId="0" fillId="6" borderId="0" xfId="0" applyNumberFormat="1" applyFill="1" applyBorder="1" applyAlignment="1">
      <alignment horizontal="center" vertical="center"/>
    </xf>
    <xf numFmtId="0" fontId="24" fillId="6" borderId="0" xfId="0" applyFont="1" applyFill="1" applyBorder="1"/>
    <xf numFmtId="0" fontId="0" fillId="6" borderId="0" xfId="0" applyFill="1"/>
    <xf numFmtId="0" fontId="25" fillId="7" borderId="12" xfId="0" applyFont="1" applyFill="1" applyBorder="1" applyAlignment="1">
      <alignment horizontal="center" vertical="center"/>
    </xf>
    <xf numFmtId="0" fontId="0" fillId="0" borderId="2" xfId="0" applyBorder="1"/>
    <xf numFmtId="173" fontId="0" fillId="0" borderId="2" xfId="0" applyNumberFormat="1" applyBorder="1" applyAlignment="1"/>
    <xf numFmtId="14" fontId="0" fillId="0" borderId="2" xfId="0" applyNumberFormat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/>
    </xf>
    <xf numFmtId="175" fontId="0" fillId="0" borderId="2" xfId="0" applyNumberFormat="1" applyBorder="1" applyAlignment="1">
      <alignment horizontal="center"/>
    </xf>
    <xf numFmtId="174" fontId="0" fillId="0" borderId="2" xfId="0" applyNumberForma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" fontId="0" fillId="0" borderId="3" xfId="0" applyNumberForma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NumberFormat="1" applyProtection="1"/>
    <xf numFmtId="0" fontId="25" fillId="7" borderId="14" xfId="0" applyFont="1" applyFill="1" applyBorder="1" applyAlignment="1">
      <alignment horizontal="center" vertical="center"/>
    </xf>
    <xf numFmtId="0" fontId="0" fillId="0" borderId="0" xfId="0" applyBorder="1"/>
    <xf numFmtId="173" fontId="0" fillId="0" borderId="0" xfId="0" applyNumberFormat="1" applyBorder="1" applyAlignment="1"/>
    <xf numFmtId="14" fontId="0" fillId="0" borderId="0" xfId="0" applyNumberFormat="1" applyBorder="1" applyAlignment="1">
      <alignment horizontal="center" vertical="center"/>
    </xf>
    <xf numFmtId="14" fontId="23" fillId="0" borderId="0" xfId="0" applyNumberFormat="1" applyFont="1" applyBorder="1" applyAlignment="1">
      <alignment horizontal="center"/>
    </xf>
    <xf numFmtId="175" fontId="0" fillId="0" borderId="0" xfId="0" applyNumberFormat="1" applyBorder="1" applyAlignment="1">
      <alignment horizontal="center"/>
    </xf>
    <xf numFmtId="174" fontId="0" fillId="0" borderId="0" xfId="0" applyNumberForma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2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" fontId="0" fillId="0" borderId="5" xfId="0" applyNumberFormat="1" applyBorder="1" applyAlignment="1" applyProtection="1">
      <alignment horizontal="center" vertical="center"/>
    </xf>
    <xf numFmtId="20" fontId="0" fillId="0" borderId="0" xfId="0" applyNumberFormat="1"/>
    <xf numFmtId="0" fontId="25" fillId="7" borderId="13" xfId="0" applyFont="1" applyFill="1" applyBorder="1" applyAlignment="1">
      <alignment horizontal="center" vertical="center"/>
    </xf>
    <xf numFmtId="0" fontId="0" fillId="0" borderId="6" xfId="0" applyBorder="1"/>
    <xf numFmtId="173" fontId="0" fillId="0" borderId="6" xfId="0" applyNumberFormat="1" applyBorder="1" applyAlignment="1"/>
    <xf numFmtId="14" fontId="0" fillId="0" borderId="6" xfId="0" applyNumberFormat="1" applyBorder="1" applyAlignment="1">
      <alignment horizontal="center" vertical="center"/>
    </xf>
    <xf numFmtId="14" fontId="23" fillId="0" borderId="6" xfId="0" applyNumberFormat="1" applyFont="1" applyBorder="1" applyAlignment="1">
      <alignment horizontal="center"/>
    </xf>
    <xf numFmtId="175" fontId="0" fillId="0" borderId="6" xfId="0" applyNumberFormat="1" applyBorder="1" applyAlignment="1">
      <alignment horizontal="center"/>
    </xf>
    <xf numFmtId="174" fontId="0" fillId="0" borderId="6" xfId="0" applyNumberForma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0" fillId="0" borderId="6" xfId="0" applyBorder="1" applyAlignment="1" applyProtection="1">
      <alignment horizontal="center" vertical="center"/>
      <protection locked="0"/>
    </xf>
    <xf numFmtId="20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" fontId="0" fillId="0" borderId="8" xfId="0" applyNumberFormat="1" applyBorder="1" applyAlignment="1" applyProtection="1">
      <alignment horizontal="center" vertical="center"/>
    </xf>
    <xf numFmtId="173" fontId="6" fillId="8" borderId="0" xfId="0" applyNumberFormat="1" applyFont="1" applyFill="1" applyAlignment="1" applyProtection="1">
      <protection locked="0"/>
    </xf>
    <xf numFmtId="14" fontId="6" fillId="8" borderId="0" xfId="0" applyNumberFormat="1" applyFont="1" applyFill="1" applyAlignment="1" applyProtection="1">
      <alignment horizontal="center" vertical="center"/>
      <protection locked="0"/>
    </xf>
    <xf numFmtId="20" fontId="6" fillId="8" borderId="0" xfId="0" applyNumberFormat="1" applyFont="1" applyFill="1" applyAlignment="1" applyProtection="1">
      <alignment horizontal="center" vertical="center"/>
      <protection locked="0"/>
    </xf>
    <xf numFmtId="174" fontId="6" fillId="8" borderId="0" xfId="0" applyNumberFormat="1" applyFont="1" applyFill="1" applyAlignment="1" applyProtection="1">
      <alignment horizontal="center" vertical="center"/>
      <protection locked="0"/>
    </xf>
    <xf numFmtId="14" fontId="6" fillId="8" borderId="0" xfId="0" applyNumberFormat="1" applyFont="1" applyFill="1" applyAlignment="1">
      <alignment horizontal="center" vertical="center"/>
    </xf>
    <xf numFmtId="14" fontId="6" fillId="8" borderId="0" xfId="0" applyNumberFormat="1" applyFont="1" applyFill="1" applyAlignment="1" applyProtection="1">
      <alignment horizontal="right"/>
      <protection locked="0"/>
    </xf>
    <xf numFmtId="0" fontId="23" fillId="8" borderId="0" xfId="0" applyFont="1" applyFill="1" applyAlignment="1" applyProtection="1">
      <alignment horizontal="right"/>
      <protection locked="0"/>
    </xf>
    <xf numFmtId="46" fontId="6" fillId="9" borderId="15" xfId="0" applyNumberFormat="1" applyFont="1" applyFill="1" applyBorder="1" applyAlignment="1">
      <alignment horizontal="center" vertical="center"/>
    </xf>
    <xf numFmtId="0" fontId="6" fillId="8" borderId="0" xfId="0" applyFont="1" applyFill="1" applyAlignment="1" applyProtection="1">
      <alignment horizontal="center" vertical="center"/>
      <protection locked="0"/>
    </xf>
    <xf numFmtId="0" fontId="6" fillId="9" borderId="15" xfId="0" applyFont="1" applyFill="1" applyBorder="1" applyAlignment="1" applyProtection="1">
      <alignment horizontal="center" vertical="center"/>
      <protection locked="0"/>
    </xf>
    <xf numFmtId="176" fontId="6" fillId="8" borderId="0" xfId="0" applyNumberFormat="1" applyFont="1" applyFill="1" applyAlignment="1">
      <alignment horizontal="center" vertical="center"/>
    </xf>
    <xf numFmtId="0" fontId="6" fillId="8" borderId="0" xfId="0" applyNumberFormat="1" applyFont="1" applyFill="1" applyAlignment="1" applyProtection="1">
      <alignment horizontal="center" vertical="center"/>
    </xf>
    <xf numFmtId="2" fontId="6" fillId="8" borderId="0" xfId="0" applyNumberFormat="1" applyFont="1" applyFill="1" applyAlignment="1" applyProtection="1">
      <alignment horizontal="center" vertical="center"/>
    </xf>
    <xf numFmtId="166" fontId="6" fillId="9" borderId="15" xfId="0" applyNumberFormat="1" applyFont="1" applyFill="1" applyBorder="1" applyAlignment="1" applyProtection="1">
      <alignment horizontal="center" vertical="center"/>
    </xf>
    <xf numFmtId="0" fontId="6" fillId="9" borderId="0" xfId="0" applyFont="1" applyFill="1" applyProtection="1"/>
    <xf numFmtId="0" fontId="6" fillId="9" borderId="0" xfId="0" applyNumberFormat="1" applyFont="1" applyFill="1" applyProtection="1"/>
    <xf numFmtId="0" fontId="23" fillId="8" borderId="0" xfId="0" applyFont="1" applyFill="1" applyAlignment="1" applyProtection="1">
      <alignment horizontal="right" vertical="center"/>
      <protection locked="0"/>
    </xf>
    <xf numFmtId="46" fontId="6" fillId="9" borderId="16" xfId="0" applyNumberFormat="1" applyFont="1" applyFill="1" applyBorder="1" applyAlignment="1">
      <alignment horizontal="center" vertical="center"/>
    </xf>
    <xf numFmtId="0" fontId="6" fillId="9" borderId="16" xfId="0" applyFont="1" applyFill="1" applyBorder="1" applyAlignment="1" applyProtection="1">
      <alignment horizontal="center" vertical="center"/>
      <protection locked="0"/>
    </xf>
    <xf numFmtId="166" fontId="6" fillId="9" borderId="16" xfId="0" applyNumberFormat="1" applyFont="1" applyFill="1" applyBorder="1" applyAlignment="1" applyProtection="1">
      <alignment horizontal="center" vertical="center"/>
    </xf>
    <xf numFmtId="0" fontId="23" fillId="8" borderId="0" xfId="0" applyFont="1" applyFill="1" applyAlignment="1" applyProtection="1">
      <alignment horizontal="center" vertical="center"/>
      <protection locked="0"/>
    </xf>
    <xf numFmtId="46" fontId="6" fillId="9" borderId="17" xfId="0" applyNumberFormat="1" applyFont="1" applyFill="1" applyBorder="1" applyAlignment="1">
      <alignment horizontal="center" vertical="center"/>
    </xf>
    <xf numFmtId="0" fontId="6" fillId="9" borderId="17" xfId="0" applyFont="1" applyFill="1" applyBorder="1" applyAlignment="1" applyProtection="1">
      <alignment horizontal="center" vertical="center"/>
      <protection locked="0"/>
    </xf>
    <xf numFmtId="166" fontId="6" fillId="9" borderId="17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2" fontId="0" fillId="0" borderId="0" xfId="0" applyNumberFormat="1"/>
    <xf numFmtId="173" fontId="0" fillId="0" borderId="0" xfId="0" applyNumberFormat="1" applyBorder="1" applyAlignment="1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23" fillId="0" borderId="0" xfId="0" applyNumberFormat="1" applyFon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174" fontId="0" fillId="0" borderId="0" xfId="0" applyNumberFormat="1" applyBorder="1" applyAlignment="1" applyProtection="1">
      <alignment horizontal="center" vertical="center"/>
      <protection locked="0"/>
    </xf>
    <xf numFmtId="46" fontId="0" fillId="0" borderId="0" xfId="0" applyNumberFormat="1" applyBorder="1" applyAlignment="1">
      <alignment horizontal="center" vertical="center"/>
    </xf>
    <xf numFmtId="0" fontId="23" fillId="0" borderId="0" xfId="0" applyFon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>
      <alignment horizontal="center" vertical="center"/>
    </xf>
    <xf numFmtId="173" fontId="0" fillId="0" borderId="6" xfId="0" applyNumberFormat="1" applyBorder="1" applyAlignment="1" applyProtection="1"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14" fontId="23" fillId="0" borderId="6" xfId="0" applyNumberFormat="1" applyFon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74" fontId="0" fillId="0" borderId="6" xfId="0" applyNumberFormat="1" applyBorder="1" applyAlignment="1" applyProtection="1">
      <alignment horizontal="center" vertical="center"/>
      <protection locked="0"/>
    </xf>
    <xf numFmtId="21" fontId="0" fillId="0" borderId="6" xfId="0" applyNumberFormat="1" applyBorder="1" applyAlignment="1">
      <alignment horizontal="center" vertical="center"/>
    </xf>
    <xf numFmtId="0" fontId="23" fillId="0" borderId="6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right"/>
      <protection locked="0"/>
    </xf>
    <xf numFmtId="0" fontId="23" fillId="8" borderId="3" xfId="0" applyFont="1" applyFill="1" applyBorder="1" applyAlignment="1" applyProtection="1">
      <alignment horizontal="right"/>
      <protection locked="0"/>
    </xf>
    <xf numFmtId="46" fontId="6" fillId="9" borderId="18" xfId="0" applyNumberFormat="1" applyFont="1" applyFill="1" applyBorder="1" applyAlignment="1">
      <alignment horizontal="center" vertical="center"/>
    </xf>
    <xf numFmtId="0" fontId="23" fillId="8" borderId="4" xfId="0" applyFont="1" applyFill="1" applyBorder="1" applyAlignment="1" applyProtection="1">
      <alignment horizontal="right" vertical="center"/>
      <protection locked="0"/>
    </xf>
    <xf numFmtId="0" fontId="23" fillId="8" borderId="5" xfId="0" applyFont="1" applyFill="1" applyBorder="1" applyAlignment="1" applyProtection="1">
      <alignment horizontal="right" vertical="center"/>
      <protection locked="0"/>
    </xf>
    <xf numFmtId="46" fontId="6" fillId="9" borderId="19" xfId="0" applyNumberFormat="1" applyFont="1" applyFill="1" applyBorder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46" fontId="6" fillId="9" borderId="20" xfId="0" applyNumberFormat="1" applyFont="1" applyFill="1" applyBorder="1" applyAlignment="1">
      <alignment horizontal="center" vertical="center"/>
    </xf>
    <xf numFmtId="46" fontId="0" fillId="0" borderId="6" xfId="0" applyNumberFormat="1" applyBorder="1" applyAlignment="1">
      <alignment horizontal="center" vertical="center"/>
    </xf>
    <xf numFmtId="173" fontId="0" fillId="0" borderId="2" xfId="0" applyNumberFormat="1" applyBorder="1" applyAlignment="1" applyProtection="1"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23" fillId="0" borderId="2" xfId="0" applyNumberFormat="1" applyFont="1" applyBorder="1" applyAlignment="1" applyProtection="1">
      <alignment horizontal="center" vertical="center"/>
      <protection locked="0"/>
    </xf>
    <xf numFmtId="20" fontId="0" fillId="0" borderId="2" xfId="0" applyNumberFormat="1" applyBorder="1" applyAlignment="1" applyProtection="1">
      <alignment horizontal="center" vertical="center"/>
      <protection locked="0"/>
    </xf>
    <xf numFmtId="174" fontId="0" fillId="0" borderId="2" xfId="0" applyNumberFormat="1" applyBorder="1" applyAlignment="1" applyProtection="1">
      <alignment horizontal="center" vertical="center"/>
      <protection locked="0"/>
    </xf>
    <xf numFmtId="46" fontId="0" fillId="0" borderId="2" xfId="0" applyNumberFormat="1" applyBorder="1" applyAlignment="1">
      <alignment horizontal="center" vertical="center"/>
    </xf>
    <xf numFmtId="0" fontId="23" fillId="0" borderId="2" xfId="0" applyFont="1" applyBorder="1" applyAlignment="1" applyProtection="1">
      <alignment horizontal="center" vertical="center"/>
      <protection locked="0"/>
    </xf>
    <xf numFmtId="0" fontId="26" fillId="7" borderId="12" xfId="0" applyFont="1" applyFill="1" applyBorder="1" applyAlignment="1">
      <alignment horizontal="center" vertical="center"/>
    </xf>
    <xf numFmtId="0" fontId="26" fillId="7" borderId="14" xfId="0" applyFont="1" applyFill="1" applyBorder="1" applyAlignment="1">
      <alignment horizontal="center" vertical="center"/>
    </xf>
    <xf numFmtId="0" fontId="26" fillId="7" borderId="13" xfId="0" applyFont="1" applyFill="1" applyBorder="1" applyAlignment="1">
      <alignment horizontal="center" vertical="center"/>
    </xf>
    <xf numFmtId="0" fontId="23" fillId="8" borderId="2" xfId="0" applyFont="1" applyFill="1" applyBorder="1" applyAlignment="1" applyProtection="1">
      <alignment horizontal="right"/>
      <protection locked="0"/>
    </xf>
    <xf numFmtId="46" fontId="6" fillId="9" borderId="21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 applyProtection="1">
      <alignment horizontal="center" vertical="center"/>
      <protection locked="0"/>
    </xf>
    <xf numFmtId="0" fontId="6" fillId="9" borderId="21" xfId="0" applyFont="1" applyFill="1" applyBorder="1" applyAlignment="1" applyProtection="1">
      <alignment horizontal="center" vertical="center"/>
      <protection locked="0"/>
    </xf>
    <xf numFmtId="176" fontId="6" fillId="8" borderId="2" xfId="0" applyNumberFormat="1" applyFont="1" applyFill="1" applyBorder="1" applyAlignment="1">
      <alignment horizontal="center" vertical="center"/>
    </xf>
    <xf numFmtId="0" fontId="6" fillId="8" borderId="2" xfId="0" applyNumberFormat="1" applyFont="1" applyFill="1" applyBorder="1" applyAlignment="1" applyProtection="1">
      <alignment horizontal="center" vertical="center"/>
    </xf>
    <xf numFmtId="2" fontId="6" fillId="8" borderId="2" xfId="0" applyNumberFormat="1" applyFont="1" applyFill="1" applyBorder="1" applyAlignment="1" applyProtection="1">
      <alignment horizontal="center" vertical="center"/>
    </xf>
    <xf numFmtId="166" fontId="6" fillId="9" borderId="21" xfId="0" applyNumberFormat="1" applyFont="1" applyFill="1" applyBorder="1" applyAlignment="1" applyProtection="1">
      <alignment horizontal="center" vertical="center"/>
    </xf>
    <xf numFmtId="166" fontId="6" fillId="9" borderId="22" xfId="0" applyNumberFormat="1" applyFont="1" applyFill="1" applyBorder="1" applyAlignment="1" applyProtection="1">
      <alignment horizontal="center" vertical="center"/>
    </xf>
    <xf numFmtId="0" fontId="23" fillId="8" borderId="0" xfId="0" applyFont="1" applyFill="1" applyBorder="1" applyAlignment="1" applyProtection="1">
      <alignment horizontal="right" vertical="center"/>
      <protection locked="0"/>
    </xf>
    <xf numFmtId="0" fontId="6" fillId="8" borderId="0" xfId="0" applyFont="1" applyFill="1" applyBorder="1" applyAlignment="1" applyProtection="1">
      <alignment horizontal="center" vertical="center"/>
      <protection locked="0"/>
    </xf>
    <xf numFmtId="2" fontId="6" fillId="8" borderId="0" xfId="0" applyNumberFormat="1" applyFont="1" applyFill="1" applyBorder="1" applyAlignment="1" applyProtection="1">
      <alignment horizontal="center" vertical="center"/>
    </xf>
    <xf numFmtId="0" fontId="6" fillId="8" borderId="0" xfId="0" applyNumberFormat="1" applyFont="1" applyFill="1" applyBorder="1" applyAlignment="1" applyProtection="1">
      <alignment horizontal="center" vertical="center"/>
    </xf>
    <xf numFmtId="166" fontId="6" fillId="9" borderId="23" xfId="0" applyNumberFormat="1" applyFont="1" applyFill="1" applyBorder="1" applyAlignment="1" applyProtection="1">
      <alignment horizontal="center" vertical="center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46" fontId="6" fillId="9" borderId="24" xfId="0" applyNumberFormat="1" applyFont="1" applyFill="1" applyBorder="1" applyAlignment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  <protection locked="0"/>
    </xf>
    <xf numFmtId="0" fontId="6" fillId="9" borderId="24" xfId="0" applyFont="1" applyFill="1" applyBorder="1" applyAlignment="1" applyProtection="1">
      <alignment horizontal="center" vertical="center"/>
      <protection locked="0"/>
    </xf>
    <xf numFmtId="2" fontId="6" fillId="8" borderId="6" xfId="0" applyNumberFormat="1" applyFont="1" applyFill="1" applyBorder="1" applyAlignment="1" applyProtection="1">
      <alignment horizontal="center" vertical="center"/>
    </xf>
    <xf numFmtId="0" fontId="6" fillId="8" borderId="6" xfId="0" applyNumberFormat="1" applyFont="1" applyFill="1" applyBorder="1" applyAlignment="1" applyProtection="1">
      <alignment horizontal="center" vertical="center"/>
    </xf>
    <xf numFmtId="166" fontId="6" fillId="9" borderId="24" xfId="0" applyNumberFormat="1" applyFont="1" applyFill="1" applyBorder="1" applyAlignment="1" applyProtection="1">
      <alignment horizontal="center" vertical="center"/>
    </xf>
    <xf numFmtId="166" fontId="6" fillId="9" borderId="25" xfId="0" applyNumberFormat="1" applyFont="1" applyFill="1" applyBorder="1" applyAlignment="1" applyProtection="1">
      <alignment horizontal="center" vertical="center"/>
    </xf>
    <xf numFmtId="173" fontId="0" fillId="0" borderId="0" xfId="0" applyNumberFormat="1" applyAlignment="1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23" fillId="0" borderId="0" xfId="0" applyNumberFormat="1" applyFon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23" fillId="0" borderId="0" xfId="0" applyFon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23" fillId="0" borderId="0" xfId="0" applyFont="1"/>
    <xf numFmtId="174" fontId="0" fillId="0" borderId="0" xfId="0" applyNumberFormat="1"/>
    <xf numFmtId="178" fontId="0" fillId="4" borderId="12" xfId="0" applyNumberFormat="1" applyFill="1" applyBorder="1" applyAlignment="1">
      <alignment horizontal="center" vertical="center"/>
    </xf>
    <xf numFmtId="178" fontId="0" fillId="4" borderId="14" xfId="0" applyNumberForma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0" fillId="4" borderId="14" xfId="0" applyFill="1" applyBorder="1"/>
    <xf numFmtId="0" fontId="23" fillId="4" borderId="14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78" fontId="29" fillId="6" borderId="0" xfId="0" applyNumberFormat="1" applyFont="1" applyFill="1" applyBorder="1" applyAlignment="1">
      <alignment horizontal="center"/>
    </xf>
    <xf numFmtId="0" fontId="29" fillId="6" borderId="0" xfId="0" applyFont="1" applyFill="1" applyBorder="1" applyAlignment="1">
      <alignment horizontal="center" vertical="center"/>
    </xf>
    <xf numFmtId="0" fontId="28" fillId="6" borderId="0" xfId="0" applyFont="1" applyFill="1" applyBorder="1"/>
    <xf numFmtId="0" fontId="29" fillId="6" borderId="0" xfId="0" applyFont="1" applyFill="1" applyBorder="1"/>
    <xf numFmtId="0" fontId="27" fillId="6" borderId="0" xfId="0" applyFont="1" applyFill="1" applyBorder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173" fontId="0" fillId="0" borderId="1" xfId="0" applyNumberFormat="1" applyFill="1" applyBorder="1" applyAlignment="1">
      <alignment horizontal="center" vertical="center"/>
    </xf>
    <xf numFmtId="16" fontId="0" fillId="0" borderId="26" xfId="0" applyNumberFormat="1" applyFont="1" applyFill="1" applyBorder="1" applyAlignment="1">
      <alignment horizontal="center" vertical="center"/>
    </xf>
    <xf numFmtId="14" fontId="0" fillId="0" borderId="27" xfId="0" applyNumberFormat="1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20" fontId="0" fillId="0" borderId="27" xfId="0" applyNumberFormat="1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20" fontId="0" fillId="0" borderId="2" xfId="0" applyNumberForma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173" fontId="0" fillId="0" borderId="4" xfId="0" applyNumberForma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 applyAlignment="1" applyProtection="1">
      <alignment horizontal="center" vertical="center"/>
    </xf>
    <xf numFmtId="173" fontId="0" fillId="0" borderId="7" xfId="0" applyNumberFormat="1" applyFill="1" applyBorder="1" applyAlignment="1">
      <alignment horizontal="center" vertical="center"/>
    </xf>
    <xf numFmtId="16" fontId="0" fillId="0" borderId="6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 applyProtection="1">
      <alignment horizontal="center" vertical="center"/>
    </xf>
    <xf numFmtId="0" fontId="0" fillId="8" borderId="0" xfId="0" applyFill="1"/>
    <xf numFmtId="178" fontId="0" fillId="8" borderId="4" xfId="0" applyNumberFormat="1" applyFill="1" applyBorder="1" applyAlignment="1">
      <alignment horizontal="center" vertical="center"/>
    </xf>
    <xf numFmtId="16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3" fillId="8" borderId="30" xfId="0" applyFont="1" applyFill="1" applyBorder="1" applyAlignment="1">
      <alignment horizontal="right" vertical="center"/>
    </xf>
    <xf numFmtId="20" fontId="0" fillId="10" borderId="31" xfId="0" applyNumberFormat="1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20" fontId="0" fillId="10" borderId="18" xfId="0" applyNumberFormat="1" applyFill="1" applyBorder="1" applyAlignment="1">
      <alignment horizontal="center" vertical="center"/>
    </xf>
    <xf numFmtId="20" fontId="0" fillId="10" borderId="33" xfId="0" applyNumberFormat="1" applyFill="1" applyBorder="1" applyAlignment="1" applyProtection="1">
      <alignment horizontal="center" vertical="center"/>
    </xf>
    <xf numFmtId="0" fontId="23" fillId="8" borderId="28" xfId="0" applyFont="1" applyFill="1" applyBorder="1" applyAlignment="1">
      <alignment horizontal="right" vertical="center"/>
    </xf>
    <xf numFmtId="20" fontId="0" fillId="10" borderId="34" xfId="0" applyNumberForma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20" fontId="0" fillId="10" borderId="19" xfId="0" applyNumberFormat="1" applyFill="1" applyBorder="1" applyAlignment="1">
      <alignment horizontal="center" vertical="center"/>
    </xf>
    <xf numFmtId="20" fontId="0" fillId="10" borderId="23" xfId="0" applyNumberFormat="1" applyFill="1" applyBorder="1" applyAlignment="1" applyProtection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178" fontId="0" fillId="8" borderId="7" xfId="0" applyNumberFormat="1" applyFill="1" applyBorder="1" applyAlignment="1">
      <alignment horizontal="center" vertical="center"/>
    </xf>
    <xf numFmtId="16" fontId="0" fillId="8" borderId="6" xfId="0" applyNumberForma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23" fillId="8" borderId="29" xfId="0" applyFont="1" applyFill="1" applyBorder="1" applyAlignment="1">
      <alignment horizontal="right" vertical="center"/>
    </xf>
    <xf numFmtId="20" fontId="0" fillId="10" borderId="36" xfId="0" applyNumberForma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20" fontId="0" fillId="10" borderId="38" xfId="0" applyNumberFormat="1" applyFill="1" applyBorder="1" applyAlignment="1">
      <alignment horizontal="center" vertical="center"/>
    </xf>
    <xf numFmtId="20" fontId="0" fillId="10" borderId="25" xfId="0" applyNumberFormat="1" applyFill="1" applyBorder="1" applyAlignment="1" applyProtection="1">
      <alignment horizontal="center" vertical="center"/>
    </xf>
    <xf numFmtId="173" fontId="0" fillId="0" borderId="0" xfId="0" applyNumberFormat="1" applyFill="1" applyAlignment="1">
      <alignment horizontal="center" vertical="center"/>
    </xf>
    <xf numFmtId="1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 applyProtection="1">
      <alignment horizontal="center" vertical="center"/>
    </xf>
    <xf numFmtId="166" fontId="0" fillId="10" borderId="31" xfId="0" applyNumberFormat="1" applyFill="1" applyBorder="1" applyAlignment="1">
      <alignment horizontal="center" vertical="center"/>
    </xf>
    <xf numFmtId="166" fontId="0" fillId="10" borderId="32" xfId="0" applyNumberFormat="1" applyFill="1" applyBorder="1" applyAlignment="1">
      <alignment horizontal="center" vertical="center"/>
    </xf>
    <xf numFmtId="166" fontId="0" fillId="10" borderId="22" xfId="0" applyNumberFormat="1" applyFill="1" applyBorder="1" applyAlignment="1" applyProtection="1">
      <alignment horizontal="center" vertical="center"/>
    </xf>
    <xf numFmtId="166" fontId="0" fillId="10" borderId="34" xfId="0" applyNumberFormat="1" applyFill="1" applyBorder="1" applyAlignment="1">
      <alignment horizontal="center" vertical="center"/>
    </xf>
    <xf numFmtId="166" fontId="0" fillId="10" borderId="35" xfId="0" applyNumberFormat="1" applyFill="1" applyBorder="1" applyAlignment="1">
      <alignment horizontal="center" vertical="center"/>
    </xf>
    <xf numFmtId="166" fontId="0" fillId="10" borderId="23" xfId="0" applyNumberFormat="1" applyFill="1" applyBorder="1" applyAlignment="1" applyProtection="1">
      <alignment horizontal="center" vertical="center"/>
    </xf>
    <xf numFmtId="166" fontId="0" fillId="10" borderId="36" xfId="0" applyNumberFormat="1" applyFill="1" applyBorder="1" applyAlignment="1">
      <alignment horizontal="center" vertical="center"/>
    </xf>
    <xf numFmtId="166" fontId="0" fillId="10" borderId="37" xfId="0" applyNumberFormat="1" applyFill="1" applyBorder="1" applyAlignment="1">
      <alignment horizontal="center" vertical="center"/>
    </xf>
    <xf numFmtId="166" fontId="0" fillId="10" borderId="25" xfId="0" applyNumberFormat="1" applyFill="1" applyBorder="1" applyAlignment="1" applyProtection="1">
      <alignment horizontal="center" vertical="center"/>
    </xf>
    <xf numFmtId="16" fontId="0" fillId="0" borderId="2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173" fontId="0" fillId="0" borderId="4" xfId="0" applyNumberForma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0" fillId="0" borderId="0" xfId="0" applyNumberFormat="1" applyBorder="1" applyAlignment="1" applyProtection="1">
      <alignment horizontal="center" vertical="center"/>
    </xf>
    <xf numFmtId="166" fontId="0" fillId="10" borderId="39" xfId="0" applyNumberFormat="1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166" fontId="0" fillId="10" borderId="40" xfId="0" applyNumberFormat="1" applyFill="1" applyBorder="1" applyAlignment="1">
      <alignment horizontal="center" vertical="center"/>
    </xf>
    <xf numFmtId="166" fontId="0" fillId="10" borderId="33" xfId="0" applyNumberFormat="1" applyFill="1" applyBorder="1" applyAlignment="1" applyProtection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78" fontId="0" fillId="8" borderId="1" xfId="0" applyNumberFormat="1" applyFill="1" applyBorder="1" applyAlignment="1">
      <alignment horizontal="center" vertical="center"/>
    </xf>
    <xf numFmtId="16" fontId="0" fillId="8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23" fillId="8" borderId="27" xfId="0" applyFont="1" applyFill="1" applyBorder="1" applyAlignment="1">
      <alignment horizontal="right" vertical="center"/>
    </xf>
    <xf numFmtId="0" fontId="0" fillId="8" borderId="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178" fontId="0" fillId="8" borderId="41" xfId="0" applyNumberFormat="1" applyFont="1" applyFill="1" applyBorder="1" applyAlignment="1">
      <alignment horizontal="center" vertical="center"/>
    </xf>
    <xf numFmtId="16" fontId="0" fillId="8" borderId="42" xfId="0" applyNumberFormat="1" applyFont="1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0" fontId="23" fillId="8" borderId="43" xfId="0" applyFont="1" applyFill="1" applyBorder="1" applyAlignment="1">
      <alignment horizontal="right" vertical="center"/>
    </xf>
    <xf numFmtId="166" fontId="0" fillId="10" borderId="31" xfId="0" applyNumberFormat="1" applyFont="1" applyFill="1" applyBorder="1" applyAlignment="1">
      <alignment horizontal="center" vertical="center"/>
    </xf>
    <xf numFmtId="0" fontId="0" fillId="10" borderId="32" xfId="0" applyFont="1" applyFill="1" applyBorder="1" applyAlignment="1">
      <alignment horizontal="center" vertical="center"/>
    </xf>
    <xf numFmtId="0" fontId="0" fillId="10" borderId="22" xfId="0" applyFont="1" applyFill="1" applyBorder="1" applyAlignment="1">
      <alignment horizontal="center" vertical="center"/>
    </xf>
    <xf numFmtId="166" fontId="0" fillId="10" borderId="32" xfId="0" applyNumberFormat="1" applyFont="1" applyFill="1" applyBorder="1" applyAlignment="1">
      <alignment horizontal="center" vertical="center"/>
    </xf>
    <xf numFmtId="166" fontId="0" fillId="10" borderId="22" xfId="0" applyNumberFormat="1" applyFont="1" applyFill="1" applyBorder="1" applyAlignment="1">
      <alignment horizontal="center" vertical="center"/>
    </xf>
    <xf numFmtId="0" fontId="0" fillId="8" borderId="44" xfId="0" applyFont="1" applyFill="1" applyBorder="1" applyAlignment="1">
      <alignment horizontal="center" vertical="center"/>
    </xf>
    <xf numFmtId="178" fontId="0" fillId="8" borderId="45" xfId="0" applyNumberFormat="1" applyFont="1" applyFill="1" applyBorder="1" applyAlignment="1">
      <alignment horizontal="center" vertical="center"/>
    </xf>
    <xf numFmtId="16" fontId="0" fillId="8" borderId="46" xfId="0" applyNumberFormat="1" applyFont="1" applyFill="1" applyBorder="1" applyAlignment="1">
      <alignment horizontal="center" vertical="center"/>
    </xf>
    <xf numFmtId="0" fontId="0" fillId="8" borderId="46" xfId="0" applyFont="1" applyFill="1" applyBorder="1" applyAlignment="1">
      <alignment horizontal="center" vertical="center"/>
    </xf>
    <xf numFmtId="0" fontId="23" fillId="8" borderId="47" xfId="0" applyFont="1" applyFill="1" applyBorder="1" applyAlignment="1">
      <alignment horizontal="right" vertical="center"/>
    </xf>
    <xf numFmtId="166" fontId="0" fillId="10" borderId="34" xfId="0" applyNumberFormat="1" applyFont="1" applyFill="1" applyBorder="1" applyAlignment="1">
      <alignment horizontal="center" vertical="center"/>
    </xf>
    <xf numFmtId="0" fontId="0" fillId="10" borderId="35" xfId="0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horizontal="center" vertical="center"/>
    </xf>
    <xf numFmtId="166" fontId="0" fillId="10" borderId="35" xfId="0" applyNumberFormat="1" applyFont="1" applyFill="1" applyBorder="1" applyAlignment="1">
      <alignment horizontal="center" vertical="center"/>
    </xf>
    <xf numFmtId="166" fontId="0" fillId="10" borderId="23" xfId="0" applyNumberFormat="1" applyFont="1" applyFill="1" applyBorder="1" applyAlignment="1">
      <alignment horizontal="center" vertical="center"/>
    </xf>
    <xf numFmtId="0" fontId="0" fillId="8" borderId="48" xfId="0" applyFont="1" applyFill="1" applyBorder="1" applyAlignment="1">
      <alignment horizontal="center" vertical="center"/>
    </xf>
    <xf numFmtId="178" fontId="0" fillId="8" borderId="49" xfId="0" applyNumberFormat="1" applyFont="1" applyFill="1" applyBorder="1" applyAlignment="1">
      <alignment horizontal="center" vertical="center"/>
    </xf>
    <xf numFmtId="16" fontId="0" fillId="8" borderId="50" xfId="0" applyNumberFormat="1" applyFont="1" applyFill="1" applyBorder="1" applyAlignment="1">
      <alignment horizontal="center" vertical="center"/>
    </xf>
    <xf numFmtId="0" fontId="0" fillId="8" borderId="50" xfId="0" applyFont="1" applyFill="1" applyBorder="1" applyAlignment="1">
      <alignment horizontal="center" vertical="center"/>
    </xf>
    <xf numFmtId="0" fontId="23" fillId="8" borderId="51" xfId="0" applyFont="1" applyFill="1" applyBorder="1" applyAlignment="1">
      <alignment horizontal="right" vertical="center"/>
    </xf>
    <xf numFmtId="166" fontId="0" fillId="10" borderId="36" xfId="0" applyNumberFormat="1" applyFont="1" applyFill="1" applyBorder="1" applyAlignment="1">
      <alignment horizontal="center" vertical="center"/>
    </xf>
    <xf numFmtId="0" fontId="0" fillId="11" borderId="37" xfId="0" applyFont="1" applyFill="1" applyBorder="1" applyAlignment="1">
      <alignment horizontal="center" vertical="center"/>
    </xf>
    <xf numFmtId="0" fontId="0" fillId="10" borderId="25" xfId="0" applyFont="1" applyFill="1" applyBorder="1" applyAlignment="1">
      <alignment horizontal="center" vertical="center"/>
    </xf>
    <xf numFmtId="166" fontId="0" fillId="10" borderId="37" xfId="0" applyNumberFormat="1" applyFont="1" applyFill="1" applyBorder="1" applyAlignment="1">
      <alignment horizontal="center" vertical="center"/>
    </xf>
    <xf numFmtId="166" fontId="0" fillId="10" borderId="25" xfId="0" applyNumberFormat="1" applyFont="1" applyFill="1" applyBorder="1" applyAlignment="1">
      <alignment horizontal="center" vertical="center"/>
    </xf>
    <xf numFmtId="0" fontId="0" fillId="8" borderId="52" xfId="0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30" fillId="0" borderId="0" xfId="0" applyFont="1"/>
    <xf numFmtId="0" fontId="14" fillId="0" borderId="0" xfId="0" applyFont="1"/>
    <xf numFmtId="0" fontId="14" fillId="0" borderId="53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/>
    <xf numFmtId="0" fontId="14" fillId="0" borderId="16" xfId="0" applyFont="1" applyBorder="1" applyAlignment="1">
      <alignment horizontal="center" vertical="center"/>
    </xf>
    <xf numFmtId="180" fontId="13" fillId="0" borderId="16" xfId="0" applyNumberFormat="1" applyFont="1" applyBorder="1" applyAlignment="1">
      <alignment horizontal="center" vertical="center"/>
    </xf>
    <xf numFmtId="20" fontId="13" fillId="0" borderId="16" xfId="0" applyNumberFormat="1" applyFont="1" applyBorder="1" applyAlignment="1">
      <alignment horizontal="center" vertical="center"/>
    </xf>
    <xf numFmtId="166" fontId="31" fillId="12" borderId="16" xfId="0" applyNumberFormat="1" applyFont="1" applyFill="1" applyBorder="1" applyAlignment="1">
      <alignment horizontal="center" vertical="center"/>
    </xf>
    <xf numFmtId="166" fontId="31" fillId="13" borderId="16" xfId="0" applyNumberFormat="1" applyFont="1" applyFill="1" applyBorder="1" applyAlignment="1">
      <alignment horizontal="center" vertical="center"/>
    </xf>
    <xf numFmtId="166" fontId="31" fillId="14" borderId="16" xfId="0" applyNumberFormat="1" applyFont="1" applyFill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 vertical="center"/>
    </xf>
    <xf numFmtId="0" fontId="14" fillId="8" borderId="16" xfId="0" applyFont="1" applyFill="1" applyBorder="1" applyAlignment="1">
      <alignment horizontal="center" vertical="center"/>
    </xf>
    <xf numFmtId="180" fontId="13" fillId="8" borderId="16" xfId="0" applyNumberFormat="1" applyFont="1" applyFill="1" applyBorder="1" applyAlignment="1">
      <alignment horizontal="center" vertical="center"/>
    </xf>
    <xf numFmtId="0" fontId="13" fillId="8" borderId="16" xfId="0" applyFont="1" applyFill="1" applyBorder="1"/>
    <xf numFmtId="20" fontId="13" fillId="8" borderId="16" xfId="0" applyNumberFormat="1" applyFont="1" applyFill="1" applyBorder="1" applyAlignment="1">
      <alignment horizontal="center" vertical="center"/>
    </xf>
    <xf numFmtId="49" fontId="14" fillId="8" borderId="16" xfId="0" applyNumberFormat="1" applyFont="1" applyFill="1" applyBorder="1" applyAlignment="1">
      <alignment horizontal="center" vertical="center"/>
    </xf>
    <xf numFmtId="14" fontId="13" fillId="0" borderId="16" xfId="0" applyNumberFormat="1" applyFont="1" applyBorder="1" applyAlignment="1">
      <alignment horizontal="center" vertical="center"/>
    </xf>
    <xf numFmtId="0" fontId="0" fillId="0" borderId="0" xfId="0" applyFill="1"/>
    <xf numFmtId="0" fontId="24" fillId="15" borderId="16" xfId="0" applyFont="1" applyFill="1" applyBorder="1" applyAlignment="1">
      <alignment vertical="center"/>
    </xf>
    <xf numFmtId="0" fontId="32" fillId="15" borderId="16" xfId="0" applyFont="1" applyFill="1" applyBorder="1" applyAlignment="1">
      <alignment horizontal="center" vertical="center"/>
    </xf>
    <xf numFmtId="0" fontId="33" fillId="15" borderId="16" xfId="0" applyFont="1" applyFill="1" applyBorder="1" applyAlignment="1">
      <alignment horizontal="left" vertical="top"/>
    </xf>
    <xf numFmtId="1" fontId="6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/>
    <xf numFmtId="0" fontId="5" fillId="15" borderId="54" xfId="0" applyFont="1" applyFill="1" applyBorder="1" applyAlignment="1">
      <alignment horizontal="center" vertical="center"/>
    </xf>
    <xf numFmtId="0" fontId="34" fillId="15" borderId="16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35" fillId="15" borderId="16" xfId="0" applyFont="1" applyFill="1" applyBorder="1" applyAlignment="1">
      <alignment horizontal="center" vertical="center"/>
    </xf>
    <xf numFmtId="0" fontId="6" fillId="15" borderId="16" xfId="0" applyFont="1" applyFill="1" applyBorder="1" applyAlignment="1">
      <alignment horizontal="center" vertical="center"/>
    </xf>
    <xf numFmtId="0" fontId="36" fillId="15" borderId="16" xfId="0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top"/>
    </xf>
    <xf numFmtId="0" fontId="23" fillId="15" borderId="55" xfId="0" applyFont="1" applyFill="1" applyBorder="1" applyAlignment="1">
      <alignment vertical="center"/>
    </xf>
    <xf numFmtId="0" fontId="37" fillId="0" borderId="56" xfId="0" applyFont="1" applyFill="1" applyBorder="1" applyAlignment="1">
      <alignment horizontal="center" vertical="center"/>
    </xf>
    <xf numFmtId="0" fontId="0" fillId="0" borderId="56" xfId="0" applyFill="1" applyBorder="1"/>
    <xf numFmtId="1" fontId="38" fillId="0" borderId="17" xfId="0" applyNumberFormat="1" applyFont="1" applyFill="1" applyBorder="1" applyAlignment="1">
      <alignment horizontal="center" vertical="center"/>
    </xf>
    <xf numFmtId="176" fontId="39" fillId="0" borderId="17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4" fillId="15" borderId="16" xfId="0" applyFont="1" applyFill="1" applyBorder="1" applyAlignment="1">
      <alignment horizontal="right" vertical="center"/>
    </xf>
    <xf numFmtId="0" fontId="40" fillId="15" borderId="16" xfId="0" applyFont="1" applyFill="1" applyBorder="1" applyAlignment="1">
      <alignment horizontal="right" vertical="center"/>
    </xf>
    <xf numFmtId="0" fontId="33" fillId="15" borderId="16" xfId="0" applyFont="1" applyFill="1" applyBorder="1" applyAlignment="1">
      <alignment horizontal="right" vertical="center"/>
    </xf>
    <xf numFmtId="0" fontId="23" fillId="15" borderId="57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2" fontId="41" fillId="0" borderId="0" xfId="0" applyNumberFormat="1" applyFont="1" applyFill="1" applyBorder="1" applyAlignment="1">
      <alignment vertical="center"/>
    </xf>
    <xf numFmtId="0" fontId="38" fillId="0" borderId="58" xfId="0" applyFont="1" applyFill="1" applyBorder="1"/>
    <xf numFmtId="0" fontId="24" fillId="0" borderId="58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0" fillId="4" borderId="16" xfId="0" applyFill="1" applyBorder="1"/>
    <xf numFmtId="181" fontId="0" fillId="4" borderId="16" xfId="0" applyNumberFormat="1" applyFill="1" applyBorder="1"/>
    <xf numFmtId="181" fontId="42" fillId="4" borderId="16" xfId="0" applyNumberFormat="1" applyFont="1" applyFill="1" applyBorder="1" applyAlignment="1">
      <alignment horizontal="center" vertical="center"/>
    </xf>
    <xf numFmtId="1" fontId="14" fillId="4" borderId="16" xfId="0" applyNumberFormat="1" applyFont="1" applyFill="1" applyBorder="1" applyAlignment="1">
      <alignment horizontal="center" vertical="center"/>
    </xf>
    <xf numFmtId="182" fontId="33" fillId="4" borderId="59" xfId="0" applyNumberFormat="1" applyFont="1" applyFill="1" applyBorder="1" applyAlignment="1">
      <alignment horizontal="left" vertical="top"/>
    </xf>
    <xf numFmtId="183" fontId="43" fillId="4" borderId="16" xfId="0" applyNumberFormat="1" applyFont="1" applyFill="1" applyBorder="1" applyAlignment="1">
      <alignment horizontal="center" vertical="center"/>
    </xf>
    <xf numFmtId="183" fontId="43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44" fillId="0" borderId="0" xfId="0" applyFont="1" applyBorder="1" applyAlignment="1"/>
    <xf numFmtId="0" fontId="45" fillId="0" borderId="0" xfId="0" applyFont="1" applyBorder="1"/>
    <xf numFmtId="0" fontId="24" fillId="0" borderId="58" xfId="0" applyFont="1" applyFill="1" applyBorder="1" applyAlignment="1"/>
    <xf numFmtId="0" fontId="24" fillId="0" borderId="0" xfId="0" applyFont="1" applyFill="1" applyBorder="1" applyAlignment="1"/>
    <xf numFmtId="0" fontId="0" fillId="0" borderId="0" xfId="0" applyFill="1" applyBorder="1"/>
    <xf numFmtId="0" fontId="17" fillId="4" borderId="4" xfId="0" applyFont="1" applyFill="1" applyBorder="1" applyAlignment="1">
      <alignment horizontal="center" vertical="center"/>
    </xf>
    <xf numFmtId="1" fontId="42" fillId="4" borderId="16" xfId="0" applyNumberFormat="1" applyFont="1" applyFill="1" applyBorder="1" applyAlignment="1">
      <alignment horizontal="center" vertical="center"/>
    </xf>
    <xf numFmtId="182" fontId="42" fillId="4" borderId="59" xfId="0" applyNumberFormat="1" applyFont="1" applyFill="1" applyBorder="1" applyAlignment="1">
      <alignment horizontal="center" vertical="center"/>
    </xf>
    <xf numFmtId="2" fontId="45" fillId="0" borderId="0" xfId="0" applyNumberFormat="1" applyFont="1" applyFill="1" applyBorder="1" applyAlignment="1">
      <alignment horizontal="right" vertical="center"/>
    </xf>
    <xf numFmtId="0" fontId="24" fillId="0" borderId="58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23" fillId="4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1" fontId="38" fillId="0" borderId="58" xfId="0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33" fillId="4" borderId="16" xfId="0" applyFont="1" applyFill="1" applyBorder="1" applyAlignment="1">
      <alignment horizontal="right"/>
    </xf>
    <xf numFmtId="181" fontId="33" fillId="4" borderId="16" xfId="0" applyNumberFormat="1" applyFont="1" applyFill="1" applyBorder="1" applyAlignment="1">
      <alignment horizontal="right"/>
    </xf>
    <xf numFmtId="182" fontId="33" fillId="4" borderId="59" xfId="0" applyNumberFormat="1" applyFont="1" applyFill="1" applyBorder="1" applyAlignment="1">
      <alignment horizontal="right"/>
    </xf>
    <xf numFmtId="0" fontId="23" fillId="4" borderId="57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/>
    </xf>
    <xf numFmtId="0" fontId="17" fillId="4" borderId="4" xfId="0" applyFont="1" applyFill="1" applyBorder="1" applyAlignment="1">
      <alignment horizontal="center" vertical="center"/>
    </xf>
    <xf numFmtId="181" fontId="47" fillId="4" borderId="16" xfId="0" applyNumberFormat="1" applyFont="1" applyFill="1" applyBorder="1" applyAlignment="1">
      <alignment vertical="center"/>
    </xf>
    <xf numFmtId="181" fontId="48" fillId="4" borderId="16" xfId="0" applyNumberFormat="1" applyFont="1" applyFill="1" applyBorder="1" applyAlignment="1">
      <alignment vertical="center"/>
    </xf>
    <xf numFmtId="182" fontId="14" fillId="4" borderId="16" xfId="0" applyNumberFormat="1" applyFont="1" applyFill="1" applyBorder="1" applyAlignment="1">
      <alignment vertical="center"/>
    </xf>
    <xf numFmtId="183" fontId="49" fillId="4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0" fontId="17" fillId="16" borderId="4" xfId="0" applyFont="1" applyFill="1" applyBorder="1" applyAlignment="1">
      <alignment horizontal="center" vertical="center"/>
    </xf>
    <xf numFmtId="0" fontId="0" fillId="3" borderId="16" xfId="0" applyFill="1" applyBorder="1"/>
    <xf numFmtId="181" fontId="47" fillId="3" borderId="16" xfId="0" applyNumberFormat="1" applyFont="1" applyFill="1" applyBorder="1" applyAlignment="1">
      <alignment vertical="center"/>
    </xf>
    <xf numFmtId="181" fontId="48" fillId="3" borderId="16" xfId="0" applyNumberFormat="1" applyFont="1" applyFill="1" applyBorder="1" applyAlignment="1">
      <alignment vertical="center"/>
    </xf>
    <xf numFmtId="182" fontId="14" fillId="3" borderId="16" xfId="0" applyNumberFormat="1" applyFont="1" applyFill="1" applyBorder="1" applyAlignment="1">
      <alignment vertical="center"/>
    </xf>
    <xf numFmtId="183" fontId="49" fillId="3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/>
    <xf numFmtId="0" fontId="50" fillId="0" borderId="0" xfId="0" applyFont="1" applyFill="1" applyBorder="1"/>
    <xf numFmtId="0" fontId="17" fillId="15" borderId="1" xfId="0" applyFont="1" applyFill="1" applyBorder="1" applyAlignment="1">
      <alignment horizontal="center" vertical="center"/>
    </xf>
    <xf numFmtId="0" fontId="0" fillId="15" borderId="16" xfId="0" applyFill="1" applyBorder="1"/>
    <xf numFmtId="181" fontId="47" fillId="15" borderId="16" xfId="0" applyNumberFormat="1" applyFont="1" applyFill="1" applyBorder="1" applyAlignment="1">
      <alignment vertical="center"/>
    </xf>
    <xf numFmtId="181" fontId="42" fillId="15" borderId="16" xfId="0" applyNumberFormat="1" applyFont="1" applyFill="1" applyBorder="1" applyAlignment="1">
      <alignment horizontal="center" vertical="center"/>
    </xf>
    <xf numFmtId="1" fontId="14" fillId="15" borderId="16" xfId="0" applyNumberFormat="1" applyFont="1" applyFill="1" applyBorder="1" applyAlignment="1">
      <alignment horizontal="center" vertical="center"/>
    </xf>
    <xf numFmtId="182" fontId="33" fillId="15" borderId="16" xfId="0" applyNumberFormat="1" applyFont="1" applyFill="1" applyBorder="1" applyAlignment="1">
      <alignment horizontal="left" vertical="top"/>
    </xf>
    <xf numFmtId="183" fontId="43" fillId="15" borderId="16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5" borderId="4" xfId="0" applyFont="1" applyFill="1" applyBorder="1" applyAlignment="1">
      <alignment horizontal="center" vertical="center"/>
    </xf>
    <xf numFmtId="1" fontId="42" fillId="15" borderId="16" xfId="0" applyNumberFormat="1" applyFont="1" applyFill="1" applyBorder="1" applyAlignment="1">
      <alignment horizontal="center" vertical="center"/>
    </xf>
    <xf numFmtId="182" fontId="42" fillId="15" borderId="1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5" fillId="0" borderId="0" xfId="0" applyFont="1" applyFill="1" applyBorder="1" applyAlignment="1">
      <alignment horizontal="right" vertical="center" wrapText="1"/>
    </xf>
    <xf numFmtId="0" fontId="0" fillId="15" borderId="59" xfId="0" applyFill="1" applyBorder="1" applyAlignment="1">
      <alignment horizontal="center"/>
    </xf>
    <xf numFmtId="0" fontId="0" fillId="15" borderId="60" xfId="0" applyFill="1" applyBorder="1" applyAlignment="1">
      <alignment horizontal="center"/>
    </xf>
    <xf numFmtId="0" fontId="0" fillId="15" borderId="19" xfId="0" applyFill="1" applyBorder="1" applyAlignment="1">
      <alignment horizontal="center"/>
    </xf>
    <xf numFmtId="0" fontId="23" fillId="15" borderId="0" xfId="0" applyFont="1" applyFill="1" applyBorder="1" applyAlignment="1">
      <alignment vertical="center"/>
    </xf>
    <xf numFmtId="0" fontId="17" fillId="15" borderId="7" xfId="0" applyFont="1" applyFill="1" applyBorder="1" applyAlignment="1">
      <alignment horizontal="center" vertical="center"/>
    </xf>
    <xf numFmtId="0" fontId="33" fillId="15" borderId="16" xfId="0" applyFont="1" applyFill="1" applyBorder="1" applyAlignment="1">
      <alignment horizontal="right"/>
    </xf>
    <xf numFmtId="181" fontId="33" fillId="15" borderId="16" xfId="0" applyNumberFormat="1" applyFont="1" applyFill="1" applyBorder="1" applyAlignment="1">
      <alignment horizontal="right"/>
    </xf>
    <xf numFmtId="182" fontId="33" fillId="15" borderId="16" xfId="0" applyNumberFormat="1" applyFont="1" applyFill="1" applyBorder="1" applyAlignment="1">
      <alignment horizontal="right"/>
    </xf>
    <xf numFmtId="0" fontId="51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vertical="center" wrapText="1"/>
    </xf>
    <xf numFmtId="182" fontId="33" fillId="4" borderId="16" xfId="0" applyNumberFormat="1" applyFont="1" applyFill="1" applyBorder="1" applyAlignment="1">
      <alignment horizontal="left" vertical="top"/>
    </xf>
    <xf numFmtId="0" fontId="42" fillId="4" borderId="16" xfId="0" applyFont="1" applyFill="1" applyBorder="1" applyAlignment="1">
      <alignment horizontal="center" vertical="center"/>
    </xf>
    <xf numFmtId="182" fontId="42" fillId="4" borderId="16" xfId="0" applyNumberFormat="1" applyFont="1" applyFill="1" applyBorder="1" applyAlignment="1">
      <alignment horizontal="center" vertical="center"/>
    </xf>
    <xf numFmtId="0" fontId="33" fillId="4" borderId="16" xfId="0" applyFont="1" applyFill="1" applyBorder="1"/>
    <xf numFmtId="181" fontId="53" fillId="4" borderId="16" xfId="0" applyNumberFormat="1" applyFont="1" applyFill="1" applyBorder="1" applyAlignment="1"/>
    <xf numFmtId="182" fontId="54" fillId="4" borderId="16" xfId="0" applyNumberFormat="1" applyFont="1" applyFill="1" applyBorder="1"/>
    <xf numFmtId="181" fontId="0" fillId="15" borderId="16" xfId="0" applyNumberFormat="1" applyFill="1" applyBorder="1"/>
    <xf numFmtId="0" fontId="42" fillId="15" borderId="16" xfId="0" applyFont="1" applyFill="1" applyBorder="1" applyAlignment="1">
      <alignment horizontal="center" vertical="center"/>
    </xf>
    <xf numFmtId="2" fontId="45" fillId="0" borderId="0" xfId="0" applyNumberFormat="1" applyFont="1" applyBorder="1" applyAlignment="1">
      <alignment horizontal="right" vertical="center"/>
    </xf>
    <xf numFmtId="1" fontId="38" fillId="0" borderId="58" xfId="0" applyNumberFormat="1" applyFont="1" applyFill="1" applyBorder="1" applyAlignment="1">
      <alignment horizontal="center"/>
    </xf>
    <xf numFmtId="0" fontId="33" fillId="15" borderId="16" xfId="0" applyFont="1" applyFill="1" applyBorder="1"/>
    <xf numFmtId="181" fontId="53" fillId="15" borderId="16" xfId="0" applyNumberFormat="1" applyFont="1" applyFill="1" applyBorder="1" applyAlignment="1"/>
    <xf numFmtId="182" fontId="40" fillId="15" borderId="16" xfId="0" applyNumberFormat="1" applyFont="1" applyFill="1" applyBorder="1"/>
    <xf numFmtId="0" fontId="17" fillId="4" borderId="61" xfId="0" applyFont="1" applyFill="1" applyBorder="1" applyAlignment="1">
      <alignment horizontal="center" vertical="center"/>
    </xf>
    <xf numFmtId="182" fontId="33" fillId="4" borderId="16" xfId="0" applyNumberFormat="1" applyFont="1" applyFill="1" applyBorder="1" applyAlignment="1">
      <alignment horizontal="left"/>
    </xf>
    <xf numFmtId="0" fontId="55" fillId="0" borderId="0" xfId="0" applyFont="1" applyFill="1" applyBorder="1" applyAlignment="1">
      <alignment horizontal="center" vertical="center"/>
    </xf>
    <xf numFmtId="0" fontId="17" fillId="4" borderId="62" xfId="0" applyFont="1" applyFill="1" applyBorder="1" applyAlignment="1">
      <alignment horizontal="center" vertical="center"/>
    </xf>
    <xf numFmtId="181" fontId="56" fillId="4" borderId="16" xfId="0" applyNumberFormat="1" applyFont="1" applyFill="1" applyBorder="1" applyAlignment="1">
      <alignment horizontal="center" vertical="center"/>
    </xf>
    <xf numFmtId="1" fontId="45" fillId="0" borderId="0" xfId="0" applyNumberFormat="1" applyFont="1" applyBorder="1" applyAlignment="1">
      <alignment horizontal="right"/>
    </xf>
    <xf numFmtId="0" fontId="57" fillId="17" borderId="0" xfId="0" applyFont="1" applyFill="1" applyBorder="1" applyAlignment="1">
      <alignment vertical="center"/>
    </xf>
    <xf numFmtId="0" fontId="58" fillId="0" borderId="0" xfId="0" applyFont="1" applyBorder="1" applyAlignment="1">
      <alignment horizontal="center" vertical="center"/>
    </xf>
    <xf numFmtId="0" fontId="0" fillId="0" borderId="0" xfId="0" applyFill="1" applyBorder="1" applyAlignment="1"/>
    <xf numFmtId="0" fontId="17" fillId="4" borderId="63" xfId="0" applyFont="1" applyFill="1" applyBorder="1" applyAlignment="1">
      <alignment horizontal="center" vertical="center"/>
    </xf>
    <xf numFmtId="0" fontId="33" fillId="4" borderId="16" xfId="0" applyFont="1" applyFill="1" applyBorder="1" applyAlignment="1">
      <alignment horizontal="right" vertical="center"/>
    </xf>
    <xf numFmtId="181" fontId="59" fillId="4" borderId="16" xfId="0" applyNumberFormat="1" applyFont="1" applyFill="1" applyBorder="1" applyAlignment="1">
      <alignment vertical="center"/>
    </xf>
    <xf numFmtId="182" fontId="33" fillId="4" borderId="16" xfId="0" applyNumberFormat="1" applyFont="1" applyFill="1" applyBorder="1" applyAlignment="1">
      <alignment vertical="center"/>
    </xf>
    <xf numFmtId="0" fontId="57" fillId="17" borderId="57" xfId="0" applyFont="1" applyFill="1" applyBorder="1" applyAlignment="1">
      <alignment vertical="center"/>
    </xf>
    <xf numFmtId="0" fontId="55" fillId="0" borderId="0" xfId="0" applyFont="1" applyFill="1" applyBorder="1" applyAlignment="1">
      <alignment horizontal="center" vertical="center"/>
    </xf>
    <xf numFmtId="0" fontId="38" fillId="0" borderId="58" xfId="0" applyFont="1" applyFill="1" applyBorder="1" applyAlignment="1">
      <alignment horizontal="center" vertical="center"/>
    </xf>
    <xf numFmtId="182" fontId="33" fillId="15" borderId="16" xfId="0" applyNumberFormat="1" applyFont="1" applyFill="1" applyBorder="1" applyAlignment="1">
      <alignment horizontal="left"/>
    </xf>
    <xf numFmtId="0" fontId="50" fillId="0" borderId="0" xfId="0" applyFont="1" applyBorder="1"/>
    <xf numFmtId="181" fontId="56" fillId="15" borderId="16" xfId="0" applyNumberFormat="1" applyFont="1" applyFill="1" applyBorder="1" applyAlignment="1">
      <alignment horizontal="center" vertical="center"/>
    </xf>
    <xf numFmtId="1" fontId="45" fillId="0" borderId="0" xfId="0" applyNumberFormat="1" applyFont="1" applyFill="1" applyBorder="1" applyAlignment="1">
      <alignment horizontal="right"/>
    </xf>
    <xf numFmtId="0" fontId="60" fillId="15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181" fontId="59" fillId="15" borderId="16" xfId="0" applyNumberFormat="1" applyFont="1" applyFill="1" applyBorder="1" applyAlignment="1">
      <alignment vertical="center"/>
    </xf>
    <xf numFmtId="182" fontId="33" fillId="15" borderId="16" xfId="0" applyNumberFormat="1" applyFont="1" applyFill="1" applyBorder="1" applyAlignment="1">
      <alignment vertical="center"/>
    </xf>
    <xf numFmtId="0" fontId="60" fillId="15" borderId="57" xfId="0" applyFont="1" applyFill="1" applyBorder="1" applyAlignment="1">
      <alignment vertical="center"/>
    </xf>
    <xf numFmtId="1" fontId="62" fillId="0" borderId="0" xfId="0" applyNumberFormat="1" applyFont="1" applyFill="1" applyBorder="1" applyAlignment="1">
      <alignment vertical="center"/>
    </xf>
    <xf numFmtId="0" fontId="63" fillId="4" borderId="2" xfId="0" applyFont="1" applyFill="1" applyBorder="1" applyAlignment="1">
      <alignment horizontal="right" vertical="center"/>
    </xf>
    <xf numFmtId="0" fontId="63" fillId="4" borderId="0" xfId="0" applyFont="1" applyFill="1" applyBorder="1" applyAlignment="1">
      <alignment horizontal="right" vertical="center"/>
    </xf>
    <xf numFmtId="0" fontId="0" fillId="4" borderId="0" xfId="0" applyFill="1"/>
    <xf numFmtId="0" fontId="0" fillId="4" borderId="0" xfId="0" applyFill="1" applyBorder="1"/>
    <xf numFmtId="182" fontId="64" fillId="4" borderId="0" xfId="0" applyNumberFormat="1" applyFont="1" applyFill="1" applyBorder="1" applyAlignment="1">
      <alignment horizontal="left" vertical="center"/>
    </xf>
    <xf numFmtId="183" fontId="43" fillId="4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1" fontId="44" fillId="0" borderId="0" xfId="0" applyNumberFormat="1" applyFont="1" applyFill="1" applyBorder="1" applyAlignment="1">
      <alignment vertical="center"/>
    </xf>
    <xf numFmtId="1" fontId="45" fillId="0" borderId="0" xfId="0" applyNumberFormat="1" applyFont="1" applyFill="1" applyBorder="1" applyAlignment="1">
      <alignment horizontal="right" vertical="center"/>
    </xf>
    <xf numFmtId="0" fontId="38" fillId="0" borderId="58" xfId="0" applyFont="1" applyBorder="1"/>
    <xf numFmtId="0" fontId="45" fillId="0" borderId="0" xfId="0" applyFont="1" applyFill="1" applyBorder="1" applyAlignment="1">
      <alignment horizontal="right" vertical="center"/>
    </xf>
    <xf numFmtId="1" fontId="31" fillId="0" borderId="0" xfId="0" applyNumberFormat="1" applyFont="1" applyFill="1" applyBorder="1" applyAlignment="1">
      <alignment vertical="center"/>
    </xf>
    <xf numFmtId="0" fontId="38" fillId="0" borderId="0" xfId="0" applyFont="1" applyFill="1" applyBorder="1"/>
    <xf numFmtId="0" fontId="24" fillId="0" borderId="0" xfId="0" applyFont="1" applyFill="1" applyBorder="1" applyAlignment="1">
      <alignment horizontal="center"/>
    </xf>
    <xf numFmtId="0" fontId="65" fillId="0" borderId="64" xfId="0" applyFont="1" applyBorder="1" applyAlignment="1">
      <alignment horizontal="center" vertical="center"/>
    </xf>
    <xf numFmtId="0" fontId="65" fillId="0" borderId="65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38" fillId="0" borderId="0" xfId="0" applyFont="1"/>
    <xf numFmtId="0" fontId="0" fillId="0" borderId="0" xfId="0" applyFont="1"/>
    <xf numFmtId="0" fontId="0" fillId="4" borderId="66" xfId="0" applyFill="1" applyBorder="1" applyAlignment="1">
      <alignment horizontal="center"/>
    </xf>
    <xf numFmtId="0" fontId="65" fillId="0" borderId="67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65" fillId="0" borderId="68" xfId="0" applyFont="1" applyBorder="1" applyAlignment="1">
      <alignment horizontal="center" vertical="center"/>
    </xf>
    <xf numFmtId="0" fontId="0" fillId="4" borderId="1" xfId="0" applyFill="1" applyBorder="1"/>
    <xf numFmtId="0" fontId="0" fillId="4" borderId="3" xfId="0" applyFill="1" applyBorder="1"/>
    <xf numFmtId="183" fontId="0" fillId="4" borderId="12" xfId="0" applyNumberFormat="1" applyFill="1" applyBorder="1"/>
    <xf numFmtId="184" fontId="0" fillId="4" borderId="12" xfId="0" applyNumberFormat="1" applyFill="1" applyBorder="1"/>
    <xf numFmtId="0" fontId="0" fillId="4" borderId="4" xfId="0" applyFill="1" applyBorder="1"/>
    <xf numFmtId="0" fontId="0" fillId="4" borderId="5" xfId="0" applyFill="1" applyBorder="1"/>
    <xf numFmtId="183" fontId="0" fillId="4" borderId="14" xfId="0" applyNumberFormat="1" applyFill="1" applyBorder="1"/>
    <xf numFmtId="184" fontId="0" fillId="4" borderId="14" xfId="0" applyNumberFormat="1" applyFill="1" applyBorder="1"/>
    <xf numFmtId="0" fontId="65" fillId="0" borderId="69" xfId="0" applyFont="1" applyBorder="1" applyAlignment="1">
      <alignment horizontal="center" vertical="center"/>
    </xf>
    <xf numFmtId="0" fontId="65" fillId="0" borderId="53" xfId="0" applyFont="1" applyBorder="1" applyAlignment="1">
      <alignment horizontal="center" vertical="center"/>
    </xf>
    <xf numFmtId="0" fontId="65" fillId="0" borderId="18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/>
    </xf>
    <xf numFmtId="0" fontId="66" fillId="4" borderId="4" xfId="0" applyFont="1" applyFill="1" applyBorder="1"/>
    <xf numFmtId="185" fontId="0" fillId="4" borderId="14" xfId="0" applyNumberFormat="1" applyFill="1" applyBorder="1"/>
    <xf numFmtId="0" fontId="67" fillId="0" borderId="17" xfId="0" applyFont="1" applyBorder="1" applyAlignment="1">
      <alignment horizontal="center" vertical="center"/>
    </xf>
    <xf numFmtId="186" fontId="67" fillId="0" borderId="17" xfId="0" applyNumberFormat="1" applyFont="1" applyBorder="1" applyAlignment="1">
      <alignment horizontal="center" vertical="center"/>
    </xf>
    <xf numFmtId="187" fontId="67" fillId="0" borderId="17" xfId="0" applyNumberFormat="1" applyFont="1" applyBorder="1" applyAlignment="1">
      <alignment horizontal="center" vertical="center"/>
    </xf>
    <xf numFmtId="0" fontId="66" fillId="4" borderId="9" xfId="0" applyFont="1" applyFill="1" applyBorder="1"/>
    <xf numFmtId="0" fontId="0" fillId="4" borderId="10" xfId="0" applyFill="1" applyBorder="1"/>
    <xf numFmtId="0" fontId="0" fillId="4" borderId="66" xfId="0" applyFill="1" applyBorder="1"/>
    <xf numFmtId="21" fontId="0" fillId="4" borderId="11" xfId="0" applyNumberFormat="1" applyFill="1" applyBorder="1"/>
    <xf numFmtId="184" fontId="0" fillId="4" borderId="11" xfId="0" applyNumberFormat="1" applyFill="1" applyBorder="1"/>
    <xf numFmtId="0" fontId="67" fillId="0" borderId="15" xfId="0" applyFont="1" applyBorder="1" applyAlignment="1">
      <alignment horizontal="center" vertical="center"/>
    </xf>
    <xf numFmtId="186" fontId="67" fillId="0" borderId="15" xfId="0" applyNumberFormat="1" applyFont="1" applyBorder="1" applyAlignment="1">
      <alignment horizontal="center" vertical="center"/>
    </xf>
    <xf numFmtId="187" fontId="67" fillId="0" borderId="15" xfId="0" applyNumberFormat="1" applyFont="1" applyBorder="1" applyAlignment="1">
      <alignment horizontal="center" vertical="center"/>
    </xf>
    <xf numFmtId="0" fontId="16" fillId="4" borderId="70" xfId="0" applyFont="1" applyFill="1" applyBorder="1" applyAlignment="1">
      <alignment horizontal="right" vertical="center"/>
    </xf>
    <xf numFmtId="0" fontId="16" fillId="4" borderId="53" xfId="0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24" fillId="15" borderId="16" xfId="0" applyFont="1" applyFill="1" applyBorder="1" applyAlignment="1">
      <alignment horizontal="center" vertical="center"/>
    </xf>
    <xf numFmtId="0" fontId="24" fillId="15" borderId="16" xfId="0" applyFont="1" applyFill="1" applyBorder="1" applyAlignment="1">
      <alignment horizontal="center" vertical="center"/>
    </xf>
    <xf numFmtId="0" fontId="11" fillId="15" borderId="17" xfId="0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71" fontId="30" fillId="4" borderId="16" xfId="0" applyNumberFormat="1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59" xfId="0" applyFont="1" applyFill="1" applyBorder="1" applyAlignment="1">
      <alignment horizontal="center" vertical="center"/>
    </xf>
    <xf numFmtId="171" fontId="30" fillId="4" borderId="16" xfId="0" applyNumberFormat="1" applyFont="1" applyFill="1" applyBorder="1" applyAlignment="1">
      <alignment horizontal="center" vertical="center"/>
    </xf>
    <xf numFmtId="188" fontId="30" fillId="4" borderId="16" xfId="0" applyNumberFormat="1" applyFont="1" applyFill="1" applyBorder="1" applyAlignment="1">
      <alignment horizontal="center" vertical="center"/>
    </xf>
    <xf numFmtId="0" fontId="30" fillId="4" borderId="19" xfId="0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center" vertical="center"/>
    </xf>
    <xf numFmtId="189" fontId="24" fillId="4" borderId="16" xfId="0" applyNumberFormat="1" applyFont="1" applyFill="1" applyBorder="1" applyAlignment="1">
      <alignment horizontal="center" vertical="center"/>
    </xf>
    <xf numFmtId="190" fontId="24" fillId="4" borderId="16" xfId="0" applyNumberFormat="1" applyFont="1" applyFill="1" applyBorder="1" applyAlignment="1">
      <alignment horizontal="center" vertical="center"/>
    </xf>
    <xf numFmtId="191" fontId="14" fillId="15" borderId="59" xfId="0" applyNumberFormat="1" applyFont="1" applyFill="1" applyBorder="1" applyAlignment="1">
      <alignment horizontal="center" vertical="center"/>
    </xf>
    <xf numFmtId="191" fontId="14" fillId="15" borderId="19" xfId="0" applyNumberFormat="1" applyFont="1" applyFill="1" applyBorder="1" applyAlignment="1">
      <alignment horizontal="center" vertical="center"/>
    </xf>
    <xf numFmtId="192" fontId="30" fillId="15" borderId="16" xfId="0" applyNumberFormat="1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center" vertical="center"/>
    </xf>
    <xf numFmtId="44" fontId="6" fillId="15" borderId="16" xfId="2" applyFont="1" applyFill="1" applyBorder="1" applyAlignment="1">
      <alignment horizontal="center" vertical="center"/>
    </xf>
    <xf numFmtId="193" fontId="6" fillId="15" borderId="16" xfId="0" applyNumberFormat="1" applyFont="1" applyFill="1" applyBorder="1" applyAlignment="1">
      <alignment horizontal="center" vertical="center"/>
    </xf>
    <xf numFmtId="194" fontId="24" fillId="15" borderId="16" xfId="0" applyNumberFormat="1" applyFont="1" applyFill="1" applyBorder="1" applyAlignment="1">
      <alignment horizontal="center" vertical="center"/>
    </xf>
    <xf numFmtId="190" fontId="24" fillId="15" borderId="16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vertical="center"/>
    </xf>
    <xf numFmtId="14" fontId="0" fillId="4" borderId="16" xfId="0" applyNumberFormat="1" applyFill="1" applyBorder="1" applyAlignment="1">
      <alignment horizontal="center" vertical="center"/>
    </xf>
    <xf numFmtId="0" fontId="30" fillId="15" borderId="16" xfId="0" applyFont="1" applyFill="1" applyBorder="1" applyAlignment="1">
      <alignment horizontal="center" vertical="center"/>
    </xf>
    <xf numFmtId="0" fontId="68" fillId="4" borderId="16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90" fontId="24" fillId="4" borderId="17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23" fillId="15" borderId="16" xfId="0" applyFont="1" applyFill="1" applyBorder="1" applyAlignment="1">
      <alignment horizontal="center" vertical="center"/>
    </xf>
    <xf numFmtId="0" fontId="0" fillId="15" borderId="16" xfId="0" applyFill="1" applyBorder="1" applyAlignment="1">
      <alignment horizontal="center"/>
    </xf>
    <xf numFmtId="1" fontId="30" fillId="15" borderId="16" xfId="0" applyNumberFormat="1" applyFont="1" applyFill="1" applyBorder="1" applyAlignment="1">
      <alignment horizontal="center" vertical="center"/>
    </xf>
    <xf numFmtId="0" fontId="17" fillId="15" borderId="59" xfId="0" applyFont="1" applyFill="1" applyBorder="1" applyAlignment="1">
      <alignment horizontal="center" vertical="center"/>
    </xf>
    <xf numFmtId="182" fontId="11" fillId="15" borderId="16" xfId="0" applyNumberFormat="1" applyFont="1" applyFill="1" applyBorder="1" applyAlignment="1">
      <alignment horizontal="center" vertical="center"/>
    </xf>
    <xf numFmtId="166" fontId="30" fillId="15" borderId="16" xfId="0" applyNumberFormat="1" applyFont="1" applyFill="1" applyBorder="1" applyAlignment="1">
      <alignment horizontal="center" vertical="center"/>
    </xf>
    <xf numFmtId="181" fontId="12" fillId="15" borderId="19" xfId="0" applyNumberFormat="1" applyFont="1" applyFill="1" applyBorder="1" applyAlignment="1">
      <alignment horizontal="center" vertical="center"/>
    </xf>
    <xf numFmtId="195" fontId="12" fillId="15" borderId="16" xfId="0" applyNumberFormat="1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60" fillId="4" borderId="15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51" fillId="15" borderId="16" xfId="0" applyFont="1" applyFill="1" applyBorder="1" applyAlignment="1">
      <alignment horizontal="center"/>
    </xf>
    <xf numFmtId="0" fontId="6" fillId="15" borderId="9" xfId="0" applyFont="1" applyFill="1" applyBorder="1" applyAlignment="1">
      <alignment horizontal="right" vertical="center"/>
    </xf>
    <xf numFmtId="196" fontId="6" fillId="15" borderId="10" xfId="0" applyNumberFormat="1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51" fillId="4" borderId="16" xfId="0" applyFont="1" applyFill="1" applyBorder="1" applyAlignment="1">
      <alignment horizontal="center"/>
    </xf>
    <xf numFmtId="0" fontId="23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60" fillId="4" borderId="16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0" fillId="0" borderId="0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right" vertical="center"/>
    </xf>
    <xf numFmtId="0" fontId="17" fillId="0" borderId="2" xfId="0" applyFont="1" applyFill="1" applyBorder="1" applyAlignment="1">
      <alignment horizontal="righ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17" fillId="0" borderId="7" xfId="0" applyFont="1" applyFill="1" applyBorder="1" applyAlignment="1">
      <alignment horizontal="right" vertical="center"/>
    </xf>
    <xf numFmtId="0" fontId="17" fillId="0" borderId="6" xfId="0" applyFont="1" applyFill="1" applyBorder="1" applyAlignment="1">
      <alignment horizontal="right" vertical="center"/>
    </xf>
    <xf numFmtId="0" fontId="17" fillId="0" borderId="8" xfId="0" applyFont="1" applyFill="1" applyBorder="1" applyAlignment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54" fillId="0" borderId="11" xfId="0" applyFont="1" applyBorder="1" applyAlignment="1">
      <alignment horizontal="center" vertical="center"/>
    </xf>
    <xf numFmtId="164" fontId="14" fillId="16" borderId="2" xfId="0" applyNumberFormat="1" applyFont="1" applyFill="1" applyBorder="1" applyAlignment="1">
      <alignment horizontal="center"/>
    </xf>
    <xf numFmtId="164" fontId="14" fillId="16" borderId="71" xfId="0" applyNumberFormat="1" applyFont="1" applyFill="1" applyBorder="1" applyAlignment="1">
      <alignment horizontal="center"/>
    </xf>
    <xf numFmtId="0" fontId="54" fillId="16" borderId="21" xfId="0" applyFont="1" applyFill="1" applyBorder="1" applyAlignment="1">
      <alignment horizontal="center" vertical="center"/>
    </xf>
    <xf numFmtId="197" fontId="14" fillId="0" borderId="22" xfId="0" applyNumberFormat="1" applyFont="1" applyBorder="1"/>
    <xf numFmtId="0" fontId="30" fillId="16" borderId="31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54" fillId="16" borderId="19" xfId="0" applyFont="1" applyFill="1" applyBorder="1" applyAlignment="1">
      <alignment horizontal="center" vertical="center"/>
    </xf>
    <xf numFmtId="198" fontId="14" fillId="0" borderId="23" xfId="0" applyNumberFormat="1" applyFont="1" applyBorder="1"/>
    <xf numFmtId="189" fontId="30" fillId="16" borderId="13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0" fontId="54" fillId="16" borderId="16" xfId="0" applyFont="1" applyFill="1" applyBorder="1" applyAlignment="1">
      <alignment vertical="center"/>
    </xf>
    <xf numFmtId="197" fontId="14" fillId="0" borderId="23" xfId="0" applyNumberFormat="1" applyFont="1" applyBorder="1"/>
    <xf numFmtId="0" fontId="29" fillId="8" borderId="4" xfId="0" applyFont="1" applyFill="1" applyBorder="1"/>
    <xf numFmtId="0" fontId="14" fillId="16" borderId="72" xfId="0" applyFont="1" applyFill="1" applyBorder="1" applyAlignment="1">
      <alignment horizontal="center"/>
    </xf>
    <xf numFmtId="0" fontId="14" fillId="16" borderId="16" xfId="0" applyFont="1" applyFill="1" applyBorder="1" applyAlignment="1">
      <alignment horizontal="center"/>
    </xf>
    <xf numFmtId="0" fontId="14" fillId="16" borderId="23" xfId="0" applyFont="1" applyFill="1" applyBorder="1" applyAlignment="1">
      <alignment horizontal="center"/>
    </xf>
    <xf numFmtId="0" fontId="0" fillId="16" borderId="4" xfId="0" applyFill="1" applyBorder="1"/>
    <xf numFmtId="0" fontId="0" fillId="16" borderId="5" xfId="0" applyFill="1" applyBorder="1"/>
    <xf numFmtId="0" fontId="0" fillId="0" borderId="4" xfId="0" applyBorder="1"/>
    <xf numFmtId="0" fontId="0" fillId="16" borderId="31" xfId="0" applyFill="1" applyBorder="1"/>
    <xf numFmtId="199" fontId="69" fillId="0" borderId="19" xfId="0" applyNumberFormat="1" applyFont="1" applyBorder="1"/>
    <xf numFmtId="200" fontId="13" fillId="0" borderId="16" xfId="0" applyNumberFormat="1" applyFont="1" applyBorder="1"/>
    <xf numFmtId="201" fontId="70" fillId="0" borderId="16" xfId="0" applyNumberFormat="1" applyFont="1" applyBorder="1"/>
    <xf numFmtId="202" fontId="13" fillId="0" borderId="23" xfId="0" applyNumberFormat="1" applyFont="1" applyBorder="1"/>
    <xf numFmtId="0" fontId="0" fillId="16" borderId="34" xfId="0" applyFill="1" applyBorder="1"/>
    <xf numFmtId="201" fontId="13" fillId="0" borderId="16" xfId="0" applyNumberFormat="1" applyFont="1" applyBorder="1"/>
    <xf numFmtId="0" fontId="0" fillId="16" borderId="14" xfId="0" applyFill="1" applyBorder="1"/>
    <xf numFmtId="199" fontId="69" fillId="0" borderId="0" xfId="0" applyNumberFormat="1" applyFont="1" applyBorder="1"/>
    <xf numFmtId="201" fontId="13" fillId="0" borderId="0" xfId="0" applyNumberFormat="1" applyFont="1" applyBorder="1"/>
    <xf numFmtId="0" fontId="0" fillId="16" borderId="36" xfId="0" applyFill="1" applyBorder="1"/>
    <xf numFmtId="199" fontId="69" fillId="16" borderId="0" xfId="0" applyNumberFormat="1" applyFont="1" applyFill="1" applyBorder="1"/>
    <xf numFmtId="200" fontId="13" fillId="16" borderId="0" xfId="0" applyNumberFormat="1" applyFont="1" applyFill="1" applyBorder="1"/>
    <xf numFmtId="201" fontId="13" fillId="16" borderId="0" xfId="0" applyNumberFormat="1" applyFont="1" applyFill="1" applyBorder="1"/>
    <xf numFmtId="202" fontId="13" fillId="16" borderId="5" xfId="0" applyNumberFormat="1" applyFont="1" applyFill="1" applyBorder="1"/>
    <xf numFmtId="193" fontId="69" fillId="0" borderId="0" xfId="0" applyNumberFormat="1" applyFont="1" applyBorder="1"/>
    <xf numFmtId="193" fontId="69" fillId="0" borderId="19" xfId="0" applyNumberFormat="1" applyFont="1" applyBorder="1"/>
    <xf numFmtId="0" fontId="0" fillId="16" borderId="35" xfId="0" applyFill="1" applyBorder="1"/>
    <xf numFmtId="199" fontId="69" fillId="0" borderId="16" xfId="0" applyNumberFormat="1" applyFont="1" applyBorder="1"/>
    <xf numFmtId="0" fontId="0" fillId="16" borderId="11" xfId="0" applyFill="1" applyBorder="1"/>
    <xf numFmtId="199" fontId="69" fillId="0" borderId="20" xfId="0" applyNumberFormat="1" applyFont="1" applyBorder="1"/>
    <xf numFmtId="0" fontId="14" fillId="16" borderId="31" xfId="0" applyFont="1" applyFill="1" applyBorder="1"/>
    <xf numFmtId="200" fontId="13" fillId="0" borderId="19" xfId="0" applyNumberFormat="1" applyFont="1" applyBorder="1"/>
    <xf numFmtId="0" fontId="14" fillId="16" borderId="34" xfId="0" applyFont="1" applyFill="1" applyBorder="1"/>
    <xf numFmtId="200" fontId="13" fillId="0" borderId="19" xfId="0" applyNumberFormat="1" applyFont="1" applyFill="1" applyBorder="1"/>
    <xf numFmtId="201" fontId="13" fillId="0" borderId="16" xfId="0" applyNumberFormat="1" applyFont="1" applyFill="1" applyBorder="1"/>
    <xf numFmtId="0" fontId="14" fillId="16" borderId="36" xfId="0" applyFont="1" applyFill="1" applyBorder="1"/>
    <xf numFmtId="0" fontId="14" fillId="16" borderId="12" xfId="0" applyFont="1" applyFill="1" applyBorder="1" applyAlignment="1">
      <alignment horizontal="center" vertical="center"/>
    </xf>
    <xf numFmtId="200" fontId="13" fillId="0" borderId="0" xfId="0" applyNumberFormat="1" applyFont="1" applyFill="1" applyBorder="1"/>
    <xf numFmtId="201" fontId="13" fillId="0" borderId="0" xfId="0" applyNumberFormat="1" applyFont="1" applyFill="1" applyBorder="1"/>
    <xf numFmtId="202" fontId="13" fillId="0" borderId="5" xfId="0" applyNumberFormat="1" applyFont="1" applyBorder="1"/>
    <xf numFmtId="0" fontId="0" fillId="0" borderId="7" xfId="0" applyBorder="1"/>
    <xf numFmtId="0" fontId="14" fillId="16" borderId="13" xfId="0" applyFont="1" applyFill="1" applyBorder="1" applyAlignment="1">
      <alignment horizontal="center" vertical="center"/>
    </xf>
    <xf numFmtId="0" fontId="0" fillId="0" borderId="8" xfId="0" applyBorder="1"/>
    <xf numFmtId="1" fontId="0" fillId="0" borderId="0" xfId="0" applyNumberFormat="1"/>
    <xf numFmtId="191" fontId="0" fillId="0" borderId="0" xfId="0" applyNumberFormat="1"/>
    <xf numFmtId="203" fontId="0" fillId="0" borderId="0" xfId="0" applyNumberFormat="1"/>
    <xf numFmtId="195" fontId="0" fillId="0" borderId="0" xfId="0" applyNumberFormat="1"/>
    <xf numFmtId="201" fontId="0" fillId="0" borderId="0" xfId="0" applyNumberFormat="1"/>
    <xf numFmtId="200" fontId="0" fillId="0" borderId="0" xfId="0" applyNumberFormat="1"/>
    <xf numFmtId="14" fontId="0" fillId="0" borderId="0" xfId="0" applyNumberFormat="1"/>
    <xf numFmtId="204" fontId="0" fillId="0" borderId="0" xfId="0" applyNumberFormat="1" applyAlignment="1">
      <alignment horizontal="center" vertical="center"/>
    </xf>
    <xf numFmtId="0" fontId="60" fillId="0" borderId="0" xfId="0" applyFont="1"/>
    <xf numFmtId="205" fontId="1" fillId="0" borderId="0" xfId="0" applyNumberFormat="1" applyFont="1" applyBorder="1" applyAlignment="1">
      <alignment wrapText="1"/>
    </xf>
    <xf numFmtId="206" fontId="23" fillId="0" borderId="0" xfId="0" applyNumberFormat="1" applyFont="1"/>
    <xf numFmtId="0" fontId="23" fillId="0" borderId="0" xfId="0" applyNumberFormat="1" applyFont="1" applyAlignment="1">
      <alignment horizontal="center" vertical="center"/>
    </xf>
    <xf numFmtId="204" fontId="2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207" fontId="71" fillId="0" borderId="0" xfId="0" applyNumberFormat="1" applyFont="1" applyBorder="1"/>
    <xf numFmtId="205" fontId="60" fillId="0" borderId="0" xfId="0" applyNumberFormat="1" applyFont="1"/>
    <xf numFmtId="208" fontId="1" fillId="0" borderId="73" xfId="0" applyNumberFormat="1" applyFont="1" applyBorder="1" applyAlignment="1">
      <alignment wrapText="1"/>
    </xf>
    <xf numFmtId="0" fontId="2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204" fontId="0" fillId="0" borderId="0" xfId="0" applyNumberFormat="1" applyAlignment="1">
      <alignment horizontal="center" vertical="top"/>
    </xf>
    <xf numFmtId="0" fontId="0" fillId="0" borderId="0" xfId="0" applyNumberFormat="1" applyAlignment="1">
      <alignment horizontal="center" vertical="top" wrapText="1"/>
    </xf>
    <xf numFmtId="209" fontId="60" fillId="0" borderId="0" xfId="0" applyNumberFormat="1" applyFont="1" applyBorder="1"/>
    <xf numFmtId="49" fontId="0" fillId="0" borderId="0" xfId="0" applyNumberFormat="1" applyAlignment="1">
      <alignment horizontal="right"/>
    </xf>
    <xf numFmtId="49" fontId="23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209" fontId="60" fillId="0" borderId="0" xfId="0" applyNumberFormat="1" applyFont="1"/>
    <xf numFmtId="49" fontId="23" fillId="0" borderId="0" xfId="0" applyNumberFormat="1" applyFont="1"/>
    <xf numFmtId="3" fontId="66" fillId="18" borderId="74" xfId="0" applyNumberFormat="1" applyFont="1" applyFill="1" applyBorder="1" applyAlignment="1">
      <alignment horizontal="center" vertical="center"/>
    </xf>
    <xf numFmtId="49" fontId="66" fillId="18" borderId="0" xfId="0" applyNumberFormat="1" applyFont="1" applyFill="1" applyBorder="1" applyAlignment="1">
      <alignment horizontal="center" vertical="center"/>
    </xf>
    <xf numFmtId="207" fontId="60" fillId="0" borderId="0" xfId="0" applyNumberFormat="1" applyFont="1"/>
    <xf numFmtId="0" fontId="72" fillId="0" borderId="0" xfId="0" applyFont="1"/>
    <xf numFmtId="210" fontId="60" fillId="0" borderId="0" xfId="0" applyNumberFormat="1" applyFont="1"/>
    <xf numFmtId="211" fontId="60" fillId="0" borderId="0" xfId="0" applyNumberFormat="1" applyFont="1"/>
    <xf numFmtId="206" fontId="72" fillId="0" borderId="0" xfId="0" applyNumberFormat="1" applyFont="1"/>
    <xf numFmtId="0" fontId="60" fillId="0" borderId="0" xfId="0" applyNumberFormat="1" applyFont="1"/>
    <xf numFmtId="0" fontId="60" fillId="0" borderId="0" xfId="0" applyFont="1" applyAlignment="1">
      <alignment horizontal="center" vertical="center"/>
    </xf>
    <xf numFmtId="206" fontId="0" fillId="0" borderId="0" xfId="0" applyNumberFormat="1" applyAlignment="1">
      <alignment horizontal="center" vertical="center"/>
    </xf>
    <xf numFmtId="46" fontId="0" fillId="0" borderId="0" xfId="0" applyNumberFormat="1"/>
    <xf numFmtId="0" fontId="0" fillId="0" borderId="0" xfId="0" applyNumberFormat="1"/>
    <xf numFmtId="21" fontId="0" fillId="0" borderId="0" xfId="0" applyNumberFormat="1"/>
  </cellXfs>
  <cellStyles count="3">
    <cellStyle name="Milliers" xfId="1" builtinId="3"/>
    <cellStyle name="Monétaire 2" xfId="2"/>
    <cellStyle name="Normal" xfId="0" builtinId="0"/>
  </cellStyles>
  <dxfs count="105">
    <dxf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204" formatCode="0.000"/>
      <alignment horizontal="center" vertical="center" textRotation="0" wrapText="0" indent="0" relativeIndent="255" justifyLastLine="0" shrinkToFit="0" readingOrder="0"/>
    </dxf>
    <dxf>
      <font>
        <b/>
      </font>
      <numFmt numFmtId="204" formatCode="0.000"/>
      <alignment horizontal="center" vertical="center" textRotation="0" wrapText="0" indent="0" relativeIndent="255" justifyLastLine="0" shrinkToFit="0" readingOrder="0"/>
    </dxf>
    <dxf>
      <font>
        <b/>
      </font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06" formatCode="0\ &quot;ft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name val="Arial"/>
        <scheme val="none"/>
      </font>
    </dxf>
    <dxf>
      <font>
        <b/>
        <strike val="0"/>
        <outline val="0"/>
        <shadow val="0"/>
        <u val="none"/>
        <vertAlign val="baseline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00" formatCode="0.0\ &quot;Lbs&quot;"/>
    </dxf>
    <dxf>
      <numFmt numFmtId="200" formatCode="0.0\ &quot;Lbs&quot;"/>
    </dxf>
    <dxf>
      <numFmt numFmtId="200" formatCode="0.0\ &quot;Lbs&quot;"/>
    </dxf>
    <dxf>
      <numFmt numFmtId="200" formatCode="0.0\ &quot;Lbs&quot;"/>
    </dxf>
    <dxf>
      <numFmt numFmtId="200" formatCode="0.0\ &quot;Lbs&quot;"/>
    </dxf>
    <dxf>
      <numFmt numFmtId="201" formatCode="0.0&quot;inch&quot;"/>
    </dxf>
    <dxf>
      <numFmt numFmtId="200" formatCode="0.0\ &quot;Lbs&quot;"/>
    </dxf>
    <dxf>
      <numFmt numFmtId="200" formatCode="0.0\ &quot;Lbs&quot;"/>
    </dxf>
    <dxf>
      <numFmt numFmtId="201" formatCode="0.0&quot;inch&quot;"/>
    </dxf>
    <dxf>
      <numFmt numFmtId="200" formatCode="0.0\ &quot;Lbs&quot;"/>
    </dxf>
    <dxf>
      <numFmt numFmtId="201" formatCode="0.0&quot;inch&quot;"/>
    </dxf>
    <dxf>
      <numFmt numFmtId="201" formatCode="0.0&quot;inch&quot;"/>
    </dxf>
    <dxf>
      <numFmt numFmtId="195" formatCode="0&quot;Kt&quot;"/>
    </dxf>
    <dxf>
      <numFmt numFmtId="203" formatCode="_([$€-2]\ * #,##0.00_);_([$€-2]\ * \(#,##0.00\);_([$€-2]\ * &quot;-&quot;??_);_(@_)"/>
    </dxf>
    <dxf>
      <numFmt numFmtId="191" formatCode="d/mm/yyyy;@"/>
    </dxf>
    <dxf>
      <numFmt numFmtId="191" formatCode="d/mm/yyyy;@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border outline="0">
        <top style="medium">
          <color auto="1"/>
        </top>
      </border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25" formatCode="hh:mm"/>
      <alignment horizontal="center" vertical="center" textRotation="0" wrapText="0" indent="0" relativeIndent="255" justifyLastLine="0" shrinkToFit="0" readingOrder="0"/>
    </dxf>
    <dxf>
      <numFmt numFmtId="166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25" formatCode="hh:mm"/>
      <alignment horizontal="center" vertical="center" textRotation="0" wrapText="0" indent="0" relativeIndent="255" justifyLastLine="0" shrinkToFit="0" readingOrder="0"/>
    </dxf>
    <dxf>
      <numFmt numFmtId="166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6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78" formatCode="[$-40C]mmm\-yy;@"/>
      <alignment horizontal="center" vertical="center" textRotation="0" wrapText="0" indent="0" relativeIndent="255" justifyLastLine="0" shrinkToFit="0" readingOrder="0"/>
    </dxf>
    <dxf>
      <numFmt numFmtId="179" formatCode="[$-40C]d\-mmm\-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>
          <fgColor indexed="64"/>
          <bgColor theme="1"/>
        </patternFill>
      </fill>
    </dxf>
    <dxf>
      <numFmt numFmtId="0" formatCode="General"/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relativeIndent="255" justifyLastLine="0" shrinkToFit="0" readingOrder="0"/>
      <protection locked="1" hidden="0"/>
    </dxf>
    <dxf>
      <alignment horizontal="center" vertical="center" textRotation="0" wrapText="0" indent="0" relativeIndent="255" justifyLastLine="0" shrinkToFit="0" readingOrder="0"/>
      <protection locked="1" hidden="0"/>
    </dxf>
    <dxf>
      <alignment horizontal="center" vertical="center" textRotation="0" wrapText="0" indent="0" relativeIndent="255" justifyLastLine="0" shrinkToFit="0" readingOrder="0"/>
      <protection locked="1" hidden="0"/>
    </dxf>
    <dxf>
      <alignment horizontal="center" vertical="center" textRotation="0" wrapText="0" indent="0" relativeIndent="255" justifyLastLine="0" shrinkToFit="0" readingOrder="0"/>
      <protection locked="1" hidden="0"/>
    </dxf>
    <dxf>
      <alignment horizontal="center" vertical="center" textRotation="0" wrapText="0" indent="0" relativeIndent="255" justifyLastLine="0" shrinkToFit="0" readingOrder="0"/>
      <protection locked="1" hidden="0"/>
    </dxf>
    <dxf>
      <numFmt numFmtId="2" formatCode="0.00"/>
      <alignment horizontal="center" vertical="center" textRotation="0" wrapText="0" indent="0" relativeIndent="255" justifyLastLine="0" shrinkToFit="0" readingOrder="0"/>
      <protection locked="1" hidden="0"/>
    </dxf>
    <dxf>
      <numFmt numFmtId="0" formatCode="General"/>
      <alignment horizontal="center" vertical="center" textRotation="0" wrapText="0" indent="0" relativeIndent="255" justifyLastLine="0" shrinkToFit="0" readingOrder="0"/>
      <protection locked="1" hidden="0"/>
    </dxf>
    <dxf>
      <numFmt numFmtId="0" formatCode="General"/>
      <alignment horizontal="center" vertical="center" textRotation="0" wrapText="0" indent="0" relativeIndent="255" justifyLastLine="0" shrinkToFit="0" readingOrder="0"/>
      <protection locked="1" hidden="0"/>
    </dxf>
    <dxf>
      <numFmt numFmtId="2" formatCode="0.00"/>
      <alignment horizontal="center" vertical="center" textRotation="0" wrapText="0" indent="0" relativeIndent="255" justifyLastLine="0" shrinkToFit="0" readingOrder="0"/>
      <protection locked="1" hidden="0"/>
    </dxf>
    <dxf>
      <numFmt numFmtId="2" formatCode="0.00"/>
      <alignment horizontal="center" vertical="center" textRotation="0" wrapText="0" indent="0" relativeIndent="255" justifyLastLine="0" shrinkToFit="0" readingOrder="0"/>
      <protection locked="1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font>
        <b/>
      </font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protection locked="0" hidden="0"/>
    </dxf>
    <dxf>
      <numFmt numFmtId="31" formatCode="[h]:mm:ss"/>
      <alignment horizontal="center" vertical="center" textRotation="0" wrapText="0" indent="0" relativeIndent="255" justifyLastLine="0" shrinkToFit="0" readingOrder="0"/>
    </dxf>
    <dxf>
      <numFmt numFmtId="31" formatCode="[h]:mm:ss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font>
        <b/>
      </font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numFmt numFmtId="177" formatCode="d/mm/yy"/>
      <alignment horizontal="center" vertical="center" textRotation="0" wrapText="0" indent="0" relativeIndent="255" justifyLastLine="0" shrinkToFit="0" readingOrder="0"/>
    </dxf>
    <dxf>
      <numFmt numFmtId="177" formatCode="d/mm/yy"/>
      <alignment horizontal="center" vertical="center" textRotation="0" wrapText="0" indent="0" relativeIndent="255" justifyLastLine="0" shrinkToFit="0" readingOrder="0"/>
    </dxf>
    <dxf>
      <numFmt numFmtId="174" formatCode="h\.mm;@"/>
      <alignment horizontal="center" vertical="center" textRotation="0" wrapText="0" indent="0" relativeIndent="255" justifyLastLine="0" shrinkToFit="0" readingOrder="0"/>
      <protection locked="0" hidden="0"/>
    </dxf>
    <dxf>
      <numFmt numFmtId="174" formatCode="h\.mm;@"/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numFmt numFmtId="25" formatCode="hh:mm"/>
      <alignment horizontal="center" vertical="center" textRotation="0" wrapText="0" indent="0" relativeIndent="255" justifyLastLine="0" shrinkToFit="0" readingOrder="0"/>
      <protection locked="0" hidden="0"/>
    </dxf>
    <dxf>
      <numFmt numFmtId="25" formatCode="hh:mm"/>
      <alignment horizontal="center" vertical="center" textRotation="0" wrapText="0" indent="0" relativeIndent="255" justifyLastLine="0" shrinkToFit="0" readingOrder="0"/>
      <protection locked="0" hidden="0"/>
    </dxf>
    <dxf>
      <font>
        <b/>
      </font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numFmt numFmtId="177" formatCode="d/mm/yy"/>
      <alignment horizontal="center" vertical="center" textRotation="0" wrapText="0" indent="0" relativeIndent="255" justifyLastLine="0" shrinkToFit="0" readingOrder="0"/>
      <protection locked="0" hidden="0"/>
    </dxf>
    <dxf>
      <numFmt numFmtId="173" formatCode="mmm\-yyyy"/>
      <alignment horizontal="general" vertical="bottom" textRotation="0" wrapText="0" indent="0" relativeIndent="255" justifyLastLine="0" shrinkToFit="0" readingOrder="0"/>
      <protection locked="0" hidden="0"/>
    </dxf>
    <dxf>
      <numFmt numFmtId="173" formatCode="mmm\-yyyy"/>
      <alignment horizontal="general" vertical="bottom" textRotation="0" wrapText="0" indent="0" relativeIndent="255" justifyLastLine="0" shrinkToFit="0" readingOrder="0"/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chartsheet" Target="chartsheets/sheet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150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02347227575574"/>
          <c:y val="0.14986915887850505"/>
          <c:w val="0.85692549969715326"/>
          <c:h val="0.75780086834940041"/>
        </c:manualLayout>
      </c:layout>
      <c:scatterChart>
        <c:scatterStyle val="lineMarker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>
                  <a:glow rad="127000">
                    <a:schemeClr val="bg1"/>
                  </a:glow>
                </a:effectLst>
              </c:spPr>
            </c:marker>
            <c:spPr>
              <a:ln w="25400" cap="rnd">
                <a:noFill/>
                <a:round/>
              </a:ln>
              <a:effectLst>
                <a:glow rad="127000">
                  <a:schemeClr val="bg1"/>
                </a:glo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3C1-40EB-A592-34EDF952EA4F}"/>
              </c:ext>
            </c:extLst>
          </c:dPt>
          <c:dPt>
            <c:idx val="1"/>
            <c:marker>
              <c:spPr>
                <a:solidFill>
                  <a:srgbClr val="FF0000"/>
                </a:solidFill>
                <a:ln w="88900">
                  <a:solidFill>
                    <a:srgbClr val="FF0000"/>
                  </a:solidFill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2-83C1-40EB-A592-34EDF952EA4F}"/>
              </c:ext>
            </c:extLst>
          </c:dPt>
          <c:xVal>
            <c:numRef>
              <c:f>'[1]PREPARATION nav'!$E$34:$E$35</c:f>
              <c:numCache>
                <c:formatCode>0.0"inch"</c:formatCode>
                <c:ptCount val="2"/>
                <c:pt idx="0">
                  <c:v>37.780272666264366</c:v>
                </c:pt>
                <c:pt idx="1">
                  <c:v>37.636618929803113</c:v>
                </c:pt>
              </c:numCache>
            </c:numRef>
          </c:xVal>
          <c:yVal>
            <c:numRef>
              <c:f>'[1]PREPARATION nav'!$D$34:$D$35</c:f>
              <c:numCache>
                <c:formatCode>0.0\ "Lbs"</c:formatCode>
                <c:ptCount val="2"/>
                <c:pt idx="0">
                  <c:v>2491.4260720000002</c:v>
                </c:pt>
                <c:pt idx="1">
                  <c:v>2451.0461468308981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83C1-40EB-A592-34EDF952EA4F}"/>
            </c:ext>
          </c:extLst>
        </c:ser>
        <c:axId val="82101760"/>
        <c:axId val="88280064"/>
      </c:scatterChart>
      <c:valAx>
        <c:axId val="82101760"/>
        <c:scaling>
          <c:orientation val="minMax"/>
          <c:max val="38"/>
          <c:min val="31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0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80064"/>
        <c:crosses val="autoZero"/>
        <c:crossBetween val="midCat"/>
        <c:majorUnit val="0.5"/>
      </c:valAx>
      <c:valAx>
        <c:axId val="88280064"/>
        <c:scaling>
          <c:orientation val="minMax"/>
          <c:max val="1650"/>
          <c:min val="105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0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101760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plotVisOnly val="1"/>
    <c:dispBlanksAs val="span"/>
  </c:chart>
  <c:spPr>
    <a:solidFill>
      <a:schemeClr val="bg1"/>
    </a:solidFill>
    <a:ln w="127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182JT-H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pPr>
                <a:solidFill>
                  <a:srgbClr val="FF0000"/>
                </a:solidFill>
                <a:ln w="88900">
                  <a:solidFill>
                    <a:srgbClr val="FF0000"/>
                  </a:solidFill>
                </a:ln>
                <a:effectLst>
                  <a:glow>
                    <a:schemeClr val="accent1">
                      <a:alpha val="40000"/>
                    </a:schemeClr>
                  </a:glow>
                  <a:outerShdw blurRad="50800" dist="50800" dir="5400000" sx="1000" sy="1000" algn="ctr" rotWithShape="0">
                    <a:srgbClr val="FF0000"/>
                  </a:outerShdw>
                </a:effectLst>
              </c:spPr>
            </c:marker>
            <c:spPr>
              <a:ln w="53975" cap="rnd">
                <a:solidFill>
                  <a:schemeClr val="accent2"/>
                </a:solidFill>
                <a:round/>
              </a:ln>
              <a:effectLst>
                <a:glow>
                  <a:schemeClr val="accent1">
                    <a:alpha val="40000"/>
                  </a:schemeClr>
                </a:glow>
                <a:outerShdw blurRad="50800" dist="50800" dir="5400000" sx="1000" sy="1000" algn="ctr" rotWithShape="0">
                  <a:srgbClr val="FF0000"/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E73-4993-8758-B4ADD5F6FC7D}"/>
              </c:ext>
            </c:extLst>
          </c:dPt>
          <c:dPt>
            <c:idx val="1"/>
            <c:marker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2-5E73-4993-8758-B4ADD5F6FC7D}"/>
              </c:ext>
            </c:extLst>
          </c:dPt>
          <c:xVal>
            <c:numRef>
              <c:f>'[1]PREPARATION nav'!$E$34:$E$35</c:f>
              <c:numCache>
                <c:formatCode>0.0"inch"</c:formatCode>
                <c:ptCount val="2"/>
                <c:pt idx="0">
                  <c:v>37.780272666264366</c:v>
                </c:pt>
                <c:pt idx="1">
                  <c:v>37.636618929803113</c:v>
                </c:pt>
              </c:numCache>
            </c:numRef>
          </c:xVal>
          <c:yVal>
            <c:numRef>
              <c:f>'[1]PREPARATION nav'!$D$34:$D$35</c:f>
              <c:numCache>
                <c:formatCode>0.0\ "Lbs"</c:formatCode>
                <c:ptCount val="2"/>
                <c:pt idx="0">
                  <c:v>2491.4260720000002</c:v>
                </c:pt>
                <c:pt idx="1">
                  <c:v>2451.0461468308981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5E73-4993-8758-B4ADD5F6FC7D}"/>
            </c:ext>
          </c:extLst>
        </c:ser>
        <c:axId val="83812352"/>
        <c:axId val="83813888"/>
      </c:scatterChart>
      <c:valAx>
        <c:axId val="83812352"/>
        <c:scaling>
          <c:orientation val="minMax"/>
          <c:max val="46.5"/>
          <c:min val="35.5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813888"/>
        <c:crosses val="autoZero"/>
        <c:crossBetween val="midCat"/>
        <c:majorUnit val="0.5"/>
      </c:valAx>
      <c:valAx>
        <c:axId val="83813888"/>
        <c:scaling>
          <c:orientation val="minMax"/>
          <c:max val="3500"/>
          <c:min val="160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0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812352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plotVisOnly val="1"/>
    <c:dispBlanksAs val="span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172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/>
              </c:spPr>
            </c:marker>
            <c:spPr>
              <a:ln w="50800" cap="rnd">
                <a:solidFill>
                  <a:srgbClr val="00B050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78-4F28-BAD0-E44FDEB8FF29}"/>
              </c:ext>
            </c:extLst>
          </c:dPt>
          <c:dPt>
            <c:idx val="1"/>
            <c:marker>
              <c:spPr>
                <a:solidFill>
                  <a:srgbClr val="FF0000"/>
                </a:solidFill>
                <a:ln w="76200">
                  <a:solidFill>
                    <a:srgbClr val="FF0000"/>
                  </a:solidFill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2-3E78-4F28-BAD0-E44FDEB8FF29}"/>
              </c:ext>
            </c:extLst>
          </c:dPt>
          <c:xVal>
            <c:numRef>
              <c:f>'[1]PREPARATION nav'!$E$34:$E$35</c:f>
              <c:numCache>
                <c:formatCode>0.0"inch"</c:formatCode>
                <c:ptCount val="2"/>
                <c:pt idx="0">
                  <c:v>37.780272666264366</c:v>
                </c:pt>
                <c:pt idx="1">
                  <c:v>37.636618929803113</c:v>
                </c:pt>
              </c:numCache>
            </c:numRef>
          </c:xVal>
          <c:yVal>
            <c:numRef>
              <c:f>'[1]PREPARATION nav'!$D$34:$D$35</c:f>
              <c:numCache>
                <c:formatCode>0.0\ "Lbs"</c:formatCode>
                <c:ptCount val="2"/>
                <c:pt idx="0">
                  <c:v>2491.4260720000002</c:v>
                </c:pt>
                <c:pt idx="1">
                  <c:v>2451.0461468308981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3E78-4F28-BAD0-E44FDEB8FF29}"/>
            </c:ext>
          </c:extLst>
        </c:ser>
        <c:axId val="98514432"/>
        <c:axId val="98515968"/>
      </c:scatterChart>
      <c:valAx>
        <c:axId val="98514432"/>
        <c:scaling>
          <c:orientation val="minMax"/>
          <c:max val="48.500000001000004"/>
          <c:min val="35.000000001000004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0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515968"/>
        <c:crosses val="autoZero"/>
        <c:crossBetween val="midCat"/>
        <c:majorUnit val="0.5"/>
      </c:valAx>
      <c:valAx>
        <c:axId val="98515968"/>
        <c:scaling>
          <c:orientation val="minMax"/>
          <c:max val="2400"/>
          <c:min val="130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514432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plotVisOnly val="1"/>
    <c:dispBlanksAs val="span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0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2"/>
  <sheetViews>
    <sheetView zoomScale="106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3"/>
  <sheetViews>
    <sheetView zoomScale="10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NUL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NULL"/><Relationship Id="rId1" Type="http://schemas.openxmlformats.org/officeDocument/2006/relationships/image" Target="../media/image1.png"/><Relationship Id="rId6" Type="http://schemas.microsoft.com/office/2007/relationships/hdphoto" Target="NULL"/><Relationship Id="rId5" Type="http://schemas.openxmlformats.org/officeDocument/2006/relationships/image" Target="../media/image3.jpeg"/><Relationship Id="rId4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777128</xdr:colOff>
      <xdr:row>15</xdr:row>
      <xdr:rowOff>64585</xdr:rowOff>
    </xdr:from>
    <xdr:ext cx="4755534" cy="937629"/>
    <xdr:sp macro="[0]!Rectangle3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4000000}"/>
            </a:ext>
            <a:ext uri="{147F2762-F138-4A5C-976F-8EAC2B608ADB}">
              <a16:predDERef xmlns="" xmlns:a16="http://schemas.microsoft.com/office/drawing/2014/main" pred="{7C781B0D-492E-40B3-A322-1EDF37DC1ED9}"/>
            </a:ext>
          </a:extLst>
        </xdr:cNvPr>
        <xdr:cNvSpPr/>
      </xdr:nvSpPr>
      <xdr:spPr>
        <a:xfrm>
          <a:off x="777128" y="5345245"/>
          <a:ext cx="475553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CARNET DE VOL</a:t>
          </a:r>
        </a:p>
      </xdr:txBody>
    </xdr:sp>
    <xdr:clientData/>
  </xdr:oneCellAnchor>
  <xdr:twoCellAnchor editAs="oneCell">
    <xdr:from>
      <xdr:col>0</xdr:col>
      <xdr:colOff>409575</xdr:colOff>
      <xdr:row>6</xdr:row>
      <xdr:rowOff>361951</xdr:rowOff>
    </xdr:from>
    <xdr:to>
      <xdr:col>1</xdr:col>
      <xdr:colOff>371475</xdr:colOff>
      <xdr:row>8</xdr:row>
      <xdr:rowOff>57151</xdr:rowOff>
    </xdr:to>
    <xdr:pic macro="[0]!Ouvre_le_formulaire_de_saisie">
      <xdr:nvPicPr>
        <xdr:cNvPr id="3" name="Graphique 4" descr="Avion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558165" y="2354581"/>
          <a:ext cx="449580" cy="746760"/>
        </a:xfrm>
        <a:prstGeom prst="rect">
          <a:avLst/>
        </a:prstGeom>
      </xdr:spPr>
    </xdr:pic>
    <xdr:clientData/>
  </xdr:twoCellAnchor>
  <xdr:twoCellAnchor editAs="oneCell">
    <xdr:from>
      <xdr:col>0</xdr:col>
      <xdr:colOff>726762</xdr:colOff>
      <xdr:row>8</xdr:row>
      <xdr:rowOff>351396</xdr:rowOff>
    </xdr:from>
    <xdr:to>
      <xdr:col>1</xdr:col>
      <xdr:colOff>478933</xdr:colOff>
      <xdr:row>10</xdr:row>
      <xdr:rowOff>291474</xdr:rowOff>
    </xdr:to>
    <xdr:pic>
      <xdr:nvPicPr>
        <xdr:cNvPr id="4" name="Graphique 6" descr="Homme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26762" y="3246996"/>
          <a:ext cx="537031" cy="618258"/>
        </a:xfrm>
        <a:prstGeom prst="rect">
          <a:avLst/>
        </a:prstGeom>
      </xdr:spPr>
    </xdr:pic>
    <xdr:clientData/>
  </xdr:twoCellAnchor>
  <xdr:twoCellAnchor editAs="oneCell">
    <xdr:from>
      <xdr:col>1</xdr:col>
      <xdr:colOff>682847</xdr:colOff>
      <xdr:row>11</xdr:row>
      <xdr:rowOff>135317</xdr:rowOff>
    </xdr:from>
    <xdr:to>
      <xdr:col>2</xdr:col>
      <xdr:colOff>695100</xdr:colOff>
      <xdr:row>13</xdr:row>
      <xdr:rowOff>267501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 xmlns="">
                <a14:imgLayer r:embed="rId6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67707" y="4090097"/>
          <a:ext cx="797113" cy="894184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8</xdr:row>
      <xdr:rowOff>323850</xdr:rowOff>
    </xdr:from>
    <xdr:to>
      <xdr:col>5</xdr:col>
      <xdr:colOff>1069576</xdr:colOff>
      <xdr:row>11</xdr:row>
      <xdr:rowOff>54197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 xmlns="">
                <a14:imgLayer r:embed="rId8">
                  <a14:imgEffect>
                    <a14:backgroundRemoval t="1000" b="100000" l="0" r="100000">
                      <a14:foregroundMark x1="28000" y1="50333" x2="28000" y2="50333"/>
                      <a14:foregroundMark x1="36667" y1="50333" x2="36667" y2="50333"/>
                      <a14:foregroundMark x1="16667" y1="52000" x2="16667" y2="52000"/>
                      <a14:foregroundMark x1="84333" y1="45333" x2="84333" y2="45333"/>
                      <a14:foregroundMark x1="87000" y1="56333" x2="87000" y2="56333"/>
                      <a14:foregroundMark x1="75667" y1="80667" x2="75667" y2="80667"/>
                      <a14:foregroundMark x1="8000" y1="50333" x2="8000" y2="50333"/>
                      <a14:foregroundMark x1="10667" y1="12333" x2="10667" y2="12333"/>
                      <a14:foregroundMark x1="49667" y1="77333" x2="49667" y2="77333"/>
                      <a14:foregroundMark x1="49667" y1="87667" x2="49667" y2="87667"/>
                      <a14:foregroundMark x1="22000" y1="77333" x2="22000" y2="77333"/>
                      <a14:foregroundMark x1="71333" y1="29667" x2="71333" y2="29667"/>
                      <a14:foregroundMark x1="50333" y1="20000" x2="50333" y2="20000"/>
                      <a14:foregroundMark x1="49667" y1="8000" x2="49667" y2="8000"/>
                      <a14:foregroundMark x1="20333" y1="21667" x2="20333" y2="21667"/>
                      <a14:foregroundMark x1="31333" y1="29667" x2="31333" y2="29667"/>
                      <a14:foregroundMark x1="17667" y1="59000" x2="17667" y2="59000"/>
                      <a14:foregroundMark x1="21667" y1="50000" x2="21667" y2="50000"/>
                      <a14:foregroundMark x1="75333" y1="20667" x2="75333" y2="20667"/>
                      <a14:foregroundMark x1="31667" y1="70333" x2="31667" y2="70333"/>
                      <a14:foregroundMark x1="78000" y1="51667" x2="78000" y2="51667"/>
                      <a14:foregroundMark x1="69667" y1="71000" x2="69667" y2="71000"/>
                      <a14:foregroundMark x1="86667" y1="87333" x2="86667" y2="87333"/>
                      <a14:foregroundMark x1="19333" y1="45000" x2="19333" y2="45000"/>
                      <a14:foregroundMark x1="89667" y1="45000" x2="89667" y2="45000"/>
                      <a14:foregroundMark x1="88333" y1="12667" x2="88333" y2="12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057775" y="3219450"/>
          <a:ext cx="964801" cy="7895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630709</xdr:colOff>
      <xdr:row>20</xdr:row>
      <xdr:rowOff>1</xdr:rowOff>
    </xdr:from>
    <xdr:to>
      <xdr:col>7</xdr:col>
      <xdr:colOff>568388</xdr:colOff>
      <xdr:row>25</xdr:row>
      <xdr:rowOff>12872</xdr:rowOff>
    </xdr:to>
    <xdr:sp macro="" textlink="">
      <xdr:nvSpPr>
        <xdr:cNvPr id="2" name="Triangle isocèle 1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/>
      </xdr:nvSpPr>
      <xdr:spPr>
        <a:xfrm rot="5400000">
          <a:off x="3770653" y="4655317"/>
          <a:ext cx="1209211" cy="585379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630708</xdr:colOff>
      <xdr:row>25</xdr:row>
      <xdr:rowOff>6439</xdr:rowOff>
    </xdr:from>
    <xdr:to>
      <xdr:col>7</xdr:col>
      <xdr:colOff>568387</xdr:colOff>
      <xdr:row>30</xdr:row>
      <xdr:rowOff>5296</xdr:rowOff>
    </xdr:to>
    <xdr:sp macro="" textlink="">
      <xdr:nvSpPr>
        <xdr:cNvPr id="3" name="Triangle isocèle 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/>
      </xdr:nvSpPr>
      <xdr:spPr>
        <a:xfrm rot="5400000">
          <a:off x="3777659" y="5851088"/>
          <a:ext cx="1195197" cy="585379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3</xdr:colOff>
      <xdr:row>2</xdr:row>
      <xdr:rowOff>244562</xdr:rowOff>
    </xdr:from>
    <xdr:to>
      <xdr:col>7</xdr:col>
      <xdr:colOff>568391</xdr:colOff>
      <xdr:row>7</xdr:row>
      <xdr:rowOff>231691</xdr:rowOff>
    </xdr:to>
    <xdr:sp macro="" textlink="">
      <xdr:nvSpPr>
        <xdr:cNvPr id="4" name="Triangle isocèle 3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 rot="5400000">
          <a:off x="3792022" y="1055023"/>
          <a:ext cx="1183469" cy="568388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1</xdr:row>
      <xdr:rowOff>2690</xdr:rowOff>
    </xdr:from>
    <xdr:to>
      <xdr:col>7</xdr:col>
      <xdr:colOff>592094</xdr:colOff>
      <xdr:row>3</xdr:row>
      <xdr:rowOff>11234</xdr:rowOff>
    </xdr:to>
    <xdr:sp macro="" textlink="">
      <xdr:nvSpPr>
        <xdr:cNvPr id="5" name="Triangle rectangl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 flipV="1">
          <a:off x="4099560" y="254150"/>
          <a:ext cx="592094" cy="511464"/>
        </a:xfrm>
        <a:prstGeom prst="rtTriangle">
          <a:avLst/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637144</xdr:colOff>
      <xdr:row>10</xdr:row>
      <xdr:rowOff>10587</xdr:rowOff>
    </xdr:from>
    <xdr:to>
      <xdr:col>7</xdr:col>
      <xdr:colOff>584265</xdr:colOff>
      <xdr:row>14</xdr:row>
      <xdr:rowOff>243421</xdr:rowOff>
    </xdr:to>
    <xdr:sp macro="" textlink="">
      <xdr:nvSpPr>
        <xdr:cNvPr id="6" name="Triangle isocèle 5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 rot="5400000">
          <a:off x="3797558" y="2252753"/>
          <a:ext cx="1177714" cy="594821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637144</xdr:colOff>
      <xdr:row>15</xdr:row>
      <xdr:rowOff>2</xdr:rowOff>
    </xdr:from>
    <xdr:to>
      <xdr:col>7</xdr:col>
      <xdr:colOff>568387</xdr:colOff>
      <xdr:row>20</xdr:row>
      <xdr:rowOff>4</xdr:rowOff>
    </xdr:to>
    <xdr:sp macro="" textlink="">
      <xdr:nvSpPr>
        <xdr:cNvPr id="7" name="Triangle isocèle 6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/>
      </xdr:nvSpPr>
      <xdr:spPr>
        <a:xfrm rot="5400000">
          <a:off x="3780305" y="3455761"/>
          <a:ext cx="1196342" cy="578943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30</xdr:row>
      <xdr:rowOff>1</xdr:rowOff>
    </xdr:from>
    <xdr:to>
      <xdr:col>7</xdr:col>
      <xdr:colOff>568388</xdr:colOff>
      <xdr:row>35</xdr:row>
      <xdr:rowOff>0</xdr:rowOff>
    </xdr:to>
    <xdr:sp macro="" textlink="">
      <xdr:nvSpPr>
        <xdr:cNvPr id="8" name="Triangle isocèle 7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 rot="5400000">
          <a:off x="3785584" y="7050057"/>
          <a:ext cx="1196339" cy="568388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35</xdr:row>
      <xdr:rowOff>1</xdr:rowOff>
    </xdr:from>
    <xdr:to>
      <xdr:col>7</xdr:col>
      <xdr:colOff>568388</xdr:colOff>
      <xdr:row>40</xdr:row>
      <xdr:rowOff>4147</xdr:rowOff>
    </xdr:to>
    <xdr:sp macro="" textlink="">
      <xdr:nvSpPr>
        <xdr:cNvPr id="9" name="Triangle isocèle 8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/>
      </xdr:nvSpPr>
      <xdr:spPr>
        <a:xfrm rot="5400000">
          <a:off x="3783511" y="8248470"/>
          <a:ext cx="1200486" cy="568388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0.15308</cdr:x>
      <cdr:y>0.21647</cdr:y>
    </cdr:from>
    <cdr:to>
      <cdr:x>0.38245</cdr:x>
      <cdr:y>0.84825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xmlns="" id="{DEA4DDA0-6893-4BF2-9013-E89BE7BAEF95}"/>
            </a:ext>
          </a:extLst>
        </cdr:cNvPr>
        <cdr:cNvCxnSpPr/>
      </cdr:nvCxnSpPr>
      <cdr:spPr>
        <a:xfrm xmlns:a="http://schemas.openxmlformats.org/drawingml/2006/main" flipV="1">
          <a:off x="1421502" y="1312812"/>
          <a:ext cx="2129867" cy="3831563"/>
        </a:xfrm>
        <a:prstGeom xmlns:a="http://schemas.openxmlformats.org/drawingml/2006/main" prst="line">
          <a:avLst/>
        </a:prstGeom>
        <a:ln xmlns:a="http://schemas.openxmlformats.org/drawingml/2006/main" w="127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0.38256</cdr:x>
      <cdr:y>0.21121</cdr:y>
    </cdr:from>
    <cdr:to>
      <cdr:x>0.89371</cdr:x>
      <cdr:y>0.21244</cdr:y>
    </cdr:to>
    <cdr:cxnSp macro="">
      <cdr:nvCxnSpPr>
        <cdr:cNvPr id="6" name="Connecteur droit 5">
          <a:extLst xmlns:a="http://schemas.openxmlformats.org/drawingml/2006/main">
            <a:ext uri="{FF2B5EF4-FFF2-40B4-BE49-F238E27FC236}">
              <a16:creationId xmlns:a16="http://schemas.microsoft.com/office/drawing/2014/main" xmlns="" id="{DF4486DB-85C7-4819-895D-B750B7779FD8}"/>
            </a:ext>
          </a:extLst>
        </cdr:cNvPr>
        <cdr:cNvCxnSpPr/>
      </cdr:nvCxnSpPr>
      <cdr:spPr>
        <a:xfrm xmlns:a="http://schemas.openxmlformats.org/drawingml/2006/main" flipV="1">
          <a:off x="3552319" y="1280927"/>
          <a:ext cx="4746426" cy="7479"/>
        </a:xfrm>
        <a:prstGeom xmlns:a="http://schemas.openxmlformats.org/drawingml/2006/main" prst="line">
          <a:avLst/>
        </a:prstGeom>
        <a:ln xmlns:a="http://schemas.openxmlformats.org/drawingml/2006/main" w="12700" cmpd="sng">
          <a:solidFill>
            <a:schemeClr val="accent1">
              <a:lumMod val="75000"/>
            </a:schemeClr>
          </a:solidFill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0.8947</cdr:x>
      <cdr:y>0.20596</cdr:y>
    </cdr:from>
    <cdr:to>
      <cdr:x>0.89693</cdr:x>
      <cdr:y>0.84219</cdr:y>
    </cdr:to>
    <cdr:cxnSp macro="">
      <cdr:nvCxnSpPr>
        <cdr:cNvPr id="8" name="Connecteur droit 7">
          <a:extLst xmlns:a="http://schemas.openxmlformats.org/drawingml/2006/main">
            <a:ext uri="{FF2B5EF4-FFF2-40B4-BE49-F238E27FC236}">
              <a16:creationId xmlns:a16="http://schemas.microsoft.com/office/drawing/2014/main" xmlns="" id="{AD1D54BC-53FE-4FAD-AE1D-B66C8EC2F2A9}"/>
            </a:ext>
          </a:extLst>
        </cdr:cNvPr>
        <cdr:cNvCxnSpPr/>
      </cdr:nvCxnSpPr>
      <cdr:spPr>
        <a:xfrm xmlns:a="http://schemas.openxmlformats.org/drawingml/2006/main">
          <a:off x="8307948" y="1249103"/>
          <a:ext cx="20675" cy="3858506"/>
        </a:xfrm>
        <a:prstGeom xmlns:a="http://schemas.openxmlformats.org/drawingml/2006/main" prst="line">
          <a:avLst/>
        </a:prstGeom>
        <a:ln xmlns:a="http://schemas.openxmlformats.org/drawingml/2006/main" w="9525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0.15245</cdr:x>
      <cdr:y>0.8437</cdr:y>
    </cdr:from>
    <cdr:to>
      <cdr:x>0.89693</cdr:x>
      <cdr:y>0.84673</cdr:y>
    </cdr:to>
    <cdr:cxnSp macro="">
      <cdr:nvCxnSpPr>
        <cdr:cNvPr id="10" name="Connecteur droit 9">
          <a:extLst xmlns:a="http://schemas.openxmlformats.org/drawingml/2006/main">
            <a:ext uri="{FF2B5EF4-FFF2-40B4-BE49-F238E27FC236}">
              <a16:creationId xmlns:a16="http://schemas.microsoft.com/office/drawing/2014/main" xmlns="" id="{FFA309C1-9841-436C-BCE5-5E98E72D19CF}"/>
            </a:ext>
          </a:extLst>
        </cdr:cNvPr>
        <cdr:cNvCxnSpPr/>
      </cdr:nvCxnSpPr>
      <cdr:spPr>
        <a:xfrm xmlns:a="http://schemas.openxmlformats.org/drawingml/2006/main" flipV="1">
          <a:off x="1415609" y="5116812"/>
          <a:ext cx="6913014" cy="18360"/>
        </a:xfrm>
        <a:prstGeom xmlns:a="http://schemas.openxmlformats.org/drawingml/2006/main" prst="line">
          <a:avLst/>
        </a:prstGeom>
        <a:ln xmlns:a="http://schemas.openxmlformats.org/drawingml/2006/main" w="12700">
          <a:headEnd type="oval"/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9340" cy="608342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0.0892</cdr:x>
      <cdr:y>0.62974</cdr:y>
    </cdr:from>
    <cdr:to>
      <cdr:x>0.0892</cdr:x>
      <cdr:y>0.86039</cdr:y>
    </cdr:to>
    <cdr:cxnSp macro="">
      <cdr:nvCxnSpPr>
        <cdr:cNvPr id="3" name="Connecteur droit avec flèche 2">
          <a:extLst xmlns:a="http://schemas.openxmlformats.org/drawingml/2006/main">
            <a:ext uri="{FF2B5EF4-FFF2-40B4-BE49-F238E27FC236}">
              <a16:creationId xmlns:a16="http://schemas.microsoft.com/office/drawing/2014/main" xmlns="" id="{A59A1FDA-DF31-464D-A6E8-84F0397D0944}"/>
            </a:ext>
          </a:extLst>
        </cdr:cNvPr>
        <cdr:cNvCxnSpPr/>
      </cdr:nvCxnSpPr>
      <cdr:spPr>
        <a:xfrm xmlns:a="http://schemas.openxmlformats.org/drawingml/2006/main" flipV="1">
          <a:off x="828261" y="3819204"/>
          <a:ext cx="0" cy="1398839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rgbClr val="0070C0"/>
          </a:solidFill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0.08722</cdr:x>
      <cdr:y>0.26867</cdr:y>
    </cdr:from>
    <cdr:to>
      <cdr:x>0.38063</cdr:x>
      <cdr:y>0.62822</cdr:y>
    </cdr:to>
    <cdr:cxnSp macro="">
      <cdr:nvCxnSpPr>
        <cdr:cNvPr id="10" name="Connecteur droit avec flèche 9">
          <a:extLst xmlns:a="http://schemas.openxmlformats.org/drawingml/2006/main">
            <a:ext uri="{FF2B5EF4-FFF2-40B4-BE49-F238E27FC236}">
              <a16:creationId xmlns:a16="http://schemas.microsoft.com/office/drawing/2014/main" xmlns="" id="{FD621461-8B60-4438-BB00-B07140FEA8F4}"/>
            </a:ext>
          </a:extLst>
        </cdr:cNvPr>
        <cdr:cNvCxnSpPr/>
      </cdr:nvCxnSpPr>
      <cdr:spPr>
        <a:xfrm xmlns:a="http://schemas.openxmlformats.org/drawingml/2006/main" flipV="1">
          <a:off x="809855" y="1629434"/>
          <a:ext cx="2724579" cy="218056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0.37934</cdr:x>
      <cdr:y>0.26472</cdr:y>
    </cdr:from>
    <cdr:to>
      <cdr:x>0.92771</cdr:x>
      <cdr:y>0.26867</cdr:y>
    </cdr:to>
    <cdr:cxnSp macro="">
      <cdr:nvCxnSpPr>
        <cdr:cNvPr id="12" name="Connecteur droit avec flèche 11">
          <a:extLst xmlns:a="http://schemas.openxmlformats.org/drawingml/2006/main">
            <a:ext uri="{FF2B5EF4-FFF2-40B4-BE49-F238E27FC236}">
              <a16:creationId xmlns:a16="http://schemas.microsoft.com/office/drawing/2014/main" xmlns="" id="{A074E9D2-96E8-4AC5-88D4-F5520B4CABA9}"/>
            </a:ext>
          </a:extLst>
        </cdr:cNvPr>
        <cdr:cNvCxnSpPr/>
      </cdr:nvCxnSpPr>
      <cdr:spPr>
        <a:xfrm xmlns:a="http://schemas.openxmlformats.org/drawingml/2006/main" flipV="1">
          <a:off x="3522453" y="1605472"/>
          <a:ext cx="5091981" cy="2396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0.92771</cdr:x>
      <cdr:y>0.26077</cdr:y>
    </cdr:from>
    <cdr:to>
      <cdr:x>0.929</cdr:x>
      <cdr:y>0.85541</cdr:y>
    </cdr:to>
    <cdr:cxnSp macro="">
      <cdr:nvCxnSpPr>
        <cdr:cNvPr id="14" name="Connecteur droit avec flèche 13">
          <a:extLst xmlns:a="http://schemas.openxmlformats.org/drawingml/2006/main">
            <a:ext uri="{FF2B5EF4-FFF2-40B4-BE49-F238E27FC236}">
              <a16:creationId xmlns:a16="http://schemas.microsoft.com/office/drawing/2014/main" xmlns="" id="{67AC843E-3AE3-4663-87E7-E7867D06280C}"/>
            </a:ext>
          </a:extLst>
        </cdr:cNvPr>
        <cdr:cNvCxnSpPr/>
      </cdr:nvCxnSpPr>
      <cdr:spPr>
        <a:xfrm xmlns:a="http://schemas.openxmlformats.org/drawingml/2006/main">
          <a:off x="8614434" y="1581509"/>
          <a:ext cx="11981" cy="3606321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0.08821</cdr:x>
      <cdr:y>0.85541</cdr:y>
    </cdr:from>
    <cdr:to>
      <cdr:x>0.92771</cdr:x>
      <cdr:y>0.85736</cdr:y>
    </cdr:to>
    <cdr:cxnSp macro="">
      <cdr:nvCxnSpPr>
        <cdr:cNvPr id="16" name="Connecteur droit avec flèche 15">
          <a:extLst xmlns:a="http://schemas.openxmlformats.org/drawingml/2006/main">
            <a:ext uri="{FF2B5EF4-FFF2-40B4-BE49-F238E27FC236}">
              <a16:creationId xmlns:a16="http://schemas.microsoft.com/office/drawing/2014/main" xmlns="" id="{17809A26-B085-4DB1-B57B-423AF3EDD7AA}"/>
            </a:ext>
          </a:extLst>
        </cdr:cNvPr>
        <cdr:cNvCxnSpPr/>
      </cdr:nvCxnSpPr>
      <cdr:spPr>
        <a:xfrm xmlns:a="http://schemas.openxmlformats.org/drawingml/2006/main" flipH="1">
          <a:off x="819059" y="5187830"/>
          <a:ext cx="7795375" cy="11808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0.11278</cdr:x>
      <cdr:y>0.43657</cdr:y>
    </cdr:from>
    <cdr:to>
      <cdr:x>0.11386</cdr:x>
      <cdr:y>0.79077</cdr:y>
    </cdr:to>
    <cdr:cxnSp macro="">
      <cdr:nvCxnSpPr>
        <cdr:cNvPr id="3" name="Connecteur droit avec flèche 2">
          <a:extLst xmlns:a="http://schemas.openxmlformats.org/drawingml/2006/main">
            <a:ext uri="{FF2B5EF4-FFF2-40B4-BE49-F238E27FC236}">
              <a16:creationId xmlns:a16="http://schemas.microsoft.com/office/drawing/2014/main" xmlns="" id="{D007DB34-99B0-42E8-88F1-90B603CE71CE}"/>
            </a:ext>
          </a:extLst>
        </cdr:cNvPr>
        <cdr:cNvCxnSpPr/>
      </cdr:nvCxnSpPr>
      <cdr:spPr>
        <a:xfrm xmlns:a="http://schemas.openxmlformats.org/drawingml/2006/main" flipH="1" flipV="1">
          <a:off x="1050000" y="2650000"/>
          <a:ext cx="10000" cy="21500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0.11278</cdr:x>
      <cdr:y>0.1631</cdr:y>
    </cdr:from>
    <cdr:to>
      <cdr:x>0.28679</cdr:x>
      <cdr:y>0.43493</cdr:y>
    </cdr:to>
    <cdr:cxnSp macro="">
      <cdr:nvCxnSpPr>
        <cdr:cNvPr id="7" name="Connecteur droit avec flèche 6">
          <a:extLst xmlns:a="http://schemas.openxmlformats.org/drawingml/2006/main">
            <a:ext uri="{FF2B5EF4-FFF2-40B4-BE49-F238E27FC236}">
              <a16:creationId xmlns:a16="http://schemas.microsoft.com/office/drawing/2014/main" xmlns="" id="{30D9736E-2009-4772-92D0-220D35E98CB7}"/>
            </a:ext>
          </a:extLst>
        </cdr:cNvPr>
        <cdr:cNvCxnSpPr/>
      </cdr:nvCxnSpPr>
      <cdr:spPr>
        <a:xfrm xmlns:a="http://schemas.openxmlformats.org/drawingml/2006/main" flipV="1">
          <a:off x="1050000" y="990000"/>
          <a:ext cx="1620000" cy="165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0.28464</cdr:x>
      <cdr:y>0.16145</cdr:y>
    </cdr:from>
    <cdr:to>
      <cdr:x>0.88614</cdr:x>
      <cdr:y>0.16145</cdr:y>
    </cdr:to>
    <cdr:cxnSp macro="">
      <cdr:nvCxnSpPr>
        <cdr:cNvPr id="9" name="Connecteur droit avec flèche 8">
          <a:extLst xmlns:a="http://schemas.openxmlformats.org/drawingml/2006/main">
            <a:ext uri="{FF2B5EF4-FFF2-40B4-BE49-F238E27FC236}">
              <a16:creationId xmlns:a16="http://schemas.microsoft.com/office/drawing/2014/main" xmlns="" id="{FEDD406F-4C24-40AE-A0DB-C23209FA3185}"/>
            </a:ext>
          </a:extLst>
        </cdr:cNvPr>
        <cdr:cNvCxnSpPr/>
      </cdr:nvCxnSpPr>
      <cdr:spPr>
        <a:xfrm xmlns:a="http://schemas.openxmlformats.org/drawingml/2006/main">
          <a:off x="2650000" y="980000"/>
          <a:ext cx="5600000" cy="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0.88614</cdr:x>
      <cdr:y>0.1598</cdr:y>
    </cdr:from>
    <cdr:to>
      <cdr:x>0.88614</cdr:x>
      <cdr:y>0.78913</cdr:y>
    </cdr:to>
    <cdr:cxnSp macro="">
      <cdr:nvCxnSpPr>
        <cdr:cNvPr id="11" name="Connecteur droit avec flèche 10">
          <a:extLst xmlns:a="http://schemas.openxmlformats.org/drawingml/2006/main">
            <a:ext uri="{FF2B5EF4-FFF2-40B4-BE49-F238E27FC236}">
              <a16:creationId xmlns:a16="http://schemas.microsoft.com/office/drawing/2014/main" xmlns="" id="{BC0CA863-BDD5-43E5-B41A-1DDCCCC7A182}"/>
            </a:ext>
          </a:extLst>
        </cdr:cNvPr>
        <cdr:cNvCxnSpPr/>
      </cdr:nvCxnSpPr>
      <cdr:spPr>
        <a:xfrm xmlns:a="http://schemas.openxmlformats.org/drawingml/2006/main">
          <a:off x="8250000" y="970000"/>
          <a:ext cx="0" cy="382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0.10956</cdr:x>
      <cdr:y>0.78748</cdr:y>
    </cdr:from>
    <cdr:to>
      <cdr:x>0.88507</cdr:x>
      <cdr:y>0.79077</cdr:y>
    </cdr:to>
    <cdr:cxnSp macro="">
      <cdr:nvCxnSpPr>
        <cdr:cNvPr id="13" name="Connecteur droit avec flèche 12">
          <a:extLst xmlns:a="http://schemas.openxmlformats.org/drawingml/2006/main">
            <a:ext uri="{FF2B5EF4-FFF2-40B4-BE49-F238E27FC236}">
              <a16:creationId xmlns:a16="http://schemas.microsoft.com/office/drawing/2014/main" xmlns="" id="{5393C705-CF8C-479E-ADA5-599745870057}"/>
            </a:ext>
          </a:extLst>
        </cdr:cNvPr>
        <cdr:cNvCxnSpPr/>
      </cdr:nvCxnSpPr>
      <cdr:spPr>
        <a:xfrm xmlns:a="http://schemas.openxmlformats.org/drawingml/2006/main" flipH="1">
          <a:off x="1020000" y="4780000"/>
          <a:ext cx="7220000" cy="2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lyOfficeV3.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4de20a5fbdd5ad9/aviation/Navigation%5e0logbook%20V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CARNET_DE_VOL"/>
      <sheetName val="ANCIEN CV"/>
      <sheetName val="Feuilles de progression"/>
      <sheetName val="LOG NAV"/>
      <sheetName val="PREPARATION nav"/>
      <sheetName val="Data"/>
      <sheetName val="DATAIOAC"/>
      <sheetName val="Graphique1"/>
      <sheetName val="Graphique2"/>
      <sheetName val="Graphique3"/>
      <sheetName val="CALCUL"/>
      <sheetName val="Facture"/>
    </sheetNames>
    <sheetDataSet>
      <sheetData sheetId="0">
        <row r="7">
          <cell r="I7">
            <v>1.1520833333333333</v>
          </cell>
        </row>
        <row r="18">
          <cell r="H18">
            <v>43155.515843055553</v>
          </cell>
          <cell r="I18">
            <v>0.47417638888873626</v>
          </cell>
        </row>
      </sheetData>
      <sheetData sheetId="1">
        <row r="23">
          <cell r="T23">
            <v>4.1666666666666664E-2</v>
          </cell>
          <cell r="U23">
            <v>0.47013888888888888</v>
          </cell>
        </row>
        <row r="44">
          <cell r="T44">
            <v>0.11041666666666666</v>
          </cell>
          <cell r="U44">
            <v>0.46180555555555558</v>
          </cell>
        </row>
        <row r="65">
          <cell r="T65">
            <v>0</v>
          </cell>
          <cell r="U65">
            <v>6.805555555555555E-2</v>
          </cell>
        </row>
        <row r="86">
          <cell r="T86">
            <v>0</v>
          </cell>
          <cell r="U86">
            <v>0</v>
          </cell>
        </row>
        <row r="107">
          <cell r="T107">
            <v>0</v>
          </cell>
          <cell r="U107">
            <v>0</v>
          </cell>
        </row>
        <row r="128">
          <cell r="T128">
            <v>0</v>
          </cell>
          <cell r="U128">
            <v>0</v>
          </cell>
        </row>
        <row r="149">
          <cell r="T149">
            <v>0</v>
          </cell>
          <cell r="U149">
            <v>0</v>
          </cell>
        </row>
        <row r="151">
          <cell r="O151">
            <v>101</v>
          </cell>
        </row>
      </sheetData>
      <sheetData sheetId="2">
        <row r="4">
          <cell r="D4">
            <v>34182</v>
          </cell>
        </row>
        <row r="275">
          <cell r="G275">
            <v>6.1652777777777787</v>
          </cell>
          <cell r="I275">
            <v>345</v>
          </cell>
          <cell r="K275">
            <v>3.7638888888888888</v>
          </cell>
          <cell r="L275">
            <v>2.401388888888889</v>
          </cell>
        </row>
      </sheetData>
      <sheetData sheetId="3"/>
      <sheetData sheetId="4">
        <row r="4">
          <cell r="D4">
            <v>-2.0747956486709054</v>
          </cell>
        </row>
        <row r="11">
          <cell r="D11">
            <v>3.2834398042381983</v>
          </cell>
        </row>
        <row r="16">
          <cell r="D16">
            <v>3.7083043712200308</v>
          </cell>
        </row>
        <row r="21">
          <cell r="D21">
            <v>3.0939557925758105</v>
          </cell>
        </row>
        <row r="36">
          <cell r="F36">
            <v>113.62691362691362</v>
          </cell>
          <cell r="G36">
            <v>55.511772391708149</v>
          </cell>
        </row>
        <row r="42">
          <cell r="G42">
            <v>30.438955194786637</v>
          </cell>
        </row>
        <row r="46">
          <cell r="G46">
            <v>55.113955194786641</v>
          </cell>
        </row>
      </sheetData>
      <sheetData sheetId="5">
        <row r="3">
          <cell r="F3">
            <v>0.46527777777777773</v>
          </cell>
          <cell r="H3" t="str">
            <v>PH-AML</v>
          </cell>
          <cell r="J3">
            <v>32.9</v>
          </cell>
        </row>
        <row r="4">
          <cell r="I4">
            <v>85</v>
          </cell>
        </row>
        <row r="5">
          <cell r="D5" t="str">
            <v>EBSP</v>
          </cell>
        </row>
        <row r="6">
          <cell r="G6">
            <v>120</v>
          </cell>
          <cell r="I6">
            <v>6.4249736564477022E-4</v>
          </cell>
          <cell r="J6">
            <v>167</v>
          </cell>
          <cell r="K6">
            <v>8</v>
          </cell>
        </row>
        <row r="8">
          <cell r="D8" t="str">
            <v xml:space="preserve">LA SOURCE </v>
          </cell>
        </row>
        <row r="9">
          <cell r="D9" t="str">
            <v>SPI</v>
          </cell>
        </row>
        <row r="10">
          <cell r="D10" t="str">
            <v>DAUSSOULX</v>
          </cell>
        </row>
        <row r="11">
          <cell r="D11" t="str">
            <v>TUBIZE</v>
          </cell>
        </row>
        <row r="12">
          <cell r="D12" t="str">
            <v>South Kortrijk</v>
          </cell>
        </row>
        <row r="13">
          <cell r="D13" t="str">
            <v>EBKT</v>
          </cell>
        </row>
        <row r="34">
          <cell r="D34">
            <v>2491.4260720000002</v>
          </cell>
          <cell r="E34">
            <v>37.780272666264366</v>
          </cell>
        </row>
        <row r="35">
          <cell r="D35">
            <v>2451.0461468308981</v>
          </cell>
          <cell r="E35">
            <v>37.636618929803113</v>
          </cell>
        </row>
      </sheetData>
      <sheetData sheetId="6">
        <row r="22">
          <cell r="C22">
            <v>43889</v>
          </cell>
        </row>
        <row r="23">
          <cell r="J23" t="str">
            <v>Bernard</v>
          </cell>
          <cell r="K23" t="str">
            <v>PENDERS</v>
          </cell>
          <cell r="M23">
            <v>175533</v>
          </cell>
        </row>
      </sheetData>
      <sheetData sheetId="7"/>
      <sheetData sheetId="11">
        <row r="2">
          <cell r="P2">
            <v>57.295779510000003</v>
          </cell>
        </row>
        <row r="4">
          <cell r="J4">
            <v>50.478774899999998</v>
          </cell>
          <cell r="K4">
            <v>5.9099232999999396</v>
          </cell>
        </row>
        <row r="5">
          <cell r="J5">
            <v>50.445999999999998</v>
          </cell>
          <cell r="K5">
            <v>5.9630000000000001</v>
          </cell>
        </row>
        <row r="6">
          <cell r="J6">
            <v>50.445999999999998</v>
          </cell>
          <cell r="K6">
            <v>5.9630000000000001</v>
          </cell>
        </row>
        <row r="7">
          <cell r="J7">
            <v>50.514742652144001</v>
          </cell>
          <cell r="K7">
            <v>5.6234779565254396</v>
          </cell>
        </row>
        <row r="8">
          <cell r="J8">
            <v>50.514742652144001</v>
          </cell>
          <cell r="K8">
            <v>5.6234779565254396</v>
          </cell>
        </row>
        <row r="9">
          <cell r="J9">
            <v>50.520898035446997</v>
          </cell>
          <cell r="K9">
            <v>4.8809397533813099</v>
          </cell>
        </row>
        <row r="10">
          <cell r="J10">
            <v>50.520898035446997</v>
          </cell>
          <cell r="K10">
            <v>4.8809397533813099</v>
          </cell>
        </row>
        <row r="11">
          <cell r="J11">
            <v>50.699444444444438</v>
          </cell>
          <cell r="K11">
            <v>4.2077777777777774</v>
          </cell>
        </row>
        <row r="12">
          <cell r="J12">
            <v>50.699444444444438</v>
          </cell>
          <cell r="K12">
            <v>4.2077777777777774</v>
          </cell>
        </row>
        <row r="13">
          <cell r="J13">
            <v>50.729444444444447</v>
          </cell>
          <cell r="K13">
            <v>3.293333333333333</v>
          </cell>
        </row>
        <row r="14">
          <cell r="J14">
            <v>50.729444444444447</v>
          </cell>
          <cell r="K14">
            <v>3.293333333333333</v>
          </cell>
        </row>
        <row r="15">
          <cell r="J15">
            <v>50.81861111111111</v>
          </cell>
          <cell r="K15">
            <v>3.2091666666666665</v>
          </cell>
        </row>
        <row r="18">
          <cell r="D18">
            <v>134.10770564793364</v>
          </cell>
          <cell r="I18">
            <v>287.78072472571176</v>
          </cell>
        </row>
        <row r="36">
          <cell r="D36">
            <v>271.03348840971421</v>
          </cell>
          <cell r="I36">
            <v>292.94292277610822</v>
          </cell>
        </row>
        <row r="55">
          <cell r="D55">
            <v>273.31980345206961</v>
          </cell>
          <cell r="I55">
            <v>329.19877394136211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LOG NAV"/>
      <sheetName val="CALCUL"/>
      <sheetName val="Carnet de vol"/>
      <sheetName val="facture"/>
      <sheetName val="Factures mars_2017"/>
      <sheetName val="Factures février_2017"/>
      <sheetName val="Factures décembre_2016"/>
      <sheetName val="Factures novembre_2016"/>
      <sheetName val="Factures octobre_2016"/>
      <sheetName val="Factures septembre_2016"/>
      <sheetName val="Data"/>
      <sheetName val="Navigation^0logbook V01"/>
      <sheetName val="//d.docs.live.net/a4de20a5fbdd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id="1" name="CARNET_DE_VOL" displayName="CARNET_DE_VOL" ref="C4:X355" totalsRowCount="1" headerRowDxfId="57">
  <autoFilter ref="C4:X355"/>
  <sortState ref="C5:X6">
    <sortCondition ref="D5:D349" customList="janvier,février,mars,avril,mai,juin,juillet,août,septembre,octobre,novembre,décembre"/>
  </sortState>
  <tableColumns count="22">
    <tableColumn id="1" name="mois" dataDxfId="100" totalsRowDxfId="101">
      <calculatedColumnFormula>IF(CARNET_DE_VOL[[#This Row],[DATE2]]="","","=[@DATE2]")</calculatedColumnFormula>
    </tableColumn>
    <tableColumn id="22" name="DATE2" dataDxfId="98" totalsRowDxfId="99"/>
    <tableColumn id="2" name="PLACE" dataDxfId="96" totalsRowDxfId="97"/>
    <tableColumn id="3" name="TIME" dataDxfId="94" totalsRowDxfId="95"/>
    <tableColumn id="4" name="PLACE2" dataDxfId="92" totalsRowDxfId="93"/>
    <tableColumn id="5" name="TIME3" dataDxfId="90" totalsRowDxfId="91">
      <calculatedColumnFormula>F5+M5</calculatedColumnFormula>
    </tableColumn>
    <tableColumn id="6" name="TYPE" dataDxfId="88" totalsRowDxfId="89">
      <calculatedColumnFormula>IF(ISNA(VLOOKUP(J5,[1]!AVION1[#Data],2,FALSE)),"",VLOOKUP(J5,[1]!AVION1[#Data],2,FALSE))</calculatedColumnFormula>
    </tableColumn>
    <tableColumn id="7" name="IMMATRICULATION" dataDxfId="86" totalsRowDxfId="87"/>
    <tableColumn id="8" name="DEPART" dataDxfId="84" totalsRowDxfId="85"/>
    <tableColumn id="9" name="ARRIVEE" dataDxfId="82" totalsRowDxfId="83"/>
    <tableColumn id="10" name="TIME OF FLIGHT" dataDxfId="80" totalsRowDxfId="81">
      <calculatedColumnFormula>(L5-K5)*60/14400</calculatedColumnFormula>
    </tableColumn>
    <tableColumn id="11" name="NAME PIC" dataDxfId="78" totalsRowDxfId="79"/>
    <tableColumn id="12" name="Day" dataDxfId="76" totalsRowDxfId="77"/>
    <tableColumn id="13" name="Night" dataDxfId="74" totalsRowDxfId="75"/>
    <tableColumn id="14" name="CA" dataDxfId="72" totalsRowDxfId="73">
      <calculatedColumnFormula>IFERROR(X5*V5,0)</calculatedColumnFormula>
    </tableColumn>
    <tableColumn id="15" name="CI" dataDxfId="70" totalsRowDxfId="71">
      <calculatedColumnFormula>IFERROR(W5*X5,0)</calculatedColumnFormula>
    </tableColumn>
    <tableColumn id="16" name="CV" totalsRowFunction="custom" dataDxfId="68" totalsRowDxfId="69">
      <calculatedColumnFormula>R5+Q5</calculatedColumnFormula>
      <totalsRowFormula>S28+S29+S30+S31</totalsRowFormula>
    </tableColumn>
    <tableColumn id="17" name="single" dataDxfId="66" totalsRowDxfId="67">
      <calculatedColumnFormula>IF(N5="PENDERS Bernard",X5,0)</calculatedColumnFormula>
    </tableColumn>
    <tableColumn id="18" name="dual" dataDxfId="64" totalsRowDxfId="65">
      <calculatedColumnFormula>IF(N5="PENDERS Bernard",0,X5)</calculatedColumnFormula>
    </tableColumn>
    <tableColumn id="19" name="MIN AVION" dataDxfId="62" totalsRowDxfId="63">
      <calculatedColumnFormula>IF(ISNA(VLOOKUP(J5,[1]!AVION1[#Data],3,FALSE)),"",VLOOKUP(J5,[1]!AVION1[#Data],3,FALSE))</calculatedColumnFormula>
    </tableColumn>
    <tableColumn id="20" name="MIN INSTRUC" dataDxfId="60" totalsRowDxfId="61">
      <calculatedColumnFormula>IF(ISNA(VLOOKUP(N5,[1]!INSTRUCTEUR[#Data],2,FALSE)),"",VLOOKUP(N5,[1]!INSTRUCTEUR[#Data],2,FALSE))</calculatedColumnFormula>
    </tableColumn>
    <tableColumn id="21" name="TEMPS VOL" dataDxfId="58" totalsRowDxfId="59">
      <calculatedColumnFormula>(HOUR(M5)*3600+MINUTE(M5)*60+SECOND(M5))/60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1" displayName="Tableau11" ref="C3:M272" totalsRowCount="1" headerRowDxfId="34" dataDxfId="33" tableBorderDxfId="32">
  <autoFilter ref="C3:M272"/>
  <tableColumns count="11">
    <tableColumn id="1" name="mois" dataDxfId="55" totalsRowDxfId="56">
      <calculatedColumnFormula>Tableau11[[#This Row],[DATE2]]</calculatedColumnFormula>
    </tableColumn>
    <tableColumn id="2" name="DATE2" dataDxfId="53" totalsRowDxfId="54"/>
    <tableColumn id="7" name="TYPE" dataDxfId="51" totalsRowDxfId="52"/>
    <tableColumn id="8" name="IMMATRICULATION" dataDxfId="49" totalsRowDxfId="50"/>
    <tableColumn id="11" name="TIME OF FLIGHT" dataDxfId="47" totalsRowDxfId="48"/>
    <tableColumn id="12" name="NAME PIC" dataDxfId="45" totalsRowDxfId="46"/>
    <tableColumn id="13" name="Day" dataDxfId="43" totalsRowDxfId="44"/>
    <tableColumn id="14" name="Night" dataDxfId="41" totalsRowDxfId="42"/>
    <tableColumn id="18" name="single" dataDxfId="39" totalsRowDxfId="40">
      <calculatedColumnFormula>IF(H4="PENDERS Bernard",G4,0)</calculatedColumnFormula>
    </tableColumn>
    <tableColumn id="19" name="dual" dataDxfId="37" totalsRowDxfId="38"/>
    <tableColumn id="20" name="REMARQUES" dataDxfId="35" totalsRowDxfId="36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INSTRUCTEUR" displayName="INSTRUCTEUR" ref="S2:U8" totalsRowShown="0">
  <autoFilter ref="S2:U8"/>
  <tableColumns count="3">
    <tableColumn id="1" name="INSTRUCTEUR"/>
    <tableColumn id="2" name="PRIX"/>
    <tableColumn id="3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LANDING" displayName="LANDING" ref="X2:X12" totalsRowShown="0">
  <autoFilter ref="X2:X12"/>
  <tableColumns count="1">
    <tableColumn id="1" name="LANDING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3" displayName="Tableau3" ref="Z2:Z8" totalsRowShown="0">
  <autoFilter ref="Z2:Z8"/>
  <tableColumns count="1">
    <tableColumn id="1" name="Colonne2" dataDxfId="2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VALIDATION" displayName="VALIDATION" ref="AA2:AB8" totalsRowShown="0">
  <autoFilter ref="AA2:AB8"/>
  <tableColumns count="2">
    <tableColumn id="1" name="Colonne1"/>
    <tableColumn id="2" name="Date revalidation" dataDxfId="2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AVION1" displayName="AVION1" ref="A2:R19" totalsRowShown="0">
  <autoFilter ref="A2:R19"/>
  <sortState ref="A3:G18">
    <sortCondition ref="A1:A17"/>
  </sortState>
  <tableColumns count="18">
    <tableColumn id="1" name="AVION"/>
    <tableColumn id="4" name="Type"/>
    <tableColumn id="5" name="PU" dataDxfId="27"/>
    <tableColumn id="3" name="TAS" dataDxfId="26"/>
    <tableColumn id="7" name="cgF" dataDxfId="25"/>
    <tableColumn id="6" name="cgB" dataDxfId="24"/>
    <tableColumn id="2" name="Consomation"/>
    <tableColumn id="8" name="empty w" dataDxfId="23"/>
    <tableColumn id="9" name="empty cg" dataDxfId="22"/>
    <tableColumn id="10" name="max weight" dataDxfId="21"/>
    <tableColumn id="11" name="arm pic" dataDxfId="20"/>
    <tableColumn id="12" name="arm oil" dataDxfId="19"/>
    <tableColumn id="13" name="oil" dataDxfId="18"/>
    <tableColumn id="14" name="arm bg 1" dataDxfId="17"/>
    <tableColumn id="15" name="arm bg 2" dataDxfId="16"/>
    <tableColumn id="16" name="arm Fuel" dataDxfId="15"/>
    <tableColumn id="19" name="arm PAX" dataDxfId="14"/>
    <tableColumn id="20" name="Graphiqu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10" displayName="Tableau10" ref="A22:A25" totalsRowShown="0">
  <autoFilter ref="A22:A25"/>
  <tableColumns count="1">
    <tableColumn id="1" name="Colonne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13" displayName="Tableau13" ref="F22:F75" totalsRowShown="0">
  <autoFilter ref="F22:F75"/>
  <tableColumns count="1">
    <tableColumn id="1" name="UNITE">
      <calculatedColumnFormula>F22+1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4" displayName="Tableau4" ref="J22:M26" totalsRowShown="0">
  <autoFilter ref="J22:M26"/>
  <tableColumns count="4">
    <tableColumn id="1" name="FirstName"/>
    <tableColumn id="2" name="LastName"/>
    <tableColumn id="3" name="Date Naissance"/>
    <tableColumn id="4" name="Numero Licenc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IOAC1" displayName="IOAC1" ref="A3:R53" totalsRowShown="0" dataDxfId="0">
  <autoFilter ref="A3:R53"/>
  <sortState ref="A4:R53">
    <sortCondition ref="A3:A53"/>
  </sortState>
  <tableColumns count="18">
    <tableColumn id="1" name="IOAC" dataDxfId="13"/>
    <tableColumn id="2" name="lat" dataDxfId="12"/>
    <tableColumn id="3" name="long" dataDxfId="11"/>
    <tableColumn id="4" name="lieu" dataDxfId="10"/>
    <tableColumn id="15" name="Altitude minimale" dataDxfId="9"/>
    <tableColumn id="14" name="Repère sol/PISTE" dataDxfId="8"/>
    <tableColumn id="18" name="Colonne1" dataDxfId="7"/>
    <tableColumn id="5" name="ALT SECURITE" dataDxfId="6"/>
    <tableColumn id="6" name="INFO1"/>
    <tableColumn id="7" name="INFO2"/>
    <tableColumn id="8" name="RNAV2"/>
    <tableColumn id="9" name="RNAV"/>
    <tableColumn id="17" name="GRD"/>
    <tableColumn id="10" name="TWR" dataDxfId="5"/>
    <tableColumn id="11" name="APP" dataDxfId="4"/>
    <tableColumn id="12" name="proche" dataDxfId="3"/>
    <tableColumn id="13" name="ATIS" dataDxfId="2"/>
    <tableColumn id="16" name="Phon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4"/>
  </sheetPr>
  <dimension ref="A1:M20"/>
  <sheetViews>
    <sheetView tabSelected="1" workbookViewId="0">
      <selection activeCell="A2" sqref="A2"/>
    </sheetView>
  </sheetViews>
  <sheetFormatPr baseColWidth="10" defaultColWidth="11.44140625" defaultRowHeight="14.4"/>
  <cols>
    <col min="1" max="2" width="11.44140625" style="4"/>
    <col min="3" max="3" width="22" style="4" customWidth="1"/>
    <col min="4" max="5" width="13.6640625" style="4" bestFit="1" customWidth="1"/>
    <col min="6" max="6" width="18" style="4" bestFit="1" customWidth="1"/>
    <col min="7" max="7" width="20" style="4" customWidth="1"/>
    <col min="8" max="8" width="39.33203125" style="4" customWidth="1"/>
    <col min="9" max="9" width="36.109375" style="4" customWidth="1"/>
    <col min="10" max="10" width="11.44140625" style="4"/>
    <col min="11" max="11" width="4.77734375" style="4" customWidth="1"/>
    <col min="12" max="16384" width="11.44140625" style="4"/>
  </cols>
  <sheetData>
    <row r="1" spans="1:13" ht="40.049999999999997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3" ht="15.6">
      <c r="A2" s="5"/>
      <c r="B2" s="6">
        <f ca="1" xml:space="preserve"> TODAY()</f>
        <v>43155</v>
      </c>
      <c r="C2" s="6"/>
      <c r="D2" s="7"/>
      <c r="E2" s="7"/>
      <c r="F2" s="8"/>
      <c r="G2" s="9"/>
      <c r="H2" s="10" t="str">
        <f>CONCATENATE([1]Data!J23,"  ",[1]Data!K23,"  Licence N°  ",[1]Data!M23)</f>
        <v>Bernard  PENDERS  Licence N°  175533</v>
      </c>
      <c r="I2" s="10"/>
      <c r="J2" s="9"/>
      <c r="K2" s="9"/>
      <c r="L2" s="11"/>
    </row>
    <row r="3" spans="1:13" ht="16.2" thickBot="1">
      <c r="A3" s="5"/>
      <c r="B3" s="12"/>
      <c r="C3" s="12"/>
      <c r="D3" s="13"/>
      <c r="E3" s="13"/>
      <c r="F3" s="14"/>
      <c r="G3" s="9"/>
      <c r="H3" s="15"/>
      <c r="I3" s="15"/>
      <c r="J3" s="9"/>
      <c r="K3" s="9"/>
      <c r="L3" s="11"/>
    </row>
    <row r="4" spans="1:13" ht="33.6">
      <c r="A4" s="5"/>
      <c r="B4" s="16" t="s">
        <v>1</v>
      </c>
      <c r="C4" s="17"/>
      <c r="D4" s="16" t="s">
        <v>2</v>
      </c>
      <c r="E4" s="17"/>
      <c r="F4" s="18" t="s">
        <v>3</v>
      </c>
      <c r="G4" s="19"/>
      <c r="H4" s="19"/>
      <c r="I4" s="20"/>
      <c r="J4" s="9"/>
      <c r="K4" s="21">
        <v>2</v>
      </c>
      <c r="L4" s="11"/>
      <c r="M4" s="22"/>
    </row>
    <row r="5" spans="1:13" ht="34.200000000000003" thickBot="1">
      <c r="A5" s="5"/>
      <c r="B5" s="23"/>
      <c r="C5" s="24"/>
      <c r="D5" s="23" t="s">
        <v>4</v>
      </c>
      <c r="E5" s="24"/>
      <c r="F5" s="25"/>
      <c r="G5" s="26"/>
      <c r="H5" s="26"/>
      <c r="I5" s="27"/>
      <c r="J5" s="9"/>
      <c r="K5" s="9"/>
      <c r="L5" s="11"/>
    </row>
    <row r="6" spans="1:13" ht="29.4" thickBot="1">
      <c r="A6" s="5"/>
      <c r="B6" s="28">
        <f>SUM([1]!CARNET_DE_VOL[CV])</f>
        <v>4217.1000000000004</v>
      </c>
      <c r="C6" s="29"/>
      <c r="D6" s="30" t="s">
        <v>5</v>
      </c>
      <c r="E6" s="30" t="s">
        <v>6</v>
      </c>
      <c r="F6" s="31" t="s">
        <v>7</v>
      </c>
      <c r="G6" s="31" t="s">
        <v>5</v>
      </c>
      <c r="H6" s="31" t="s">
        <v>6</v>
      </c>
      <c r="I6" s="32" t="s">
        <v>8</v>
      </c>
      <c r="J6" s="9"/>
      <c r="K6" s="9"/>
      <c r="L6" s="11"/>
    </row>
    <row r="7" spans="1:13" ht="29.4" thickBot="1">
      <c r="A7" s="5"/>
      <c r="B7" s="9"/>
      <c r="C7" s="9"/>
      <c r="D7" s="33">
        <f>totalacs</f>
        <v>3.7638888888888888</v>
      </c>
      <c r="E7" s="33">
        <f>totalacd</f>
        <v>2.401388888888889</v>
      </c>
      <c r="F7" s="31">
        <f>[1]CARNET_DE_VOL!O151</f>
        <v>101</v>
      </c>
      <c r="G7" s="34">
        <f>totalpage1s+totalsingllep2+totalp3s+totalp4s+totalp5s+totalp6s+totalp7s</f>
        <v>0.15208333333333332</v>
      </c>
      <c r="H7" s="35">
        <f>totalp1d+totalp2d+totalp3d+totalp4d+totalp5d+totalp6d+totalp7d</f>
        <v>1</v>
      </c>
      <c r="I7" s="36">
        <f>G7+H7</f>
        <v>1.1520833333333333</v>
      </c>
      <c r="J7" s="9"/>
      <c r="K7" s="9"/>
      <c r="L7" s="11"/>
    </row>
    <row r="8" spans="1:13" ht="30" customHeight="1" thickBot="1">
      <c r="A8" s="5"/>
      <c r="B8" s="37">
        <f>SUM([1]!CARNET_DE_VOL[CA])</f>
        <v>3313.0799999999995</v>
      </c>
      <c r="C8" s="37"/>
      <c r="D8" s="38">
        <f>totalac</f>
        <v>6.1652777777777787</v>
      </c>
      <c r="E8" s="39"/>
      <c r="F8" s="40">
        <f>totalacland</f>
        <v>345</v>
      </c>
      <c r="G8" s="31" t="s">
        <v>9</v>
      </c>
      <c r="H8" s="31" t="s">
        <v>9</v>
      </c>
      <c r="I8" s="41" t="s">
        <v>9</v>
      </c>
      <c r="J8" s="9"/>
      <c r="K8" s="9"/>
      <c r="L8" s="11"/>
    </row>
    <row r="9" spans="1:13" ht="29.4" thickBot="1">
      <c r="A9" s="5"/>
      <c r="B9" s="9"/>
      <c r="C9" s="9"/>
      <c r="D9" s="42" t="s">
        <v>10</v>
      </c>
      <c r="E9" s="43">
        <f>'[1]ANCIEN CV'!D4</f>
        <v>34182</v>
      </c>
      <c r="F9" s="9"/>
      <c r="G9" s="9"/>
      <c r="H9" s="9"/>
      <c r="I9" s="9"/>
      <c r="J9" s="9"/>
      <c r="K9" s="9"/>
      <c r="L9" s="11"/>
    </row>
    <row r="10" spans="1:13" ht="24" thickBot="1">
      <c r="A10" s="5"/>
      <c r="B10" s="44">
        <f>SUM([1]!CARNET_DE_VOL[CI])</f>
        <v>904.02</v>
      </c>
      <c r="C10" s="44"/>
      <c r="D10" s="38">
        <f>D8+Ttnc</f>
        <v>7.3173611111111123</v>
      </c>
      <c r="E10" s="45"/>
      <c r="F10" s="9"/>
      <c r="G10" s="9"/>
      <c r="H10" s="46" t="s">
        <v>11</v>
      </c>
      <c r="I10" s="47" t="s">
        <v>12</v>
      </c>
      <c r="J10" s="9"/>
      <c r="K10" s="9"/>
      <c r="L10" s="11"/>
    </row>
    <row r="11" spans="1:13" ht="30" customHeight="1" thickBot="1">
      <c r="A11" s="5"/>
      <c r="B11" s="9"/>
      <c r="C11" s="9"/>
      <c r="D11" s="48" t="s">
        <v>13</v>
      </c>
      <c r="E11" s="49"/>
      <c r="F11" s="9"/>
      <c r="G11" s="50" t="s">
        <v>14</v>
      </c>
      <c r="H11" s="50">
        <f>IF(ISNA(VLOOKUP(G11,[1]!VALIDATION[#Data],2,FALSE)),"",VLOOKUP(G11,[1]!VALIDATION[#Data],2,FALSE))</f>
        <v>43394</v>
      </c>
      <c r="I11" s="50">
        <f>EDATE(H11,-2)</f>
        <v>43333</v>
      </c>
      <c r="J11" s="9"/>
      <c r="K11" s="9"/>
      <c r="L11" s="11"/>
    </row>
    <row r="12" spans="1:13" ht="30" customHeight="1" thickBot="1">
      <c r="A12" s="5"/>
      <c r="B12" s="9"/>
      <c r="C12" s="9"/>
      <c r="D12" s="51">
        <v>1.2083333333333333</v>
      </c>
      <c r="E12" s="52"/>
      <c r="F12" s="53"/>
      <c r="G12" s="50" t="s">
        <v>15</v>
      </c>
      <c r="H12" s="54">
        <f>IF(ISNA(VLOOKUP(G12,[1]!VALIDATION[#Data],2,FALSE)),"",VLOOKUP(G12,[1]!VALIDATION[#Data],2,FALSE))</f>
        <v>43394</v>
      </c>
      <c r="I12" s="50">
        <f>EDATE(H12,-2)</f>
        <v>43333</v>
      </c>
      <c r="J12" s="9"/>
      <c r="K12" s="9"/>
      <c r="L12" s="11"/>
    </row>
    <row r="13" spans="1:13" ht="30" customHeight="1" thickBot="1">
      <c r="A13" s="5"/>
      <c r="B13" s="9"/>
      <c r="C13" s="9"/>
      <c r="D13" s="55">
        <f>D10+D12</f>
        <v>8.5256944444444454</v>
      </c>
      <c r="E13" s="56"/>
      <c r="F13" s="57">
        <f>SUM(F7:F8)</f>
        <v>446</v>
      </c>
      <c r="G13" s="50" t="s">
        <v>16</v>
      </c>
      <c r="H13" s="50">
        <f>IF(ISNA(VLOOKUP(G13,[1]!VALIDATION[#Data],2,FALSE)),"",VLOOKUP(G13,[1]!VALIDATION[#Data],2,FALSE))</f>
        <v>44155</v>
      </c>
      <c r="I13" s="50">
        <f>EDATE(H13,-2)</f>
        <v>44094</v>
      </c>
      <c r="J13" s="9"/>
      <c r="K13" s="9"/>
      <c r="L13" s="11"/>
    </row>
    <row r="14" spans="1:13" ht="30" customHeight="1" thickBot="1">
      <c r="A14" s="5"/>
      <c r="B14" s="9"/>
      <c r="C14" s="9"/>
      <c r="D14" s="58"/>
      <c r="E14" s="59"/>
      <c r="F14" s="60"/>
      <c r="G14" s="47" t="s">
        <v>17</v>
      </c>
      <c r="H14" s="50">
        <f>IF(ISNA(VLOOKUP(G14,[1]!VALIDATION[#Data],2,FALSE)),"",VLOOKUP(G14,[1]!VALIDATION[#Data],2,FALSE))</f>
        <v>43364</v>
      </c>
      <c r="I14" s="50">
        <f>EDATE(H14,-2)</f>
        <v>43302</v>
      </c>
      <c r="J14" s="9"/>
      <c r="K14" s="9"/>
      <c r="L14" s="11"/>
    </row>
    <row r="15" spans="1:13">
      <c r="A15" s="5"/>
      <c r="B15" s="9"/>
      <c r="C15" s="9"/>
      <c r="D15" s="9"/>
      <c r="E15" s="9"/>
      <c r="F15" s="9"/>
      <c r="G15" s="61"/>
      <c r="H15" s="62">
        <f ca="1">NETWORKDAYS(B2,[1]Data!C22)</f>
        <v>525</v>
      </c>
      <c r="I15" s="63">
        <f ca="1">H15*(24*60*60)</f>
        <v>45360000</v>
      </c>
      <c r="J15" s="9"/>
      <c r="K15" s="9"/>
      <c r="L15" s="11"/>
    </row>
    <row r="16" spans="1:13" ht="15" thickBot="1">
      <c r="A16" s="5"/>
      <c r="B16" s="9"/>
      <c r="C16" s="9"/>
      <c r="D16" s="9"/>
      <c r="E16" s="9"/>
      <c r="F16" s="9"/>
      <c r="G16" s="64"/>
      <c r="H16" s="65"/>
      <c r="I16" s="66"/>
      <c r="J16" s="9"/>
      <c r="K16" s="9"/>
      <c r="L16" s="11"/>
    </row>
    <row r="17" spans="1:12">
      <c r="A17" s="5"/>
      <c r="B17" s="9"/>
      <c r="C17" s="9"/>
      <c r="D17" s="9"/>
      <c r="E17" s="9"/>
      <c r="F17" s="9"/>
      <c r="G17" s="9"/>
      <c r="H17" s="9" t="s">
        <v>18</v>
      </c>
      <c r="I17" s="9" t="s">
        <v>19</v>
      </c>
      <c r="J17" s="9"/>
      <c r="K17" s="9"/>
      <c r="L17" s="11"/>
    </row>
    <row r="18" spans="1:12" ht="28.8">
      <c r="A18" s="5"/>
      <c r="B18" s="9"/>
      <c r="C18" s="9"/>
      <c r="D18" s="9"/>
      <c r="E18" s="9"/>
      <c r="F18" s="9"/>
      <c r="G18" s="9"/>
      <c r="H18" s="67">
        <f ca="1">NOW()</f>
        <v>43155.515843055553</v>
      </c>
      <c r="I18" s="67">
        <f ca="1">IF(AND(B2&gt;EOMONTH(DATE(YEAR(B2),3,1),0)-WEEKDAY(EOMONTH(DATE(YEAR(B2),3,1),0),2)-1,B2&lt;EOMONTH(DATE(YEAR(B2),10,1),0)-WEEKDAY(EOMONTH(DATE(YEAR(B2),10,1),0),2)),MOD(H18-2/24,1),MOD(H18-1/24,1))</f>
        <v>0.47417638888873626</v>
      </c>
      <c r="J18" s="68"/>
      <c r="K18" s="9"/>
      <c r="L18" s="11"/>
    </row>
    <row r="19" spans="1:12">
      <c r="A19" s="5"/>
      <c r="B19" s="9"/>
      <c r="C19" s="9"/>
      <c r="D19" s="9"/>
      <c r="E19" s="9"/>
      <c r="F19" s="9"/>
      <c r="G19" s="9"/>
      <c r="H19" s="9"/>
      <c r="I19" s="9"/>
      <c r="J19" s="9"/>
      <c r="K19" s="9"/>
      <c r="L19" s="11"/>
    </row>
    <row r="20" spans="1:12" ht="15" thickBot="1">
      <c r="A20" s="69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1"/>
    </row>
  </sheetData>
  <sheetProtection selectLockedCells="1" selectUnlockedCells="1"/>
  <mergeCells count="21">
    <mergeCell ref="D12:E12"/>
    <mergeCell ref="D13:E14"/>
    <mergeCell ref="F13:F14"/>
    <mergeCell ref="G15:G16"/>
    <mergeCell ref="H15:H16"/>
    <mergeCell ref="I15:I16"/>
    <mergeCell ref="B6:C6"/>
    <mergeCell ref="B8:C8"/>
    <mergeCell ref="D8:E8"/>
    <mergeCell ref="B10:C10"/>
    <mergeCell ref="D10:E10"/>
    <mergeCell ref="D11:E11"/>
    <mergeCell ref="A1:K1"/>
    <mergeCell ref="B2:C3"/>
    <mergeCell ref="D2:E2"/>
    <mergeCell ref="H2:I3"/>
    <mergeCell ref="D3:E3"/>
    <mergeCell ref="B4:C5"/>
    <mergeCell ref="D4:E4"/>
    <mergeCell ref="F4:I5"/>
    <mergeCell ref="D5:E5"/>
  </mergeCells>
  <conditionalFormatting sqref="H11:H14">
    <cfRule type="cellIs" dxfId="104" priority="3" operator="greaterThan">
      <formula>$B$2</formula>
    </cfRule>
  </conditionalFormatting>
  <conditionalFormatting sqref="I11:I14">
    <cfRule type="cellIs" dxfId="103" priority="1" operator="lessThan">
      <formula>$B$2</formula>
    </cfRule>
    <cfRule type="cellIs" dxfId="102" priority="2" operator="greaterThan">
      <formula>$B$2</formula>
    </cfRule>
  </conditionalFormatting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AD357"/>
  <sheetViews>
    <sheetView workbookViewId="0">
      <pane ySplit="4" topLeftCell="A8" activePane="bottomLeft" state="frozen"/>
      <selection activeCell="G1" sqref="G1"/>
      <selection pane="bottomLeft"/>
    </sheetView>
  </sheetViews>
  <sheetFormatPr baseColWidth="10" defaultColWidth="10.109375" defaultRowHeight="14.4"/>
  <cols>
    <col min="1" max="1" width="11.109375" bestFit="1" customWidth="1"/>
    <col min="2" max="2" width="3.109375" hidden="1" customWidth="1"/>
    <col min="3" max="3" width="10.109375" style="72"/>
    <col min="4" max="4" width="11.77734375" bestFit="1" customWidth="1"/>
    <col min="5" max="5" width="8.44140625" style="243" customWidth="1"/>
    <col min="6" max="6" width="7.44140625" customWidth="1"/>
    <col min="7" max="7" width="9.44140625" customWidth="1"/>
    <col min="8" max="8" width="8.44140625" style="244" customWidth="1"/>
    <col min="10" max="10" width="16.109375" style="243" customWidth="1"/>
    <col min="11" max="12" width="11.33203125" bestFit="1" customWidth="1"/>
    <col min="13" max="13" width="17" customWidth="1"/>
    <col min="14" max="14" width="17.109375" style="243" customWidth="1"/>
    <col min="15" max="15" width="6.44140625" customWidth="1"/>
    <col min="16" max="16" width="10.33203125" customWidth="1"/>
    <col min="17" max="17" width="10.6640625" bestFit="1" customWidth="1"/>
    <col min="18" max="18" width="15.33203125" bestFit="1" customWidth="1"/>
    <col min="19" max="19" width="11.33203125" bestFit="1" customWidth="1"/>
    <col min="20" max="20" width="10.77734375" bestFit="1" customWidth="1"/>
    <col min="21" max="21" width="11.109375" customWidth="1"/>
    <col min="22" max="22" width="5.44140625" hidden="1" customWidth="1"/>
    <col min="23" max="23" width="8.33203125" hidden="1" customWidth="1"/>
    <col min="24" max="24" width="11.6640625" hidden="1" customWidth="1"/>
    <col min="25" max="25" width="3" customWidth="1"/>
  </cols>
  <sheetData>
    <row r="1" spans="1:25" ht="15" thickBot="1">
      <c r="D1" s="73">
        <v>1</v>
      </c>
      <c r="E1" s="74">
        <v>2</v>
      </c>
      <c r="F1" s="74"/>
      <c r="G1" s="74">
        <v>3</v>
      </c>
      <c r="H1" s="74"/>
      <c r="I1" s="74">
        <v>4</v>
      </c>
      <c r="J1" s="74"/>
      <c r="K1" s="74">
        <v>5</v>
      </c>
      <c r="L1" s="74"/>
      <c r="M1" s="73">
        <v>6</v>
      </c>
      <c r="N1" s="75">
        <v>7</v>
      </c>
      <c r="O1" s="74">
        <v>8</v>
      </c>
      <c r="P1" s="74"/>
      <c r="Q1" s="73">
        <v>9</v>
      </c>
      <c r="R1" s="73">
        <v>10</v>
      </c>
      <c r="S1" s="73">
        <v>11</v>
      </c>
      <c r="T1" s="73">
        <v>12</v>
      </c>
      <c r="U1" s="73">
        <v>13</v>
      </c>
      <c r="V1" s="73"/>
      <c r="W1" s="73"/>
      <c r="X1" s="73"/>
      <c r="Y1" s="73"/>
    </row>
    <row r="2" spans="1:25" ht="15" thickBot="1">
      <c r="C2" s="76" t="s">
        <v>20</v>
      </c>
      <c r="D2" s="77" t="s">
        <v>21</v>
      </c>
      <c r="E2" s="78" t="s">
        <v>22</v>
      </c>
      <c r="F2" s="79"/>
      <c r="G2" s="78" t="s">
        <v>23</v>
      </c>
      <c r="H2" s="79"/>
      <c r="I2" s="78" t="s">
        <v>24</v>
      </c>
      <c r="J2" s="79"/>
      <c r="K2" s="77" t="s">
        <v>25</v>
      </c>
      <c r="L2" s="77" t="s">
        <v>25</v>
      </c>
      <c r="M2" s="80" t="s">
        <v>8</v>
      </c>
      <c r="N2" s="81" t="s">
        <v>26</v>
      </c>
      <c r="O2" s="78" t="s">
        <v>7</v>
      </c>
      <c r="P2" s="79"/>
      <c r="Q2" s="82" t="s">
        <v>27</v>
      </c>
      <c r="R2" s="83" t="s">
        <v>28</v>
      </c>
      <c r="S2" s="82" t="s">
        <v>29</v>
      </c>
      <c r="T2" s="82" t="s">
        <v>30</v>
      </c>
      <c r="U2" s="82" t="s">
        <v>31</v>
      </c>
    </row>
    <row r="3" spans="1:25" ht="15" thickBot="1">
      <c r="C3" s="84"/>
      <c r="D3" s="77" t="s">
        <v>32</v>
      </c>
      <c r="E3" s="85" t="s">
        <v>33</v>
      </c>
      <c r="F3" s="77" t="s">
        <v>34</v>
      </c>
      <c r="G3" s="86" t="s">
        <v>33</v>
      </c>
      <c r="H3" s="87" t="s">
        <v>34</v>
      </c>
      <c r="I3" s="77" t="s">
        <v>35</v>
      </c>
      <c r="J3" s="88" t="s">
        <v>36</v>
      </c>
      <c r="K3" s="77" t="s">
        <v>37</v>
      </c>
      <c r="L3" s="77" t="s">
        <v>38</v>
      </c>
      <c r="M3" s="89" t="s">
        <v>39</v>
      </c>
      <c r="N3" s="90"/>
      <c r="O3" s="77" t="s">
        <v>40</v>
      </c>
      <c r="P3" s="77" t="s">
        <v>41</v>
      </c>
      <c r="Q3" s="91"/>
      <c r="R3" s="92"/>
      <c r="S3" s="91"/>
      <c r="T3" s="91"/>
      <c r="U3" s="91"/>
    </row>
    <row r="4" spans="1:25" ht="15" customHeight="1" thickBot="1">
      <c r="C4" s="93" t="s">
        <v>42</v>
      </c>
      <c r="D4" s="94" t="s">
        <v>43</v>
      </c>
      <c r="E4" s="95" t="s">
        <v>33</v>
      </c>
      <c r="F4" s="94" t="s">
        <v>34</v>
      </c>
      <c r="G4" s="96" t="s">
        <v>44</v>
      </c>
      <c r="H4" s="97" t="s">
        <v>45</v>
      </c>
      <c r="I4" s="94" t="s">
        <v>35</v>
      </c>
      <c r="J4" s="98" t="s">
        <v>36</v>
      </c>
      <c r="K4" s="94" t="s">
        <v>37</v>
      </c>
      <c r="L4" s="94" t="s">
        <v>38</v>
      </c>
      <c r="M4" s="96" t="s">
        <v>39</v>
      </c>
      <c r="N4" s="95" t="s">
        <v>26</v>
      </c>
      <c r="O4" s="94" t="s">
        <v>40</v>
      </c>
      <c r="P4" s="94" t="s">
        <v>41</v>
      </c>
      <c r="Q4" s="94" t="s">
        <v>46</v>
      </c>
      <c r="R4" s="94" t="s">
        <v>47</v>
      </c>
      <c r="S4" s="94" t="s">
        <v>48</v>
      </c>
      <c r="T4" s="94" t="s">
        <v>30</v>
      </c>
      <c r="U4" s="94" t="s">
        <v>31</v>
      </c>
      <c r="V4" s="99" t="s">
        <v>49</v>
      </c>
      <c r="W4" s="99" t="s">
        <v>50</v>
      </c>
      <c r="X4" s="99" t="s">
        <v>51</v>
      </c>
    </row>
    <row r="5" spans="1:25">
      <c r="A5" s="100">
        <v>1</v>
      </c>
      <c r="B5" s="101">
        <v>1</v>
      </c>
      <c r="C5" s="102">
        <f>CARNET_DE_VOL[[#This Row],[DATE2]]</f>
        <v>42648</v>
      </c>
      <c r="D5" s="103">
        <v>42648</v>
      </c>
      <c r="E5" s="104" t="s">
        <v>52</v>
      </c>
      <c r="F5" s="105">
        <v>0.41666666666666669</v>
      </c>
      <c r="G5" s="104" t="s">
        <v>52</v>
      </c>
      <c r="H5" s="106">
        <v>0.45</v>
      </c>
      <c r="I5" s="103" t="str">
        <f>IF(ISNA(VLOOKUP(J5,[1]!AVION1[#Data],2,FALSE)),"",VLOOKUP(J5,[1]!AVION1[#Data],2,FALSE))</f>
        <v>C152</v>
      </c>
      <c r="J5" s="107" t="s">
        <v>53</v>
      </c>
      <c r="K5" s="108">
        <v>0</v>
      </c>
      <c r="L5" s="108">
        <v>0</v>
      </c>
      <c r="M5" s="109">
        <v>3.3333333333333333E-2</v>
      </c>
      <c r="N5" s="107" t="s">
        <v>54</v>
      </c>
      <c r="O5" s="110">
        <v>5</v>
      </c>
      <c r="P5" s="108">
        <v>0</v>
      </c>
      <c r="Q5" s="111">
        <f t="shared" ref="Q5:Q73" si="0">IFERROR(X5*V5,0)</f>
        <v>100.80000000000001</v>
      </c>
      <c r="R5" s="112">
        <f t="shared" ref="R5:R73" si="1">IFERROR(W5*X5,0)</f>
        <v>29.28</v>
      </c>
      <c r="S5" s="112">
        <f t="shared" ref="S5:S73" si="2">R5+Q5</f>
        <v>130.08000000000001</v>
      </c>
      <c r="T5" s="112">
        <f t="shared" ref="T5:T73" si="3">IF(N5="PENDERS Bernard",X5,0)</f>
        <v>0</v>
      </c>
      <c r="U5" s="113">
        <f t="shared" ref="U5:U73" si="4">IF(N5="PENDERS Bernard",0,X5)</f>
        <v>48</v>
      </c>
      <c r="V5" s="114">
        <f>IF(ISNA(VLOOKUP(J5,[1]!AVION1[#Data],3,FALSE)),"",VLOOKUP(J5,[1]!AVION1[#Data],3,FALSE))</f>
        <v>2.1</v>
      </c>
      <c r="W5" s="114">
        <f>IF(ISNA(VLOOKUP(N5,[1]!INSTRUCTEUR[#Data],2,FALSE)),"",VLOOKUP(N5,[1]!INSTRUCTEUR[#Data],2,FALSE))</f>
        <v>0.61</v>
      </c>
      <c r="X5" s="115">
        <f t="shared" ref="X5:X73" si="5">(HOUR(M5)*3600+MINUTE(M5)*60+SECOND(M5))/60</f>
        <v>48</v>
      </c>
    </row>
    <row r="6" spans="1:25">
      <c r="A6" s="116"/>
      <c r="B6" s="117">
        <f>B5+1</f>
        <v>2</v>
      </c>
      <c r="C6" s="118">
        <f>CARNET_DE_VOL[[#This Row],[DATE2]]</f>
        <v>42657</v>
      </c>
      <c r="D6" s="119">
        <v>42657</v>
      </c>
      <c r="E6" s="120" t="s">
        <v>52</v>
      </c>
      <c r="F6" s="121">
        <v>0.40972222222222227</v>
      </c>
      <c r="G6" s="120" t="s">
        <v>52</v>
      </c>
      <c r="H6" s="122">
        <v>0.44305555555555554</v>
      </c>
      <c r="I6" s="119" t="str">
        <f>IF(ISNA(VLOOKUP(J6,[1]!AVION1[#Data],2,FALSE)),"",VLOOKUP(J6,[1]!AVION1[#Data],2,FALSE))</f>
        <v>C152</v>
      </c>
      <c r="J6" s="123" t="s">
        <v>53</v>
      </c>
      <c r="K6" s="124">
        <v>0</v>
      </c>
      <c r="L6" s="124">
        <v>0</v>
      </c>
      <c r="M6" s="125">
        <v>3.3333333333333333E-2</v>
      </c>
      <c r="N6" s="123" t="s">
        <v>54</v>
      </c>
      <c r="O6" s="126">
        <v>5</v>
      </c>
      <c r="P6" s="124">
        <v>0</v>
      </c>
      <c r="Q6" s="127">
        <f t="shared" si="0"/>
        <v>100.80000000000001</v>
      </c>
      <c r="R6" s="128">
        <f t="shared" si="1"/>
        <v>29.28</v>
      </c>
      <c r="S6" s="128">
        <f t="shared" si="2"/>
        <v>130.08000000000001</v>
      </c>
      <c r="T6" s="128">
        <f t="shared" si="3"/>
        <v>0</v>
      </c>
      <c r="U6" s="129">
        <f t="shared" si="4"/>
        <v>48</v>
      </c>
      <c r="V6" s="114">
        <f>IF(ISNA(VLOOKUP(J6,[1]!AVION1[#Data],3,FALSE)),"",VLOOKUP(J6,[1]!AVION1[#Data],3,FALSE))</f>
        <v>2.1</v>
      </c>
      <c r="W6" s="114">
        <f>IF(ISNA(VLOOKUP(N6,[1]!INSTRUCTEUR[#Data],2,FALSE)),"",VLOOKUP(N6,[1]!INSTRUCTEUR[#Data],2,FALSE))</f>
        <v>0.61</v>
      </c>
      <c r="X6" s="115">
        <f t="shared" si="5"/>
        <v>48</v>
      </c>
    </row>
    <row r="7" spans="1:25">
      <c r="A7" s="116"/>
      <c r="B7" s="117">
        <f t="shared" ref="B7:B22" si="6">B6+1</f>
        <v>3</v>
      </c>
      <c r="C7" s="118">
        <f>CARNET_DE_VOL[[#This Row],[DATE2]]</f>
        <v>42675</v>
      </c>
      <c r="D7" s="119">
        <v>42675</v>
      </c>
      <c r="E7" s="120" t="s">
        <v>52</v>
      </c>
      <c r="F7" s="121">
        <v>0.53125</v>
      </c>
      <c r="G7" s="120" t="s">
        <v>52</v>
      </c>
      <c r="H7" s="122">
        <v>0.55208333333333337</v>
      </c>
      <c r="I7" s="119" t="str">
        <f>IF(ISNA(VLOOKUP(J7,[1]!AVION1[#Data],2,FALSE)),"",VLOOKUP(J7,[1]!AVION1[#Data],2,FALSE))</f>
        <v>C152</v>
      </c>
      <c r="J7" s="123" t="s">
        <v>53</v>
      </c>
      <c r="K7" s="124"/>
      <c r="L7" s="124"/>
      <c r="M7" s="125">
        <v>2.0833333333333332E-2</v>
      </c>
      <c r="N7" s="123" t="s">
        <v>54</v>
      </c>
      <c r="O7" s="126">
        <v>3</v>
      </c>
      <c r="P7" s="124"/>
      <c r="Q7" s="127">
        <f t="shared" si="0"/>
        <v>63</v>
      </c>
      <c r="R7" s="128">
        <f t="shared" si="1"/>
        <v>18.3</v>
      </c>
      <c r="S7" s="127">
        <f t="shared" si="2"/>
        <v>81.3</v>
      </c>
      <c r="T7" s="128">
        <f t="shared" si="3"/>
        <v>0</v>
      </c>
      <c r="U7" s="129">
        <f t="shared" si="4"/>
        <v>30</v>
      </c>
      <c r="V7" s="114">
        <f>IF(ISNA(VLOOKUP(J7,[1]!AVION1[#Data],3,FALSE)),"",VLOOKUP(J7,[1]!AVION1[#Data],3,FALSE))</f>
        <v>2.1</v>
      </c>
      <c r="W7" s="114">
        <f>IF(ISNA(VLOOKUP(N7,[1]!INSTRUCTEUR[#Data],2,FALSE)),"",VLOOKUP(N7,[1]!INSTRUCTEUR[#Data],2,FALSE))</f>
        <v>0.61</v>
      </c>
      <c r="X7" s="115">
        <f t="shared" si="5"/>
        <v>30</v>
      </c>
    </row>
    <row r="8" spans="1:25">
      <c r="A8" s="116"/>
      <c r="B8" s="117">
        <f t="shared" si="6"/>
        <v>4</v>
      </c>
      <c r="C8" s="118">
        <f>CARNET_DE_VOL[[#This Row],[DATE2]]</f>
        <v>42697</v>
      </c>
      <c r="D8" s="119">
        <v>42697</v>
      </c>
      <c r="E8" s="120" t="s">
        <v>52</v>
      </c>
      <c r="F8" s="121">
        <v>0.41666666666666669</v>
      </c>
      <c r="G8" s="120" t="s">
        <v>52</v>
      </c>
      <c r="H8" s="122">
        <v>0.4458333333333333</v>
      </c>
      <c r="I8" s="119" t="str">
        <f>IF(ISNA(VLOOKUP(J8,[1]!AVION1[#Data],2,FALSE)),"",VLOOKUP(J8,[1]!AVION1[#Data],2,FALSE))</f>
        <v>C152</v>
      </c>
      <c r="J8" s="123" t="s">
        <v>53</v>
      </c>
      <c r="K8" s="124"/>
      <c r="L8" s="124"/>
      <c r="M8" s="125">
        <v>2.9166666666666664E-2</v>
      </c>
      <c r="N8" s="123" t="s">
        <v>54</v>
      </c>
      <c r="O8" s="126">
        <v>5</v>
      </c>
      <c r="P8" s="124"/>
      <c r="Q8" s="127">
        <f t="shared" si="0"/>
        <v>88.2</v>
      </c>
      <c r="R8" s="128">
        <f t="shared" si="1"/>
        <v>25.62</v>
      </c>
      <c r="S8" s="127">
        <f t="shared" si="2"/>
        <v>113.82000000000001</v>
      </c>
      <c r="T8" s="128">
        <f t="shared" si="3"/>
        <v>0</v>
      </c>
      <c r="U8" s="129">
        <f t="shared" si="4"/>
        <v>42</v>
      </c>
      <c r="V8" s="114">
        <f>IF(ISNA(VLOOKUP(J8,[1]!AVION1[#Data],3,FALSE)),"",VLOOKUP(J8,[1]!AVION1[#Data],3,FALSE))</f>
        <v>2.1</v>
      </c>
      <c r="W8" s="114">
        <f>IF(ISNA(VLOOKUP(N8,[1]!INSTRUCTEUR[#Data],2,FALSE)),"",VLOOKUP(N8,[1]!INSTRUCTEUR[#Data],2,FALSE))</f>
        <v>0.61</v>
      </c>
      <c r="X8" s="115">
        <f t="shared" si="5"/>
        <v>42</v>
      </c>
    </row>
    <row r="9" spans="1:25">
      <c r="A9" s="116"/>
      <c r="B9" s="117">
        <f t="shared" si="6"/>
        <v>5</v>
      </c>
      <c r="C9" s="118">
        <f>CARNET_DE_VOL[[#This Row],[DATE2]]</f>
        <v>42712</v>
      </c>
      <c r="D9" s="119">
        <v>42712</v>
      </c>
      <c r="E9" s="120" t="s">
        <v>52</v>
      </c>
      <c r="F9" s="121">
        <v>0.4236111111111111</v>
      </c>
      <c r="G9" s="120" t="s">
        <v>52</v>
      </c>
      <c r="H9" s="122">
        <v>0.45694444444444443</v>
      </c>
      <c r="I9" s="119" t="str">
        <f>IF(ISNA(VLOOKUP(J9,[1]!AVION1[#Data],2,FALSE)),"",VLOOKUP(J9,[1]!AVION1[#Data],2,FALSE))</f>
        <v>C152</v>
      </c>
      <c r="J9" s="123" t="s">
        <v>53</v>
      </c>
      <c r="K9" s="124"/>
      <c r="L9" s="124"/>
      <c r="M9" s="125">
        <v>3.3333333333333333E-2</v>
      </c>
      <c r="N9" s="123" t="s">
        <v>54</v>
      </c>
      <c r="O9" s="126">
        <v>6</v>
      </c>
      <c r="P9" s="124"/>
      <c r="Q9" s="127">
        <f t="shared" si="0"/>
        <v>100.80000000000001</v>
      </c>
      <c r="R9" s="128">
        <f t="shared" si="1"/>
        <v>29.28</v>
      </c>
      <c r="S9" s="127">
        <f t="shared" si="2"/>
        <v>130.08000000000001</v>
      </c>
      <c r="T9" s="128">
        <f t="shared" si="3"/>
        <v>0</v>
      </c>
      <c r="U9" s="129">
        <f t="shared" si="4"/>
        <v>48</v>
      </c>
      <c r="V9" s="114">
        <f>IF(ISNA(VLOOKUP(J9,[1]!AVION1[#Data],3,FALSE)),"",VLOOKUP(J9,[1]!AVION1[#Data],3,FALSE))</f>
        <v>2.1</v>
      </c>
      <c r="W9" s="114">
        <f>IF(ISNA(VLOOKUP(N9,[1]!INSTRUCTEUR[#Data],2,FALSE)),"",VLOOKUP(N9,[1]!INSTRUCTEUR[#Data],2,FALSE))</f>
        <v>0.61</v>
      </c>
      <c r="X9" s="115">
        <f t="shared" si="5"/>
        <v>48</v>
      </c>
    </row>
    <row r="10" spans="1:25">
      <c r="A10" s="116"/>
      <c r="B10" s="117">
        <f t="shared" si="6"/>
        <v>6</v>
      </c>
      <c r="C10" s="118">
        <f>CARNET_DE_VOL[[#This Row],[DATE2]]</f>
        <v>42724</v>
      </c>
      <c r="D10" s="119">
        <v>42724</v>
      </c>
      <c r="E10" s="120" t="s">
        <v>52</v>
      </c>
      <c r="F10" s="121">
        <v>0.43055555555555558</v>
      </c>
      <c r="G10" s="120" t="s">
        <v>52</v>
      </c>
      <c r="H10" s="122">
        <v>0.4597222222222222</v>
      </c>
      <c r="I10" s="119" t="str">
        <f>IF(ISNA(VLOOKUP(J10,[1]!AVION1[#Data],2,FALSE)),"",VLOOKUP(J10,[1]!AVION1[#Data],2,FALSE))</f>
        <v>C152</v>
      </c>
      <c r="J10" s="123" t="s">
        <v>53</v>
      </c>
      <c r="K10" s="124"/>
      <c r="L10" s="124"/>
      <c r="M10" s="125">
        <v>2.9166666666666664E-2</v>
      </c>
      <c r="N10" s="123" t="s">
        <v>54</v>
      </c>
      <c r="O10" s="126">
        <v>6</v>
      </c>
      <c r="P10" s="124"/>
      <c r="Q10" s="127">
        <f t="shared" si="0"/>
        <v>88.2</v>
      </c>
      <c r="R10" s="128">
        <f t="shared" si="1"/>
        <v>25.62</v>
      </c>
      <c r="S10" s="127">
        <f t="shared" si="2"/>
        <v>113.82000000000001</v>
      </c>
      <c r="T10" s="128">
        <f t="shared" si="3"/>
        <v>0</v>
      </c>
      <c r="U10" s="129">
        <f t="shared" si="4"/>
        <v>42</v>
      </c>
      <c r="V10" s="114">
        <f>IF(ISNA(VLOOKUP(J10,[1]!AVION1[#Data],3,FALSE)),"",VLOOKUP(J10,[1]!AVION1[#Data],3,FALSE))</f>
        <v>2.1</v>
      </c>
      <c r="W10" s="114">
        <f>IF(ISNA(VLOOKUP(N10,[1]!INSTRUCTEUR[#Data],2,FALSE)),"",VLOOKUP(N10,[1]!INSTRUCTEUR[#Data],2,FALSE))</f>
        <v>0.61</v>
      </c>
      <c r="X10" s="115">
        <f t="shared" si="5"/>
        <v>42</v>
      </c>
    </row>
    <row r="11" spans="1:25">
      <c r="A11" s="116"/>
      <c r="B11" s="117">
        <f t="shared" si="6"/>
        <v>7</v>
      </c>
      <c r="C11" s="118">
        <f>CARNET_DE_VOL[[#This Row],[DATE2]]</f>
        <v>42735</v>
      </c>
      <c r="D11" s="119">
        <v>42735</v>
      </c>
      <c r="E11" s="120" t="s">
        <v>52</v>
      </c>
      <c r="F11" s="121">
        <v>0.44444444444444442</v>
      </c>
      <c r="G11" s="120" t="s">
        <v>52</v>
      </c>
      <c r="H11" s="122">
        <v>0.4694444444444445</v>
      </c>
      <c r="I11" s="119" t="str">
        <f>IF(ISNA(VLOOKUP(J11,[1]!AVION1[#Data],2,FALSE)),"",VLOOKUP(J11,[1]!AVION1[#Data],2,FALSE))</f>
        <v>C152</v>
      </c>
      <c r="J11" s="123" t="s">
        <v>53</v>
      </c>
      <c r="K11" s="124"/>
      <c r="L11" s="124"/>
      <c r="M11" s="125">
        <v>2.4999999999999998E-2</v>
      </c>
      <c r="N11" s="123" t="s">
        <v>54</v>
      </c>
      <c r="O11" s="126">
        <v>4</v>
      </c>
      <c r="P11" s="124"/>
      <c r="Q11" s="127">
        <f t="shared" si="0"/>
        <v>75.600000000000009</v>
      </c>
      <c r="R11" s="128">
        <f t="shared" si="1"/>
        <v>21.96</v>
      </c>
      <c r="S11" s="127">
        <f t="shared" si="2"/>
        <v>97.56</v>
      </c>
      <c r="T11" s="128">
        <f t="shared" si="3"/>
        <v>0</v>
      </c>
      <c r="U11" s="129">
        <f t="shared" si="4"/>
        <v>36</v>
      </c>
      <c r="V11" s="114">
        <f>IF(ISNA(VLOOKUP(J11,[1]!AVION1[#Data],3,FALSE)),"",VLOOKUP(J11,[1]!AVION1[#Data],3,FALSE))</f>
        <v>2.1</v>
      </c>
      <c r="W11" s="114">
        <f>IF(ISNA(VLOOKUP(N11,[1]!INSTRUCTEUR[#Data],2,FALSE)),"",VLOOKUP(N11,[1]!INSTRUCTEUR[#Data],2,FALSE))</f>
        <v>0.61</v>
      </c>
      <c r="X11" s="115">
        <f t="shared" si="5"/>
        <v>36</v>
      </c>
    </row>
    <row r="12" spans="1:25">
      <c r="A12" s="116"/>
      <c r="B12" s="117">
        <f t="shared" si="6"/>
        <v>8</v>
      </c>
      <c r="C12" s="118">
        <f>CARNET_DE_VOL[[#This Row],[DATE2]]</f>
        <v>42735</v>
      </c>
      <c r="D12" s="119">
        <v>42735</v>
      </c>
      <c r="E12" s="120" t="s">
        <v>52</v>
      </c>
      <c r="F12" s="121">
        <v>0.4694444444444445</v>
      </c>
      <c r="G12" s="120" t="s">
        <v>52</v>
      </c>
      <c r="H12" s="122">
        <v>0.48194444444444445</v>
      </c>
      <c r="I12" s="119" t="str">
        <f>IF(ISNA(VLOOKUP(J12,[1]!AVION1[#Data],2,FALSE)),"",VLOOKUP(J12,[1]!AVION1[#Data],2,FALSE))</f>
        <v>C152</v>
      </c>
      <c r="J12" s="123" t="s">
        <v>53</v>
      </c>
      <c r="K12" s="124"/>
      <c r="L12" s="124"/>
      <c r="M12" s="125">
        <v>1.2499999999999999E-2</v>
      </c>
      <c r="N12" s="123" t="s">
        <v>55</v>
      </c>
      <c r="O12" s="126">
        <v>2</v>
      </c>
      <c r="P12" s="124"/>
      <c r="Q12" s="127">
        <f t="shared" si="0"/>
        <v>37.800000000000004</v>
      </c>
      <c r="R12" s="128">
        <f t="shared" si="1"/>
        <v>0</v>
      </c>
      <c r="S12" s="127">
        <f t="shared" si="2"/>
        <v>37.800000000000004</v>
      </c>
      <c r="T12" s="128">
        <f t="shared" si="3"/>
        <v>18</v>
      </c>
      <c r="U12" s="129">
        <f t="shared" si="4"/>
        <v>0</v>
      </c>
      <c r="V12" s="114">
        <f>IF(ISNA(VLOOKUP(J12,[1]!AVION1[#Data],3,FALSE)),"",VLOOKUP(J12,[1]!AVION1[#Data],3,FALSE))</f>
        <v>2.1</v>
      </c>
      <c r="W12" s="114">
        <f>IF(ISNA(VLOOKUP(N12,[1]!INSTRUCTEUR[#Data],2,FALSE)),"",VLOOKUP(N12,[1]!INSTRUCTEUR[#Data],2,FALSE))</f>
        <v>0</v>
      </c>
      <c r="X12" s="115">
        <f t="shared" si="5"/>
        <v>18</v>
      </c>
    </row>
    <row r="13" spans="1:25">
      <c r="A13" s="116"/>
      <c r="B13" s="117">
        <f t="shared" si="6"/>
        <v>9</v>
      </c>
      <c r="C13" s="118">
        <f>CARNET_DE_VOL[[#This Row],[DATE2]]</f>
        <v>42740</v>
      </c>
      <c r="D13" s="119">
        <v>42740</v>
      </c>
      <c r="E13" s="120" t="s">
        <v>52</v>
      </c>
      <c r="F13" s="121">
        <v>0.52777777777777779</v>
      </c>
      <c r="G13" s="120" t="s">
        <v>52</v>
      </c>
      <c r="H13" s="122">
        <v>0.55694444444444446</v>
      </c>
      <c r="I13" s="119" t="str">
        <f>IF(ISNA(VLOOKUP(J13,[1]!AVION1[#Data],2,FALSE)),"",VLOOKUP(J13,[1]!AVION1[#Data],2,FALSE))</f>
        <v>C152</v>
      </c>
      <c r="J13" s="123" t="s">
        <v>53</v>
      </c>
      <c r="K13" s="124"/>
      <c r="L13" s="124"/>
      <c r="M13" s="125">
        <v>2.9166666666666664E-2</v>
      </c>
      <c r="N13" s="123" t="s">
        <v>54</v>
      </c>
      <c r="O13" s="126">
        <v>3</v>
      </c>
      <c r="P13" s="124"/>
      <c r="Q13" s="127">
        <f t="shared" si="0"/>
        <v>88.2</v>
      </c>
      <c r="R13" s="128">
        <f t="shared" si="1"/>
        <v>25.62</v>
      </c>
      <c r="S13" s="127">
        <f t="shared" si="2"/>
        <v>113.82000000000001</v>
      </c>
      <c r="T13" s="128">
        <f t="shared" si="3"/>
        <v>0</v>
      </c>
      <c r="U13" s="129">
        <f t="shared" si="4"/>
        <v>42</v>
      </c>
      <c r="V13" s="114">
        <f>IF(ISNA(VLOOKUP(J13,[1]!AVION1[#Data],3,FALSE)),"",VLOOKUP(J13,[1]!AVION1[#Data],3,FALSE))</f>
        <v>2.1</v>
      </c>
      <c r="W13" s="114">
        <f>IF(ISNA(VLOOKUP(N13,[1]!INSTRUCTEUR[#Data],2,FALSE)),"",VLOOKUP(N13,[1]!INSTRUCTEUR[#Data],2,FALSE))</f>
        <v>0.61</v>
      </c>
      <c r="X13" s="115">
        <f t="shared" si="5"/>
        <v>42</v>
      </c>
    </row>
    <row r="14" spans="1:25">
      <c r="A14" s="116"/>
      <c r="B14" s="117">
        <f t="shared" si="6"/>
        <v>10</v>
      </c>
      <c r="C14" s="118">
        <f>CARNET_DE_VOL[[#This Row],[DATE2]]</f>
        <v>42741</v>
      </c>
      <c r="D14" s="119">
        <v>42741</v>
      </c>
      <c r="E14" s="120" t="s">
        <v>52</v>
      </c>
      <c r="F14" s="121">
        <v>0.5</v>
      </c>
      <c r="G14" s="120" t="s">
        <v>52</v>
      </c>
      <c r="H14" s="122">
        <v>0.51666666666666672</v>
      </c>
      <c r="I14" s="119" t="str">
        <f>IF(ISNA(VLOOKUP(J14,[1]!AVION1[#Data],2,FALSE)),"",VLOOKUP(J14,[1]!AVION1[#Data],2,FALSE))</f>
        <v>C152</v>
      </c>
      <c r="J14" s="123" t="s">
        <v>53</v>
      </c>
      <c r="K14" s="124"/>
      <c r="L14" s="124"/>
      <c r="M14" s="125">
        <v>1.6666666666666666E-2</v>
      </c>
      <c r="N14" s="123" t="s">
        <v>54</v>
      </c>
      <c r="O14" s="126">
        <v>2</v>
      </c>
      <c r="P14" s="124"/>
      <c r="Q14" s="127">
        <f t="shared" si="0"/>
        <v>50.400000000000006</v>
      </c>
      <c r="R14" s="128">
        <f t="shared" si="1"/>
        <v>14.64</v>
      </c>
      <c r="S14" s="127">
        <f t="shared" si="2"/>
        <v>65.040000000000006</v>
      </c>
      <c r="T14" s="128">
        <f t="shared" si="3"/>
        <v>0</v>
      </c>
      <c r="U14" s="129">
        <f t="shared" si="4"/>
        <v>24</v>
      </c>
      <c r="V14" s="114">
        <f>IF(ISNA(VLOOKUP(J14,[1]!AVION1[#Data],3,FALSE)),"",VLOOKUP(J14,[1]!AVION1[#Data],3,FALSE))</f>
        <v>2.1</v>
      </c>
      <c r="W14" s="114">
        <f>IF(ISNA(VLOOKUP(N14,[1]!INSTRUCTEUR[#Data],2,FALSE)),"",VLOOKUP(N14,[1]!INSTRUCTEUR[#Data],2,FALSE))</f>
        <v>0.61</v>
      </c>
      <c r="X14" s="115">
        <f t="shared" si="5"/>
        <v>24</v>
      </c>
    </row>
    <row r="15" spans="1:25">
      <c r="A15" s="116"/>
      <c r="B15" s="117">
        <f t="shared" si="6"/>
        <v>11</v>
      </c>
      <c r="C15" s="118">
        <f>CARNET_DE_VOL[[#This Row],[DATE2]]</f>
        <v>42741</v>
      </c>
      <c r="D15" s="119">
        <v>42741</v>
      </c>
      <c r="E15" s="120" t="s">
        <v>52</v>
      </c>
      <c r="F15" s="121">
        <v>0.52083333333333337</v>
      </c>
      <c r="G15" s="120" t="s">
        <v>52</v>
      </c>
      <c r="H15" s="122">
        <v>0.53749999999999998</v>
      </c>
      <c r="I15" s="119" t="str">
        <f>IF(ISNA(VLOOKUP(J15,[1]!AVION1[#Data],2,FALSE)),"",VLOOKUP(J15,[1]!AVION1[#Data],2,FALSE))</f>
        <v>C152</v>
      </c>
      <c r="J15" s="123" t="s">
        <v>53</v>
      </c>
      <c r="K15" s="124"/>
      <c r="L15" s="124"/>
      <c r="M15" s="125">
        <v>1.6666666666666666E-2</v>
      </c>
      <c r="N15" s="123" t="s">
        <v>54</v>
      </c>
      <c r="O15" s="126">
        <v>1</v>
      </c>
      <c r="P15" s="124"/>
      <c r="Q15" s="127">
        <f t="shared" si="0"/>
        <v>50.400000000000006</v>
      </c>
      <c r="R15" s="128">
        <f t="shared" si="1"/>
        <v>14.64</v>
      </c>
      <c r="S15" s="127">
        <f t="shared" si="2"/>
        <v>65.040000000000006</v>
      </c>
      <c r="T15" s="128">
        <f t="shared" si="3"/>
        <v>0</v>
      </c>
      <c r="U15" s="129">
        <f t="shared" si="4"/>
        <v>24</v>
      </c>
      <c r="V15" s="114">
        <f>IF(ISNA(VLOOKUP(J15,[1]!AVION1[#Data],3,FALSE)),"",VLOOKUP(J15,[1]!AVION1[#Data],3,FALSE))</f>
        <v>2.1</v>
      </c>
      <c r="W15" s="114">
        <f>IF(ISNA(VLOOKUP(N15,[1]!INSTRUCTEUR[#Data],2,FALSE)),"",VLOOKUP(N15,[1]!INSTRUCTEUR[#Data],2,FALSE))</f>
        <v>0.61</v>
      </c>
      <c r="X15" s="115">
        <f t="shared" si="5"/>
        <v>24</v>
      </c>
    </row>
    <row r="16" spans="1:25">
      <c r="A16" s="116"/>
      <c r="B16" s="117">
        <f t="shared" si="6"/>
        <v>12</v>
      </c>
      <c r="C16" s="118">
        <f>CARNET_DE_VOL[[#This Row],[DATE2]]</f>
        <v>42784</v>
      </c>
      <c r="D16" s="119">
        <v>42784</v>
      </c>
      <c r="E16" s="120" t="s">
        <v>52</v>
      </c>
      <c r="F16" s="121">
        <v>0.55208333333333337</v>
      </c>
      <c r="G16" s="120" t="s">
        <v>52</v>
      </c>
      <c r="H16" s="122">
        <v>0.58888888888888891</v>
      </c>
      <c r="I16" s="119" t="str">
        <f>IF(ISNA(VLOOKUP(J16,[1]!AVION1[#Data],2,FALSE)),"",VLOOKUP(J16,[1]!AVION1[#Data],2,FALSE))</f>
        <v>C150</v>
      </c>
      <c r="J16" s="123" t="s">
        <v>56</v>
      </c>
      <c r="K16" s="124"/>
      <c r="L16" s="124"/>
      <c r="M16" s="125">
        <v>3.6805555555555557E-2</v>
      </c>
      <c r="N16" s="123" t="s">
        <v>57</v>
      </c>
      <c r="O16" s="126">
        <v>5</v>
      </c>
      <c r="P16" s="124"/>
      <c r="Q16" s="127">
        <f t="shared" si="0"/>
        <v>97.52000000000001</v>
      </c>
      <c r="R16" s="128">
        <f t="shared" si="1"/>
        <v>32.33</v>
      </c>
      <c r="S16" s="127">
        <f t="shared" si="2"/>
        <v>129.85000000000002</v>
      </c>
      <c r="T16" s="128">
        <f t="shared" si="3"/>
        <v>0</v>
      </c>
      <c r="U16" s="129">
        <f t="shared" si="4"/>
        <v>53</v>
      </c>
      <c r="V16" s="114">
        <f>IF(ISNA(VLOOKUP(J16,[1]!AVION1[#Data],3,FALSE)),"",VLOOKUP(J16,[1]!AVION1[#Data],3,FALSE))</f>
        <v>1.84</v>
      </c>
      <c r="W16" s="114">
        <f>IF(ISNA(VLOOKUP(N16,[1]!INSTRUCTEUR[#Data],2,FALSE)),"",VLOOKUP(N16,[1]!INSTRUCTEUR[#Data],2,FALSE))</f>
        <v>0.61</v>
      </c>
      <c r="X16" s="115">
        <f t="shared" si="5"/>
        <v>53</v>
      </c>
    </row>
    <row r="17" spans="1:30">
      <c r="A17" s="116"/>
      <c r="B17" s="117">
        <f t="shared" si="6"/>
        <v>13</v>
      </c>
      <c r="C17" s="118">
        <f>CARNET_DE_VOL[[#This Row],[DATE2]]</f>
        <v>42798</v>
      </c>
      <c r="D17" s="119">
        <v>42798</v>
      </c>
      <c r="E17" s="120" t="s">
        <v>52</v>
      </c>
      <c r="F17" s="121">
        <v>0.34861111111111115</v>
      </c>
      <c r="G17" s="120" t="s">
        <v>58</v>
      </c>
      <c r="H17" s="122">
        <v>0.38750000000000001</v>
      </c>
      <c r="I17" s="119" t="str">
        <f>IF(ISNA(VLOOKUP(J17,[1]!AVION1[#Data],2,FALSE)),"",VLOOKUP(J17,[1]!AVION1[#Data],2,FALSE))</f>
        <v>C152</v>
      </c>
      <c r="J17" s="123" t="s">
        <v>53</v>
      </c>
      <c r="K17" s="124"/>
      <c r="L17" s="124"/>
      <c r="M17" s="125">
        <v>3.3333333333333333E-2</v>
      </c>
      <c r="N17" s="123" t="s">
        <v>54</v>
      </c>
      <c r="O17" s="126">
        <v>1</v>
      </c>
      <c r="P17" s="124"/>
      <c r="Q17" s="127">
        <f t="shared" si="0"/>
        <v>100.80000000000001</v>
      </c>
      <c r="R17" s="128">
        <f t="shared" si="1"/>
        <v>29.28</v>
      </c>
      <c r="S17" s="127">
        <f t="shared" si="2"/>
        <v>130.08000000000001</v>
      </c>
      <c r="T17" s="128">
        <f t="shared" si="3"/>
        <v>0</v>
      </c>
      <c r="U17" s="129">
        <f t="shared" si="4"/>
        <v>48</v>
      </c>
      <c r="V17" s="114">
        <f>IF(ISNA(VLOOKUP(J17,[1]!AVION1[#Data],3,FALSE)),"",VLOOKUP(J17,[1]!AVION1[#Data],3,FALSE))</f>
        <v>2.1</v>
      </c>
      <c r="W17" s="114">
        <f>IF(ISNA(VLOOKUP(N17,[1]!INSTRUCTEUR[#Data],2,FALSE)),"",VLOOKUP(N17,[1]!INSTRUCTEUR[#Data],2,FALSE))</f>
        <v>0.61</v>
      </c>
      <c r="X17" s="115">
        <f t="shared" si="5"/>
        <v>48</v>
      </c>
    </row>
    <row r="18" spans="1:30">
      <c r="A18" s="116"/>
      <c r="B18" s="117">
        <f t="shared" si="6"/>
        <v>14</v>
      </c>
      <c r="C18" s="118">
        <f>CARNET_DE_VOL[[#This Row],[DATE2]]</f>
        <v>42798</v>
      </c>
      <c r="D18" s="119">
        <v>42798</v>
      </c>
      <c r="E18" s="120" t="s">
        <v>58</v>
      </c>
      <c r="F18" s="121">
        <v>0.40972222222222227</v>
      </c>
      <c r="G18" s="120" t="s">
        <v>52</v>
      </c>
      <c r="H18" s="122">
        <v>0.44305555555555554</v>
      </c>
      <c r="I18" s="119" t="str">
        <f>IF(ISNA(VLOOKUP(J18,[1]!AVION1[#Data],2,FALSE)),"",VLOOKUP(J18,[1]!AVION1[#Data],2,FALSE))</f>
        <v>C152</v>
      </c>
      <c r="J18" s="123" t="s">
        <v>53</v>
      </c>
      <c r="K18" s="124"/>
      <c r="L18" s="124"/>
      <c r="M18" s="125">
        <v>3.3333333333333333E-2</v>
      </c>
      <c r="N18" s="123" t="s">
        <v>54</v>
      </c>
      <c r="O18" s="126">
        <v>2</v>
      </c>
      <c r="P18" s="124"/>
      <c r="Q18" s="127">
        <f t="shared" si="0"/>
        <v>100.80000000000001</v>
      </c>
      <c r="R18" s="128">
        <f t="shared" si="1"/>
        <v>29.28</v>
      </c>
      <c r="S18" s="127">
        <f t="shared" si="2"/>
        <v>130.08000000000001</v>
      </c>
      <c r="T18" s="128">
        <f t="shared" si="3"/>
        <v>0</v>
      </c>
      <c r="U18" s="129">
        <f t="shared" si="4"/>
        <v>48</v>
      </c>
      <c r="V18" s="114">
        <f>IF(ISNA(VLOOKUP(J18,[1]!AVION1[#Data],3,FALSE)),"",VLOOKUP(J18,[1]!AVION1[#Data],3,FALSE))</f>
        <v>2.1</v>
      </c>
      <c r="W18" s="114">
        <f>IF(ISNA(VLOOKUP(N18,[1]!INSTRUCTEUR[#Data],2,FALSE)),"",VLOOKUP(N18,[1]!INSTRUCTEUR[#Data],2,FALSE))</f>
        <v>0.61</v>
      </c>
      <c r="X18" s="115">
        <f t="shared" si="5"/>
        <v>48</v>
      </c>
    </row>
    <row r="19" spans="1:30">
      <c r="A19" s="116"/>
      <c r="B19" s="117">
        <f t="shared" si="6"/>
        <v>15</v>
      </c>
      <c r="C19" s="118">
        <f>CARNET_DE_VOL[[#This Row],[DATE2]]</f>
        <v>42804</v>
      </c>
      <c r="D19" s="119">
        <v>42804</v>
      </c>
      <c r="E19" s="120" t="s">
        <v>52</v>
      </c>
      <c r="F19" s="121">
        <v>0.53819444444444442</v>
      </c>
      <c r="G19" s="120" t="s">
        <v>59</v>
      </c>
      <c r="H19" s="122">
        <v>0.57291666666666663</v>
      </c>
      <c r="I19" s="119" t="str">
        <f>IF(ISNA(VLOOKUP(J19,[1]!AVION1[#Data],2,FALSE)),"",VLOOKUP(J19,[1]!AVION1[#Data],2,FALSE))</f>
        <v>C150</v>
      </c>
      <c r="J19" s="123" t="s">
        <v>56</v>
      </c>
      <c r="K19" s="124"/>
      <c r="L19" s="124"/>
      <c r="M19" s="125">
        <v>3.4722222222222224E-2</v>
      </c>
      <c r="N19" s="123" t="s">
        <v>54</v>
      </c>
      <c r="O19" s="126">
        <v>2</v>
      </c>
      <c r="P19" s="124"/>
      <c r="Q19" s="127">
        <f t="shared" si="0"/>
        <v>92</v>
      </c>
      <c r="R19" s="128">
        <f t="shared" si="1"/>
        <v>30.5</v>
      </c>
      <c r="S19" s="127">
        <f t="shared" si="2"/>
        <v>122.5</v>
      </c>
      <c r="T19" s="128">
        <f t="shared" si="3"/>
        <v>0</v>
      </c>
      <c r="U19" s="129">
        <f t="shared" si="4"/>
        <v>50</v>
      </c>
      <c r="V19" s="114">
        <f>IF(ISNA(VLOOKUP(J19,[1]!AVION1[#Data],3,FALSE)),"",VLOOKUP(J19,[1]!AVION1[#Data],3,FALSE))</f>
        <v>1.84</v>
      </c>
      <c r="W19" s="114">
        <f>IF(ISNA(VLOOKUP(N19,[1]!INSTRUCTEUR[#Data],2,FALSE)),"",VLOOKUP(N19,[1]!INSTRUCTEUR[#Data],2,FALSE))</f>
        <v>0.61</v>
      </c>
      <c r="X19" s="115">
        <f t="shared" si="5"/>
        <v>50</v>
      </c>
    </row>
    <row r="20" spans="1:30">
      <c r="A20" s="116"/>
      <c r="B20" s="117">
        <f t="shared" si="6"/>
        <v>16</v>
      </c>
      <c r="C20" s="118">
        <f>CARNET_DE_VOL[[#This Row],[DATE2]]</f>
        <v>42804</v>
      </c>
      <c r="D20" s="119">
        <v>42804</v>
      </c>
      <c r="E20" s="120" t="s">
        <v>59</v>
      </c>
      <c r="F20" s="121">
        <v>0.58333333333333337</v>
      </c>
      <c r="G20" s="120" t="s">
        <v>52</v>
      </c>
      <c r="H20" s="122">
        <v>0.61944444444444446</v>
      </c>
      <c r="I20" s="119" t="str">
        <f>IF(ISNA(VLOOKUP(J20,[1]!AVION1[#Data],2,FALSE)),"",VLOOKUP(J20,[1]!AVION1[#Data],2,FALSE))</f>
        <v>C150</v>
      </c>
      <c r="J20" s="123" t="s">
        <v>56</v>
      </c>
      <c r="K20" s="124"/>
      <c r="L20" s="124"/>
      <c r="M20" s="125">
        <v>3.6111111111111115E-2</v>
      </c>
      <c r="N20" s="123" t="s">
        <v>54</v>
      </c>
      <c r="O20" s="126">
        <v>2</v>
      </c>
      <c r="P20" s="124"/>
      <c r="Q20" s="127">
        <f t="shared" si="0"/>
        <v>95.68</v>
      </c>
      <c r="R20" s="128">
        <f t="shared" si="1"/>
        <v>31.72</v>
      </c>
      <c r="S20" s="127">
        <f t="shared" si="2"/>
        <v>127.4</v>
      </c>
      <c r="T20" s="128">
        <f t="shared" si="3"/>
        <v>0</v>
      </c>
      <c r="U20" s="129">
        <f t="shared" si="4"/>
        <v>52</v>
      </c>
      <c r="V20" s="114">
        <f>IF(ISNA(VLOOKUP(J20,[1]!AVION1[#Data],3,FALSE)),"",VLOOKUP(J20,[1]!AVION1[#Data],3,FALSE))</f>
        <v>1.84</v>
      </c>
      <c r="W20" s="114">
        <f>IF(ISNA(VLOOKUP(N20,[1]!INSTRUCTEUR[#Data],2,FALSE)),"",VLOOKUP(N20,[1]!INSTRUCTEUR[#Data],2,FALSE))</f>
        <v>0.61</v>
      </c>
      <c r="X20" s="115">
        <f t="shared" si="5"/>
        <v>52</v>
      </c>
      <c r="AD20">
        <f>AB21-AC20</f>
        <v>0</v>
      </c>
    </row>
    <row r="21" spans="1:30">
      <c r="A21" s="116"/>
      <c r="B21" s="117">
        <f t="shared" si="6"/>
        <v>17</v>
      </c>
      <c r="C21" s="118">
        <f>CARNET_DE_VOL[[#This Row],[DATE2]]</f>
        <v>42807</v>
      </c>
      <c r="D21" s="119">
        <v>42807</v>
      </c>
      <c r="E21" s="120" t="s">
        <v>52</v>
      </c>
      <c r="F21" s="121">
        <v>0.54166666666666663</v>
      </c>
      <c r="G21" s="120" t="s">
        <v>52</v>
      </c>
      <c r="H21" s="122">
        <v>0.5708333333333333</v>
      </c>
      <c r="I21" s="119" t="str">
        <f>IF(ISNA(VLOOKUP(J21,[1]!AVION1[#Data],2,FALSE)),"",VLOOKUP(J21,[1]!AVION1[#Data],2,FALSE))</f>
        <v>C152</v>
      </c>
      <c r="J21" s="123" t="s">
        <v>53</v>
      </c>
      <c r="K21" s="124"/>
      <c r="L21" s="124"/>
      <c r="M21" s="125">
        <v>2.9166666666666664E-2</v>
      </c>
      <c r="N21" s="123" t="s">
        <v>54</v>
      </c>
      <c r="O21" s="126">
        <v>3</v>
      </c>
      <c r="P21" s="124"/>
      <c r="Q21" s="127">
        <f>IFERROR(X21*V21,0)</f>
        <v>88.2</v>
      </c>
      <c r="R21" s="128">
        <f>IFERROR(W21*X21,0)</f>
        <v>25.62</v>
      </c>
      <c r="S21" s="127">
        <f>R21+Q21</f>
        <v>113.82000000000001</v>
      </c>
      <c r="T21" s="128">
        <f>IF(N21="PENDERS Bernard",X21,0)</f>
        <v>0</v>
      </c>
      <c r="U21" s="129">
        <f>IF(N21="PENDERS Bernard",0,X21)</f>
        <v>42</v>
      </c>
      <c r="V21" s="114">
        <f>IF(ISNA(VLOOKUP(J21,[1]!AVION1[#Data],3,FALSE)),"",VLOOKUP(J21,[1]!AVION1[#Data],3,FALSE))</f>
        <v>2.1</v>
      </c>
      <c r="W21" s="114">
        <f>IF(ISNA(VLOOKUP(N21,[1]!INSTRUCTEUR[#Data],2,FALSE)),"",VLOOKUP(N21,[1]!INSTRUCTEUR[#Data],2,FALSE))</f>
        <v>0.61</v>
      </c>
      <c r="X21" s="115">
        <f>(HOUR(M21)*3600+MINUTE(M21)*60+SECOND(M21))/60</f>
        <v>42</v>
      </c>
      <c r="Z21" s="130"/>
    </row>
    <row r="22" spans="1:30" ht="15" thickBot="1">
      <c r="A22" s="131"/>
      <c r="B22" s="132">
        <f t="shared" si="6"/>
        <v>18</v>
      </c>
      <c r="C22" s="133">
        <f>CARNET_DE_VOL[[#This Row],[DATE2]]</f>
        <v>42807</v>
      </c>
      <c r="D22" s="134">
        <v>42807</v>
      </c>
      <c r="E22" s="135" t="s">
        <v>52</v>
      </c>
      <c r="F22" s="136">
        <v>0.59027777777777779</v>
      </c>
      <c r="G22" s="135" t="s">
        <v>52</v>
      </c>
      <c r="H22" s="137">
        <v>0.61944444444444446</v>
      </c>
      <c r="I22" s="134" t="str">
        <f>IF(ISNA(VLOOKUP(J22,[1]!AVION1[#Data],2,FALSE)),"",VLOOKUP(J22,[1]!AVION1[#Data],2,FALSE))</f>
        <v>C152</v>
      </c>
      <c r="J22" s="138" t="s">
        <v>53</v>
      </c>
      <c r="K22" s="139"/>
      <c r="L22" s="139"/>
      <c r="M22" s="140">
        <v>2.9166666666666664E-2</v>
      </c>
      <c r="N22" s="138" t="s">
        <v>55</v>
      </c>
      <c r="O22" s="141">
        <v>6</v>
      </c>
      <c r="P22" s="139"/>
      <c r="Q22" s="142">
        <f>IFERROR(X22*V22,0)</f>
        <v>88.2</v>
      </c>
      <c r="R22" s="143">
        <f>IFERROR(W22*X22,0)</f>
        <v>25.62</v>
      </c>
      <c r="S22" s="142">
        <f>R22+Q22</f>
        <v>113.82000000000001</v>
      </c>
      <c r="T22" s="143">
        <f>IF(N22="PENDERS Bernard",X22,0)</f>
        <v>42</v>
      </c>
      <c r="U22" s="144">
        <f>IF(N22="PENDERS Bernard",0,X22)</f>
        <v>0</v>
      </c>
      <c r="V22" s="114">
        <f>IF(ISNA(VLOOKUP(J22,[1]!AVION1[#Data],3,FALSE)),"",VLOOKUP(J22,[1]!AVION1[#Data],3,FALSE))</f>
        <v>2.1</v>
      </c>
      <c r="W22" s="114">
        <v>0.61</v>
      </c>
      <c r="X22" s="115">
        <f>(HOUR(M22)*3600+MINUTE(M22)*60+SECOND(M22))/60</f>
        <v>42</v>
      </c>
    </row>
    <row r="23" spans="1:30" ht="15.6">
      <c r="C23" s="145"/>
      <c r="D23" s="146"/>
      <c r="E23" s="146"/>
      <c r="F23" s="147"/>
      <c r="G23" s="146"/>
      <c r="H23" s="148"/>
      <c r="I23" s="149" t="str">
        <f>IF(ISNA(VLOOKUP(J23,[1]!AVION1[#Data],2,FALSE)),"",VLOOKUP(J23,[1]!AVION1[#Data],2,FALSE))</f>
        <v/>
      </c>
      <c r="J23" s="150"/>
      <c r="K23" s="151"/>
      <c r="L23" s="151" t="s">
        <v>60</v>
      </c>
      <c r="M23" s="152">
        <f>SUM(M5:M22)</f>
        <v>0.51180555555555551</v>
      </c>
      <c r="N23" s="153"/>
      <c r="O23" s="154">
        <f>SUM(O5:O22)</f>
        <v>63</v>
      </c>
      <c r="P23" s="154"/>
      <c r="Q23" s="155"/>
      <c r="R23" s="156"/>
      <c r="S23" s="157"/>
      <c r="T23" s="158">
        <f>SUM(T5:T22)/1440</f>
        <v>4.1666666666666664E-2</v>
      </c>
      <c r="U23" s="158">
        <f>SUM(U5:U22)/1440</f>
        <v>0.47013888888888888</v>
      </c>
      <c r="V23" s="159" t="str">
        <f>IF(ISNA(VLOOKUP(J23,[1]!AVION1[#Data],3,FALSE)),"",VLOOKUP(J23,[1]!AVION1[#Data],3,FALSE))</f>
        <v/>
      </c>
      <c r="W23" s="159" t="str">
        <f>IF(ISNA(VLOOKUP(N23,[1]!INSTRUCTEUR[#Data],2,FALSE)),"",VLOOKUP(N23,[1]!INSTRUCTEUR[#Data],2,FALSE))</f>
        <v/>
      </c>
      <c r="X23" s="160">
        <f>(HOUR(M23)*3600+MINUTE(M23)*60+SECOND(M23))/60</f>
        <v>737</v>
      </c>
    </row>
    <row r="24" spans="1:30" ht="15.6">
      <c r="C24" s="145"/>
      <c r="D24" s="146"/>
      <c r="E24" s="146"/>
      <c r="F24" s="147"/>
      <c r="G24" s="146"/>
      <c r="H24" s="148"/>
      <c r="I24" s="149" t="str">
        <f>IF(ISNA(VLOOKUP(J24,[1]!AVION1[#Data],2,FALSE)),"",VLOOKUP(J24,[1]!AVION1[#Data],2,FALSE))</f>
        <v/>
      </c>
      <c r="J24" s="146"/>
      <c r="K24" s="161"/>
      <c r="L24" s="161" t="s">
        <v>61</v>
      </c>
      <c r="M24" s="162">
        <f>totalanciencarnet</f>
        <v>0</v>
      </c>
      <c r="N24" s="153"/>
      <c r="O24" s="163"/>
      <c r="P24" s="163"/>
      <c r="Q24" s="157"/>
      <c r="R24" s="156"/>
      <c r="S24" s="157"/>
      <c r="T24" s="164">
        <f>heuresingleac</f>
        <v>0</v>
      </c>
      <c r="U24" s="164">
        <f>heuredualac</f>
        <v>0</v>
      </c>
      <c r="V24" s="159" t="str">
        <f>IF(ISNA(VLOOKUP(J24,[1]!AVION1[#Data],3,FALSE)),"",VLOOKUP(J24,[1]!AVION1[#Data],3,FALSE))</f>
        <v/>
      </c>
      <c r="W24" s="159" t="str">
        <f>IF(ISNA(VLOOKUP(N24,[1]!INSTRUCTEUR[#Data],2,FALSE)),"",VLOOKUP(N24,[1]!INSTRUCTEUR[#Data],2,FALSE))</f>
        <v/>
      </c>
      <c r="X24" s="160">
        <f>(HOUR(M24)*3600+MINUTE(M24)*60+SECOND(M24))/60</f>
        <v>0</v>
      </c>
    </row>
    <row r="25" spans="1:30" ht="16.2" thickBot="1">
      <c r="C25" s="145"/>
      <c r="D25" s="146"/>
      <c r="E25" s="146"/>
      <c r="F25" s="147"/>
      <c r="G25" s="146"/>
      <c r="H25" s="148"/>
      <c r="I25" s="149" t="str">
        <f>IF(ISNA(VLOOKUP(J25,[1]!AVION1[#Data],2,FALSE)),"",VLOOKUP(J25,[1]!AVION1[#Data],2,FALSE))</f>
        <v/>
      </c>
      <c r="J25" s="146"/>
      <c r="K25" s="165"/>
      <c r="L25" s="165" t="s">
        <v>62</v>
      </c>
      <c r="M25" s="166">
        <f>SUM(M23:M24)</f>
        <v>0.51180555555555551</v>
      </c>
      <c r="N25" s="153"/>
      <c r="O25" s="167">
        <f>SUM(O23:O24)</f>
        <v>63</v>
      </c>
      <c r="P25" s="167"/>
      <c r="Q25" s="157"/>
      <c r="R25" s="156"/>
      <c r="S25" s="157"/>
      <c r="T25" s="168">
        <f>SUM(T24+T23)</f>
        <v>4.1666666666666664E-2</v>
      </c>
      <c r="U25" s="168">
        <f>SUM(U24+U23)</f>
        <v>0.47013888888888888</v>
      </c>
      <c r="V25" s="159" t="str">
        <f>IF(ISNA(VLOOKUP(J25,[1]!AVION1[#Data],3,FALSE)),"",VLOOKUP(J25,[1]!AVION1[#Data],3,FALSE))</f>
        <v/>
      </c>
      <c r="W25" s="159" t="str">
        <f>IF(ISNA(VLOOKUP(N25,[1]!INSTRUCTEUR[#Data],2,FALSE)),"",VLOOKUP(N25,[1]!INSTRUCTEUR[#Data],2,FALSE))</f>
        <v/>
      </c>
      <c r="X25" s="160">
        <f>(HOUR(M25)*3600+MINUTE(M25)*60+SECOND(M25))/60</f>
        <v>737</v>
      </c>
    </row>
    <row r="26" spans="1:30">
      <c r="A26" s="100">
        <v>2</v>
      </c>
      <c r="B26" s="101">
        <v>1</v>
      </c>
      <c r="C26" s="102">
        <f>CARNET_DE_VOL[[#This Row],[DATE2]]</f>
        <v>42821</v>
      </c>
      <c r="D26" s="103">
        <v>42821</v>
      </c>
      <c r="E26" s="107" t="s">
        <v>52</v>
      </c>
      <c r="F26" s="105">
        <v>0.4513888888888889</v>
      </c>
      <c r="G26" s="107" t="s">
        <v>63</v>
      </c>
      <c r="H26" s="106">
        <v>0.48055555555555557</v>
      </c>
      <c r="I26" s="103" t="str">
        <f>IF(ISNA(VLOOKUP(J26,[1]!AVION1[#Data],2,FALSE)),"",VLOOKUP(J26,[1]!AVION1[#Data],2,FALSE))</f>
        <v>C152</v>
      </c>
      <c r="J26" s="107" t="s">
        <v>53</v>
      </c>
      <c r="K26" s="108"/>
      <c r="L26" s="108"/>
      <c r="M26" s="109">
        <v>2.9166666666666664E-2</v>
      </c>
      <c r="N26" s="107" t="s">
        <v>54</v>
      </c>
      <c r="O26" s="110">
        <v>1</v>
      </c>
      <c r="P26" s="108"/>
      <c r="Q26" s="111">
        <f t="shared" si="0"/>
        <v>88.2</v>
      </c>
      <c r="R26" s="112">
        <f t="shared" si="1"/>
        <v>25.62</v>
      </c>
      <c r="S26" s="111">
        <f t="shared" si="2"/>
        <v>113.82000000000001</v>
      </c>
      <c r="T26" s="112">
        <f t="shared" si="3"/>
        <v>0</v>
      </c>
      <c r="U26" s="169">
        <f t="shared" si="4"/>
        <v>42</v>
      </c>
      <c r="V26" s="114">
        <f>IF(ISNA(VLOOKUP(J26,[1]!AVION1[#Data],3,FALSE)),"",VLOOKUP(J26,[1]!AVION1[#Data],3,FALSE))</f>
        <v>2.1</v>
      </c>
      <c r="W26" s="114">
        <f>IF(ISNA(VLOOKUP(N26,[1]!INSTRUCTEUR[#Data],2,FALSE)),"",VLOOKUP(N26,[1]!INSTRUCTEUR[#Data],2,FALSE))</f>
        <v>0.61</v>
      </c>
      <c r="X26" s="115">
        <f t="shared" si="5"/>
        <v>42</v>
      </c>
    </row>
    <row r="27" spans="1:30">
      <c r="A27" s="116"/>
      <c r="B27" s="117">
        <f>B26+1</f>
        <v>2</v>
      </c>
      <c r="C27" s="118">
        <f>CARNET_DE_VOL[[#This Row],[DATE2]]</f>
        <v>42821</v>
      </c>
      <c r="D27" s="119">
        <v>42821</v>
      </c>
      <c r="E27" s="123" t="s">
        <v>63</v>
      </c>
      <c r="F27" s="121">
        <v>0.5</v>
      </c>
      <c r="G27" s="123" t="s">
        <v>52</v>
      </c>
      <c r="H27" s="122">
        <v>0.52916666666666667</v>
      </c>
      <c r="I27" s="119" t="str">
        <f>IF(ISNA(VLOOKUP(J27,[1]!AVION1[#Data],2,FALSE)),"",VLOOKUP(J27,[1]!AVION1[#Data],2,FALSE))</f>
        <v>C152</v>
      </c>
      <c r="J27" s="123" t="s">
        <v>53</v>
      </c>
      <c r="K27" s="124"/>
      <c r="L27" s="124"/>
      <c r="M27" s="125">
        <v>2.9166666666666664E-2</v>
      </c>
      <c r="N27" s="123" t="s">
        <v>54</v>
      </c>
      <c r="O27" s="126">
        <v>1</v>
      </c>
      <c r="P27" s="124"/>
      <c r="Q27" s="127">
        <f t="shared" si="0"/>
        <v>88.2</v>
      </c>
      <c r="R27" s="128">
        <f t="shared" si="1"/>
        <v>25.62</v>
      </c>
      <c r="S27" s="127">
        <f t="shared" si="2"/>
        <v>113.82000000000001</v>
      </c>
      <c r="T27" s="128">
        <f t="shared" si="3"/>
        <v>0</v>
      </c>
      <c r="U27" s="170">
        <f t="shared" si="4"/>
        <v>42</v>
      </c>
      <c r="V27" s="114">
        <f>IF(ISNA(VLOOKUP(J27,[1]!AVION1[#Data],3,FALSE)),"",VLOOKUP(J27,[1]!AVION1[#Data],3,FALSE))</f>
        <v>2.1</v>
      </c>
      <c r="W27" s="114">
        <f>IF(ISNA(VLOOKUP(N27,[1]!INSTRUCTEUR[#Data],2,FALSE)),"",VLOOKUP(N27,[1]!INSTRUCTEUR[#Data],2,FALSE))</f>
        <v>0.61</v>
      </c>
      <c r="X27" s="115">
        <f t="shared" si="5"/>
        <v>42</v>
      </c>
    </row>
    <row r="28" spans="1:30">
      <c r="A28" s="116"/>
      <c r="B28" s="117">
        <f t="shared" ref="B28:B43" si="7">B27+1</f>
        <v>3</v>
      </c>
      <c r="C28" s="118">
        <f>CARNET_DE_VOL[[#This Row],[DATE2]]</f>
        <v>42828</v>
      </c>
      <c r="D28" s="119">
        <v>42828</v>
      </c>
      <c r="E28" s="123" t="s">
        <v>52</v>
      </c>
      <c r="F28" s="121">
        <v>0.63194444444444442</v>
      </c>
      <c r="G28" s="123" t="s">
        <v>52</v>
      </c>
      <c r="H28" s="122">
        <v>0.64722222222222225</v>
      </c>
      <c r="I28" s="119" t="str">
        <f>IF(ISNA(VLOOKUP(J28,[1]!AVION1[#Data],2,FALSE)),"",VLOOKUP(J28,[1]!AVION1[#Data],2,FALSE))</f>
        <v>C150</v>
      </c>
      <c r="J28" s="123" t="s">
        <v>56</v>
      </c>
      <c r="K28" s="124"/>
      <c r="L28" s="124"/>
      <c r="M28" s="125">
        <v>1.5277777777777777E-2</v>
      </c>
      <c r="N28" s="123" t="s">
        <v>64</v>
      </c>
      <c r="O28" s="126">
        <v>2</v>
      </c>
      <c r="P28" s="124"/>
      <c r="Q28" s="127">
        <f t="shared" si="0"/>
        <v>40.480000000000004</v>
      </c>
      <c r="R28" s="128">
        <f t="shared" si="1"/>
        <v>13.42</v>
      </c>
      <c r="S28" s="127">
        <f t="shared" si="2"/>
        <v>53.900000000000006</v>
      </c>
      <c r="T28" s="128">
        <f t="shared" si="3"/>
        <v>0</v>
      </c>
      <c r="U28" s="170">
        <f t="shared" si="4"/>
        <v>22</v>
      </c>
      <c r="V28" s="114">
        <f>IF(ISNA(VLOOKUP(J28,[1]!AVION1[#Data],3,FALSE)),"",VLOOKUP(J28,[1]!AVION1[#Data],3,FALSE))</f>
        <v>1.84</v>
      </c>
      <c r="W28" s="114">
        <v>0.61</v>
      </c>
      <c r="X28" s="115">
        <f t="shared" si="5"/>
        <v>22</v>
      </c>
    </row>
    <row r="29" spans="1:30">
      <c r="A29" s="116"/>
      <c r="B29" s="117">
        <f t="shared" si="7"/>
        <v>4</v>
      </c>
      <c r="C29" s="118">
        <f>CARNET_DE_VOL[[#This Row],[DATE2]]</f>
        <v>42828</v>
      </c>
      <c r="D29" s="119">
        <v>42828</v>
      </c>
      <c r="E29" s="123" t="s">
        <v>52</v>
      </c>
      <c r="F29" s="121">
        <v>0.65972222222222221</v>
      </c>
      <c r="G29" s="123" t="s">
        <v>52</v>
      </c>
      <c r="H29" s="122">
        <v>0.69652777777777775</v>
      </c>
      <c r="I29" s="119" t="str">
        <f>IF(ISNA(VLOOKUP(J29,[1]!AVION1[#Data],2,FALSE)),"",VLOOKUP(J29,[1]!AVION1[#Data],2,FALSE))</f>
        <v>C150</v>
      </c>
      <c r="J29" s="123" t="s">
        <v>56</v>
      </c>
      <c r="K29" s="124"/>
      <c r="L29" s="124"/>
      <c r="M29" s="125">
        <v>3.6805555555555557E-2</v>
      </c>
      <c r="N29" s="123" t="s">
        <v>55</v>
      </c>
      <c r="O29" s="126">
        <v>6</v>
      </c>
      <c r="P29" s="124"/>
      <c r="Q29" s="127">
        <f t="shared" si="0"/>
        <v>97.52000000000001</v>
      </c>
      <c r="R29" s="128">
        <f t="shared" si="1"/>
        <v>0</v>
      </c>
      <c r="S29" s="127">
        <f t="shared" si="2"/>
        <v>97.52000000000001</v>
      </c>
      <c r="T29" s="128">
        <f t="shared" si="3"/>
        <v>53</v>
      </c>
      <c r="U29" s="170">
        <f t="shared" si="4"/>
        <v>0</v>
      </c>
      <c r="V29" s="114">
        <f>IF(ISNA(VLOOKUP(J29,[1]!AVION1[#Data],3,FALSE)),"",VLOOKUP(J29,[1]!AVION1[#Data],3,FALSE))</f>
        <v>1.84</v>
      </c>
      <c r="W29" s="114">
        <f>IF(ISNA(VLOOKUP(N29,[1]!INSTRUCTEUR[#Data],2,FALSE)),"",VLOOKUP(N29,[1]!INSTRUCTEUR[#Data],2,FALSE))</f>
        <v>0</v>
      </c>
      <c r="X29" s="115">
        <f t="shared" si="5"/>
        <v>53</v>
      </c>
    </row>
    <row r="30" spans="1:30">
      <c r="A30" s="116"/>
      <c r="B30" s="117">
        <f t="shared" si="7"/>
        <v>5</v>
      </c>
      <c r="C30" s="118">
        <f>CARNET_DE_VOL[[#This Row],[DATE2]]</f>
        <v>42846</v>
      </c>
      <c r="D30" s="119">
        <v>42846</v>
      </c>
      <c r="E30" s="123" t="s">
        <v>52</v>
      </c>
      <c r="F30" s="121">
        <v>0.40277777777777773</v>
      </c>
      <c r="G30" s="123" t="s">
        <v>65</v>
      </c>
      <c r="H30" s="122">
        <v>0.4236111111111111</v>
      </c>
      <c r="I30" s="119" t="str">
        <f>IF(ISNA(VLOOKUP(J30,[1]!AVION1[#Data],2,FALSE)),"",VLOOKUP(J30,[1]!AVION1[#Data],2,FALSE))</f>
        <v>C150</v>
      </c>
      <c r="J30" s="123" t="s">
        <v>56</v>
      </c>
      <c r="K30" s="124"/>
      <c r="L30" s="124"/>
      <c r="M30" s="125">
        <v>2.0833333333333332E-2</v>
      </c>
      <c r="N30" s="123" t="s">
        <v>64</v>
      </c>
      <c r="O30" s="126">
        <v>1</v>
      </c>
      <c r="P30" s="124"/>
      <c r="Q30" s="127">
        <f t="shared" si="0"/>
        <v>55.2</v>
      </c>
      <c r="R30" s="128">
        <f t="shared" si="1"/>
        <v>18.3</v>
      </c>
      <c r="S30" s="127">
        <f t="shared" si="2"/>
        <v>73.5</v>
      </c>
      <c r="T30" s="128">
        <f t="shared" si="3"/>
        <v>0</v>
      </c>
      <c r="U30" s="170">
        <f t="shared" si="4"/>
        <v>30</v>
      </c>
      <c r="V30" s="114">
        <f>IF(ISNA(VLOOKUP(J30,[1]!AVION1[#Data],3,FALSE)),"",VLOOKUP(J30,[1]!AVION1[#Data],3,FALSE))</f>
        <v>1.84</v>
      </c>
      <c r="W30" s="114">
        <v>0.61</v>
      </c>
      <c r="X30" s="115">
        <f t="shared" si="5"/>
        <v>30</v>
      </c>
    </row>
    <row r="31" spans="1:30">
      <c r="A31" s="116"/>
      <c r="B31" s="117">
        <f t="shared" si="7"/>
        <v>6</v>
      </c>
      <c r="C31" s="118">
        <f>CARNET_DE_VOL[[#This Row],[DATE2]]</f>
        <v>42846</v>
      </c>
      <c r="D31" s="119">
        <v>42846</v>
      </c>
      <c r="E31" s="123" t="s">
        <v>65</v>
      </c>
      <c r="F31" s="121">
        <v>0.4375</v>
      </c>
      <c r="G31" s="123" t="s">
        <v>52</v>
      </c>
      <c r="H31" s="122">
        <v>0.4604166666666667</v>
      </c>
      <c r="I31" s="119" t="str">
        <f>IF(ISNA(VLOOKUP(J31,[1]!AVION1[#Data],2,FALSE)),"",VLOOKUP(J31,[1]!AVION1[#Data],2,FALSE))</f>
        <v>C150</v>
      </c>
      <c r="J31" s="123" t="s">
        <v>56</v>
      </c>
      <c r="K31" s="124"/>
      <c r="L31" s="124"/>
      <c r="M31" s="125">
        <v>2.2916666666666669E-2</v>
      </c>
      <c r="N31" s="123" t="s">
        <v>64</v>
      </c>
      <c r="O31" s="126">
        <v>1</v>
      </c>
      <c r="P31" s="124"/>
      <c r="Q31" s="127">
        <f t="shared" si="0"/>
        <v>60.720000000000006</v>
      </c>
      <c r="R31" s="128">
        <f t="shared" si="1"/>
        <v>20.13</v>
      </c>
      <c r="S31" s="127">
        <f t="shared" si="2"/>
        <v>80.850000000000009</v>
      </c>
      <c r="T31" s="128">
        <f t="shared" si="3"/>
        <v>0</v>
      </c>
      <c r="U31" s="170">
        <f t="shared" si="4"/>
        <v>33</v>
      </c>
      <c r="V31" s="114">
        <f>IF(ISNA(VLOOKUP(J31,[1]!AVION1[#Data],3,FALSE)),"",VLOOKUP(J31,[1]!AVION1[#Data],3,FALSE))</f>
        <v>1.84</v>
      </c>
      <c r="W31" s="114">
        <v>0.61</v>
      </c>
      <c r="X31" s="115">
        <f t="shared" si="5"/>
        <v>33</v>
      </c>
    </row>
    <row r="32" spans="1:30">
      <c r="A32" s="116"/>
      <c r="B32" s="117">
        <f t="shared" si="7"/>
        <v>7</v>
      </c>
      <c r="C32" s="118">
        <f>CARNET_DE_VOL[[#This Row],[DATE2]]</f>
        <v>42866</v>
      </c>
      <c r="D32" s="119">
        <v>42866</v>
      </c>
      <c r="E32" s="123" t="s">
        <v>52</v>
      </c>
      <c r="F32" s="121">
        <v>0.30972222222222223</v>
      </c>
      <c r="G32" s="123" t="s">
        <v>66</v>
      </c>
      <c r="H32" s="122">
        <v>0.35138888888888892</v>
      </c>
      <c r="I32" s="119" t="str">
        <f>IF(ISNA(VLOOKUP(J32,[1]!AVION1[#Data],2,FALSE)),"",VLOOKUP(J32,[1]!AVION1[#Data],2,FALSE))</f>
        <v>C152</v>
      </c>
      <c r="J32" s="123" t="s">
        <v>53</v>
      </c>
      <c r="K32" s="124">
        <v>48572</v>
      </c>
      <c r="L32" s="124">
        <v>48588</v>
      </c>
      <c r="M32" s="125">
        <v>4.1666666666666664E-2</v>
      </c>
      <c r="N32" s="123" t="s">
        <v>54</v>
      </c>
      <c r="O32" s="126">
        <v>1</v>
      </c>
      <c r="P32" s="124"/>
      <c r="Q32" s="127">
        <f>IFERROR(X32*V32,0)</f>
        <v>126</v>
      </c>
      <c r="R32" s="128">
        <f>IFERROR(W32*X32,0)</f>
        <v>36.6</v>
      </c>
      <c r="S32" s="127">
        <f>R32+Q32</f>
        <v>162.6</v>
      </c>
      <c r="T32" s="128">
        <f>IF(N32="PENDERS Bernard",X32,0)</f>
        <v>0</v>
      </c>
      <c r="U32" s="170">
        <f>IF(N32="PENDERS Bernard",0,X32)</f>
        <v>60</v>
      </c>
      <c r="V32" s="114">
        <f>IF(ISNA(VLOOKUP(J32,[1]!AVION1[#Data],3,FALSE)),"",VLOOKUP(J32,[1]!AVION1[#Data],3,FALSE))</f>
        <v>2.1</v>
      </c>
      <c r="W32" s="114">
        <f>IF(ISNA(VLOOKUP(N32,[1]!INSTRUCTEUR[#Data],2,FALSE)),"",VLOOKUP(N32,[1]!INSTRUCTEUR[#Data],2,FALSE))</f>
        <v>0.61</v>
      </c>
      <c r="X32" s="115">
        <f>(HOUR(M32)*3600+MINUTE(M32)*60+SECOND(M32))/60</f>
        <v>60</v>
      </c>
    </row>
    <row r="33" spans="1:26">
      <c r="A33" s="116"/>
      <c r="B33" s="117">
        <f t="shared" si="7"/>
        <v>8</v>
      </c>
      <c r="C33" s="118">
        <f>CARNET_DE_VOL[[#This Row],[DATE2]]</f>
        <v>42866</v>
      </c>
      <c r="D33" s="119">
        <v>42866</v>
      </c>
      <c r="E33" s="123" t="s">
        <v>66</v>
      </c>
      <c r="F33" s="121">
        <v>0.37847222222222227</v>
      </c>
      <c r="G33" s="123" t="s">
        <v>52</v>
      </c>
      <c r="H33" s="122">
        <v>0.40763888888888888</v>
      </c>
      <c r="I33" s="119" t="str">
        <f>IF(ISNA(VLOOKUP(J33,[1]!AVION1[#Data],2,FALSE)),"",VLOOKUP(J33,[1]!AVION1[#Data],2,FALSE))</f>
        <v>C152</v>
      </c>
      <c r="J33" s="123" t="s">
        <v>53</v>
      </c>
      <c r="K33" s="124">
        <v>48588</v>
      </c>
      <c r="L33" s="124">
        <v>48595</v>
      </c>
      <c r="M33" s="125">
        <v>2.9166666666666664E-2</v>
      </c>
      <c r="N33" s="123" t="s">
        <v>54</v>
      </c>
      <c r="O33" s="126">
        <v>1</v>
      </c>
      <c r="P33" s="124"/>
      <c r="Q33" s="127">
        <f>IFERROR(X33*V33,0)</f>
        <v>88.2</v>
      </c>
      <c r="R33" s="128">
        <f>IFERROR(W33*X33,0)</f>
        <v>25.62</v>
      </c>
      <c r="S33" s="127">
        <f>R33+Q33</f>
        <v>113.82000000000001</v>
      </c>
      <c r="T33" s="128">
        <f>IF(N33="PENDERS Bernard",X33,0)</f>
        <v>0</v>
      </c>
      <c r="U33" s="170">
        <f>IF(N33="PENDERS Bernard",0,X33)</f>
        <v>42</v>
      </c>
      <c r="V33" s="114">
        <f>IF(ISNA(VLOOKUP(J33,[1]!AVION1[#Data],3,FALSE)),"",VLOOKUP(J33,[1]!AVION1[#Data],3,FALSE))</f>
        <v>2.1</v>
      </c>
      <c r="W33" s="114">
        <f>IF(ISNA(VLOOKUP(N33,[1]!INSTRUCTEUR[#Data],2,FALSE)),"",VLOOKUP(N33,[1]!INSTRUCTEUR[#Data],2,FALSE))</f>
        <v>0.61</v>
      </c>
      <c r="X33" s="115">
        <f>(HOUR(M33)*3600+MINUTE(M33)*60+SECOND(M33))/60</f>
        <v>42</v>
      </c>
      <c r="Z33" s="171"/>
    </row>
    <row r="34" spans="1:26">
      <c r="A34" s="116"/>
      <c r="B34" s="117">
        <f t="shared" si="7"/>
        <v>9</v>
      </c>
      <c r="C34" s="172">
        <v>42887</v>
      </c>
      <c r="D34" s="173">
        <v>42890</v>
      </c>
      <c r="E34" s="174" t="s">
        <v>52</v>
      </c>
      <c r="F34" s="175">
        <v>0.47222222222222227</v>
      </c>
      <c r="G34" s="124" t="s">
        <v>52</v>
      </c>
      <c r="H34" s="176">
        <v>0.50486111111111109</v>
      </c>
      <c r="I34" s="119" t="s">
        <v>67</v>
      </c>
      <c r="J34" s="174" t="s">
        <v>56</v>
      </c>
      <c r="K34" s="124">
        <v>391514</v>
      </c>
      <c r="L34" s="124">
        <v>391601</v>
      </c>
      <c r="M34" s="177">
        <v>3.2638888888888891E-2</v>
      </c>
      <c r="N34" s="178" t="s">
        <v>55</v>
      </c>
      <c r="O34" s="124">
        <v>1</v>
      </c>
      <c r="P34" s="124"/>
      <c r="Q34" s="127">
        <f t="shared" si="0"/>
        <v>86.48</v>
      </c>
      <c r="R34" s="128">
        <f t="shared" si="1"/>
        <v>0</v>
      </c>
      <c r="S34" s="127">
        <f t="shared" si="2"/>
        <v>86.48</v>
      </c>
      <c r="T34" s="128">
        <f t="shared" si="3"/>
        <v>47</v>
      </c>
      <c r="U34" s="170">
        <f t="shared" si="4"/>
        <v>0</v>
      </c>
      <c r="V34" s="114">
        <f>IF(ISNA(VLOOKUP(J34,[1]!AVION1[#Data],3,FALSE)),"",VLOOKUP(J34,[1]!AVION1[#Data],3,FALSE))</f>
        <v>1.84</v>
      </c>
      <c r="W34" s="114">
        <f>IF(ISNA(VLOOKUP(N34,[1]!INSTRUCTEUR[#Data],2,FALSE)),"",VLOOKUP(N34,[1]!INSTRUCTEUR[#Data],2,FALSE))</f>
        <v>0</v>
      </c>
      <c r="X34" s="115">
        <f t="shared" si="5"/>
        <v>47</v>
      </c>
    </row>
    <row r="35" spans="1:26">
      <c r="A35" s="116"/>
      <c r="B35" s="117">
        <f t="shared" si="7"/>
        <v>10</v>
      </c>
      <c r="C35" s="172">
        <v>42948</v>
      </c>
      <c r="D35" s="173">
        <v>42961</v>
      </c>
      <c r="E35" s="174" t="s">
        <v>52</v>
      </c>
      <c r="F35" s="175">
        <v>0.51527777777777783</v>
      </c>
      <c r="G35" s="124" t="s">
        <v>68</v>
      </c>
      <c r="H35" s="176">
        <f t="shared" ref="H35:H100" si="8">F35+M35</f>
        <v>0.54444444444444451</v>
      </c>
      <c r="I35" s="119" t="s">
        <v>69</v>
      </c>
      <c r="J35" s="174" t="s">
        <v>53</v>
      </c>
      <c r="K35" s="124">
        <v>49578</v>
      </c>
      <c r="L35" s="124">
        <v>49585</v>
      </c>
      <c r="M35" s="177">
        <v>2.9166666666666664E-2</v>
      </c>
      <c r="N35" s="178" t="s">
        <v>54</v>
      </c>
      <c r="O35" s="124">
        <v>1</v>
      </c>
      <c r="P35" s="124"/>
      <c r="Q35" s="127">
        <f t="shared" si="0"/>
        <v>88.2</v>
      </c>
      <c r="R35" s="128">
        <f t="shared" si="1"/>
        <v>25.62</v>
      </c>
      <c r="S35" s="127">
        <f t="shared" si="2"/>
        <v>113.82000000000001</v>
      </c>
      <c r="T35" s="128">
        <f t="shared" si="3"/>
        <v>0</v>
      </c>
      <c r="U35" s="170">
        <f t="shared" si="4"/>
        <v>42</v>
      </c>
      <c r="V35" s="114">
        <f>IF(ISNA(VLOOKUP(J35,[1]!AVION1[#Data],3,FALSE)),"",VLOOKUP(J35,[1]!AVION1[#Data],3,FALSE))</f>
        <v>2.1</v>
      </c>
      <c r="W35" s="114">
        <f>IF(ISNA(VLOOKUP(N35,[1]!INSTRUCTEUR[#Data],2,FALSE)),"",VLOOKUP(N35,[1]!INSTRUCTEUR[#Data],2,FALSE))</f>
        <v>0.61</v>
      </c>
      <c r="X35" s="115">
        <f t="shared" si="5"/>
        <v>42</v>
      </c>
    </row>
    <row r="36" spans="1:26">
      <c r="A36" s="116"/>
      <c r="B36" s="117">
        <f t="shared" si="7"/>
        <v>11</v>
      </c>
      <c r="C36" s="172">
        <v>42948</v>
      </c>
      <c r="D36" s="173">
        <v>42961</v>
      </c>
      <c r="E36" s="174" t="s">
        <v>68</v>
      </c>
      <c r="F36" s="175">
        <v>0.55694444444444446</v>
      </c>
      <c r="G36" s="124" t="s">
        <v>52</v>
      </c>
      <c r="H36" s="176">
        <f t="shared" si="8"/>
        <v>0.58611111111111114</v>
      </c>
      <c r="I36" s="119" t="s">
        <v>69</v>
      </c>
      <c r="J36" s="174" t="s">
        <v>53</v>
      </c>
      <c r="K36" s="124">
        <v>49585</v>
      </c>
      <c r="L36" s="124">
        <v>49592</v>
      </c>
      <c r="M36" s="177">
        <f t="shared" ref="M36:M100" si="9">(L36-K36)*60/14400</f>
        <v>2.9166666666666667E-2</v>
      </c>
      <c r="N36" s="178" t="s">
        <v>54</v>
      </c>
      <c r="O36" s="124">
        <v>1</v>
      </c>
      <c r="P36" s="124"/>
      <c r="Q36" s="127">
        <f t="shared" si="0"/>
        <v>88.2</v>
      </c>
      <c r="R36" s="128">
        <f t="shared" si="1"/>
        <v>25.62</v>
      </c>
      <c r="S36" s="127">
        <f t="shared" si="2"/>
        <v>113.82000000000001</v>
      </c>
      <c r="T36" s="128">
        <f t="shared" si="3"/>
        <v>0</v>
      </c>
      <c r="U36" s="170">
        <f t="shared" si="4"/>
        <v>42</v>
      </c>
      <c r="V36" s="114">
        <f>IF(ISNA(VLOOKUP(J36,[1]!AVION1[#Data],3,FALSE)),"",VLOOKUP(J36,[1]!AVION1[#Data],3,FALSE))</f>
        <v>2.1</v>
      </c>
      <c r="W36" s="114">
        <f>IF(ISNA(VLOOKUP(N36,[1]!INSTRUCTEUR[#Data],2,FALSE)),"",VLOOKUP(N36,[1]!INSTRUCTEUR[#Data],2,FALSE))</f>
        <v>0.61</v>
      </c>
      <c r="X36" s="115">
        <f t="shared" si="5"/>
        <v>42</v>
      </c>
    </row>
    <row r="37" spans="1:26">
      <c r="A37" s="116"/>
      <c r="B37" s="117">
        <f t="shared" si="7"/>
        <v>12</v>
      </c>
      <c r="C37" s="172">
        <v>42948</v>
      </c>
      <c r="D37" s="173">
        <v>42963</v>
      </c>
      <c r="E37" s="174" t="s">
        <v>52</v>
      </c>
      <c r="F37" s="175">
        <v>0.4201388888888889</v>
      </c>
      <c r="G37" s="124" t="s">
        <v>52</v>
      </c>
      <c r="H37" s="176">
        <f t="shared" si="8"/>
        <v>0.46111111111111114</v>
      </c>
      <c r="I37" s="119" t="s">
        <v>67</v>
      </c>
      <c r="J37" s="174" t="s">
        <v>56</v>
      </c>
      <c r="K37" s="124" t="s">
        <v>70</v>
      </c>
      <c r="L37" s="124" t="s">
        <v>70</v>
      </c>
      <c r="M37" s="179">
        <v>4.0972222222222222E-2</v>
      </c>
      <c r="N37" s="178" t="s">
        <v>55</v>
      </c>
      <c r="O37" s="124">
        <v>3</v>
      </c>
      <c r="P37" s="124"/>
      <c r="Q37" s="127">
        <f t="shared" si="0"/>
        <v>108.56</v>
      </c>
      <c r="R37" s="128">
        <f t="shared" si="1"/>
        <v>0</v>
      </c>
      <c r="S37" s="127">
        <f t="shared" si="2"/>
        <v>108.56</v>
      </c>
      <c r="T37" s="128">
        <f t="shared" si="3"/>
        <v>59</v>
      </c>
      <c r="U37" s="170">
        <f t="shared" si="4"/>
        <v>0</v>
      </c>
      <c r="V37" s="114">
        <f>IF(ISNA(VLOOKUP(J37,[1]!AVION1[#Data],3,FALSE)),"",VLOOKUP(J37,[1]!AVION1[#Data],3,FALSE))</f>
        <v>1.84</v>
      </c>
      <c r="W37" s="114">
        <f>IF(ISNA(VLOOKUP(N37,[1]!INSTRUCTEUR[#Data],2,FALSE)),"",VLOOKUP(N37,[1]!INSTRUCTEUR[#Data],2,FALSE))</f>
        <v>0</v>
      </c>
      <c r="X37" s="115">
        <f t="shared" si="5"/>
        <v>59</v>
      </c>
    </row>
    <row r="38" spans="1:26">
      <c r="A38" s="116"/>
      <c r="B38" s="117">
        <f t="shared" si="7"/>
        <v>13</v>
      </c>
      <c r="C38" s="172">
        <v>42979</v>
      </c>
      <c r="D38" s="173">
        <v>42988</v>
      </c>
      <c r="E38" s="174" t="s">
        <v>52</v>
      </c>
      <c r="F38" s="175">
        <v>0.45833333333333331</v>
      </c>
      <c r="G38" s="124" t="s">
        <v>52</v>
      </c>
      <c r="H38" s="176">
        <v>0.48402777777777778</v>
      </c>
      <c r="I38" s="119" t="s">
        <v>67</v>
      </c>
      <c r="J38" s="174" t="s">
        <v>56</v>
      </c>
      <c r="K38" s="124"/>
      <c r="L38" s="124"/>
      <c r="M38" s="177">
        <v>2.5694444444444447E-2</v>
      </c>
      <c r="N38" s="178" t="s">
        <v>54</v>
      </c>
      <c r="O38" s="124">
        <v>3</v>
      </c>
      <c r="P38" s="124"/>
      <c r="Q38" s="127">
        <f t="shared" si="0"/>
        <v>68.08</v>
      </c>
      <c r="R38" s="128">
        <f t="shared" si="1"/>
        <v>22.57</v>
      </c>
      <c r="S38" s="127">
        <f t="shared" si="2"/>
        <v>90.65</v>
      </c>
      <c r="T38" s="128">
        <f t="shared" si="3"/>
        <v>0</v>
      </c>
      <c r="U38" s="170">
        <f t="shared" si="4"/>
        <v>37</v>
      </c>
      <c r="V38" s="114">
        <f>IF(ISNA(VLOOKUP(J38,[1]!AVION1[#Data],3,FALSE)),"",VLOOKUP(J38,[1]!AVION1[#Data],3,FALSE))</f>
        <v>1.84</v>
      </c>
      <c r="W38" s="114">
        <f>IF(ISNA(VLOOKUP(N38,[1]!INSTRUCTEUR[#Data],2,FALSE)),"",VLOOKUP(N38,[1]!INSTRUCTEUR[#Data],2,FALSE))</f>
        <v>0.61</v>
      </c>
      <c r="X38" s="115">
        <f t="shared" si="5"/>
        <v>37</v>
      </c>
    </row>
    <row r="39" spans="1:26">
      <c r="A39" s="116"/>
      <c r="B39" s="117">
        <f t="shared" si="7"/>
        <v>14</v>
      </c>
      <c r="C39" s="172">
        <v>42979</v>
      </c>
      <c r="D39" s="173">
        <v>42999</v>
      </c>
      <c r="E39" s="174" t="s">
        <v>52</v>
      </c>
      <c r="F39" s="175">
        <v>0.46666666666666662</v>
      </c>
      <c r="G39" s="124" t="s">
        <v>71</v>
      </c>
      <c r="H39" s="176">
        <v>0.51666666666666672</v>
      </c>
      <c r="I39" s="119" t="s">
        <v>69</v>
      </c>
      <c r="J39" s="174" t="s">
        <v>53</v>
      </c>
      <c r="K39" s="124">
        <v>49615</v>
      </c>
      <c r="L39" s="124">
        <v>49627</v>
      </c>
      <c r="M39" s="177">
        <f t="shared" si="9"/>
        <v>0.05</v>
      </c>
      <c r="N39" s="178" t="s">
        <v>54</v>
      </c>
      <c r="O39" s="124">
        <v>1</v>
      </c>
      <c r="P39" s="124"/>
      <c r="Q39" s="127">
        <f t="shared" si="0"/>
        <v>151.20000000000002</v>
      </c>
      <c r="R39" s="128">
        <f t="shared" si="1"/>
        <v>43.92</v>
      </c>
      <c r="S39" s="127">
        <f t="shared" si="2"/>
        <v>195.12</v>
      </c>
      <c r="T39" s="128">
        <f t="shared" si="3"/>
        <v>0</v>
      </c>
      <c r="U39" s="170">
        <f t="shared" si="4"/>
        <v>72</v>
      </c>
      <c r="V39" s="114">
        <f>IF(ISNA(VLOOKUP(J39,[1]!AVION1[#Data],3,FALSE)),"",VLOOKUP(J39,[1]!AVION1[#Data],3,FALSE))</f>
        <v>2.1</v>
      </c>
      <c r="W39" s="114">
        <f>IF(ISNA(VLOOKUP(N39,[1]!INSTRUCTEUR[#Data],2,FALSE)),"",VLOOKUP(N39,[1]!INSTRUCTEUR[#Data],2,FALSE))</f>
        <v>0.61</v>
      </c>
      <c r="X39" s="115">
        <f t="shared" si="5"/>
        <v>72</v>
      </c>
    </row>
    <row r="40" spans="1:26">
      <c r="A40" s="116"/>
      <c r="B40" s="117">
        <f t="shared" si="7"/>
        <v>15</v>
      </c>
      <c r="C40" s="172">
        <v>42979</v>
      </c>
      <c r="D40" s="173">
        <v>42999</v>
      </c>
      <c r="E40" s="174" t="s">
        <v>71</v>
      </c>
      <c r="F40" s="175">
        <v>0.52777777777777779</v>
      </c>
      <c r="G40" s="124" t="s">
        <v>72</v>
      </c>
      <c r="H40" s="176">
        <f t="shared" si="8"/>
        <v>0.54444444444444451</v>
      </c>
      <c r="I40" s="119" t="s">
        <v>69</v>
      </c>
      <c r="J40" s="174" t="s">
        <v>53</v>
      </c>
      <c r="K40" s="124">
        <v>49627</v>
      </c>
      <c r="L40" s="124">
        <v>49631</v>
      </c>
      <c r="M40" s="177">
        <f t="shared" si="9"/>
        <v>1.6666666666666666E-2</v>
      </c>
      <c r="N40" s="178" t="s">
        <v>54</v>
      </c>
      <c r="O40" s="124">
        <v>1</v>
      </c>
      <c r="P40" s="124"/>
      <c r="Q40" s="127">
        <f t="shared" si="0"/>
        <v>50.400000000000006</v>
      </c>
      <c r="R40" s="128">
        <f t="shared" si="1"/>
        <v>14.64</v>
      </c>
      <c r="S40" s="127">
        <f t="shared" si="2"/>
        <v>65.040000000000006</v>
      </c>
      <c r="T40" s="128">
        <f t="shared" si="3"/>
        <v>0</v>
      </c>
      <c r="U40" s="170">
        <f t="shared" si="4"/>
        <v>24</v>
      </c>
      <c r="V40" s="114">
        <f>IF(ISNA(VLOOKUP(J40,[1]!AVION1[#Data],3,FALSE)),"",VLOOKUP(J40,[1]!AVION1[#Data],3,FALSE))</f>
        <v>2.1</v>
      </c>
      <c r="W40" s="114">
        <f>IF(ISNA(VLOOKUP(N40,[1]!INSTRUCTEUR[#Data],2,FALSE)),"",VLOOKUP(N40,[1]!INSTRUCTEUR[#Data],2,FALSE))</f>
        <v>0.61</v>
      </c>
      <c r="X40" s="115">
        <f t="shared" si="5"/>
        <v>24</v>
      </c>
    </row>
    <row r="41" spans="1:26">
      <c r="A41" s="116"/>
      <c r="B41" s="117">
        <f t="shared" si="7"/>
        <v>16</v>
      </c>
      <c r="C41" s="172">
        <v>42979</v>
      </c>
      <c r="D41" s="173">
        <v>42999</v>
      </c>
      <c r="E41" s="174" t="s">
        <v>72</v>
      </c>
      <c r="F41" s="175">
        <v>0.55555555555555558</v>
      </c>
      <c r="G41" s="124" t="s">
        <v>52</v>
      </c>
      <c r="H41" s="176">
        <v>0.59305555555555556</v>
      </c>
      <c r="I41" s="119" t="s">
        <v>69</v>
      </c>
      <c r="J41" s="174" t="s">
        <v>53</v>
      </c>
      <c r="K41" s="124">
        <v>49631</v>
      </c>
      <c r="L41" s="124">
        <v>49640</v>
      </c>
      <c r="M41" s="177">
        <f t="shared" si="9"/>
        <v>3.7499999999999999E-2</v>
      </c>
      <c r="N41" s="178" t="s">
        <v>54</v>
      </c>
      <c r="O41" s="124">
        <v>1</v>
      </c>
      <c r="P41" s="124"/>
      <c r="Q41" s="127">
        <f t="shared" si="0"/>
        <v>113.4</v>
      </c>
      <c r="R41" s="128">
        <f t="shared" si="1"/>
        <v>32.94</v>
      </c>
      <c r="S41" s="127">
        <f t="shared" si="2"/>
        <v>146.34</v>
      </c>
      <c r="T41" s="128">
        <f t="shared" si="3"/>
        <v>0</v>
      </c>
      <c r="U41" s="170">
        <f t="shared" si="4"/>
        <v>54</v>
      </c>
      <c r="V41" s="114">
        <f>IF(ISNA(VLOOKUP(J41,[1]!AVION1[#Data],3,FALSE)),"",VLOOKUP(J41,[1]!AVION1[#Data],3,FALSE))</f>
        <v>2.1</v>
      </c>
      <c r="W41" s="114">
        <f>IF(ISNA(VLOOKUP(N41,[1]!INSTRUCTEUR[#Data],2,FALSE)),"",VLOOKUP(N41,[1]!INSTRUCTEUR[#Data],2,FALSE))</f>
        <v>0.61</v>
      </c>
      <c r="X41" s="115">
        <f t="shared" si="5"/>
        <v>54</v>
      </c>
      <c r="Z41" s="171"/>
    </row>
    <row r="42" spans="1:26">
      <c r="A42" s="116"/>
      <c r="B42" s="117">
        <f t="shared" si="7"/>
        <v>17</v>
      </c>
      <c r="C42" s="172">
        <v>43009</v>
      </c>
      <c r="D42" s="173">
        <v>43024</v>
      </c>
      <c r="E42" s="174" t="s">
        <v>52</v>
      </c>
      <c r="F42" s="175">
        <v>0.4513888888888889</v>
      </c>
      <c r="G42" s="124" t="s">
        <v>73</v>
      </c>
      <c r="H42" s="176">
        <v>0.48749999999999999</v>
      </c>
      <c r="I42" s="119" t="s">
        <v>67</v>
      </c>
      <c r="J42" s="174" t="s">
        <v>56</v>
      </c>
      <c r="K42" s="124"/>
      <c r="L42" s="124"/>
      <c r="M42" s="177">
        <v>3.6111111111111115E-2</v>
      </c>
      <c r="N42" s="178" t="s">
        <v>54</v>
      </c>
      <c r="O42" s="124">
        <v>1</v>
      </c>
      <c r="P42" s="124"/>
      <c r="Q42" s="127">
        <f t="shared" si="0"/>
        <v>95.68</v>
      </c>
      <c r="R42" s="128">
        <f t="shared" si="1"/>
        <v>31.72</v>
      </c>
      <c r="S42" s="127">
        <f t="shared" si="2"/>
        <v>127.4</v>
      </c>
      <c r="T42" s="128">
        <f t="shared" si="3"/>
        <v>0</v>
      </c>
      <c r="U42" s="170">
        <f t="shared" si="4"/>
        <v>52</v>
      </c>
      <c r="V42" s="114">
        <f>IF(ISNA(VLOOKUP(J42,[1]!AVION1[#Data],3,FALSE)),"",VLOOKUP(J42,[1]!AVION1[#Data],3,FALSE))</f>
        <v>1.84</v>
      </c>
      <c r="W42" s="114">
        <f>IF(ISNA(VLOOKUP(N42,[1]!INSTRUCTEUR[#Data],2,FALSE)),"",VLOOKUP(N42,[1]!INSTRUCTEUR[#Data],2,FALSE))</f>
        <v>0.61</v>
      </c>
      <c r="X42" s="115">
        <f t="shared" si="5"/>
        <v>52</v>
      </c>
    </row>
    <row r="43" spans="1:26" ht="15" thickBot="1">
      <c r="A43" s="131"/>
      <c r="B43" s="132">
        <f t="shared" si="7"/>
        <v>18</v>
      </c>
      <c r="C43" s="180">
        <v>43009</v>
      </c>
      <c r="D43" s="181">
        <v>43024</v>
      </c>
      <c r="E43" s="182" t="s">
        <v>73</v>
      </c>
      <c r="F43" s="183">
        <v>0.51736111111111105</v>
      </c>
      <c r="G43" s="139" t="s">
        <v>52</v>
      </c>
      <c r="H43" s="184">
        <f t="shared" si="8"/>
        <v>0.56666666666666665</v>
      </c>
      <c r="I43" s="134" t="str">
        <f>IF(ISNA(VLOOKUP(J43,[1]!AVION1[#Data],2,FALSE)),"",VLOOKUP(J43,[1]!AVION1[#Data],2,FALSE))</f>
        <v>C150</v>
      </c>
      <c r="J43" s="182" t="s">
        <v>56</v>
      </c>
      <c r="K43" s="139"/>
      <c r="L43" s="139"/>
      <c r="M43" s="185">
        <v>4.9305555555555554E-2</v>
      </c>
      <c r="N43" s="186" t="s">
        <v>54</v>
      </c>
      <c r="O43" s="139">
        <v>1</v>
      </c>
      <c r="P43" s="139"/>
      <c r="Q43" s="142">
        <f t="shared" si="0"/>
        <v>130.64000000000001</v>
      </c>
      <c r="R43" s="143">
        <f t="shared" si="1"/>
        <v>43.31</v>
      </c>
      <c r="S43" s="142">
        <f t="shared" si="2"/>
        <v>173.95000000000002</v>
      </c>
      <c r="T43" s="143">
        <f t="shared" si="3"/>
        <v>0</v>
      </c>
      <c r="U43" s="187">
        <f t="shared" si="4"/>
        <v>71</v>
      </c>
      <c r="V43" s="114">
        <f>IF(ISNA(VLOOKUP(J43,[1]!AVION1[#Data],3,FALSE)),"",VLOOKUP(J43,[1]!AVION1[#Data],3,FALSE))</f>
        <v>1.84</v>
      </c>
      <c r="W43" s="114">
        <f>IF(ISNA(VLOOKUP(N43,[1]!INSTRUCTEUR[#Data],2,FALSE)),"",VLOOKUP(N43,[1]!INSTRUCTEUR[#Data],2,FALSE))</f>
        <v>0.61</v>
      </c>
      <c r="X43" s="115">
        <f t="shared" si="5"/>
        <v>71</v>
      </c>
      <c r="Z43" s="171"/>
    </row>
    <row r="44" spans="1:26" ht="15.6">
      <c r="C44" s="145"/>
      <c r="D44" s="146"/>
      <c r="E44" s="146"/>
      <c r="F44" s="147"/>
      <c r="G44" s="146"/>
      <c r="H44" s="148"/>
      <c r="I44" s="149" t="str">
        <f>IF(ISNA(VLOOKUP(J44,[1]!AVION1[#Data],2,FALSE)),"",VLOOKUP(J44,[1]!AVION1[#Data],2,FALSE))</f>
        <v/>
      </c>
      <c r="J44" s="150"/>
      <c r="K44" s="188"/>
      <c r="L44" s="189" t="s">
        <v>60</v>
      </c>
      <c r="M44" s="190">
        <f>SUM(M26:M43)</f>
        <v>0.5722222222222223</v>
      </c>
      <c r="N44" s="153"/>
      <c r="O44" s="154">
        <f>SUM(O26:O43)</f>
        <v>28</v>
      </c>
      <c r="P44" s="154"/>
      <c r="Q44" s="155"/>
      <c r="R44" s="156"/>
      <c r="S44" s="157"/>
      <c r="T44" s="158">
        <f>SUM(T26:T43)/1440</f>
        <v>0.11041666666666666</v>
      </c>
      <c r="U44" s="158">
        <f>SUM(U26:U43)/1440</f>
        <v>0.46180555555555558</v>
      </c>
      <c r="V44" s="114" t="str">
        <f>IF(ISNA(VLOOKUP(J44,[1]!AVION1[#Data],3,FALSE)),"",VLOOKUP(J44,[1]!AVION1[#Data],3,FALSE))</f>
        <v/>
      </c>
      <c r="W44" s="114" t="str">
        <f>IF(ISNA(VLOOKUP(N44,[1]!INSTRUCTEUR[#Data],2,FALSE)),"",VLOOKUP(N44,[1]!INSTRUCTEUR[#Data],2,FALSE))</f>
        <v/>
      </c>
      <c r="X44" s="115">
        <f>(HOUR(M44)*3600+MINUTE(M44)*60+SECOND(M44))/60</f>
        <v>824</v>
      </c>
    </row>
    <row r="45" spans="1:26" ht="15.6">
      <c r="C45" s="145"/>
      <c r="D45" s="146"/>
      <c r="E45" s="146"/>
      <c r="F45" s="147"/>
      <c r="G45" s="146"/>
      <c r="H45" s="148"/>
      <c r="I45" s="149" t="str">
        <f>IF(ISNA(VLOOKUP(J45,[1]!AVION1[#Data],2,FALSE)),"",VLOOKUP(J45,[1]!AVION1[#Data],2,FALSE))</f>
        <v/>
      </c>
      <c r="J45" s="146"/>
      <c r="K45" s="191"/>
      <c r="L45" s="192" t="s">
        <v>61</v>
      </c>
      <c r="M45" s="193">
        <f>M25</f>
        <v>0.51180555555555551</v>
      </c>
      <c r="N45" s="153"/>
      <c r="O45" s="163">
        <f>O25</f>
        <v>63</v>
      </c>
      <c r="P45" s="163"/>
      <c r="Q45" s="157"/>
      <c r="R45" s="156"/>
      <c r="S45" s="157"/>
      <c r="T45" s="164">
        <f>T25</f>
        <v>4.1666666666666664E-2</v>
      </c>
      <c r="U45" s="164">
        <f>U25</f>
        <v>0.47013888888888888</v>
      </c>
      <c r="V45" s="114" t="str">
        <f>IF(ISNA(VLOOKUP(J45,[1]!AVION1[#Data],3,FALSE)),"",VLOOKUP(J45,[1]!AVION1[#Data],3,FALSE))</f>
        <v/>
      </c>
      <c r="W45" s="114" t="str">
        <f>IF(ISNA(VLOOKUP(N45,[1]!INSTRUCTEUR[#Data],2,FALSE)),"",VLOOKUP(N45,[1]!INSTRUCTEUR[#Data],2,FALSE))</f>
        <v/>
      </c>
      <c r="X45" s="115">
        <f>(HOUR(M45)*3600+MINUTE(M45)*60+SECOND(M45))/60</f>
        <v>737</v>
      </c>
    </row>
    <row r="46" spans="1:26" ht="16.2" thickBot="1">
      <c r="C46" s="145"/>
      <c r="D46" s="146"/>
      <c r="E46" s="146"/>
      <c r="F46" s="147"/>
      <c r="G46" s="146"/>
      <c r="H46" s="148"/>
      <c r="I46" s="149" t="str">
        <f>IF(ISNA(VLOOKUP(J46,[1]!AVION1[#Data],2,FALSE)),"",VLOOKUP(J46,[1]!AVION1[#Data],2,FALSE))</f>
        <v/>
      </c>
      <c r="J46" s="146"/>
      <c r="K46" s="194"/>
      <c r="L46" s="195" t="s">
        <v>62</v>
      </c>
      <c r="M46" s="196">
        <f>SUM(M44:M45)</f>
        <v>1.0840277777777778</v>
      </c>
      <c r="N46" s="153"/>
      <c r="O46" s="167">
        <f>SUM(O44:O45)</f>
        <v>91</v>
      </c>
      <c r="P46" s="167"/>
      <c r="Q46" s="157"/>
      <c r="R46" s="156"/>
      <c r="S46" s="157"/>
      <c r="T46" s="168">
        <f>SUM(T45+T44)</f>
        <v>0.15208333333333332</v>
      </c>
      <c r="U46" s="168">
        <f>SUM(U45+U44)</f>
        <v>0.93194444444444446</v>
      </c>
      <c r="V46" s="114" t="str">
        <f>IF(ISNA(VLOOKUP(J46,[1]!AVION1[#Data],3,FALSE)),"",VLOOKUP(J46,[1]!AVION1[#Data],3,FALSE))</f>
        <v/>
      </c>
      <c r="W46" s="114" t="str">
        <f>IF(ISNA(VLOOKUP(N46,[1]!INSTRUCTEUR[#Data],2,FALSE)),"",VLOOKUP(N46,[1]!INSTRUCTEUR[#Data],2,FALSE))</f>
        <v/>
      </c>
      <c r="X46" s="115">
        <f>(HOUR(M46)*3600+MINUTE(M46)*60+SECOND(M46))/60</f>
        <v>121</v>
      </c>
    </row>
    <row r="47" spans="1:26">
      <c r="A47" s="100">
        <v>3</v>
      </c>
      <c r="B47" s="101">
        <v>1</v>
      </c>
      <c r="C47" s="102">
        <f>CARNET_DE_VOL[[#This Row],[DATE2]]</f>
        <v>42790</v>
      </c>
      <c r="D47" s="103">
        <v>42790</v>
      </c>
      <c r="E47" s="104" t="s">
        <v>52</v>
      </c>
      <c r="F47" s="105">
        <v>0.67013888888888884</v>
      </c>
      <c r="G47" s="104" t="s">
        <v>52</v>
      </c>
      <c r="H47" s="106">
        <v>0.69652777777777775</v>
      </c>
      <c r="I47" s="103" t="str">
        <f>IF(ISNA(VLOOKUP(J47,[1]!AVION1[#Data],2,FALSE)),"",VLOOKUP(J47,[1]!AVION1[#Data],2,FALSE))</f>
        <v>C150</v>
      </c>
      <c r="J47" s="107" t="s">
        <v>56</v>
      </c>
      <c r="K47" s="108"/>
      <c r="L47" s="108"/>
      <c r="M47" s="109">
        <v>2.6388888888888889E-2</v>
      </c>
      <c r="N47" s="107" t="s">
        <v>57</v>
      </c>
      <c r="O47" s="110">
        <v>1</v>
      </c>
      <c r="P47" s="108"/>
      <c r="Q47" s="111">
        <f>IFERROR(X47*V47,0)</f>
        <v>69.92</v>
      </c>
      <c r="R47" s="112">
        <f>IFERROR(W47*X47,0)</f>
        <v>23.18</v>
      </c>
      <c r="S47" s="111">
        <f>R47+Q47</f>
        <v>93.1</v>
      </c>
      <c r="T47" s="112">
        <f>IF(N47="PENDERS Bernard",X47,0)</f>
        <v>0</v>
      </c>
      <c r="U47" s="169">
        <f>IF(N47="PENDERS Bernard",0,X47)</f>
        <v>38</v>
      </c>
      <c r="V47" s="114">
        <f>IF(ISNA(VLOOKUP(J47,[1]!AVION1[#Data],3,FALSE)),"",VLOOKUP(J47,[1]!AVION1[#Data],3,FALSE))</f>
        <v>1.84</v>
      </c>
      <c r="W47" s="114">
        <f>IF(ISNA(VLOOKUP(N47,[1]!INSTRUCTEUR[#Data],2,FALSE)),"",VLOOKUP(N47,[1]!INSTRUCTEUR[#Data],2,FALSE))</f>
        <v>0.61</v>
      </c>
      <c r="X47" s="115">
        <f>(HOUR(M47)*3600+MINUTE(M47)*60+SECOND(M47))/60</f>
        <v>38</v>
      </c>
    </row>
    <row r="48" spans="1:26">
      <c r="A48" s="116"/>
      <c r="B48" s="117">
        <f>B47+1</f>
        <v>2</v>
      </c>
      <c r="C48" s="172">
        <v>43126</v>
      </c>
      <c r="D48" s="173">
        <v>43126</v>
      </c>
      <c r="E48" s="174" t="s">
        <v>52</v>
      </c>
      <c r="F48" s="175">
        <v>0.46527777777777773</v>
      </c>
      <c r="G48" s="124" t="s">
        <v>52</v>
      </c>
      <c r="H48" s="176">
        <f t="shared" si="8"/>
        <v>0.49444444444444441</v>
      </c>
      <c r="I48" s="119" t="s">
        <v>67</v>
      </c>
      <c r="J48" s="174" t="s">
        <v>56</v>
      </c>
      <c r="K48" s="124"/>
      <c r="L48" s="124"/>
      <c r="M48" s="177">
        <v>2.9166666666666664E-2</v>
      </c>
      <c r="N48" s="178" t="s">
        <v>54</v>
      </c>
      <c r="O48" s="124">
        <v>7</v>
      </c>
      <c r="P48" s="124"/>
      <c r="Q48" s="127">
        <f t="shared" si="0"/>
        <v>77.28</v>
      </c>
      <c r="R48" s="128">
        <f t="shared" si="1"/>
        <v>25.62</v>
      </c>
      <c r="S48" s="127">
        <f t="shared" si="2"/>
        <v>102.9</v>
      </c>
      <c r="T48" s="128">
        <f t="shared" si="3"/>
        <v>0</v>
      </c>
      <c r="U48" s="170">
        <f t="shared" si="4"/>
        <v>42</v>
      </c>
      <c r="V48" s="114">
        <f>IF(ISNA(VLOOKUP(J48,[1]!AVION1[#Data],3,FALSE)),"",VLOOKUP(J48,[1]!AVION1[#Data],3,FALSE))</f>
        <v>1.84</v>
      </c>
      <c r="W48" s="114">
        <f>IF(ISNA(VLOOKUP(N48,[1]!INSTRUCTEUR[#Data],2,FALSE)),"",VLOOKUP(N48,[1]!INSTRUCTEUR[#Data],2,FALSE))</f>
        <v>0.61</v>
      </c>
      <c r="X48" s="115">
        <f t="shared" si="5"/>
        <v>42</v>
      </c>
    </row>
    <row r="49" spans="1:24">
      <c r="A49" s="116"/>
      <c r="B49" s="117">
        <f t="shared" ref="B49:B64" si="10">B48+1</f>
        <v>3</v>
      </c>
      <c r="C49" s="172">
        <v>43147</v>
      </c>
      <c r="D49" s="173">
        <v>43147</v>
      </c>
      <c r="E49" s="174" t="s">
        <v>52</v>
      </c>
      <c r="F49" s="175">
        <v>0.54305555555555551</v>
      </c>
      <c r="G49" s="124" t="s">
        <v>52</v>
      </c>
      <c r="H49" s="176" t="s">
        <v>74</v>
      </c>
      <c r="I49" s="119" t="s">
        <v>67</v>
      </c>
      <c r="J49" s="174" t="s">
        <v>75</v>
      </c>
      <c r="K49" s="124"/>
      <c r="L49" s="124"/>
      <c r="M49" s="177">
        <v>1.2499999999999999E-2</v>
      </c>
      <c r="N49" s="178" t="s">
        <v>54</v>
      </c>
      <c r="O49" s="124">
        <v>2</v>
      </c>
      <c r="P49" s="124"/>
      <c r="Q49" s="127">
        <f t="shared" si="0"/>
        <v>33.120000000000005</v>
      </c>
      <c r="R49" s="128">
        <f t="shared" si="1"/>
        <v>10.98</v>
      </c>
      <c r="S49" s="127">
        <f t="shared" si="2"/>
        <v>44.100000000000009</v>
      </c>
      <c r="T49" s="128">
        <f t="shared" si="3"/>
        <v>0</v>
      </c>
      <c r="U49" s="170">
        <f t="shared" si="4"/>
        <v>18</v>
      </c>
      <c r="V49" s="114">
        <f>IF(ISNA(VLOOKUP(J49,[1]!AVION1[#Data],3,FALSE)),"",VLOOKUP(J49,[1]!AVION1[#Data],3,FALSE))</f>
        <v>1.84</v>
      </c>
      <c r="W49" s="114">
        <f>IF(ISNA(VLOOKUP(N49,[1]!INSTRUCTEUR[#Data],2,FALSE)),"",VLOOKUP(N49,[1]!INSTRUCTEUR[#Data],2,FALSE))</f>
        <v>0.61</v>
      </c>
      <c r="X49" s="115">
        <f t="shared" si="5"/>
        <v>18</v>
      </c>
    </row>
    <row r="50" spans="1:24">
      <c r="A50" s="116"/>
      <c r="B50" s="117">
        <f t="shared" si="10"/>
        <v>4</v>
      </c>
      <c r="C50" s="172"/>
      <c r="D50" s="173"/>
      <c r="E50" s="174"/>
      <c r="F50" s="175"/>
      <c r="G50" s="124"/>
      <c r="H50" s="176">
        <f t="shared" si="8"/>
        <v>0</v>
      </c>
      <c r="I50" s="119" t="str">
        <f>IF(ISNA(VLOOKUP(J50,[1]!AVION1[#Data],2,FALSE)),"",VLOOKUP(J50,[1]!AVION1[#Data],2,FALSE))</f>
        <v/>
      </c>
      <c r="J50" s="174"/>
      <c r="K50" s="124"/>
      <c r="L50" s="124"/>
      <c r="M50" s="177">
        <f t="shared" si="9"/>
        <v>0</v>
      </c>
      <c r="N50" s="178"/>
      <c r="O50" s="124"/>
      <c r="P50" s="124"/>
      <c r="Q50" s="127">
        <f t="shared" si="0"/>
        <v>0</v>
      </c>
      <c r="R50" s="128">
        <f t="shared" si="1"/>
        <v>0</v>
      </c>
      <c r="S50" s="127">
        <f t="shared" si="2"/>
        <v>0</v>
      </c>
      <c r="T50" s="128">
        <f t="shared" si="3"/>
        <v>0</v>
      </c>
      <c r="U50" s="170">
        <f t="shared" si="4"/>
        <v>0</v>
      </c>
      <c r="V50" s="114" t="str">
        <f>IF(ISNA(VLOOKUP(J50,[1]!AVION1[#Data],3,FALSE)),"",VLOOKUP(J50,[1]!AVION1[#Data],3,FALSE))</f>
        <v/>
      </c>
      <c r="W50" s="114" t="str">
        <f>IF(ISNA(VLOOKUP(N50,[1]!INSTRUCTEUR[#Data],2,FALSE)),"",VLOOKUP(N50,[1]!INSTRUCTEUR[#Data],2,FALSE))</f>
        <v/>
      </c>
      <c r="X50" s="115">
        <f t="shared" si="5"/>
        <v>0</v>
      </c>
    </row>
    <row r="51" spans="1:24">
      <c r="A51" s="116"/>
      <c r="B51" s="117">
        <f t="shared" si="10"/>
        <v>5</v>
      </c>
      <c r="C51" s="172"/>
      <c r="D51" s="173"/>
      <c r="E51" s="174"/>
      <c r="F51" s="175"/>
      <c r="G51" s="124"/>
      <c r="H51" s="176">
        <f t="shared" si="8"/>
        <v>0</v>
      </c>
      <c r="I51" s="119" t="str">
        <f>IF(ISNA(VLOOKUP(J51,[1]!AVION1[#Data],2,FALSE)),"",VLOOKUP(J51,[1]!AVION1[#Data],2,FALSE))</f>
        <v/>
      </c>
      <c r="J51" s="174"/>
      <c r="K51" s="124"/>
      <c r="L51" s="124"/>
      <c r="M51" s="177">
        <f t="shared" si="9"/>
        <v>0</v>
      </c>
      <c r="N51" s="178"/>
      <c r="O51" s="124"/>
      <c r="P51" s="124"/>
      <c r="Q51" s="127">
        <f t="shared" si="0"/>
        <v>0</v>
      </c>
      <c r="R51" s="128">
        <f t="shared" si="1"/>
        <v>0</v>
      </c>
      <c r="S51" s="127">
        <f t="shared" si="2"/>
        <v>0</v>
      </c>
      <c r="T51" s="128">
        <f t="shared" si="3"/>
        <v>0</v>
      </c>
      <c r="U51" s="170">
        <f t="shared" si="4"/>
        <v>0</v>
      </c>
      <c r="V51" s="114" t="str">
        <f>IF(ISNA(VLOOKUP(J51,[1]!AVION1[#Data],3,FALSE)),"",VLOOKUP(J51,[1]!AVION1[#Data],3,FALSE))</f>
        <v/>
      </c>
      <c r="W51" s="114" t="str">
        <f>IF(ISNA(VLOOKUP(N51,[1]!INSTRUCTEUR[#Data],2,FALSE)),"",VLOOKUP(N51,[1]!INSTRUCTEUR[#Data],2,FALSE))</f>
        <v/>
      </c>
      <c r="X51" s="115">
        <f t="shared" si="5"/>
        <v>0</v>
      </c>
    </row>
    <row r="52" spans="1:24">
      <c r="A52" s="116"/>
      <c r="B52" s="117">
        <f t="shared" si="10"/>
        <v>6</v>
      </c>
      <c r="C52" s="172"/>
      <c r="D52" s="173"/>
      <c r="E52" s="174"/>
      <c r="F52" s="175"/>
      <c r="G52" s="124"/>
      <c r="H52" s="176">
        <f t="shared" si="8"/>
        <v>0</v>
      </c>
      <c r="I52" s="119" t="str">
        <f>IF(ISNA(VLOOKUP(J52,[1]!AVION1[#Data],2,FALSE)),"",VLOOKUP(J52,[1]!AVION1[#Data],2,FALSE))</f>
        <v/>
      </c>
      <c r="J52" s="174"/>
      <c r="K52" s="124"/>
      <c r="L52" s="124"/>
      <c r="M52" s="177">
        <f t="shared" si="9"/>
        <v>0</v>
      </c>
      <c r="N52" s="178"/>
      <c r="O52" s="124"/>
      <c r="P52" s="124"/>
      <c r="Q52" s="127">
        <f t="shared" si="0"/>
        <v>0</v>
      </c>
      <c r="R52" s="128">
        <f t="shared" si="1"/>
        <v>0</v>
      </c>
      <c r="S52" s="127">
        <f t="shared" si="2"/>
        <v>0</v>
      </c>
      <c r="T52" s="128">
        <f t="shared" si="3"/>
        <v>0</v>
      </c>
      <c r="U52" s="170">
        <f t="shared" si="4"/>
        <v>0</v>
      </c>
      <c r="V52" s="114" t="str">
        <f>IF(ISNA(VLOOKUP(J52,[1]!AVION1[#Data],3,FALSE)),"",VLOOKUP(J52,[1]!AVION1[#Data],3,FALSE))</f>
        <v/>
      </c>
      <c r="W52" s="114" t="str">
        <f>IF(ISNA(VLOOKUP(N52,[1]!INSTRUCTEUR[#Data],2,FALSE)),"",VLOOKUP(N52,[1]!INSTRUCTEUR[#Data],2,FALSE))</f>
        <v/>
      </c>
      <c r="X52" s="115">
        <f t="shared" si="5"/>
        <v>0</v>
      </c>
    </row>
    <row r="53" spans="1:24">
      <c r="A53" s="116"/>
      <c r="B53" s="117">
        <f t="shared" si="10"/>
        <v>7</v>
      </c>
      <c r="C53" s="172"/>
      <c r="D53" s="173"/>
      <c r="E53" s="174"/>
      <c r="F53" s="175"/>
      <c r="G53" s="124"/>
      <c r="H53" s="176">
        <f t="shared" si="8"/>
        <v>0</v>
      </c>
      <c r="I53" s="119" t="str">
        <f>IF(ISNA(VLOOKUP(J53,[1]!AVION1[#Data],2,FALSE)),"",VLOOKUP(J53,[1]!AVION1[#Data],2,FALSE))</f>
        <v/>
      </c>
      <c r="J53" s="174"/>
      <c r="K53" s="124"/>
      <c r="L53" s="124"/>
      <c r="M53" s="177">
        <f t="shared" si="9"/>
        <v>0</v>
      </c>
      <c r="N53" s="178"/>
      <c r="O53" s="124"/>
      <c r="P53" s="124"/>
      <c r="Q53" s="127">
        <f t="shared" si="0"/>
        <v>0</v>
      </c>
      <c r="R53" s="128">
        <f t="shared" si="1"/>
        <v>0</v>
      </c>
      <c r="S53" s="127">
        <f t="shared" si="2"/>
        <v>0</v>
      </c>
      <c r="T53" s="128">
        <f t="shared" si="3"/>
        <v>0</v>
      </c>
      <c r="U53" s="170">
        <f t="shared" si="4"/>
        <v>0</v>
      </c>
      <c r="V53" s="114" t="str">
        <f>IF(ISNA(VLOOKUP(J53,[1]!AVION1[#Data],3,FALSE)),"",VLOOKUP(J53,[1]!AVION1[#Data],3,FALSE))</f>
        <v/>
      </c>
      <c r="W53" s="114" t="str">
        <f>IF(ISNA(VLOOKUP(N53,[1]!INSTRUCTEUR[#Data],2,FALSE)),"",VLOOKUP(N53,[1]!INSTRUCTEUR[#Data],2,FALSE))</f>
        <v/>
      </c>
      <c r="X53" s="115">
        <f t="shared" si="5"/>
        <v>0</v>
      </c>
    </row>
    <row r="54" spans="1:24">
      <c r="A54" s="116"/>
      <c r="B54" s="117">
        <f t="shared" si="10"/>
        <v>8</v>
      </c>
      <c r="C54" s="172"/>
      <c r="D54" s="173"/>
      <c r="E54" s="174"/>
      <c r="F54" s="175"/>
      <c r="G54" s="124"/>
      <c r="H54" s="176">
        <f t="shared" si="8"/>
        <v>0</v>
      </c>
      <c r="I54" s="119" t="str">
        <f>IF(ISNA(VLOOKUP(J54,[1]!AVION1[#Data],2,FALSE)),"",VLOOKUP(J54,[1]!AVION1[#Data],2,FALSE))</f>
        <v/>
      </c>
      <c r="J54" s="174"/>
      <c r="K54" s="124"/>
      <c r="L54" s="124"/>
      <c r="M54" s="177">
        <f t="shared" si="9"/>
        <v>0</v>
      </c>
      <c r="N54" s="178"/>
      <c r="O54" s="124"/>
      <c r="P54" s="124"/>
      <c r="Q54" s="127">
        <f t="shared" si="0"/>
        <v>0</v>
      </c>
      <c r="R54" s="128">
        <f t="shared" si="1"/>
        <v>0</v>
      </c>
      <c r="S54" s="127">
        <f t="shared" si="2"/>
        <v>0</v>
      </c>
      <c r="T54" s="128">
        <f t="shared" si="3"/>
        <v>0</v>
      </c>
      <c r="U54" s="170">
        <f t="shared" si="4"/>
        <v>0</v>
      </c>
      <c r="V54" s="114" t="str">
        <f>IF(ISNA(VLOOKUP(J54,[1]!AVION1[#Data],3,FALSE)),"",VLOOKUP(J54,[1]!AVION1[#Data],3,FALSE))</f>
        <v/>
      </c>
      <c r="W54" s="114" t="str">
        <f>IF(ISNA(VLOOKUP(N54,[1]!INSTRUCTEUR[#Data],2,FALSE)),"",VLOOKUP(N54,[1]!INSTRUCTEUR[#Data],2,FALSE))</f>
        <v/>
      </c>
      <c r="X54" s="115">
        <f t="shared" si="5"/>
        <v>0</v>
      </c>
    </row>
    <row r="55" spans="1:24">
      <c r="A55" s="116"/>
      <c r="B55" s="117">
        <f t="shared" si="10"/>
        <v>9</v>
      </c>
      <c r="C55" s="172"/>
      <c r="D55" s="173"/>
      <c r="E55" s="174"/>
      <c r="F55" s="175"/>
      <c r="G55" s="124"/>
      <c r="H55" s="176">
        <f t="shared" si="8"/>
        <v>0</v>
      </c>
      <c r="I55" s="119" t="str">
        <f>IF(ISNA(VLOOKUP(J55,[1]!AVION1[#Data],2,FALSE)),"",VLOOKUP(J55,[1]!AVION1[#Data],2,FALSE))</f>
        <v/>
      </c>
      <c r="J55" s="174"/>
      <c r="K55" s="124"/>
      <c r="L55" s="124"/>
      <c r="M55" s="177">
        <f t="shared" si="9"/>
        <v>0</v>
      </c>
      <c r="N55" s="178"/>
      <c r="O55" s="124"/>
      <c r="P55" s="124"/>
      <c r="Q55" s="127">
        <f t="shared" si="0"/>
        <v>0</v>
      </c>
      <c r="R55" s="128">
        <f t="shared" si="1"/>
        <v>0</v>
      </c>
      <c r="S55" s="127">
        <f t="shared" si="2"/>
        <v>0</v>
      </c>
      <c r="T55" s="128">
        <f t="shared" si="3"/>
        <v>0</v>
      </c>
      <c r="U55" s="170">
        <f t="shared" si="4"/>
        <v>0</v>
      </c>
      <c r="V55" s="114" t="str">
        <f>IF(ISNA(VLOOKUP(J55,[1]!AVION1[#Data],3,FALSE)),"",VLOOKUP(J55,[1]!AVION1[#Data],3,FALSE))</f>
        <v/>
      </c>
      <c r="W55" s="114" t="str">
        <f>IF(ISNA(VLOOKUP(N55,[1]!INSTRUCTEUR[#Data],2,FALSE)),"",VLOOKUP(N55,[1]!INSTRUCTEUR[#Data],2,FALSE))</f>
        <v/>
      </c>
      <c r="X55" s="115">
        <f t="shared" si="5"/>
        <v>0</v>
      </c>
    </row>
    <row r="56" spans="1:24">
      <c r="A56" s="116"/>
      <c r="B56" s="117">
        <f t="shared" si="10"/>
        <v>10</v>
      </c>
      <c r="C56" s="172"/>
      <c r="D56" s="173"/>
      <c r="E56" s="174"/>
      <c r="F56" s="175"/>
      <c r="G56" s="124"/>
      <c r="H56" s="176">
        <f t="shared" si="8"/>
        <v>0</v>
      </c>
      <c r="I56" s="119" t="str">
        <f>IF(ISNA(VLOOKUP(J56,[1]!AVION1[#Data],2,FALSE)),"",VLOOKUP(J56,[1]!AVION1[#Data],2,FALSE))</f>
        <v/>
      </c>
      <c r="J56" s="174"/>
      <c r="K56" s="124"/>
      <c r="L56" s="124"/>
      <c r="M56" s="177">
        <f t="shared" si="9"/>
        <v>0</v>
      </c>
      <c r="N56" s="178"/>
      <c r="O56" s="124"/>
      <c r="P56" s="124"/>
      <c r="Q56" s="127">
        <f t="shared" si="0"/>
        <v>0</v>
      </c>
      <c r="R56" s="128">
        <f t="shared" si="1"/>
        <v>0</v>
      </c>
      <c r="S56" s="127">
        <f t="shared" si="2"/>
        <v>0</v>
      </c>
      <c r="T56" s="128">
        <f t="shared" si="3"/>
        <v>0</v>
      </c>
      <c r="U56" s="170">
        <f t="shared" si="4"/>
        <v>0</v>
      </c>
      <c r="V56" s="114" t="str">
        <f>IF(ISNA(VLOOKUP(J56,[1]!AVION1[#Data],3,FALSE)),"",VLOOKUP(J56,[1]!AVION1[#Data],3,FALSE))</f>
        <v/>
      </c>
      <c r="W56" s="114" t="str">
        <f>IF(ISNA(VLOOKUP(N56,[1]!INSTRUCTEUR[#Data],2,FALSE)),"",VLOOKUP(N56,[1]!INSTRUCTEUR[#Data],2,FALSE))</f>
        <v/>
      </c>
      <c r="X56" s="115">
        <f t="shared" si="5"/>
        <v>0</v>
      </c>
    </row>
    <row r="57" spans="1:24">
      <c r="A57" s="116"/>
      <c r="B57" s="117">
        <f t="shared" si="10"/>
        <v>11</v>
      </c>
      <c r="C57" s="172"/>
      <c r="D57" s="173"/>
      <c r="E57" s="174"/>
      <c r="F57" s="175"/>
      <c r="G57" s="124"/>
      <c r="H57" s="176">
        <f t="shared" si="8"/>
        <v>0</v>
      </c>
      <c r="I57" s="119" t="str">
        <f>IF(ISNA(VLOOKUP(J57,[1]!AVION1[#Data],2,FALSE)),"",VLOOKUP(J57,[1]!AVION1[#Data],2,FALSE))</f>
        <v/>
      </c>
      <c r="J57" s="174"/>
      <c r="K57" s="124"/>
      <c r="L57" s="124"/>
      <c r="M57" s="177">
        <f t="shared" si="9"/>
        <v>0</v>
      </c>
      <c r="N57" s="178"/>
      <c r="O57" s="124"/>
      <c r="P57" s="124"/>
      <c r="Q57" s="127">
        <f t="shared" si="0"/>
        <v>0</v>
      </c>
      <c r="R57" s="128">
        <f t="shared" si="1"/>
        <v>0</v>
      </c>
      <c r="S57" s="127">
        <f t="shared" si="2"/>
        <v>0</v>
      </c>
      <c r="T57" s="128">
        <f t="shared" si="3"/>
        <v>0</v>
      </c>
      <c r="U57" s="170">
        <f t="shared" si="4"/>
        <v>0</v>
      </c>
      <c r="V57" s="114" t="str">
        <f>IF(ISNA(VLOOKUP(J57,[1]!AVION1[#Data],3,FALSE)),"",VLOOKUP(J57,[1]!AVION1[#Data],3,FALSE))</f>
        <v/>
      </c>
      <c r="W57" s="114" t="str">
        <f>IF(ISNA(VLOOKUP(N57,[1]!INSTRUCTEUR[#Data],2,FALSE)),"",VLOOKUP(N57,[1]!INSTRUCTEUR[#Data],2,FALSE))</f>
        <v/>
      </c>
      <c r="X57" s="115">
        <f t="shared" si="5"/>
        <v>0</v>
      </c>
    </row>
    <row r="58" spans="1:24">
      <c r="A58" s="116"/>
      <c r="B58" s="117">
        <f t="shared" si="10"/>
        <v>12</v>
      </c>
      <c r="C58" s="172"/>
      <c r="D58" s="173"/>
      <c r="E58" s="174"/>
      <c r="F58" s="175"/>
      <c r="G58" s="124"/>
      <c r="H58" s="176">
        <f t="shared" si="8"/>
        <v>0</v>
      </c>
      <c r="I58" s="119" t="str">
        <f>IF(ISNA(VLOOKUP(J58,[1]!AVION1[#Data],2,FALSE)),"",VLOOKUP(J58,[1]!AVION1[#Data],2,FALSE))</f>
        <v/>
      </c>
      <c r="J58" s="174"/>
      <c r="K58" s="124"/>
      <c r="L58" s="124"/>
      <c r="M58" s="177">
        <f t="shared" si="9"/>
        <v>0</v>
      </c>
      <c r="N58" s="178"/>
      <c r="O58" s="124"/>
      <c r="P58" s="124"/>
      <c r="Q58" s="127">
        <f t="shared" si="0"/>
        <v>0</v>
      </c>
      <c r="R58" s="128">
        <f t="shared" si="1"/>
        <v>0</v>
      </c>
      <c r="S58" s="127">
        <f t="shared" si="2"/>
        <v>0</v>
      </c>
      <c r="T58" s="128">
        <f t="shared" si="3"/>
        <v>0</v>
      </c>
      <c r="U58" s="170">
        <f t="shared" si="4"/>
        <v>0</v>
      </c>
      <c r="V58" s="114" t="str">
        <f>IF(ISNA(VLOOKUP(J58,[1]!AVION1[#Data],3,FALSE)),"",VLOOKUP(J58,[1]!AVION1[#Data],3,FALSE))</f>
        <v/>
      </c>
      <c r="W58" s="114" t="str">
        <f>IF(ISNA(VLOOKUP(N58,[1]!INSTRUCTEUR[#Data],2,FALSE)),"",VLOOKUP(N58,[1]!INSTRUCTEUR[#Data],2,FALSE))</f>
        <v/>
      </c>
      <c r="X58" s="115">
        <f t="shared" si="5"/>
        <v>0</v>
      </c>
    </row>
    <row r="59" spans="1:24">
      <c r="A59" s="116"/>
      <c r="B59" s="117">
        <f t="shared" si="10"/>
        <v>13</v>
      </c>
      <c r="C59" s="172"/>
      <c r="D59" s="173"/>
      <c r="E59" s="174"/>
      <c r="F59" s="175"/>
      <c r="G59" s="124"/>
      <c r="H59" s="176">
        <f t="shared" si="8"/>
        <v>0</v>
      </c>
      <c r="I59" s="119" t="str">
        <f>IF(ISNA(VLOOKUP(J59,[1]!AVION1[#Data],2,FALSE)),"",VLOOKUP(J59,[1]!AVION1[#Data],2,FALSE))</f>
        <v/>
      </c>
      <c r="J59" s="174"/>
      <c r="K59" s="124"/>
      <c r="L59" s="124"/>
      <c r="M59" s="177">
        <f t="shared" si="9"/>
        <v>0</v>
      </c>
      <c r="N59" s="178"/>
      <c r="O59" s="124"/>
      <c r="P59" s="124"/>
      <c r="Q59" s="127">
        <f t="shared" si="0"/>
        <v>0</v>
      </c>
      <c r="R59" s="128">
        <f t="shared" si="1"/>
        <v>0</v>
      </c>
      <c r="S59" s="127">
        <f t="shared" si="2"/>
        <v>0</v>
      </c>
      <c r="T59" s="128">
        <f t="shared" si="3"/>
        <v>0</v>
      </c>
      <c r="U59" s="170">
        <f t="shared" si="4"/>
        <v>0</v>
      </c>
      <c r="V59" s="114" t="str">
        <f>IF(ISNA(VLOOKUP(J59,[1]!AVION1[#Data],3,FALSE)),"",VLOOKUP(J59,[1]!AVION1[#Data],3,FALSE))</f>
        <v/>
      </c>
      <c r="W59" s="114" t="str">
        <f>IF(ISNA(VLOOKUP(N59,[1]!INSTRUCTEUR[#Data],2,FALSE)),"",VLOOKUP(N59,[1]!INSTRUCTEUR[#Data],2,FALSE))</f>
        <v/>
      </c>
      <c r="X59" s="115">
        <f t="shared" si="5"/>
        <v>0</v>
      </c>
    </row>
    <row r="60" spans="1:24">
      <c r="A60" s="116"/>
      <c r="B60" s="117">
        <f t="shared" si="10"/>
        <v>14</v>
      </c>
      <c r="C60" s="172"/>
      <c r="D60" s="173"/>
      <c r="E60" s="174"/>
      <c r="F60" s="175"/>
      <c r="G60" s="124"/>
      <c r="H60" s="176">
        <f t="shared" si="8"/>
        <v>0</v>
      </c>
      <c r="I60" s="119" t="str">
        <f>IF(ISNA(VLOOKUP(J60,[1]!AVION1[#Data],2,FALSE)),"",VLOOKUP(J60,[1]!AVION1[#Data],2,FALSE))</f>
        <v/>
      </c>
      <c r="J60" s="174"/>
      <c r="K60" s="124"/>
      <c r="L60" s="124"/>
      <c r="M60" s="177">
        <f t="shared" si="9"/>
        <v>0</v>
      </c>
      <c r="N60" s="178"/>
      <c r="O60" s="124"/>
      <c r="P60" s="124"/>
      <c r="Q60" s="127">
        <f t="shared" si="0"/>
        <v>0</v>
      </c>
      <c r="R60" s="128">
        <f t="shared" si="1"/>
        <v>0</v>
      </c>
      <c r="S60" s="127">
        <f t="shared" si="2"/>
        <v>0</v>
      </c>
      <c r="T60" s="128">
        <f t="shared" si="3"/>
        <v>0</v>
      </c>
      <c r="U60" s="170">
        <f t="shared" si="4"/>
        <v>0</v>
      </c>
      <c r="V60" s="114" t="str">
        <f>IF(ISNA(VLOOKUP(J60,[1]!AVION1[#Data],3,FALSE)),"",VLOOKUP(J60,[1]!AVION1[#Data],3,FALSE))</f>
        <v/>
      </c>
      <c r="W60" s="114" t="str">
        <f>IF(ISNA(VLOOKUP(N60,[1]!INSTRUCTEUR[#Data],2,FALSE)),"",VLOOKUP(N60,[1]!INSTRUCTEUR[#Data],2,FALSE))</f>
        <v/>
      </c>
      <c r="X60" s="115">
        <f t="shared" si="5"/>
        <v>0</v>
      </c>
    </row>
    <row r="61" spans="1:24">
      <c r="A61" s="116"/>
      <c r="B61" s="117">
        <f t="shared" si="10"/>
        <v>15</v>
      </c>
      <c r="C61" s="172"/>
      <c r="D61" s="173"/>
      <c r="E61" s="174"/>
      <c r="F61" s="175"/>
      <c r="G61" s="124"/>
      <c r="H61" s="176">
        <f t="shared" si="8"/>
        <v>0</v>
      </c>
      <c r="I61" s="119" t="str">
        <f>IF(ISNA(VLOOKUP(J61,[1]!AVION1[#Data],2,FALSE)),"",VLOOKUP(J61,[1]!AVION1[#Data],2,FALSE))</f>
        <v/>
      </c>
      <c r="J61" s="174"/>
      <c r="K61" s="124"/>
      <c r="L61" s="124"/>
      <c r="M61" s="177">
        <f t="shared" si="9"/>
        <v>0</v>
      </c>
      <c r="N61" s="178"/>
      <c r="O61" s="124"/>
      <c r="P61" s="124"/>
      <c r="Q61" s="127">
        <f t="shared" si="0"/>
        <v>0</v>
      </c>
      <c r="R61" s="128">
        <f t="shared" si="1"/>
        <v>0</v>
      </c>
      <c r="S61" s="127">
        <f t="shared" si="2"/>
        <v>0</v>
      </c>
      <c r="T61" s="128">
        <f t="shared" si="3"/>
        <v>0</v>
      </c>
      <c r="U61" s="170">
        <f t="shared" si="4"/>
        <v>0</v>
      </c>
      <c r="V61" s="114" t="str">
        <f>IF(ISNA(VLOOKUP(J61,[1]!AVION1[#Data],3,FALSE)),"",VLOOKUP(J61,[1]!AVION1[#Data],3,FALSE))</f>
        <v/>
      </c>
      <c r="W61" s="114" t="str">
        <f>IF(ISNA(VLOOKUP(N61,[1]!INSTRUCTEUR[#Data],2,FALSE)),"",VLOOKUP(N61,[1]!INSTRUCTEUR[#Data],2,FALSE))</f>
        <v/>
      </c>
      <c r="X61" s="115">
        <f t="shared" si="5"/>
        <v>0</v>
      </c>
    </row>
    <row r="62" spans="1:24">
      <c r="A62" s="116"/>
      <c r="B62" s="117">
        <f t="shared" si="10"/>
        <v>16</v>
      </c>
      <c r="C62" s="172"/>
      <c r="D62" s="173"/>
      <c r="E62" s="174"/>
      <c r="F62" s="175"/>
      <c r="G62" s="124"/>
      <c r="H62" s="176">
        <f t="shared" si="8"/>
        <v>0</v>
      </c>
      <c r="I62" s="119" t="str">
        <f>IF(ISNA(VLOOKUP(J62,[1]!AVION1[#Data],2,FALSE)),"",VLOOKUP(J62,[1]!AVION1[#Data],2,FALSE))</f>
        <v/>
      </c>
      <c r="J62" s="174"/>
      <c r="K62" s="124"/>
      <c r="L62" s="124"/>
      <c r="M62" s="177">
        <f t="shared" si="9"/>
        <v>0</v>
      </c>
      <c r="N62" s="178"/>
      <c r="O62" s="124"/>
      <c r="P62" s="124"/>
      <c r="Q62" s="127">
        <f t="shared" si="0"/>
        <v>0</v>
      </c>
      <c r="R62" s="128">
        <f t="shared" si="1"/>
        <v>0</v>
      </c>
      <c r="S62" s="127">
        <f t="shared" si="2"/>
        <v>0</v>
      </c>
      <c r="T62" s="128">
        <f t="shared" si="3"/>
        <v>0</v>
      </c>
      <c r="U62" s="170">
        <f t="shared" si="4"/>
        <v>0</v>
      </c>
      <c r="V62" s="114" t="str">
        <f>IF(ISNA(VLOOKUP(J62,[1]!AVION1[#Data],3,FALSE)),"",VLOOKUP(J62,[1]!AVION1[#Data],3,FALSE))</f>
        <v/>
      </c>
      <c r="W62" s="114" t="str">
        <f>IF(ISNA(VLOOKUP(N62,[1]!INSTRUCTEUR[#Data],2,FALSE)),"",VLOOKUP(N62,[1]!INSTRUCTEUR[#Data],2,FALSE))</f>
        <v/>
      </c>
      <c r="X62" s="115">
        <f t="shared" si="5"/>
        <v>0</v>
      </c>
    </row>
    <row r="63" spans="1:24">
      <c r="A63" s="116"/>
      <c r="B63" s="117">
        <f t="shared" si="10"/>
        <v>17</v>
      </c>
      <c r="C63" s="172"/>
      <c r="D63" s="173"/>
      <c r="E63" s="174"/>
      <c r="F63" s="175"/>
      <c r="G63" s="124"/>
      <c r="H63" s="176">
        <f t="shared" si="8"/>
        <v>0</v>
      </c>
      <c r="I63" s="119" t="str">
        <f>IF(ISNA(VLOOKUP(J63,[1]!AVION1[#Data],2,FALSE)),"",VLOOKUP(J63,[1]!AVION1[#Data],2,FALSE))</f>
        <v/>
      </c>
      <c r="J63" s="174"/>
      <c r="K63" s="124"/>
      <c r="L63" s="124"/>
      <c r="M63" s="177">
        <f t="shared" si="9"/>
        <v>0</v>
      </c>
      <c r="N63" s="178"/>
      <c r="O63" s="124"/>
      <c r="P63" s="124"/>
      <c r="Q63" s="127">
        <f t="shared" si="0"/>
        <v>0</v>
      </c>
      <c r="R63" s="128">
        <f t="shared" si="1"/>
        <v>0</v>
      </c>
      <c r="S63" s="127">
        <f t="shared" si="2"/>
        <v>0</v>
      </c>
      <c r="T63" s="128">
        <f t="shared" si="3"/>
        <v>0</v>
      </c>
      <c r="U63" s="170">
        <f t="shared" si="4"/>
        <v>0</v>
      </c>
      <c r="V63" s="114" t="str">
        <f>IF(ISNA(VLOOKUP(J63,[1]!AVION1[#Data],3,FALSE)),"",VLOOKUP(J63,[1]!AVION1[#Data],3,FALSE))</f>
        <v/>
      </c>
      <c r="W63" s="114" t="str">
        <f>IF(ISNA(VLOOKUP(N63,[1]!INSTRUCTEUR[#Data],2,FALSE)),"",VLOOKUP(N63,[1]!INSTRUCTEUR[#Data],2,FALSE))</f>
        <v/>
      </c>
      <c r="X63" s="115">
        <f t="shared" si="5"/>
        <v>0</v>
      </c>
    </row>
    <row r="64" spans="1:24" ht="15" thickBot="1">
      <c r="A64" s="131"/>
      <c r="B64" s="132">
        <f t="shared" si="10"/>
        <v>18</v>
      </c>
      <c r="C64" s="180"/>
      <c r="D64" s="181"/>
      <c r="E64" s="182"/>
      <c r="F64" s="183"/>
      <c r="G64" s="139"/>
      <c r="H64" s="184">
        <f t="shared" si="8"/>
        <v>0</v>
      </c>
      <c r="I64" s="134" t="str">
        <f>IF(ISNA(VLOOKUP(J64,[1]!AVION1[#Data],2,FALSE)),"",VLOOKUP(J64,[1]!AVION1[#Data],2,FALSE))</f>
        <v/>
      </c>
      <c r="J64" s="182"/>
      <c r="K64" s="139"/>
      <c r="L64" s="139"/>
      <c r="M64" s="197">
        <f t="shared" si="9"/>
        <v>0</v>
      </c>
      <c r="N64" s="186"/>
      <c r="O64" s="139"/>
      <c r="P64" s="139"/>
      <c r="Q64" s="142">
        <f t="shared" si="0"/>
        <v>0</v>
      </c>
      <c r="R64" s="143">
        <f t="shared" si="1"/>
        <v>0</v>
      </c>
      <c r="S64" s="142">
        <f t="shared" si="2"/>
        <v>0</v>
      </c>
      <c r="T64" s="143">
        <f t="shared" si="3"/>
        <v>0</v>
      </c>
      <c r="U64" s="187">
        <f t="shared" si="4"/>
        <v>0</v>
      </c>
      <c r="V64" s="114" t="str">
        <f>IF(ISNA(VLOOKUP(J64,[1]!AVION1[#Data],3,FALSE)),"",VLOOKUP(J64,[1]!AVION1[#Data],3,FALSE))</f>
        <v/>
      </c>
      <c r="W64" s="114" t="str">
        <f>IF(ISNA(VLOOKUP(N64,[1]!INSTRUCTEUR[#Data],2,FALSE)),"",VLOOKUP(N64,[1]!INSTRUCTEUR[#Data],2,FALSE))</f>
        <v/>
      </c>
      <c r="X64" s="115">
        <f t="shared" si="5"/>
        <v>0</v>
      </c>
    </row>
    <row r="65" spans="1:24" ht="15.6">
      <c r="C65" s="145"/>
      <c r="D65" s="146"/>
      <c r="E65" s="146"/>
      <c r="F65" s="147"/>
      <c r="G65" s="146"/>
      <c r="H65" s="148"/>
      <c r="I65" s="149" t="str">
        <f>IF(ISNA(VLOOKUP(J65,[1]!AVION1[#Data],2,FALSE)),"",VLOOKUP(J65,[1]!AVION1[#Data],2,FALSE))</f>
        <v/>
      </c>
      <c r="J65" s="150"/>
      <c r="K65" s="188"/>
      <c r="L65" s="189" t="s">
        <v>60</v>
      </c>
      <c r="M65" s="190">
        <f>SUM(M47:M64)</f>
        <v>6.805555555555555E-2</v>
      </c>
      <c r="N65" s="153"/>
      <c r="O65" s="154">
        <f>SUM(O47:O64)</f>
        <v>10</v>
      </c>
      <c r="P65" s="154"/>
      <c r="Q65" s="155"/>
      <c r="R65" s="156"/>
      <c r="S65" s="157"/>
      <c r="T65" s="158">
        <f>SUM(T47:T64)/1440</f>
        <v>0</v>
      </c>
      <c r="U65" s="158">
        <f>SUM(U47:U64)/1440</f>
        <v>6.805555555555555E-2</v>
      </c>
      <c r="V65" s="114" t="str">
        <f>IF(ISNA(VLOOKUP(J65,[1]!AVION1[#Data],3,FALSE)),"",VLOOKUP(J65,[1]!AVION1[#Data],3,FALSE))</f>
        <v/>
      </c>
      <c r="W65" s="114" t="str">
        <f>IF(ISNA(VLOOKUP(N65,[1]!INSTRUCTEUR[#Data],2,FALSE)),"",VLOOKUP(N65,[1]!INSTRUCTEUR[#Data],2,FALSE))</f>
        <v/>
      </c>
      <c r="X65" s="115">
        <f t="shared" si="5"/>
        <v>98</v>
      </c>
    </row>
    <row r="66" spans="1:24" ht="15.6">
      <c r="C66" s="145"/>
      <c r="D66" s="146"/>
      <c r="E66" s="146"/>
      <c r="F66" s="147"/>
      <c r="G66" s="146"/>
      <c r="H66" s="148"/>
      <c r="I66" s="149" t="str">
        <f>IF(ISNA(VLOOKUP(J66,[1]!AVION1[#Data],2,FALSE)),"",VLOOKUP(J66,[1]!AVION1[#Data],2,FALSE))</f>
        <v/>
      </c>
      <c r="J66" s="146"/>
      <c r="K66" s="191"/>
      <c r="L66" s="192" t="s">
        <v>61</v>
      </c>
      <c r="M66" s="193">
        <f>M46</f>
        <v>1.0840277777777778</v>
      </c>
      <c r="N66" s="153"/>
      <c r="O66" s="163">
        <f>O46</f>
        <v>91</v>
      </c>
      <c r="P66" s="163"/>
      <c r="Q66" s="157"/>
      <c r="R66" s="156"/>
      <c r="S66" s="157"/>
      <c r="T66" s="164">
        <f>T46</f>
        <v>0.15208333333333332</v>
      </c>
      <c r="U66" s="164">
        <f>U46</f>
        <v>0.93194444444444446</v>
      </c>
      <c r="V66" s="114" t="str">
        <f>IF(ISNA(VLOOKUP(J66,[1]!AVION1[#Data],3,FALSE)),"",VLOOKUP(J66,[1]!AVION1[#Data],3,FALSE))</f>
        <v/>
      </c>
      <c r="W66" s="114" t="str">
        <f>IF(ISNA(VLOOKUP(N66,[1]!INSTRUCTEUR[#Data],2,FALSE)),"",VLOOKUP(N66,[1]!INSTRUCTEUR[#Data],2,FALSE))</f>
        <v/>
      </c>
      <c r="X66" s="115">
        <f t="shared" si="5"/>
        <v>121</v>
      </c>
    </row>
    <row r="67" spans="1:24" ht="16.2" thickBot="1">
      <c r="C67" s="145"/>
      <c r="D67" s="146"/>
      <c r="E67" s="146"/>
      <c r="F67" s="147"/>
      <c r="G67" s="146"/>
      <c r="H67" s="148"/>
      <c r="I67" s="149" t="str">
        <f>IF(ISNA(VLOOKUP(J67,[1]!AVION1[#Data],2,FALSE)),"",VLOOKUP(J67,[1]!AVION1[#Data],2,FALSE))</f>
        <v/>
      </c>
      <c r="J67" s="146"/>
      <c r="K67" s="194"/>
      <c r="L67" s="195" t="s">
        <v>62</v>
      </c>
      <c r="M67" s="196">
        <f>SUM(M65:M66)</f>
        <v>1.1520833333333333</v>
      </c>
      <c r="N67" s="153"/>
      <c r="O67" s="167">
        <f>SUM(O65:O66)</f>
        <v>101</v>
      </c>
      <c r="P67" s="167"/>
      <c r="Q67" s="157"/>
      <c r="R67" s="156"/>
      <c r="S67" s="157"/>
      <c r="T67" s="168">
        <f>SUM(T66+T65)</f>
        <v>0.15208333333333332</v>
      </c>
      <c r="U67" s="168">
        <f>SUM(U66+U65)</f>
        <v>1</v>
      </c>
      <c r="V67" s="114" t="str">
        <f>IF(ISNA(VLOOKUP(J67,[1]!AVION1[#Data],3,FALSE)),"",VLOOKUP(J67,[1]!AVION1[#Data],3,FALSE))</f>
        <v/>
      </c>
      <c r="W67" s="114" t="str">
        <f>IF(ISNA(VLOOKUP(N67,[1]!INSTRUCTEUR[#Data],2,FALSE)),"",VLOOKUP(N67,[1]!INSTRUCTEUR[#Data],2,FALSE))</f>
        <v/>
      </c>
      <c r="X67" s="115">
        <f t="shared" si="5"/>
        <v>219</v>
      </c>
    </row>
    <row r="68" spans="1:24">
      <c r="A68" s="100">
        <v>4</v>
      </c>
      <c r="B68" s="101">
        <v>1</v>
      </c>
      <c r="C68" s="198"/>
      <c r="D68" s="199"/>
      <c r="E68" s="200"/>
      <c r="F68" s="201"/>
      <c r="G68" s="108"/>
      <c r="H68" s="202">
        <f t="shared" si="8"/>
        <v>0</v>
      </c>
      <c r="I68" s="103" t="str">
        <f>IF(ISNA(VLOOKUP(J68,[1]!AVION1[#Data],2,FALSE)),"",VLOOKUP(J68,[1]!AVION1[#Data],2,FALSE))</f>
        <v/>
      </c>
      <c r="J68" s="200"/>
      <c r="K68" s="108"/>
      <c r="L68" s="108"/>
      <c r="M68" s="203">
        <f t="shared" si="9"/>
        <v>0</v>
      </c>
      <c r="N68" s="204"/>
      <c r="O68" s="108"/>
      <c r="P68" s="108"/>
      <c r="Q68" s="111">
        <f t="shared" si="0"/>
        <v>0</v>
      </c>
      <c r="R68" s="112">
        <f t="shared" si="1"/>
        <v>0</v>
      </c>
      <c r="S68" s="111">
        <f t="shared" si="2"/>
        <v>0</v>
      </c>
      <c r="T68" s="112">
        <f t="shared" si="3"/>
        <v>0</v>
      </c>
      <c r="U68" s="169">
        <f t="shared" si="4"/>
        <v>0</v>
      </c>
      <c r="V68" s="114" t="str">
        <f>IF(ISNA(VLOOKUP(J68,[1]!AVION1[#Data],3,FALSE)),"",VLOOKUP(J68,[1]!AVION1[#Data],3,FALSE))</f>
        <v/>
      </c>
      <c r="W68" s="114" t="str">
        <f>IF(ISNA(VLOOKUP(N68,[1]!INSTRUCTEUR[#Data],2,FALSE)),"",VLOOKUP(N68,[1]!INSTRUCTEUR[#Data],2,FALSE))</f>
        <v/>
      </c>
      <c r="X68" s="115">
        <f t="shared" si="5"/>
        <v>0</v>
      </c>
    </row>
    <row r="69" spans="1:24">
      <c r="A69" s="116"/>
      <c r="B69" s="117">
        <f>B68+1</f>
        <v>2</v>
      </c>
      <c r="C69" s="172"/>
      <c r="D69" s="173"/>
      <c r="E69" s="174"/>
      <c r="F69" s="175"/>
      <c r="G69" s="124"/>
      <c r="H69" s="176">
        <f t="shared" si="8"/>
        <v>0</v>
      </c>
      <c r="I69" s="119" t="str">
        <f>IF(ISNA(VLOOKUP(J69,[1]!AVION1[#Data],2,FALSE)),"",VLOOKUP(J69,[1]!AVION1[#Data],2,FALSE))</f>
        <v/>
      </c>
      <c r="J69" s="174"/>
      <c r="K69" s="124"/>
      <c r="L69" s="124"/>
      <c r="M69" s="177">
        <f t="shared" si="9"/>
        <v>0</v>
      </c>
      <c r="N69" s="178"/>
      <c r="O69" s="124"/>
      <c r="P69" s="124"/>
      <c r="Q69" s="127">
        <f t="shared" si="0"/>
        <v>0</v>
      </c>
      <c r="R69" s="128">
        <f t="shared" si="1"/>
        <v>0</v>
      </c>
      <c r="S69" s="127">
        <f t="shared" si="2"/>
        <v>0</v>
      </c>
      <c r="T69" s="128">
        <f t="shared" si="3"/>
        <v>0</v>
      </c>
      <c r="U69" s="170">
        <f t="shared" si="4"/>
        <v>0</v>
      </c>
      <c r="V69" s="114" t="str">
        <f>IF(ISNA(VLOOKUP(J69,[1]!AVION1[#Data],3,FALSE)),"",VLOOKUP(J69,[1]!AVION1[#Data],3,FALSE))</f>
        <v/>
      </c>
      <c r="W69" s="114" t="str">
        <f>IF(ISNA(VLOOKUP(N69,[1]!INSTRUCTEUR[#Data],2,FALSE)),"",VLOOKUP(N69,[1]!INSTRUCTEUR[#Data],2,FALSE))</f>
        <v/>
      </c>
      <c r="X69" s="115">
        <f t="shared" si="5"/>
        <v>0</v>
      </c>
    </row>
    <row r="70" spans="1:24">
      <c r="A70" s="116"/>
      <c r="B70" s="117">
        <f t="shared" ref="B70:B85" si="11">B69+1</f>
        <v>3</v>
      </c>
      <c r="C70" s="172"/>
      <c r="D70" s="173"/>
      <c r="E70" s="174"/>
      <c r="F70" s="175"/>
      <c r="G70" s="124"/>
      <c r="H70" s="176">
        <f t="shared" si="8"/>
        <v>0</v>
      </c>
      <c r="I70" s="119" t="str">
        <f>IF(ISNA(VLOOKUP(J70,[1]!AVION1[#Data],2,FALSE)),"",VLOOKUP(J70,[1]!AVION1[#Data],2,FALSE))</f>
        <v/>
      </c>
      <c r="J70" s="174"/>
      <c r="K70" s="124"/>
      <c r="L70" s="124"/>
      <c r="M70" s="177">
        <f t="shared" si="9"/>
        <v>0</v>
      </c>
      <c r="N70" s="178"/>
      <c r="O70" s="124"/>
      <c r="P70" s="124"/>
      <c r="Q70" s="127">
        <f t="shared" si="0"/>
        <v>0</v>
      </c>
      <c r="R70" s="128">
        <f t="shared" si="1"/>
        <v>0</v>
      </c>
      <c r="S70" s="127">
        <f t="shared" si="2"/>
        <v>0</v>
      </c>
      <c r="T70" s="128">
        <f t="shared" si="3"/>
        <v>0</v>
      </c>
      <c r="U70" s="170">
        <f t="shared" si="4"/>
        <v>0</v>
      </c>
      <c r="V70" s="114" t="str">
        <f>IF(ISNA(VLOOKUP(J70,[1]!AVION1[#Data],3,FALSE)),"",VLOOKUP(J70,[1]!AVION1[#Data],3,FALSE))</f>
        <v/>
      </c>
      <c r="W70" s="114" t="str">
        <f>IF(ISNA(VLOOKUP(N70,[1]!INSTRUCTEUR[#Data],2,FALSE)),"",VLOOKUP(N70,[1]!INSTRUCTEUR[#Data],2,FALSE))</f>
        <v/>
      </c>
      <c r="X70" s="115">
        <f t="shared" si="5"/>
        <v>0</v>
      </c>
    </row>
    <row r="71" spans="1:24">
      <c r="A71" s="116"/>
      <c r="B71" s="117">
        <f t="shared" si="11"/>
        <v>4</v>
      </c>
      <c r="C71" s="172"/>
      <c r="D71" s="173"/>
      <c r="E71" s="174"/>
      <c r="F71" s="175"/>
      <c r="G71" s="124"/>
      <c r="H71" s="176">
        <f t="shared" si="8"/>
        <v>0</v>
      </c>
      <c r="I71" s="119" t="str">
        <f>IF(ISNA(VLOOKUP(J71,[1]!AVION1[#Data],2,FALSE)),"",VLOOKUP(J71,[1]!AVION1[#Data],2,FALSE))</f>
        <v/>
      </c>
      <c r="J71" s="174"/>
      <c r="K71" s="124"/>
      <c r="L71" s="124"/>
      <c r="M71" s="177">
        <f t="shared" si="9"/>
        <v>0</v>
      </c>
      <c r="N71" s="178"/>
      <c r="O71" s="124"/>
      <c r="P71" s="124"/>
      <c r="Q71" s="127">
        <f t="shared" si="0"/>
        <v>0</v>
      </c>
      <c r="R71" s="128">
        <f t="shared" si="1"/>
        <v>0</v>
      </c>
      <c r="S71" s="127">
        <f t="shared" si="2"/>
        <v>0</v>
      </c>
      <c r="T71" s="128">
        <f t="shared" si="3"/>
        <v>0</v>
      </c>
      <c r="U71" s="170">
        <f t="shared" si="4"/>
        <v>0</v>
      </c>
      <c r="V71" s="114" t="str">
        <f>IF(ISNA(VLOOKUP(J71,[1]!AVION1[#Data],3,FALSE)),"",VLOOKUP(J71,[1]!AVION1[#Data],3,FALSE))</f>
        <v/>
      </c>
      <c r="W71" s="114" t="str">
        <f>IF(ISNA(VLOOKUP(N71,[1]!INSTRUCTEUR[#Data],2,FALSE)),"",VLOOKUP(N71,[1]!INSTRUCTEUR[#Data],2,FALSE))</f>
        <v/>
      </c>
      <c r="X71" s="115">
        <f t="shared" si="5"/>
        <v>0</v>
      </c>
    </row>
    <row r="72" spans="1:24">
      <c r="A72" s="116"/>
      <c r="B72" s="117">
        <f t="shared" si="11"/>
        <v>5</v>
      </c>
      <c r="C72" s="172"/>
      <c r="D72" s="173"/>
      <c r="E72" s="174"/>
      <c r="F72" s="175"/>
      <c r="G72" s="124"/>
      <c r="H72" s="176">
        <f t="shared" si="8"/>
        <v>0</v>
      </c>
      <c r="I72" s="119" t="str">
        <f>IF(ISNA(VLOOKUP(J72,[1]!AVION1[#Data],2,FALSE)),"",VLOOKUP(J72,[1]!AVION1[#Data],2,FALSE))</f>
        <v/>
      </c>
      <c r="J72" s="174"/>
      <c r="K72" s="124"/>
      <c r="L72" s="124"/>
      <c r="M72" s="177">
        <f t="shared" si="9"/>
        <v>0</v>
      </c>
      <c r="N72" s="178"/>
      <c r="O72" s="124"/>
      <c r="P72" s="124"/>
      <c r="Q72" s="127">
        <f t="shared" si="0"/>
        <v>0</v>
      </c>
      <c r="R72" s="128">
        <f t="shared" si="1"/>
        <v>0</v>
      </c>
      <c r="S72" s="127">
        <f t="shared" si="2"/>
        <v>0</v>
      </c>
      <c r="T72" s="128">
        <f t="shared" si="3"/>
        <v>0</v>
      </c>
      <c r="U72" s="170">
        <f t="shared" si="4"/>
        <v>0</v>
      </c>
      <c r="V72" s="114" t="str">
        <f>IF(ISNA(VLOOKUP(J72,[1]!AVION1[#Data],3,FALSE)),"",VLOOKUP(J72,[1]!AVION1[#Data],3,FALSE))</f>
        <v/>
      </c>
      <c r="W72" s="114" t="str">
        <f>IF(ISNA(VLOOKUP(N72,[1]!INSTRUCTEUR[#Data],2,FALSE)),"",VLOOKUP(N72,[1]!INSTRUCTEUR[#Data],2,FALSE))</f>
        <v/>
      </c>
      <c r="X72" s="115">
        <f t="shared" si="5"/>
        <v>0</v>
      </c>
    </row>
    <row r="73" spans="1:24">
      <c r="A73" s="116"/>
      <c r="B73" s="117">
        <f t="shared" si="11"/>
        <v>6</v>
      </c>
      <c r="C73" s="172"/>
      <c r="D73" s="173"/>
      <c r="E73" s="174"/>
      <c r="F73" s="175"/>
      <c r="G73" s="124"/>
      <c r="H73" s="176">
        <f t="shared" si="8"/>
        <v>0</v>
      </c>
      <c r="I73" s="119" t="str">
        <f>IF(ISNA(VLOOKUP(J73,[1]!AVION1[#Data],2,FALSE)),"",VLOOKUP(J73,[1]!AVION1[#Data],2,FALSE))</f>
        <v/>
      </c>
      <c r="J73" s="174"/>
      <c r="K73" s="124"/>
      <c r="L73" s="124"/>
      <c r="M73" s="177">
        <f t="shared" si="9"/>
        <v>0</v>
      </c>
      <c r="N73" s="178"/>
      <c r="O73" s="124"/>
      <c r="P73" s="124"/>
      <c r="Q73" s="127">
        <f t="shared" si="0"/>
        <v>0</v>
      </c>
      <c r="R73" s="128">
        <f t="shared" si="1"/>
        <v>0</v>
      </c>
      <c r="S73" s="127">
        <f t="shared" si="2"/>
        <v>0</v>
      </c>
      <c r="T73" s="128">
        <f t="shared" si="3"/>
        <v>0</v>
      </c>
      <c r="U73" s="170">
        <f t="shared" si="4"/>
        <v>0</v>
      </c>
      <c r="V73" s="114" t="str">
        <f>IF(ISNA(VLOOKUP(J73,[1]!AVION1[#Data],3,FALSE)),"",VLOOKUP(J73,[1]!AVION1[#Data],3,FALSE))</f>
        <v/>
      </c>
      <c r="W73" s="114" t="str">
        <f>IF(ISNA(VLOOKUP(N73,[1]!INSTRUCTEUR[#Data],2,FALSE)),"",VLOOKUP(N73,[1]!INSTRUCTEUR[#Data],2,FALSE))</f>
        <v/>
      </c>
      <c r="X73" s="115">
        <f t="shared" si="5"/>
        <v>0</v>
      </c>
    </row>
    <row r="74" spans="1:24">
      <c r="A74" s="116"/>
      <c r="B74" s="117">
        <f t="shared" si="11"/>
        <v>7</v>
      </c>
      <c r="C74" s="172"/>
      <c r="D74" s="173"/>
      <c r="E74" s="174"/>
      <c r="F74" s="175"/>
      <c r="G74" s="124"/>
      <c r="H74" s="176">
        <f t="shared" si="8"/>
        <v>0</v>
      </c>
      <c r="I74" s="119" t="str">
        <f>IF(ISNA(VLOOKUP(J74,[1]!AVION1[#Data],2,FALSE)),"",VLOOKUP(J74,[1]!AVION1[#Data],2,FALSE))</f>
        <v/>
      </c>
      <c r="J74" s="174"/>
      <c r="K74" s="124"/>
      <c r="L74" s="124"/>
      <c r="M74" s="177">
        <f t="shared" si="9"/>
        <v>0</v>
      </c>
      <c r="N74" s="178"/>
      <c r="O74" s="124"/>
      <c r="P74" s="124"/>
      <c r="Q74" s="127">
        <f t="shared" ref="Q74:Q137" si="12">IFERROR(X74*V74,0)</f>
        <v>0</v>
      </c>
      <c r="R74" s="128">
        <f t="shared" ref="R74:R137" si="13">IFERROR(W74*X74,0)</f>
        <v>0</v>
      </c>
      <c r="S74" s="127">
        <f t="shared" ref="S74:S137" si="14">R74+Q74</f>
        <v>0</v>
      </c>
      <c r="T74" s="128">
        <f t="shared" ref="T74:T137" si="15">IF(N74="PENDERS Bernard",X74,0)</f>
        <v>0</v>
      </c>
      <c r="U74" s="170">
        <f t="shared" ref="U74:U137" si="16">IF(N74="PENDERS Bernard",0,X74)</f>
        <v>0</v>
      </c>
      <c r="V74" s="114" t="str">
        <f>IF(ISNA(VLOOKUP(J74,[1]!AVION1[#Data],3,FALSE)),"",VLOOKUP(J74,[1]!AVION1[#Data],3,FALSE))</f>
        <v/>
      </c>
      <c r="W74" s="114" t="str">
        <f>IF(ISNA(VLOOKUP(N74,[1]!INSTRUCTEUR[#Data],2,FALSE)),"",VLOOKUP(N74,[1]!INSTRUCTEUR[#Data],2,FALSE))</f>
        <v/>
      </c>
      <c r="X74" s="115">
        <f t="shared" ref="X74:X137" si="17">(HOUR(M74)*3600+MINUTE(M74)*60+SECOND(M74))/60</f>
        <v>0</v>
      </c>
    </row>
    <row r="75" spans="1:24">
      <c r="A75" s="116"/>
      <c r="B75" s="117">
        <f t="shared" si="11"/>
        <v>8</v>
      </c>
      <c r="C75" s="172"/>
      <c r="D75" s="173"/>
      <c r="E75" s="174"/>
      <c r="F75" s="175"/>
      <c r="G75" s="124"/>
      <c r="H75" s="176">
        <f t="shared" si="8"/>
        <v>0</v>
      </c>
      <c r="I75" s="119" t="str">
        <f>IF(ISNA(VLOOKUP(J75,[1]!AVION1[#Data],2,FALSE)),"",VLOOKUP(J75,[1]!AVION1[#Data],2,FALSE))</f>
        <v/>
      </c>
      <c r="J75" s="174"/>
      <c r="K75" s="124"/>
      <c r="L75" s="124"/>
      <c r="M75" s="177">
        <f t="shared" si="9"/>
        <v>0</v>
      </c>
      <c r="N75" s="178"/>
      <c r="O75" s="124"/>
      <c r="P75" s="124"/>
      <c r="Q75" s="127">
        <f t="shared" si="12"/>
        <v>0</v>
      </c>
      <c r="R75" s="128">
        <f t="shared" si="13"/>
        <v>0</v>
      </c>
      <c r="S75" s="127">
        <f t="shared" si="14"/>
        <v>0</v>
      </c>
      <c r="T75" s="128">
        <f t="shared" si="15"/>
        <v>0</v>
      </c>
      <c r="U75" s="170">
        <f t="shared" si="16"/>
        <v>0</v>
      </c>
      <c r="V75" s="114" t="str">
        <f>IF(ISNA(VLOOKUP(J75,[1]!AVION1[#Data],3,FALSE)),"",VLOOKUP(J75,[1]!AVION1[#Data],3,FALSE))</f>
        <v/>
      </c>
      <c r="W75" s="114" t="str">
        <f>IF(ISNA(VLOOKUP(N75,[1]!INSTRUCTEUR[#Data],2,FALSE)),"",VLOOKUP(N75,[1]!INSTRUCTEUR[#Data],2,FALSE))</f>
        <v/>
      </c>
      <c r="X75" s="115">
        <f t="shared" si="17"/>
        <v>0</v>
      </c>
    </row>
    <row r="76" spans="1:24">
      <c r="A76" s="116"/>
      <c r="B76" s="117">
        <f t="shared" si="11"/>
        <v>9</v>
      </c>
      <c r="C76" s="172"/>
      <c r="D76" s="173"/>
      <c r="E76" s="174"/>
      <c r="F76" s="175"/>
      <c r="G76" s="124"/>
      <c r="H76" s="176">
        <f t="shared" si="8"/>
        <v>0</v>
      </c>
      <c r="I76" s="119" t="str">
        <f>IF(ISNA(VLOOKUP(J76,[1]!AVION1[#Data],2,FALSE)),"",VLOOKUP(J76,[1]!AVION1[#Data],2,FALSE))</f>
        <v/>
      </c>
      <c r="J76" s="174"/>
      <c r="K76" s="124"/>
      <c r="L76" s="124"/>
      <c r="M76" s="177">
        <f t="shared" si="9"/>
        <v>0</v>
      </c>
      <c r="N76" s="178"/>
      <c r="O76" s="124"/>
      <c r="P76" s="124"/>
      <c r="Q76" s="127">
        <f t="shared" si="12"/>
        <v>0</v>
      </c>
      <c r="R76" s="128">
        <f t="shared" si="13"/>
        <v>0</v>
      </c>
      <c r="S76" s="127">
        <f t="shared" si="14"/>
        <v>0</v>
      </c>
      <c r="T76" s="128">
        <f t="shared" si="15"/>
        <v>0</v>
      </c>
      <c r="U76" s="170">
        <f t="shared" si="16"/>
        <v>0</v>
      </c>
      <c r="V76" s="114" t="str">
        <f>IF(ISNA(VLOOKUP(J76,[1]!AVION1[#Data],3,FALSE)),"",VLOOKUP(J76,[1]!AVION1[#Data],3,FALSE))</f>
        <v/>
      </c>
      <c r="W76" s="114" t="str">
        <f>IF(ISNA(VLOOKUP(N76,[1]!INSTRUCTEUR[#Data],2,FALSE)),"",VLOOKUP(N76,[1]!INSTRUCTEUR[#Data],2,FALSE))</f>
        <v/>
      </c>
      <c r="X76" s="115">
        <f t="shared" si="17"/>
        <v>0</v>
      </c>
    </row>
    <row r="77" spans="1:24">
      <c r="A77" s="116"/>
      <c r="B77" s="117">
        <f t="shared" si="11"/>
        <v>10</v>
      </c>
      <c r="C77" s="172"/>
      <c r="D77" s="173"/>
      <c r="E77" s="174"/>
      <c r="F77" s="175"/>
      <c r="G77" s="124"/>
      <c r="H77" s="176">
        <f t="shared" si="8"/>
        <v>0</v>
      </c>
      <c r="I77" s="119" t="str">
        <f>IF(ISNA(VLOOKUP(J77,[1]!AVION1[#Data],2,FALSE)),"",VLOOKUP(J77,[1]!AVION1[#Data],2,FALSE))</f>
        <v/>
      </c>
      <c r="J77" s="174"/>
      <c r="K77" s="124"/>
      <c r="L77" s="124"/>
      <c r="M77" s="177">
        <f t="shared" si="9"/>
        <v>0</v>
      </c>
      <c r="N77" s="178"/>
      <c r="O77" s="124"/>
      <c r="P77" s="124"/>
      <c r="Q77" s="127">
        <f t="shared" si="12"/>
        <v>0</v>
      </c>
      <c r="R77" s="128">
        <f t="shared" si="13"/>
        <v>0</v>
      </c>
      <c r="S77" s="127">
        <f t="shared" si="14"/>
        <v>0</v>
      </c>
      <c r="T77" s="128">
        <f t="shared" si="15"/>
        <v>0</v>
      </c>
      <c r="U77" s="170">
        <f t="shared" si="16"/>
        <v>0</v>
      </c>
      <c r="V77" s="114" t="str">
        <f>IF(ISNA(VLOOKUP(J77,[1]!AVION1[#Data],3,FALSE)),"",VLOOKUP(J77,[1]!AVION1[#Data],3,FALSE))</f>
        <v/>
      </c>
      <c r="W77" s="114" t="str">
        <f>IF(ISNA(VLOOKUP(N77,[1]!INSTRUCTEUR[#Data],2,FALSE)),"",VLOOKUP(N77,[1]!INSTRUCTEUR[#Data],2,FALSE))</f>
        <v/>
      </c>
      <c r="X77" s="115">
        <f t="shared" si="17"/>
        <v>0</v>
      </c>
    </row>
    <row r="78" spans="1:24">
      <c r="A78" s="116"/>
      <c r="B78" s="117">
        <f t="shared" si="11"/>
        <v>11</v>
      </c>
      <c r="C78" s="172"/>
      <c r="D78" s="173"/>
      <c r="E78" s="174"/>
      <c r="F78" s="175"/>
      <c r="G78" s="124"/>
      <c r="H78" s="176">
        <f t="shared" si="8"/>
        <v>0</v>
      </c>
      <c r="I78" s="119" t="str">
        <f>IF(ISNA(VLOOKUP(J78,[1]!AVION1[#Data],2,FALSE)),"",VLOOKUP(J78,[1]!AVION1[#Data],2,FALSE))</f>
        <v/>
      </c>
      <c r="J78" s="174"/>
      <c r="K78" s="124"/>
      <c r="L78" s="124"/>
      <c r="M78" s="177">
        <f t="shared" si="9"/>
        <v>0</v>
      </c>
      <c r="N78" s="178"/>
      <c r="O78" s="124"/>
      <c r="P78" s="124"/>
      <c r="Q78" s="127">
        <f t="shared" si="12"/>
        <v>0</v>
      </c>
      <c r="R78" s="128">
        <f t="shared" si="13"/>
        <v>0</v>
      </c>
      <c r="S78" s="127">
        <f t="shared" si="14"/>
        <v>0</v>
      </c>
      <c r="T78" s="128">
        <f t="shared" si="15"/>
        <v>0</v>
      </c>
      <c r="U78" s="170">
        <f t="shared" si="16"/>
        <v>0</v>
      </c>
      <c r="V78" s="114" t="str">
        <f>IF(ISNA(VLOOKUP(J78,[1]!AVION1[#Data],3,FALSE)),"",VLOOKUP(J78,[1]!AVION1[#Data],3,FALSE))</f>
        <v/>
      </c>
      <c r="W78" s="114" t="str">
        <f>IF(ISNA(VLOOKUP(N78,[1]!INSTRUCTEUR[#Data],2,FALSE)),"",VLOOKUP(N78,[1]!INSTRUCTEUR[#Data],2,FALSE))</f>
        <v/>
      </c>
      <c r="X78" s="115">
        <f t="shared" si="17"/>
        <v>0</v>
      </c>
    </row>
    <row r="79" spans="1:24">
      <c r="A79" s="116"/>
      <c r="B79" s="117">
        <f t="shared" si="11"/>
        <v>12</v>
      </c>
      <c r="C79" s="172"/>
      <c r="D79" s="173"/>
      <c r="E79" s="174"/>
      <c r="F79" s="175"/>
      <c r="G79" s="124"/>
      <c r="H79" s="176">
        <f t="shared" si="8"/>
        <v>0</v>
      </c>
      <c r="I79" s="119" t="str">
        <f>IF(ISNA(VLOOKUP(J79,[1]!AVION1[#Data],2,FALSE)),"",VLOOKUP(J79,[1]!AVION1[#Data],2,FALSE))</f>
        <v/>
      </c>
      <c r="J79" s="174"/>
      <c r="K79" s="124"/>
      <c r="L79" s="124"/>
      <c r="M79" s="177">
        <f t="shared" si="9"/>
        <v>0</v>
      </c>
      <c r="N79" s="178"/>
      <c r="O79" s="124"/>
      <c r="P79" s="124"/>
      <c r="Q79" s="127">
        <f t="shared" si="12"/>
        <v>0</v>
      </c>
      <c r="R79" s="128">
        <f t="shared" si="13"/>
        <v>0</v>
      </c>
      <c r="S79" s="127">
        <f t="shared" si="14"/>
        <v>0</v>
      </c>
      <c r="T79" s="128">
        <f t="shared" si="15"/>
        <v>0</v>
      </c>
      <c r="U79" s="170">
        <f t="shared" si="16"/>
        <v>0</v>
      </c>
      <c r="V79" s="114" t="str">
        <f>IF(ISNA(VLOOKUP(J79,[1]!AVION1[#Data],3,FALSE)),"",VLOOKUP(J79,[1]!AVION1[#Data],3,FALSE))</f>
        <v/>
      </c>
      <c r="W79" s="114" t="str">
        <f>IF(ISNA(VLOOKUP(N79,[1]!INSTRUCTEUR[#Data],2,FALSE)),"",VLOOKUP(N79,[1]!INSTRUCTEUR[#Data],2,FALSE))</f>
        <v/>
      </c>
      <c r="X79" s="115">
        <f t="shared" si="17"/>
        <v>0</v>
      </c>
    </row>
    <row r="80" spans="1:24">
      <c r="A80" s="116"/>
      <c r="B80" s="117">
        <f t="shared" si="11"/>
        <v>13</v>
      </c>
      <c r="C80" s="172"/>
      <c r="D80" s="173"/>
      <c r="E80" s="174"/>
      <c r="F80" s="175"/>
      <c r="G80" s="124"/>
      <c r="H80" s="176">
        <f t="shared" si="8"/>
        <v>0</v>
      </c>
      <c r="I80" s="119" t="str">
        <f>IF(ISNA(VLOOKUP(J80,[1]!AVION1[#Data],2,FALSE)),"",VLOOKUP(J80,[1]!AVION1[#Data],2,FALSE))</f>
        <v/>
      </c>
      <c r="J80" s="174"/>
      <c r="K80" s="124"/>
      <c r="L80" s="124"/>
      <c r="M80" s="177">
        <f t="shared" si="9"/>
        <v>0</v>
      </c>
      <c r="N80" s="178"/>
      <c r="O80" s="124"/>
      <c r="P80" s="124"/>
      <c r="Q80" s="127">
        <f t="shared" si="12"/>
        <v>0</v>
      </c>
      <c r="R80" s="128">
        <f t="shared" si="13"/>
        <v>0</v>
      </c>
      <c r="S80" s="127">
        <f t="shared" si="14"/>
        <v>0</v>
      </c>
      <c r="T80" s="128">
        <f t="shared" si="15"/>
        <v>0</v>
      </c>
      <c r="U80" s="170">
        <f t="shared" si="16"/>
        <v>0</v>
      </c>
      <c r="V80" s="114" t="str">
        <f>IF(ISNA(VLOOKUP(J80,[1]!AVION1[#Data],3,FALSE)),"",VLOOKUP(J80,[1]!AVION1[#Data],3,FALSE))</f>
        <v/>
      </c>
      <c r="W80" s="114" t="str">
        <f>IF(ISNA(VLOOKUP(N80,[1]!INSTRUCTEUR[#Data],2,FALSE)),"",VLOOKUP(N80,[1]!INSTRUCTEUR[#Data],2,FALSE))</f>
        <v/>
      </c>
      <c r="X80" s="115">
        <f t="shared" si="17"/>
        <v>0</v>
      </c>
    </row>
    <row r="81" spans="1:24">
      <c r="A81" s="116"/>
      <c r="B81" s="117">
        <f t="shared" si="11"/>
        <v>14</v>
      </c>
      <c r="C81" s="172"/>
      <c r="D81" s="173"/>
      <c r="E81" s="174"/>
      <c r="F81" s="175"/>
      <c r="G81" s="124"/>
      <c r="H81" s="176">
        <f t="shared" si="8"/>
        <v>0</v>
      </c>
      <c r="I81" s="119" t="str">
        <f>IF(ISNA(VLOOKUP(J81,[1]!AVION1[#Data],2,FALSE)),"",VLOOKUP(J81,[1]!AVION1[#Data],2,FALSE))</f>
        <v/>
      </c>
      <c r="J81" s="174"/>
      <c r="K81" s="124"/>
      <c r="L81" s="124"/>
      <c r="M81" s="177">
        <f t="shared" si="9"/>
        <v>0</v>
      </c>
      <c r="N81" s="178"/>
      <c r="O81" s="124"/>
      <c r="P81" s="124"/>
      <c r="Q81" s="127">
        <f t="shared" si="12"/>
        <v>0</v>
      </c>
      <c r="R81" s="128">
        <f t="shared" si="13"/>
        <v>0</v>
      </c>
      <c r="S81" s="127">
        <f t="shared" si="14"/>
        <v>0</v>
      </c>
      <c r="T81" s="128">
        <f t="shared" si="15"/>
        <v>0</v>
      </c>
      <c r="U81" s="170">
        <f t="shared" si="16"/>
        <v>0</v>
      </c>
      <c r="V81" s="114" t="str">
        <f>IF(ISNA(VLOOKUP(J81,[1]!AVION1[#Data],3,FALSE)),"",VLOOKUP(J81,[1]!AVION1[#Data],3,FALSE))</f>
        <v/>
      </c>
      <c r="W81" s="114" t="str">
        <f>IF(ISNA(VLOOKUP(N81,[1]!INSTRUCTEUR[#Data],2,FALSE)),"",VLOOKUP(N81,[1]!INSTRUCTEUR[#Data],2,FALSE))</f>
        <v/>
      </c>
      <c r="X81" s="115">
        <f t="shared" si="17"/>
        <v>0</v>
      </c>
    </row>
    <row r="82" spans="1:24">
      <c r="A82" s="116"/>
      <c r="B82" s="117">
        <f t="shared" si="11"/>
        <v>15</v>
      </c>
      <c r="C82" s="172"/>
      <c r="D82" s="173"/>
      <c r="E82" s="174"/>
      <c r="F82" s="175"/>
      <c r="G82" s="124"/>
      <c r="H82" s="176">
        <f t="shared" si="8"/>
        <v>0</v>
      </c>
      <c r="I82" s="119" t="str">
        <f>IF(ISNA(VLOOKUP(J82,[1]!AVION1[#Data],2,FALSE)),"",VLOOKUP(J82,[1]!AVION1[#Data],2,FALSE))</f>
        <v/>
      </c>
      <c r="J82" s="174"/>
      <c r="K82" s="124"/>
      <c r="L82" s="124"/>
      <c r="M82" s="177">
        <f t="shared" si="9"/>
        <v>0</v>
      </c>
      <c r="N82" s="178"/>
      <c r="O82" s="124"/>
      <c r="P82" s="124"/>
      <c r="Q82" s="127">
        <f t="shared" si="12"/>
        <v>0</v>
      </c>
      <c r="R82" s="128">
        <f t="shared" si="13"/>
        <v>0</v>
      </c>
      <c r="S82" s="127">
        <f t="shared" si="14"/>
        <v>0</v>
      </c>
      <c r="T82" s="128">
        <f t="shared" si="15"/>
        <v>0</v>
      </c>
      <c r="U82" s="170">
        <f t="shared" si="16"/>
        <v>0</v>
      </c>
      <c r="V82" s="114" t="str">
        <f>IF(ISNA(VLOOKUP(J82,[1]!AVION1[#Data],3,FALSE)),"",VLOOKUP(J82,[1]!AVION1[#Data],3,FALSE))</f>
        <v/>
      </c>
      <c r="W82" s="114" t="str">
        <f>IF(ISNA(VLOOKUP(N82,[1]!INSTRUCTEUR[#Data],2,FALSE)),"",VLOOKUP(N82,[1]!INSTRUCTEUR[#Data],2,FALSE))</f>
        <v/>
      </c>
      <c r="X82" s="115">
        <f t="shared" si="17"/>
        <v>0</v>
      </c>
    </row>
    <row r="83" spans="1:24">
      <c r="A83" s="116"/>
      <c r="B83" s="117">
        <f t="shared" si="11"/>
        <v>16</v>
      </c>
      <c r="C83" s="172"/>
      <c r="D83" s="173"/>
      <c r="E83" s="174"/>
      <c r="F83" s="175"/>
      <c r="G83" s="124"/>
      <c r="H83" s="176">
        <f t="shared" si="8"/>
        <v>0</v>
      </c>
      <c r="I83" s="119" t="str">
        <f>IF(ISNA(VLOOKUP(J83,[1]!AVION1[#Data],2,FALSE)),"",VLOOKUP(J83,[1]!AVION1[#Data],2,FALSE))</f>
        <v/>
      </c>
      <c r="J83" s="174"/>
      <c r="K83" s="124"/>
      <c r="L83" s="124"/>
      <c r="M83" s="177">
        <f t="shared" si="9"/>
        <v>0</v>
      </c>
      <c r="N83" s="178"/>
      <c r="O83" s="124"/>
      <c r="P83" s="124"/>
      <c r="Q83" s="127">
        <f t="shared" si="12"/>
        <v>0</v>
      </c>
      <c r="R83" s="128">
        <f t="shared" si="13"/>
        <v>0</v>
      </c>
      <c r="S83" s="127">
        <f t="shared" si="14"/>
        <v>0</v>
      </c>
      <c r="T83" s="128">
        <f t="shared" si="15"/>
        <v>0</v>
      </c>
      <c r="U83" s="170">
        <f t="shared" si="16"/>
        <v>0</v>
      </c>
      <c r="V83" s="114" t="str">
        <f>IF(ISNA(VLOOKUP(J83,[1]!AVION1[#Data],3,FALSE)),"",VLOOKUP(J83,[1]!AVION1[#Data],3,FALSE))</f>
        <v/>
      </c>
      <c r="W83" s="114" t="str">
        <f>IF(ISNA(VLOOKUP(N83,[1]!INSTRUCTEUR[#Data],2,FALSE)),"",VLOOKUP(N83,[1]!INSTRUCTEUR[#Data],2,FALSE))</f>
        <v/>
      </c>
      <c r="X83" s="115">
        <f t="shared" si="17"/>
        <v>0</v>
      </c>
    </row>
    <row r="84" spans="1:24">
      <c r="A84" s="116"/>
      <c r="B84" s="117">
        <f t="shared" si="11"/>
        <v>17</v>
      </c>
      <c r="C84" s="172"/>
      <c r="D84" s="173"/>
      <c r="E84" s="174"/>
      <c r="F84" s="175"/>
      <c r="G84" s="124"/>
      <c r="H84" s="176">
        <f t="shared" si="8"/>
        <v>0</v>
      </c>
      <c r="I84" s="119" t="str">
        <f>IF(ISNA(VLOOKUP(J84,[1]!AVION1[#Data],2,FALSE)),"",VLOOKUP(J84,[1]!AVION1[#Data],2,FALSE))</f>
        <v/>
      </c>
      <c r="J84" s="174"/>
      <c r="K84" s="124"/>
      <c r="L84" s="124"/>
      <c r="M84" s="177">
        <f t="shared" si="9"/>
        <v>0</v>
      </c>
      <c r="N84" s="178"/>
      <c r="O84" s="124"/>
      <c r="P84" s="124"/>
      <c r="Q84" s="127">
        <f t="shared" si="12"/>
        <v>0</v>
      </c>
      <c r="R84" s="128">
        <f t="shared" si="13"/>
        <v>0</v>
      </c>
      <c r="S84" s="127">
        <f t="shared" si="14"/>
        <v>0</v>
      </c>
      <c r="T84" s="128">
        <f t="shared" si="15"/>
        <v>0</v>
      </c>
      <c r="U84" s="170">
        <f t="shared" si="16"/>
        <v>0</v>
      </c>
      <c r="V84" s="114" t="str">
        <f>IF(ISNA(VLOOKUP(J84,[1]!AVION1[#Data],3,FALSE)),"",VLOOKUP(J84,[1]!AVION1[#Data],3,FALSE))</f>
        <v/>
      </c>
      <c r="W84" s="114" t="str">
        <f>IF(ISNA(VLOOKUP(N84,[1]!INSTRUCTEUR[#Data],2,FALSE)),"",VLOOKUP(N84,[1]!INSTRUCTEUR[#Data],2,FALSE))</f>
        <v/>
      </c>
      <c r="X84" s="115">
        <f t="shared" si="17"/>
        <v>0</v>
      </c>
    </row>
    <row r="85" spans="1:24" ht="15" thickBot="1">
      <c r="A85" s="131"/>
      <c r="B85" s="132">
        <f t="shared" si="11"/>
        <v>18</v>
      </c>
      <c r="C85" s="180"/>
      <c r="D85" s="181"/>
      <c r="E85" s="182"/>
      <c r="F85" s="183"/>
      <c r="G85" s="139"/>
      <c r="H85" s="184">
        <f t="shared" si="8"/>
        <v>0</v>
      </c>
      <c r="I85" s="134" t="str">
        <f>IF(ISNA(VLOOKUP(J85,[1]!AVION1[#Data],2,FALSE)),"",VLOOKUP(J85,[1]!AVION1[#Data],2,FALSE))</f>
        <v/>
      </c>
      <c r="J85" s="182"/>
      <c r="K85" s="139"/>
      <c r="L85" s="139"/>
      <c r="M85" s="197">
        <f t="shared" si="9"/>
        <v>0</v>
      </c>
      <c r="N85" s="186"/>
      <c r="O85" s="139"/>
      <c r="P85" s="139"/>
      <c r="Q85" s="142">
        <f t="shared" si="12"/>
        <v>0</v>
      </c>
      <c r="R85" s="143">
        <f t="shared" si="13"/>
        <v>0</v>
      </c>
      <c r="S85" s="142">
        <f t="shared" si="14"/>
        <v>0</v>
      </c>
      <c r="T85" s="143">
        <f t="shared" si="15"/>
        <v>0</v>
      </c>
      <c r="U85" s="187">
        <f t="shared" si="16"/>
        <v>0</v>
      </c>
      <c r="V85" s="114" t="str">
        <f>IF(ISNA(VLOOKUP(J85,[1]!AVION1[#Data],3,FALSE)),"",VLOOKUP(J85,[1]!AVION1[#Data],3,FALSE))</f>
        <v/>
      </c>
      <c r="W85" s="114" t="str">
        <f>IF(ISNA(VLOOKUP(N85,[1]!INSTRUCTEUR[#Data],2,FALSE)),"",VLOOKUP(N85,[1]!INSTRUCTEUR[#Data],2,FALSE))</f>
        <v/>
      </c>
      <c r="X85" s="115">
        <f t="shared" si="17"/>
        <v>0</v>
      </c>
    </row>
    <row r="86" spans="1:24" ht="15.6">
      <c r="C86" s="145"/>
      <c r="D86" s="146"/>
      <c r="E86" s="146"/>
      <c r="F86" s="147"/>
      <c r="G86" s="146"/>
      <c r="H86" s="148"/>
      <c r="I86" s="149" t="str">
        <f>IF(ISNA(VLOOKUP(J86,[1]!AVION1[#Data],2,FALSE)),"",VLOOKUP(J86,[1]!AVION1[#Data],2,FALSE))</f>
        <v/>
      </c>
      <c r="J86" s="150"/>
      <c r="K86" s="188"/>
      <c r="L86" s="189" t="s">
        <v>60</v>
      </c>
      <c r="M86" s="190">
        <f>SUM(M68:M85)</f>
        <v>0</v>
      </c>
      <c r="N86" s="153"/>
      <c r="O86" s="154">
        <f>SUM(O68:O85)</f>
        <v>0</v>
      </c>
      <c r="P86" s="154"/>
      <c r="Q86" s="155"/>
      <c r="R86" s="156"/>
      <c r="S86" s="157"/>
      <c r="T86" s="158">
        <f>SUM(T68:T85)/1440</f>
        <v>0</v>
      </c>
      <c r="U86" s="158">
        <f>SUM(U68:U85)/1440</f>
        <v>0</v>
      </c>
      <c r="V86" s="114" t="str">
        <f>IF(ISNA(VLOOKUP(J86,[1]!AVION1[#Data],3,FALSE)),"",VLOOKUP(J86,[1]!AVION1[#Data],3,FALSE))</f>
        <v/>
      </c>
      <c r="W86" s="114" t="str">
        <f>IF(ISNA(VLOOKUP(N86,[1]!INSTRUCTEUR[#Data],2,FALSE)),"",VLOOKUP(N86,[1]!INSTRUCTEUR[#Data],2,FALSE))</f>
        <v/>
      </c>
      <c r="X86" s="115">
        <f t="shared" si="17"/>
        <v>0</v>
      </c>
    </row>
    <row r="87" spans="1:24" ht="15.6">
      <c r="C87" s="145"/>
      <c r="D87" s="146"/>
      <c r="E87" s="146"/>
      <c r="F87" s="147"/>
      <c r="G87" s="146"/>
      <c r="H87" s="148"/>
      <c r="I87" s="149" t="str">
        <f>IF(ISNA(VLOOKUP(J87,[1]!AVION1[#Data],2,FALSE)),"",VLOOKUP(J87,[1]!AVION1[#Data],2,FALSE))</f>
        <v/>
      </c>
      <c r="J87" s="146"/>
      <c r="K87" s="191"/>
      <c r="L87" s="192" t="s">
        <v>61</v>
      </c>
      <c r="M87" s="193">
        <f>M67</f>
        <v>1.1520833333333333</v>
      </c>
      <c r="N87" s="153"/>
      <c r="O87" s="163">
        <f>O67</f>
        <v>101</v>
      </c>
      <c r="P87" s="163"/>
      <c r="Q87" s="157"/>
      <c r="R87" s="156"/>
      <c r="S87" s="157"/>
      <c r="T87" s="164">
        <f>T67</f>
        <v>0.15208333333333332</v>
      </c>
      <c r="U87" s="164">
        <f>U67</f>
        <v>1</v>
      </c>
      <c r="V87" s="114" t="str">
        <f>IF(ISNA(VLOOKUP(J87,[1]!AVION1[#Data],3,FALSE)),"",VLOOKUP(J87,[1]!AVION1[#Data],3,FALSE))</f>
        <v/>
      </c>
      <c r="W87" s="114" t="str">
        <f>IF(ISNA(VLOOKUP(N87,[1]!INSTRUCTEUR[#Data],2,FALSE)),"",VLOOKUP(N87,[1]!INSTRUCTEUR[#Data],2,FALSE))</f>
        <v/>
      </c>
      <c r="X87" s="115">
        <f t="shared" si="17"/>
        <v>219</v>
      </c>
    </row>
    <row r="88" spans="1:24" ht="16.2" thickBot="1">
      <c r="C88" s="145"/>
      <c r="D88" s="146"/>
      <c r="E88" s="146"/>
      <c r="F88" s="147"/>
      <c r="G88" s="146"/>
      <c r="H88" s="148"/>
      <c r="I88" s="149" t="str">
        <f>IF(ISNA(VLOOKUP(J88,[1]!AVION1[#Data],2,FALSE)),"",VLOOKUP(J88,[1]!AVION1[#Data],2,FALSE))</f>
        <v/>
      </c>
      <c r="J88" s="146"/>
      <c r="K88" s="194"/>
      <c r="L88" s="195" t="s">
        <v>62</v>
      </c>
      <c r="M88" s="196">
        <f>SUM(M86:M87)</f>
        <v>1.1520833333333333</v>
      </c>
      <c r="N88" s="153"/>
      <c r="O88" s="167">
        <f>SUM(O86:O87)</f>
        <v>101</v>
      </c>
      <c r="P88" s="167"/>
      <c r="Q88" s="157"/>
      <c r="R88" s="156"/>
      <c r="S88" s="157"/>
      <c r="T88" s="168">
        <f>SUM(T87+T86)</f>
        <v>0.15208333333333332</v>
      </c>
      <c r="U88" s="168">
        <f>SUM(U87+U86)</f>
        <v>1</v>
      </c>
      <c r="V88" s="114" t="str">
        <f>IF(ISNA(VLOOKUP(J88,[1]!AVION1[#Data],3,FALSE)),"",VLOOKUP(J88,[1]!AVION1[#Data],3,FALSE))</f>
        <v/>
      </c>
      <c r="W88" s="114" t="str">
        <f>IF(ISNA(VLOOKUP(N88,[1]!INSTRUCTEUR[#Data],2,FALSE)),"",VLOOKUP(N88,[1]!INSTRUCTEUR[#Data],2,FALSE))</f>
        <v/>
      </c>
      <c r="X88" s="115">
        <f t="shared" si="17"/>
        <v>219</v>
      </c>
    </row>
    <row r="89" spans="1:24">
      <c r="A89" s="100">
        <v>5</v>
      </c>
      <c r="B89" s="101">
        <v>1</v>
      </c>
      <c r="C89" s="198"/>
      <c r="D89" s="199"/>
      <c r="E89" s="200"/>
      <c r="F89" s="201"/>
      <c r="G89" s="108"/>
      <c r="H89" s="202">
        <f t="shared" si="8"/>
        <v>0</v>
      </c>
      <c r="I89" s="103" t="str">
        <f>IF(ISNA(VLOOKUP(J89,[1]!AVION1[#Data],2,FALSE)),"",VLOOKUP(J89,[1]!AVION1[#Data],2,FALSE))</f>
        <v/>
      </c>
      <c r="J89" s="200"/>
      <c r="K89" s="108"/>
      <c r="L89" s="108"/>
      <c r="M89" s="203">
        <f t="shared" si="9"/>
        <v>0</v>
      </c>
      <c r="N89" s="204"/>
      <c r="O89" s="108"/>
      <c r="P89" s="108"/>
      <c r="Q89" s="111">
        <f t="shared" si="12"/>
        <v>0</v>
      </c>
      <c r="R89" s="112">
        <f t="shared" si="13"/>
        <v>0</v>
      </c>
      <c r="S89" s="111">
        <f t="shared" si="14"/>
        <v>0</v>
      </c>
      <c r="T89" s="112">
        <f t="shared" si="15"/>
        <v>0</v>
      </c>
      <c r="U89" s="169">
        <f t="shared" si="16"/>
        <v>0</v>
      </c>
      <c r="V89" s="114" t="str">
        <f>IF(ISNA(VLOOKUP(J89,[1]!AVION1[#Data],3,FALSE)),"",VLOOKUP(J89,[1]!AVION1[#Data],3,FALSE))</f>
        <v/>
      </c>
      <c r="W89" s="114" t="str">
        <f>IF(ISNA(VLOOKUP(N89,[1]!INSTRUCTEUR[#Data],2,FALSE)),"",VLOOKUP(N89,[1]!INSTRUCTEUR[#Data],2,FALSE))</f>
        <v/>
      </c>
      <c r="X89" s="115">
        <f t="shared" si="17"/>
        <v>0</v>
      </c>
    </row>
    <row r="90" spans="1:24">
      <c r="A90" s="116"/>
      <c r="B90" s="117">
        <f>B89+1</f>
        <v>2</v>
      </c>
      <c r="C90" s="172"/>
      <c r="D90" s="173"/>
      <c r="E90" s="174"/>
      <c r="F90" s="175"/>
      <c r="G90" s="124"/>
      <c r="H90" s="176">
        <f t="shared" si="8"/>
        <v>0</v>
      </c>
      <c r="I90" s="119" t="str">
        <f>IF(ISNA(VLOOKUP(J90,[1]!AVION1[#Data],2,FALSE)),"",VLOOKUP(J90,[1]!AVION1[#Data],2,FALSE))</f>
        <v/>
      </c>
      <c r="J90" s="174"/>
      <c r="K90" s="124"/>
      <c r="L90" s="124"/>
      <c r="M90" s="177">
        <f t="shared" si="9"/>
        <v>0</v>
      </c>
      <c r="N90" s="178"/>
      <c r="O90" s="124"/>
      <c r="P90" s="124"/>
      <c r="Q90" s="127">
        <f t="shared" si="12"/>
        <v>0</v>
      </c>
      <c r="R90" s="128">
        <f t="shared" si="13"/>
        <v>0</v>
      </c>
      <c r="S90" s="127">
        <f t="shared" si="14"/>
        <v>0</v>
      </c>
      <c r="T90" s="128">
        <f t="shared" si="15"/>
        <v>0</v>
      </c>
      <c r="U90" s="170">
        <f t="shared" si="16"/>
        <v>0</v>
      </c>
      <c r="V90" s="114" t="str">
        <f>IF(ISNA(VLOOKUP(J90,[1]!AVION1[#Data],3,FALSE)),"",VLOOKUP(J90,[1]!AVION1[#Data],3,FALSE))</f>
        <v/>
      </c>
      <c r="W90" s="114" t="str">
        <f>IF(ISNA(VLOOKUP(N90,[1]!INSTRUCTEUR[#Data],2,FALSE)),"",VLOOKUP(N90,[1]!INSTRUCTEUR[#Data],2,FALSE))</f>
        <v/>
      </c>
      <c r="X90" s="115">
        <f t="shared" si="17"/>
        <v>0</v>
      </c>
    </row>
    <row r="91" spans="1:24">
      <c r="A91" s="116"/>
      <c r="B91" s="117">
        <f t="shared" ref="B91:B106" si="18">B90+1</f>
        <v>3</v>
      </c>
      <c r="C91" s="172"/>
      <c r="D91" s="173"/>
      <c r="E91" s="174"/>
      <c r="F91" s="175"/>
      <c r="G91" s="124"/>
      <c r="H91" s="176">
        <f t="shared" si="8"/>
        <v>0</v>
      </c>
      <c r="I91" s="119" t="str">
        <f>IF(ISNA(VLOOKUP(J91,[1]!AVION1[#Data],2,FALSE)),"",VLOOKUP(J91,[1]!AVION1[#Data],2,FALSE))</f>
        <v/>
      </c>
      <c r="J91" s="174"/>
      <c r="K91" s="124"/>
      <c r="L91" s="124"/>
      <c r="M91" s="177">
        <f t="shared" si="9"/>
        <v>0</v>
      </c>
      <c r="N91" s="178"/>
      <c r="O91" s="124"/>
      <c r="P91" s="124"/>
      <c r="Q91" s="127">
        <f t="shared" si="12"/>
        <v>0</v>
      </c>
      <c r="R91" s="128">
        <f t="shared" si="13"/>
        <v>0</v>
      </c>
      <c r="S91" s="127">
        <f t="shared" si="14"/>
        <v>0</v>
      </c>
      <c r="T91" s="128">
        <f t="shared" si="15"/>
        <v>0</v>
      </c>
      <c r="U91" s="170">
        <f t="shared" si="16"/>
        <v>0</v>
      </c>
      <c r="V91" s="114" t="str">
        <f>IF(ISNA(VLOOKUP(J91,[1]!AVION1[#Data],3,FALSE)),"",VLOOKUP(J91,[1]!AVION1[#Data],3,FALSE))</f>
        <v/>
      </c>
      <c r="W91" s="114" t="str">
        <f>IF(ISNA(VLOOKUP(N91,[1]!INSTRUCTEUR[#Data],2,FALSE)),"",VLOOKUP(N91,[1]!INSTRUCTEUR[#Data],2,FALSE))</f>
        <v/>
      </c>
      <c r="X91" s="115">
        <f t="shared" si="17"/>
        <v>0</v>
      </c>
    </row>
    <row r="92" spans="1:24">
      <c r="A92" s="116"/>
      <c r="B92" s="117">
        <f t="shared" si="18"/>
        <v>4</v>
      </c>
      <c r="C92" s="172"/>
      <c r="D92" s="173"/>
      <c r="E92" s="174"/>
      <c r="F92" s="175"/>
      <c r="G92" s="124"/>
      <c r="H92" s="176">
        <f t="shared" si="8"/>
        <v>0</v>
      </c>
      <c r="I92" s="119" t="str">
        <f>IF(ISNA(VLOOKUP(J92,[1]!AVION1[#Data],2,FALSE)),"",VLOOKUP(J92,[1]!AVION1[#Data],2,FALSE))</f>
        <v/>
      </c>
      <c r="J92" s="174"/>
      <c r="K92" s="124"/>
      <c r="L92" s="124"/>
      <c r="M92" s="177">
        <f t="shared" si="9"/>
        <v>0</v>
      </c>
      <c r="N92" s="178"/>
      <c r="O92" s="124"/>
      <c r="P92" s="124"/>
      <c r="Q92" s="127">
        <f t="shared" si="12"/>
        <v>0</v>
      </c>
      <c r="R92" s="128">
        <f t="shared" si="13"/>
        <v>0</v>
      </c>
      <c r="S92" s="127">
        <f t="shared" si="14"/>
        <v>0</v>
      </c>
      <c r="T92" s="128">
        <f t="shared" si="15"/>
        <v>0</v>
      </c>
      <c r="U92" s="170">
        <f t="shared" si="16"/>
        <v>0</v>
      </c>
      <c r="V92" s="114" t="str">
        <f>IF(ISNA(VLOOKUP(J92,[1]!AVION1[#Data],3,FALSE)),"",VLOOKUP(J92,[1]!AVION1[#Data],3,FALSE))</f>
        <v/>
      </c>
      <c r="W92" s="114" t="str">
        <f>IF(ISNA(VLOOKUP(N92,[1]!INSTRUCTEUR[#Data],2,FALSE)),"",VLOOKUP(N92,[1]!INSTRUCTEUR[#Data],2,FALSE))</f>
        <v/>
      </c>
      <c r="X92" s="115">
        <f t="shared" si="17"/>
        <v>0</v>
      </c>
    </row>
    <row r="93" spans="1:24">
      <c r="A93" s="116"/>
      <c r="B93" s="117">
        <f t="shared" si="18"/>
        <v>5</v>
      </c>
      <c r="C93" s="172"/>
      <c r="D93" s="173"/>
      <c r="E93" s="174"/>
      <c r="F93" s="175"/>
      <c r="G93" s="124"/>
      <c r="H93" s="176">
        <f t="shared" si="8"/>
        <v>0</v>
      </c>
      <c r="I93" s="119" t="str">
        <f>IF(ISNA(VLOOKUP(J93,[1]!AVION1[#Data],2,FALSE)),"",VLOOKUP(J93,[1]!AVION1[#Data],2,FALSE))</f>
        <v/>
      </c>
      <c r="J93" s="174"/>
      <c r="K93" s="124"/>
      <c r="L93" s="124"/>
      <c r="M93" s="177">
        <f t="shared" si="9"/>
        <v>0</v>
      </c>
      <c r="N93" s="178"/>
      <c r="O93" s="124"/>
      <c r="P93" s="124"/>
      <c r="Q93" s="127">
        <f t="shared" si="12"/>
        <v>0</v>
      </c>
      <c r="R93" s="128">
        <f t="shared" si="13"/>
        <v>0</v>
      </c>
      <c r="S93" s="127">
        <f t="shared" si="14"/>
        <v>0</v>
      </c>
      <c r="T93" s="128">
        <f t="shared" si="15"/>
        <v>0</v>
      </c>
      <c r="U93" s="170">
        <f t="shared" si="16"/>
        <v>0</v>
      </c>
      <c r="V93" s="114" t="str">
        <f>IF(ISNA(VLOOKUP(J93,[1]!AVION1[#Data],3,FALSE)),"",VLOOKUP(J93,[1]!AVION1[#Data],3,FALSE))</f>
        <v/>
      </c>
      <c r="W93" s="114" t="str">
        <f>IF(ISNA(VLOOKUP(N93,[1]!INSTRUCTEUR[#Data],2,FALSE)),"",VLOOKUP(N93,[1]!INSTRUCTEUR[#Data],2,FALSE))</f>
        <v/>
      </c>
      <c r="X93" s="115">
        <f t="shared" si="17"/>
        <v>0</v>
      </c>
    </row>
    <row r="94" spans="1:24">
      <c r="A94" s="116"/>
      <c r="B94" s="117">
        <f t="shared" si="18"/>
        <v>6</v>
      </c>
      <c r="C94" s="172"/>
      <c r="D94" s="173"/>
      <c r="E94" s="174"/>
      <c r="F94" s="175"/>
      <c r="G94" s="124"/>
      <c r="H94" s="176">
        <f t="shared" si="8"/>
        <v>0</v>
      </c>
      <c r="I94" s="119" t="str">
        <f>IF(ISNA(VLOOKUP(J94,[1]!AVION1[#Data],2,FALSE)),"",VLOOKUP(J94,[1]!AVION1[#Data],2,FALSE))</f>
        <v/>
      </c>
      <c r="J94" s="174"/>
      <c r="K94" s="124"/>
      <c r="L94" s="124"/>
      <c r="M94" s="177">
        <f t="shared" si="9"/>
        <v>0</v>
      </c>
      <c r="N94" s="178"/>
      <c r="O94" s="124"/>
      <c r="P94" s="124"/>
      <c r="Q94" s="127">
        <f t="shared" si="12"/>
        <v>0</v>
      </c>
      <c r="R94" s="128">
        <f t="shared" si="13"/>
        <v>0</v>
      </c>
      <c r="S94" s="127">
        <f t="shared" si="14"/>
        <v>0</v>
      </c>
      <c r="T94" s="128">
        <f t="shared" si="15"/>
        <v>0</v>
      </c>
      <c r="U94" s="170">
        <f t="shared" si="16"/>
        <v>0</v>
      </c>
      <c r="V94" s="114" t="str">
        <f>IF(ISNA(VLOOKUP(J94,[1]!AVION1[#Data],3,FALSE)),"",VLOOKUP(J94,[1]!AVION1[#Data],3,FALSE))</f>
        <v/>
      </c>
      <c r="W94" s="114" t="str">
        <f>IF(ISNA(VLOOKUP(N94,[1]!INSTRUCTEUR[#Data],2,FALSE)),"",VLOOKUP(N94,[1]!INSTRUCTEUR[#Data],2,FALSE))</f>
        <v/>
      </c>
      <c r="X94" s="115">
        <f t="shared" si="17"/>
        <v>0</v>
      </c>
    </row>
    <row r="95" spans="1:24">
      <c r="A95" s="116"/>
      <c r="B95" s="117">
        <f t="shared" si="18"/>
        <v>7</v>
      </c>
      <c r="C95" s="172"/>
      <c r="D95" s="173"/>
      <c r="E95" s="174"/>
      <c r="F95" s="175"/>
      <c r="G95" s="124"/>
      <c r="H95" s="176">
        <f t="shared" si="8"/>
        <v>0</v>
      </c>
      <c r="I95" s="119" t="str">
        <f>IF(ISNA(VLOOKUP(J95,[1]!AVION1[#Data],2,FALSE)),"",VLOOKUP(J95,[1]!AVION1[#Data],2,FALSE))</f>
        <v/>
      </c>
      <c r="J95" s="174"/>
      <c r="K95" s="124"/>
      <c r="L95" s="124"/>
      <c r="M95" s="177">
        <f t="shared" si="9"/>
        <v>0</v>
      </c>
      <c r="N95" s="178"/>
      <c r="O95" s="124"/>
      <c r="P95" s="124"/>
      <c r="Q95" s="127">
        <f t="shared" si="12"/>
        <v>0</v>
      </c>
      <c r="R95" s="128">
        <f t="shared" si="13"/>
        <v>0</v>
      </c>
      <c r="S95" s="127">
        <f t="shared" si="14"/>
        <v>0</v>
      </c>
      <c r="T95" s="128">
        <f t="shared" si="15"/>
        <v>0</v>
      </c>
      <c r="U95" s="170">
        <f t="shared" si="16"/>
        <v>0</v>
      </c>
      <c r="V95" s="114" t="str">
        <f>IF(ISNA(VLOOKUP(J95,[1]!AVION1[#Data],3,FALSE)),"",VLOOKUP(J95,[1]!AVION1[#Data],3,FALSE))</f>
        <v/>
      </c>
      <c r="W95" s="114" t="str">
        <f>IF(ISNA(VLOOKUP(N95,[1]!INSTRUCTEUR[#Data],2,FALSE)),"",VLOOKUP(N95,[1]!INSTRUCTEUR[#Data],2,FALSE))</f>
        <v/>
      </c>
      <c r="X95" s="115">
        <f t="shared" si="17"/>
        <v>0</v>
      </c>
    </row>
    <row r="96" spans="1:24">
      <c r="A96" s="116"/>
      <c r="B96" s="117">
        <f t="shared" si="18"/>
        <v>8</v>
      </c>
      <c r="C96" s="172"/>
      <c r="D96" s="173"/>
      <c r="E96" s="174"/>
      <c r="F96" s="175"/>
      <c r="G96" s="124"/>
      <c r="H96" s="176">
        <f t="shared" si="8"/>
        <v>0</v>
      </c>
      <c r="I96" s="119" t="str">
        <f>IF(ISNA(VLOOKUP(J96,[1]!AVION1[#Data],2,FALSE)),"",VLOOKUP(J96,[1]!AVION1[#Data],2,FALSE))</f>
        <v/>
      </c>
      <c r="J96" s="174"/>
      <c r="K96" s="124"/>
      <c r="L96" s="124"/>
      <c r="M96" s="177">
        <f t="shared" si="9"/>
        <v>0</v>
      </c>
      <c r="N96" s="178"/>
      <c r="O96" s="124"/>
      <c r="P96" s="124"/>
      <c r="Q96" s="127">
        <f t="shared" si="12"/>
        <v>0</v>
      </c>
      <c r="R96" s="128">
        <f t="shared" si="13"/>
        <v>0</v>
      </c>
      <c r="S96" s="127">
        <f t="shared" si="14"/>
        <v>0</v>
      </c>
      <c r="T96" s="128">
        <f t="shared" si="15"/>
        <v>0</v>
      </c>
      <c r="U96" s="170">
        <f t="shared" si="16"/>
        <v>0</v>
      </c>
      <c r="V96" s="114" t="str">
        <f>IF(ISNA(VLOOKUP(J96,[1]!AVION1[#Data],3,FALSE)),"",VLOOKUP(J96,[1]!AVION1[#Data],3,FALSE))</f>
        <v/>
      </c>
      <c r="W96" s="114" t="str">
        <f>IF(ISNA(VLOOKUP(N96,[1]!INSTRUCTEUR[#Data],2,FALSE)),"",VLOOKUP(N96,[1]!INSTRUCTEUR[#Data],2,FALSE))</f>
        <v/>
      </c>
      <c r="X96" s="115">
        <f t="shared" si="17"/>
        <v>0</v>
      </c>
    </row>
    <row r="97" spans="1:24">
      <c r="A97" s="116"/>
      <c r="B97" s="117">
        <f t="shared" si="18"/>
        <v>9</v>
      </c>
      <c r="C97" s="172"/>
      <c r="D97" s="173"/>
      <c r="E97" s="174"/>
      <c r="F97" s="175"/>
      <c r="G97" s="124"/>
      <c r="H97" s="176">
        <f t="shared" si="8"/>
        <v>0</v>
      </c>
      <c r="I97" s="119" t="str">
        <f>IF(ISNA(VLOOKUP(J97,[1]!AVION1[#Data],2,FALSE)),"",VLOOKUP(J97,[1]!AVION1[#Data],2,FALSE))</f>
        <v/>
      </c>
      <c r="J97" s="174"/>
      <c r="K97" s="124"/>
      <c r="L97" s="124"/>
      <c r="M97" s="177">
        <f t="shared" si="9"/>
        <v>0</v>
      </c>
      <c r="N97" s="178"/>
      <c r="O97" s="124"/>
      <c r="P97" s="124"/>
      <c r="Q97" s="127">
        <f t="shared" si="12"/>
        <v>0</v>
      </c>
      <c r="R97" s="128">
        <f t="shared" si="13"/>
        <v>0</v>
      </c>
      <c r="S97" s="127">
        <f t="shared" si="14"/>
        <v>0</v>
      </c>
      <c r="T97" s="128">
        <f t="shared" si="15"/>
        <v>0</v>
      </c>
      <c r="U97" s="170">
        <f t="shared" si="16"/>
        <v>0</v>
      </c>
      <c r="V97" s="114" t="str">
        <f>IF(ISNA(VLOOKUP(J97,[1]!AVION1[#Data],3,FALSE)),"",VLOOKUP(J97,[1]!AVION1[#Data],3,FALSE))</f>
        <v/>
      </c>
      <c r="W97" s="114" t="str">
        <f>IF(ISNA(VLOOKUP(N97,[1]!INSTRUCTEUR[#Data],2,FALSE)),"",VLOOKUP(N97,[1]!INSTRUCTEUR[#Data],2,FALSE))</f>
        <v/>
      </c>
      <c r="X97" s="115">
        <f t="shared" si="17"/>
        <v>0</v>
      </c>
    </row>
    <row r="98" spans="1:24">
      <c r="A98" s="116"/>
      <c r="B98" s="117">
        <f t="shared" si="18"/>
        <v>10</v>
      </c>
      <c r="C98" s="172"/>
      <c r="D98" s="173"/>
      <c r="E98" s="174"/>
      <c r="F98" s="175"/>
      <c r="G98" s="124"/>
      <c r="H98" s="176">
        <f t="shared" si="8"/>
        <v>0</v>
      </c>
      <c r="I98" s="119" t="str">
        <f>IF(ISNA(VLOOKUP(J98,[1]!AVION1[#Data],2,FALSE)),"",VLOOKUP(J98,[1]!AVION1[#Data],2,FALSE))</f>
        <v/>
      </c>
      <c r="J98" s="174"/>
      <c r="K98" s="124"/>
      <c r="L98" s="124"/>
      <c r="M98" s="177">
        <f t="shared" si="9"/>
        <v>0</v>
      </c>
      <c r="N98" s="178"/>
      <c r="O98" s="124"/>
      <c r="P98" s="124"/>
      <c r="Q98" s="127">
        <f t="shared" si="12"/>
        <v>0</v>
      </c>
      <c r="R98" s="128">
        <f t="shared" si="13"/>
        <v>0</v>
      </c>
      <c r="S98" s="127">
        <f t="shared" si="14"/>
        <v>0</v>
      </c>
      <c r="T98" s="128">
        <f t="shared" si="15"/>
        <v>0</v>
      </c>
      <c r="U98" s="170">
        <f t="shared" si="16"/>
        <v>0</v>
      </c>
      <c r="V98" s="114" t="str">
        <f>IF(ISNA(VLOOKUP(J98,[1]!AVION1[#Data],3,FALSE)),"",VLOOKUP(J98,[1]!AVION1[#Data],3,FALSE))</f>
        <v/>
      </c>
      <c r="W98" s="114" t="str">
        <f>IF(ISNA(VLOOKUP(N98,[1]!INSTRUCTEUR[#Data],2,FALSE)),"",VLOOKUP(N98,[1]!INSTRUCTEUR[#Data],2,FALSE))</f>
        <v/>
      </c>
      <c r="X98" s="115">
        <f t="shared" si="17"/>
        <v>0</v>
      </c>
    </row>
    <row r="99" spans="1:24">
      <c r="A99" s="116"/>
      <c r="B99" s="117">
        <f t="shared" si="18"/>
        <v>11</v>
      </c>
      <c r="C99" s="172"/>
      <c r="D99" s="173"/>
      <c r="E99" s="174"/>
      <c r="F99" s="175"/>
      <c r="G99" s="124"/>
      <c r="H99" s="176">
        <f t="shared" si="8"/>
        <v>0</v>
      </c>
      <c r="I99" s="119" t="str">
        <f>IF(ISNA(VLOOKUP(J99,[1]!AVION1[#Data],2,FALSE)),"",VLOOKUP(J99,[1]!AVION1[#Data],2,FALSE))</f>
        <v/>
      </c>
      <c r="J99" s="174"/>
      <c r="K99" s="124"/>
      <c r="L99" s="124"/>
      <c r="M99" s="177">
        <f t="shared" si="9"/>
        <v>0</v>
      </c>
      <c r="N99" s="178"/>
      <c r="O99" s="124"/>
      <c r="P99" s="124"/>
      <c r="Q99" s="127">
        <f t="shared" si="12"/>
        <v>0</v>
      </c>
      <c r="R99" s="128">
        <f t="shared" si="13"/>
        <v>0</v>
      </c>
      <c r="S99" s="127">
        <f t="shared" si="14"/>
        <v>0</v>
      </c>
      <c r="T99" s="128">
        <f t="shared" si="15"/>
        <v>0</v>
      </c>
      <c r="U99" s="170">
        <f t="shared" si="16"/>
        <v>0</v>
      </c>
      <c r="V99" s="114" t="str">
        <f>IF(ISNA(VLOOKUP(J99,[1]!AVION1[#Data],3,FALSE)),"",VLOOKUP(J99,[1]!AVION1[#Data],3,FALSE))</f>
        <v/>
      </c>
      <c r="W99" s="114" t="str">
        <f>IF(ISNA(VLOOKUP(N99,[1]!INSTRUCTEUR[#Data],2,FALSE)),"",VLOOKUP(N99,[1]!INSTRUCTEUR[#Data],2,FALSE))</f>
        <v/>
      </c>
      <c r="X99" s="115">
        <f t="shared" si="17"/>
        <v>0</v>
      </c>
    </row>
    <row r="100" spans="1:24">
      <c r="A100" s="116"/>
      <c r="B100" s="117">
        <f t="shared" si="18"/>
        <v>12</v>
      </c>
      <c r="C100" s="172"/>
      <c r="D100" s="173"/>
      <c r="E100" s="174"/>
      <c r="F100" s="175"/>
      <c r="G100" s="124"/>
      <c r="H100" s="176">
        <f t="shared" si="8"/>
        <v>0</v>
      </c>
      <c r="I100" s="119" t="str">
        <f>IF(ISNA(VLOOKUP(J100,[1]!AVION1[#Data],2,FALSE)),"",VLOOKUP(J100,[1]!AVION1[#Data],2,FALSE))</f>
        <v/>
      </c>
      <c r="J100" s="174"/>
      <c r="K100" s="124"/>
      <c r="L100" s="124"/>
      <c r="M100" s="177">
        <f t="shared" si="9"/>
        <v>0</v>
      </c>
      <c r="N100" s="178"/>
      <c r="O100" s="124"/>
      <c r="P100" s="124"/>
      <c r="Q100" s="127">
        <f t="shared" si="12"/>
        <v>0</v>
      </c>
      <c r="R100" s="128">
        <f t="shared" si="13"/>
        <v>0</v>
      </c>
      <c r="S100" s="127">
        <f t="shared" si="14"/>
        <v>0</v>
      </c>
      <c r="T100" s="128">
        <f t="shared" si="15"/>
        <v>0</v>
      </c>
      <c r="U100" s="170">
        <f t="shared" si="16"/>
        <v>0</v>
      </c>
      <c r="V100" s="114" t="str">
        <f>IF(ISNA(VLOOKUP(J100,[1]!AVION1[#Data],3,FALSE)),"",VLOOKUP(J100,[1]!AVION1[#Data],3,FALSE))</f>
        <v/>
      </c>
      <c r="W100" s="114" t="str">
        <f>IF(ISNA(VLOOKUP(N100,[1]!INSTRUCTEUR[#Data],2,FALSE)),"",VLOOKUP(N100,[1]!INSTRUCTEUR[#Data],2,FALSE))</f>
        <v/>
      </c>
      <c r="X100" s="115">
        <f t="shared" si="17"/>
        <v>0</v>
      </c>
    </row>
    <row r="101" spans="1:24">
      <c r="A101" s="116"/>
      <c r="B101" s="117">
        <f t="shared" si="18"/>
        <v>13</v>
      </c>
      <c r="C101" s="172"/>
      <c r="D101" s="173"/>
      <c r="E101" s="174"/>
      <c r="F101" s="175"/>
      <c r="G101" s="124"/>
      <c r="H101" s="176">
        <f t="shared" ref="H101:H164" si="19">F101+M101</f>
        <v>0</v>
      </c>
      <c r="I101" s="119" t="str">
        <f>IF(ISNA(VLOOKUP(J101,[1]!AVION1[#Data],2,FALSE)),"",VLOOKUP(J101,[1]!AVION1[#Data],2,FALSE))</f>
        <v/>
      </c>
      <c r="J101" s="174"/>
      <c r="K101" s="124"/>
      <c r="L101" s="124"/>
      <c r="M101" s="177">
        <f t="shared" ref="M101:M164" si="20">(L101-K101)*60/14400</f>
        <v>0</v>
      </c>
      <c r="N101" s="178"/>
      <c r="O101" s="124"/>
      <c r="P101" s="124"/>
      <c r="Q101" s="127">
        <f t="shared" si="12"/>
        <v>0</v>
      </c>
      <c r="R101" s="128">
        <f t="shared" si="13"/>
        <v>0</v>
      </c>
      <c r="S101" s="127">
        <f t="shared" si="14"/>
        <v>0</v>
      </c>
      <c r="T101" s="128">
        <f t="shared" si="15"/>
        <v>0</v>
      </c>
      <c r="U101" s="170">
        <f t="shared" si="16"/>
        <v>0</v>
      </c>
      <c r="V101" s="114" t="str">
        <f>IF(ISNA(VLOOKUP(J101,[1]!AVION1[#Data],3,FALSE)),"",VLOOKUP(J101,[1]!AVION1[#Data],3,FALSE))</f>
        <v/>
      </c>
      <c r="W101" s="114" t="str">
        <f>IF(ISNA(VLOOKUP(N101,[1]!INSTRUCTEUR[#Data],2,FALSE)),"",VLOOKUP(N101,[1]!INSTRUCTEUR[#Data],2,FALSE))</f>
        <v/>
      </c>
      <c r="X101" s="115">
        <f t="shared" si="17"/>
        <v>0</v>
      </c>
    </row>
    <row r="102" spans="1:24">
      <c r="A102" s="116"/>
      <c r="B102" s="117">
        <f t="shared" si="18"/>
        <v>14</v>
      </c>
      <c r="C102" s="172"/>
      <c r="D102" s="173"/>
      <c r="E102" s="174"/>
      <c r="F102" s="175"/>
      <c r="G102" s="124"/>
      <c r="H102" s="176">
        <f t="shared" si="19"/>
        <v>0</v>
      </c>
      <c r="I102" s="119" t="str">
        <f>IF(ISNA(VLOOKUP(J102,[1]!AVION1[#Data],2,FALSE)),"",VLOOKUP(J102,[1]!AVION1[#Data],2,FALSE))</f>
        <v/>
      </c>
      <c r="J102" s="174"/>
      <c r="K102" s="124"/>
      <c r="L102" s="124"/>
      <c r="M102" s="177">
        <f t="shared" si="20"/>
        <v>0</v>
      </c>
      <c r="N102" s="178"/>
      <c r="O102" s="124"/>
      <c r="P102" s="124"/>
      <c r="Q102" s="127">
        <f t="shared" si="12"/>
        <v>0</v>
      </c>
      <c r="R102" s="128">
        <f t="shared" si="13"/>
        <v>0</v>
      </c>
      <c r="S102" s="127">
        <f t="shared" si="14"/>
        <v>0</v>
      </c>
      <c r="T102" s="128">
        <f t="shared" si="15"/>
        <v>0</v>
      </c>
      <c r="U102" s="170">
        <f t="shared" si="16"/>
        <v>0</v>
      </c>
      <c r="V102" s="114" t="str">
        <f>IF(ISNA(VLOOKUP(J102,[1]!AVION1[#Data],3,FALSE)),"",VLOOKUP(J102,[1]!AVION1[#Data],3,FALSE))</f>
        <v/>
      </c>
      <c r="W102" s="114" t="str">
        <f>IF(ISNA(VLOOKUP(N102,[1]!INSTRUCTEUR[#Data],2,FALSE)),"",VLOOKUP(N102,[1]!INSTRUCTEUR[#Data],2,FALSE))</f>
        <v/>
      </c>
      <c r="X102" s="115">
        <f t="shared" si="17"/>
        <v>0</v>
      </c>
    </row>
    <row r="103" spans="1:24">
      <c r="A103" s="116"/>
      <c r="B103" s="117">
        <f t="shared" si="18"/>
        <v>15</v>
      </c>
      <c r="C103" s="172"/>
      <c r="D103" s="173"/>
      <c r="E103" s="174"/>
      <c r="F103" s="175"/>
      <c r="G103" s="124"/>
      <c r="H103" s="176">
        <f t="shared" si="19"/>
        <v>0</v>
      </c>
      <c r="I103" s="119" t="str">
        <f>IF(ISNA(VLOOKUP(J103,[1]!AVION1[#Data],2,FALSE)),"",VLOOKUP(J103,[1]!AVION1[#Data],2,FALSE))</f>
        <v/>
      </c>
      <c r="J103" s="174"/>
      <c r="K103" s="124"/>
      <c r="L103" s="124"/>
      <c r="M103" s="177">
        <f t="shared" si="20"/>
        <v>0</v>
      </c>
      <c r="N103" s="178"/>
      <c r="O103" s="124"/>
      <c r="P103" s="124"/>
      <c r="Q103" s="127">
        <f t="shared" si="12"/>
        <v>0</v>
      </c>
      <c r="R103" s="128">
        <f t="shared" si="13"/>
        <v>0</v>
      </c>
      <c r="S103" s="127">
        <f t="shared" si="14"/>
        <v>0</v>
      </c>
      <c r="T103" s="128">
        <f t="shared" si="15"/>
        <v>0</v>
      </c>
      <c r="U103" s="170">
        <f t="shared" si="16"/>
        <v>0</v>
      </c>
      <c r="V103" s="114" t="str">
        <f>IF(ISNA(VLOOKUP(J103,[1]!AVION1[#Data],3,FALSE)),"",VLOOKUP(J103,[1]!AVION1[#Data],3,FALSE))</f>
        <v/>
      </c>
      <c r="W103" s="114" t="str">
        <f>IF(ISNA(VLOOKUP(N103,[1]!INSTRUCTEUR[#Data],2,FALSE)),"",VLOOKUP(N103,[1]!INSTRUCTEUR[#Data],2,FALSE))</f>
        <v/>
      </c>
      <c r="X103" s="115">
        <f t="shared" si="17"/>
        <v>0</v>
      </c>
    </row>
    <row r="104" spans="1:24">
      <c r="A104" s="116"/>
      <c r="B104" s="117">
        <f t="shared" si="18"/>
        <v>16</v>
      </c>
      <c r="C104" s="172"/>
      <c r="D104" s="173"/>
      <c r="E104" s="174"/>
      <c r="F104" s="175"/>
      <c r="G104" s="124"/>
      <c r="H104" s="176">
        <f t="shared" si="19"/>
        <v>0</v>
      </c>
      <c r="I104" s="119" t="str">
        <f>IF(ISNA(VLOOKUP(J104,[1]!AVION1[#Data],2,FALSE)),"",VLOOKUP(J104,[1]!AVION1[#Data],2,FALSE))</f>
        <v/>
      </c>
      <c r="J104" s="174"/>
      <c r="K104" s="124"/>
      <c r="L104" s="124"/>
      <c r="M104" s="177">
        <f t="shared" si="20"/>
        <v>0</v>
      </c>
      <c r="N104" s="178"/>
      <c r="O104" s="124"/>
      <c r="P104" s="124"/>
      <c r="Q104" s="127">
        <f t="shared" si="12"/>
        <v>0</v>
      </c>
      <c r="R104" s="128">
        <f t="shared" si="13"/>
        <v>0</v>
      </c>
      <c r="S104" s="127">
        <f t="shared" si="14"/>
        <v>0</v>
      </c>
      <c r="T104" s="128">
        <f t="shared" si="15"/>
        <v>0</v>
      </c>
      <c r="U104" s="170">
        <f t="shared" si="16"/>
        <v>0</v>
      </c>
      <c r="V104" s="114" t="str">
        <f>IF(ISNA(VLOOKUP(J104,[1]!AVION1[#Data],3,FALSE)),"",VLOOKUP(J104,[1]!AVION1[#Data],3,FALSE))</f>
        <v/>
      </c>
      <c r="W104" s="114" t="str">
        <f>IF(ISNA(VLOOKUP(N104,[1]!INSTRUCTEUR[#Data],2,FALSE)),"",VLOOKUP(N104,[1]!INSTRUCTEUR[#Data],2,FALSE))</f>
        <v/>
      </c>
      <c r="X104" s="115">
        <f t="shared" si="17"/>
        <v>0</v>
      </c>
    </row>
    <row r="105" spans="1:24">
      <c r="A105" s="116"/>
      <c r="B105" s="117">
        <f t="shared" si="18"/>
        <v>17</v>
      </c>
      <c r="C105" s="172"/>
      <c r="D105" s="173"/>
      <c r="E105" s="174"/>
      <c r="F105" s="175"/>
      <c r="G105" s="124"/>
      <c r="H105" s="176">
        <f t="shared" si="19"/>
        <v>0</v>
      </c>
      <c r="I105" s="119" t="str">
        <f>IF(ISNA(VLOOKUP(J105,[1]!AVION1[#Data],2,FALSE)),"",VLOOKUP(J105,[1]!AVION1[#Data],2,FALSE))</f>
        <v/>
      </c>
      <c r="J105" s="174"/>
      <c r="K105" s="124"/>
      <c r="L105" s="124"/>
      <c r="M105" s="177">
        <f t="shared" si="20"/>
        <v>0</v>
      </c>
      <c r="N105" s="178"/>
      <c r="O105" s="124"/>
      <c r="P105" s="124"/>
      <c r="Q105" s="127">
        <f t="shared" si="12"/>
        <v>0</v>
      </c>
      <c r="R105" s="128">
        <f t="shared" si="13"/>
        <v>0</v>
      </c>
      <c r="S105" s="127">
        <f t="shared" si="14"/>
        <v>0</v>
      </c>
      <c r="T105" s="128">
        <f t="shared" si="15"/>
        <v>0</v>
      </c>
      <c r="U105" s="170">
        <f t="shared" si="16"/>
        <v>0</v>
      </c>
      <c r="V105" s="114" t="str">
        <f>IF(ISNA(VLOOKUP(J105,[1]!AVION1[#Data],3,FALSE)),"",VLOOKUP(J105,[1]!AVION1[#Data],3,FALSE))</f>
        <v/>
      </c>
      <c r="W105" s="114" t="str">
        <f>IF(ISNA(VLOOKUP(N105,[1]!INSTRUCTEUR[#Data],2,FALSE)),"",VLOOKUP(N105,[1]!INSTRUCTEUR[#Data],2,FALSE))</f>
        <v/>
      </c>
      <c r="X105" s="115">
        <f t="shared" si="17"/>
        <v>0</v>
      </c>
    </row>
    <row r="106" spans="1:24" ht="15" thickBot="1">
      <c r="A106" s="131"/>
      <c r="B106" s="132">
        <f t="shared" si="18"/>
        <v>18</v>
      </c>
      <c r="C106" s="180"/>
      <c r="D106" s="181"/>
      <c r="E106" s="182"/>
      <c r="F106" s="183"/>
      <c r="G106" s="139"/>
      <c r="H106" s="184">
        <f t="shared" si="19"/>
        <v>0</v>
      </c>
      <c r="I106" s="134" t="str">
        <f>IF(ISNA(VLOOKUP(J106,[1]!AVION1[#Data],2,FALSE)),"",VLOOKUP(J106,[1]!AVION1[#Data],2,FALSE))</f>
        <v/>
      </c>
      <c r="J106" s="182"/>
      <c r="K106" s="139"/>
      <c r="L106" s="139"/>
      <c r="M106" s="197">
        <f t="shared" si="20"/>
        <v>0</v>
      </c>
      <c r="N106" s="186"/>
      <c r="O106" s="139"/>
      <c r="P106" s="139"/>
      <c r="Q106" s="142">
        <f t="shared" si="12"/>
        <v>0</v>
      </c>
      <c r="R106" s="143">
        <f t="shared" si="13"/>
        <v>0</v>
      </c>
      <c r="S106" s="142">
        <f t="shared" si="14"/>
        <v>0</v>
      </c>
      <c r="T106" s="143">
        <f t="shared" si="15"/>
        <v>0</v>
      </c>
      <c r="U106" s="187">
        <f t="shared" si="16"/>
        <v>0</v>
      </c>
      <c r="V106" s="114" t="str">
        <f>IF(ISNA(VLOOKUP(J106,[1]!AVION1[#Data],3,FALSE)),"",VLOOKUP(J106,[1]!AVION1[#Data],3,FALSE))</f>
        <v/>
      </c>
      <c r="W106" s="114" t="str">
        <f>IF(ISNA(VLOOKUP(N106,[1]!INSTRUCTEUR[#Data],2,FALSE)),"",VLOOKUP(N106,[1]!INSTRUCTEUR[#Data],2,FALSE))</f>
        <v/>
      </c>
      <c r="X106" s="115">
        <f t="shared" si="17"/>
        <v>0</v>
      </c>
    </row>
    <row r="107" spans="1:24" ht="15.6">
      <c r="C107" s="145"/>
      <c r="D107" s="146"/>
      <c r="E107" s="146"/>
      <c r="F107" s="147"/>
      <c r="G107" s="146"/>
      <c r="H107" s="148"/>
      <c r="I107" s="149" t="str">
        <f>IF(ISNA(VLOOKUP(J107,[1]!AVION1[#Data],2,FALSE)),"",VLOOKUP(J107,[1]!AVION1[#Data],2,FALSE))</f>
        <v/>
      </c>
      <c r="J107" s="150"/>
      <c r="K107" s="188"/>
      <c r="L107" s="189" t="s">
        <v>60</v>
      </c>
      <c r="M107" s="190">
        <f>SUM(M89:M106)</f>
        <v>0</v>
      </c>
      <c r="N107" s="153"/>
      <c r="O107" s="154">
        <f>SUM(O89:O106)</f>
        <v>0</v>
      </c>
      <c r="P107" s="154"/>
      <c r="Q107" s="155"/>
      <c r="R107" s="156"/>
      <c r="S107" s="157"/>
      <c r="T107" s="158">
        <f>SUM(T89:T106)/1440</f>
        <v>0</v>
      </c>
      <c r="U107" s="158">
        <f>SUM(U89:U106)/1440</f>
        <v>0</v>
      </c>
      <c r="V107" s="114" t="str">
        <f>IF(ISNA(VLOOKUP(J107,[1]!AVION1[#Data],3,FALSE)),"",VLOOKUP(J107,[1]!AVION1[#Data],3,FALSE))</f>
        <v/>
      </c>
      <c r="W107" s="114" t="str">
        <f>IF(ISNA(VLOOKUP(N107,[1]!INSTRUCTEUR[#Data],2,FALSE)),"",VLOOKUP(N107,[1]!INSTRUCTEUR[#Data],2,FALSE))</f>
        <v/>
      </c>
      <c r="X107" s="115">
        <f t="shared" si="17"/>
        <v>0</v>
      </c>
    </row>
    <row r="108" spans="1:24" ht="15.6">
      <c r="C108" s="145"/>
      <c r="D108" s="146"/>
      <c r="E108" s="146"/>
      <c r="F108" s="147"/>
      <c r="G108" s="146"/>
      <c r="H108" s="148"/>
      <c r="I108" s="149" t="str">
        <f>IF(ISNA(VLOOKUP(J108,[1]!AVION1[#Data],2,FALSE)),"",VLOOKUP(J108,[1]!AVION1[#Data],2,FALSE))</f>
        <v/>
      </c>
      <c r="J108" s="146"/>
      <c r="K108" s="191"/>
      <c r="L108" s="192" t="s">
        <v>61</v>
      </c>
      <c r="M108" s="193">
        <f>M88</f>
        <v>1.1520833333333333</v>
      </c>
      <c r="N108" s="153"/>
      <c r="O108" s="163">
        <f>O88</f>
        <v>101</v>
      </c>
      <c r="P108" s="163"/>
      <c r="Q108" s="157"/>
      <c r="R108" s="156"/>
      <c r="S108" s="157"/>
      <c r="T108" s="164">
        <f>T88</f>
        <v>0.15208333333333332</v>
      </c>
      <c r="U108" s="164">
        <f>U88</f>
        <v>1</v>
      </c>
      <c r="V108" s="114" t="str">
        <f>IF(ISNA(VLOOKUP(J108,[1]!AVION1[#Data],3,FALSE)),"",VLOOKUP(J108,[1]!AVION1[#Data],3,FALSE))</f>
        <v/>
      </c>
      <c r="W108" s="114" t="str">
        <f>IF(ISNA(VLOOKUP(N108,[1]!INSTRUCTEUR[#Data],2,FALSE)),"",VLOOKUP(N108,[1]!INSTRUCTEUR[#Data],2,FALSE))</f>
        <v/>
      </c>
      <c r="X108" s="115">
        <f t="shared" si="17"/>
        <v>219</v>
      </c>
    </row>
    <row r="109" spans="1:24" ht="16.2" thickBot="1">
      <c r="C109" s="145"/>
      <c r="D109" s="146"/>
      <c r="E109" s="146"/>
      <c r="F109" s="147"/>
      <c r="G109" s="146"/>
      <c r="H109" s="148"/>
      <c r="I109" s="149" t="str">
        <f>IF(ISNA(VLOOKUP(J109,[1]!AVION1[#Data],2,FALSE)),"",VLOOKUP(J109,[1]!AVION1[#Data],2,FALSE))</f>
        <v/>
      </c>
      <c r="J109" s="146"/>
      <c r="K109" s="194"/>
      <c r="L109" s="195" t="s">
        <v>62</v>
      </c>
      <c r="M109" s="196">
        <f>SUM(M107:M108)</f>
        <v>1.1520833333333333</v>
      </c>
      <c r="N109" s="153"/>
      <c r="O109" s="167">
        <f>SUM(O107:O108)</f>
        <v>101</v>
      </c>
      <c r="P109" s="167"/>
      <c r="Q109" s="157"/>
      <c r="R109" s="156"/>
      <c r="S109" s="157"/>
      <c r="T109" s="168">
        <f>SUM(T108+T107)</f>
        <v>0.15208333333333332</v>
      </c>
      <c r="U109" s="168">
        <f>SUM(U108+U107)</f>
        <v>1</v>
      </c>
      <c r="V109" s="114" t="str">
        <f>IF(ISNA(VLOOKUP(J109,[1]!AVION1[#Data],3,FALSE)),"",VLOOKUP(J109,[1]!AVION1[#Data],3,FALSE))</f>
        <v/>
      </c>
      <c r="W109" s="114" t="str">
        <f>IF(ISNA(VLOOKUP(N109,[1]!INSTRUCTEUR[#Data],2,FALSE)),"",VLOOKUP(N109,[1]!INSTRUCTEUR[#Data],2,FALSE))</f>
        <v/>
      </c>
      <c r="X109" s="115">
        <f t="shared" si="17"/>
        <v>219</v>
      </c>
    </row>
    <row r="110" spans="1:24">
      <c r="A110" s="205">
        <v>6</v>
      </c>
      <c r="B110" s="101">
        <v>1</v>
      </c>
      <c r="C110" s="198"/>
      <c r="D110" s="199"/>
      <c r="E110" s="200"/>
      <c r="F110" s="201"/>
      <c r="G110" s="108"/>
      <c r="H110" s="202">
        <f t="shared" si="19"/>
        <v>0</v>
      </c>
      <c r="I110" s="103" t="str">
        <f>IF(ISNA(VLOOKUP(J110,[1]!AVION1[#Data],2,FALSE)),"",VLOOKUP(J110,[1]!AVION1[#Data],2,FALSE))</f>
        <v/>
      </c>
      <c r="J110" s="200"/>
      <c r="K110" s="108"/>
      <c r="L110" s="108"/>
      <c r="M110" s="203">
        <f t="shared" si="20"/>
        <v>0</v>
      </c>
      <c r="N110" s="204"/>
      <c r="O110" s="108"/>
      <c r="P110" s="108"/>
      <c r="Q110" s="111">
        <f t="shared" si="12"/>
        <v>0</v>
      </c>
      <c r="R110" s="112">
        <f t="shared" si="13"/>
        <v>0</v>
      </c>
      <c r="S110" s="111">
        <f t="shared" si="14"/>
        <v>0</v>
      </c>
      <c r="T110" s="112">
        <f t="shared" si="15"/>
        <v>0</v>
      </c>
      <c r="U110" s="169">
        <f t="shared" si="16"/>
        <v>0</v>
      </c>
      <c r="V110" s="114" t="str">
        <f>IF(ISNA(VLOOKUP(J110,[1]!AVION1[#Data],3,FALSE)),"",VLOOKUP(J110,[1]!AVION1[#Data],3,FALSE))</f>
        <v/>
      </c>
      <c r="W110" s="114" t="str">
        <f>IF(ISNA(VLOOKUP(N110,[1]!INSTRUCTEUR[#Data],2,FALSE)),"",VLOOKUP(N110,[1]!INSTRUCTEUR[#Data],2,FALSE))</f>
        <v/>
      </c>
      <c r="X110" s="115">
        <f t="shared" si="17"/>
        <v>0</v>
      </c>
    </row>
    <row r="111" spans="1:24">
      <c r="A111" s="206"/>
      <c r="B111" s="117">
        <f>B110+1</f>
        <v>2</v>
      </c>
      <c r="C111" s="172"/>
      <c r="D111" s="173"/>
      <c r="E111" s="174"/>
      <c r="F111" s="175"/>
      <c r="G111" s="124"/>
      <c r="H111" s="176">
        <f t="shared" si="19"/>
        <v>0</v>
      </c>
      <c r="I111" s="119" t="str">
        <f>IF(ISNA(VLOOKUP(J111,[1]!AVION1[#Data],2,FALSE)),"",VLOOKUP(J111,[1]!AVION1[#Data],2,FALSE))</f>
        <v/>
      </c>
      <c r="J111" s="174"/>
      <c r="K111" s="124"/>
      <c r="L111" s="124"/>
      <c r="M111" s="177">
        <f t="shared" si="20"/>
        <v>0</v>
      </c>
      <c r="N111" s="178"/>
      <c r="O111" s="124"/>
      <c r="P111" s="124"/>
      <c r="Q111" s="127">
        <f t="shared" si="12"/>
        <v>0</v>
      </c>
      <c r="R111" s="128">
        <f t="shared" si="13"/>
        <v>0</v>
      </c>
      <c r="S111" s="127">
        <f t="shared" si="14"/>
        <v>0</v>
      </c>
      <c r="T111" s="128">
        <f t="shared" si="15"/>
        <v>0</v>
      </c>
      <c r="U111" s="170">
        <f t="shared" si="16"/>
        <v>0</v>
      </c>
      <c r="V111" s="114" t="str">
        <f>IF(ISNA(VLOOKUP(J111,[1]!AVION1[#Data],3,FALSE)),"",VLOOKUP(J111,[1]!AVION1[#Data],3,FALSE))</f>
        <v/>
      </c>
      <c r="W111" s="114" t="str">
        <f>IF(ISNA(VLOOKUP(N111,[1]!INSTRUCTEUR[#Data],2,FALSE)),"",VLOOKUP(N111,[1]!INSTRUCTEUR[#Data],2,FALSE))</f>
        <v/>
      </c>
      <c r="X111" s="115">
        <f t="shared" si="17"/>
        <v>0</v>
      </c>
    </row>
    <row r="112" spans="1:24">
      <c r="A112" s="206"/>
      <c r="B112" s="117">
        <f t="shared" ref="B112:B127" si="21">B111+1</f>
        <v>3</v>
      </c>
      <c r="C112" s="172"/>
      <c r="D112" s="173"/>
      <c r="E112" s="174"/>
      <c r="F112" s="175"/>
      <c r="G112" s="124"/>
      <c r="H112" s="176">
        <f t="shared" si="19"/>
        <v>0</v>
      </c>
      <c r="I112" s="119" t="str">
        <f>IF(ISNA(VLOOKUP(J112,[1]!AVION1[#Data],2,FALSE)),"",VLOOKUP(J112,[1]!AVION1[#Data],2,FALSE))</f>
        <v/>
      </c>
      <c r="J112" s="174"/>
      <c r="K112" s="124"/>
      <c r="L112" s="124"/>
      <c r="M112" s="177">
        <f t="shared" si="20"/>
        <v>0</v>
      </c>
      <c r="N112" s="178"/>
      <c r="O112" s="124"/>
      <c r="P112" s="124"/>
      <c r="Q112" s="127">
        <f t="shared" si="12"/>
        <v>0</v>
      </c>
      <c r="R112" s="128">
        <f t="shared" si="13"/>
        <v>0</v>
      </c>
      <c r="S112" s="127">
        <f t="shared" si="14"/>
        <v>0</v>
      </c>
      <c r="T112" s="128">
        <f t="shared" si="15"/>
        <v>0</v>
      </c>
      <c r="U112" s="170">
        <f t="shared" si="16"/>
        <v>0</v>
      </c>
      <c r="V112" s="114" t="str">
        <f>IF(ISNA(VLOOKUP(J112,[1]!AVION1[#Data],3,FALSE)),"",VLOOKUP(J112,[1]!AVION1[#Data],3,FALSE))</f>
        <v/>
      </c>
      <c r="W112" s="114" t="str">
        <f>IF(ISNA(VLOOKUP(N112,[1]!INSTRUCTEUR[#Data],2,FALSE)),"",VLOOKUP(N112,[1]!INSTRUCTEUR[#Data],2,FALSE))</f>
        <v/>
      </c>
      <c r="X112" s="115">
        <f t="shared" si="17"/>
        <v>0</v>
      </c>
    </row>
    <row r="113" spans="1:24">
      <c r="A113" s="206"/>
      <c r="B113" s="117">
        <f t="shared" si="21"/>
        <v>4</v>
      </c>
      <c r="C113" s="172"/>
      <c r="D113" s="173"/>
      <c r="E113" s="174"/>
      <c r="F113" s="175"/>
      <c r="G113" s="124"/>
      <c r="H113" s="176">
        <f t="shared" si="19"/>
        <v>0</v>
      </c>
      <c r="I113" s="119" t="str">
        <f>IF(ISNA(VLOOKUP(J113,[1]!AVION1[#Data],2,FALSE)),"",VLOOKUP(J113,[1]!AVION1[#Data],2,FALSE))</f>
        <v/>
      </c>
      <c r="J113" s="174"/>
      <c r="K113" s="124"/>
      <c r="L113" s="124"/>
      <c r="M113" s="177">
        <f t="shared" si="20"/>
        <v>0</v>
      </c>
      <c r="N113" s="178"/>
      <c r="O113" s="124"/>
      <c r="P113" s="124"/>
      <c r="Q113" s="127">
        <f t="shared" si="12"/>
        <v>0</v>
      </c>
      <c r="R113" s="128">
        <f t="shared" si="13"/>
        <v>0</v>
      </c>
      <c r="S113" s="127">
        <f t="shared" si="14"/>
        <v>0</v>
      </c>
      <c r="T113" s="128">
        <f t="shared" si="15"/>
        <v>0</v>
      </c>
      <c r="U113" s="170">
        <f t="shared" si="16"/>
        <v>0</v>
      </c>
      <c r="V113" s="114" t="str">
        <f>IF(ISNA(VLOOKUP(J113,[1]!AVION1[#Data],3,FALSE)),"",VLOOKUP(J113,[1]!AVION1[#Data],3,FALSE))</f>
        <v/>
      </c>
      <c r="W113" s="114" t="str">
        <f>IF(ISNA(VLOOKUP(N113,[1]!INSTRUCTEUR[#Data],2,FALSE)),"",VLOOKUP(N113,[1]!INSTRUCTEUR[#Data],2,FALSE))</f>
        <v/>
      </c>
      <c r="X113" s="115">
        <f t="shared" si="17"/>
        <v>0</v>
      </c>
    </row>
    <row r="114" spans="1:24">
      <c r="A114" s="206"/>
      <c r="B114" s="117">
        <f t="shared" si="21"/>
        <v>5</v>
      </c>
      <c r="C114" s="172"/>
      <c r="D114" s="173"/>
      <c r="E114" s="174"/>
      <c r="F114" s="175"/>
      <c r="G114" s="124"/>
      <c r="H114" s="176">
        <f t="shared" si="19"/>
        <v>0</v>
      </c>
      <c r="I114" s="119" t="str">
        <f>IF(ISNA(VLOOKUP(J114,[1]!AVION1[#Data],2,FALSE)),"",VLOOKUP(J114,[1]!AVION1[#Data],2,FALSE))</f>
        <v/>
      </c>
      <c r="J114" s="174"/>
      <c r="K114" s="124"/>
      <c r="L114" s="124"/>
      <c r="M114" s="177">
        <f t="shared" si="20"/>
        <v>0</v>
      </c>
      <c r="N114" s="178"/>
      <c r="O114" s="124"/>
      <c r="P114" s="124"/>
      <c r="Q114" s="127">
        <f t="shared" si="12"/>
        <v>0</v>
      </c>
      <c r="R114" s="128">
        <f t="shared" si="13"/>
        <v>0</v>
      </c>
      <c r="S114" s="127">
        <f t="shared" si="14"/>
        <v>0</v>
      </c>
      <c r="T114" s="128">
        <f t="shared" si="15"/>
        <v>0</v>
      </c>
      <c r="U114" s="170">
        <f t="shared" si="16"/>
        <v>0</v>
      </c>
      <c r="V114" s="114" t="str">
        <f>IF(ISNA(VLOOKUP(J114,[1]!AVION1[#Data],3,FALSE)),"",VLOOKUP(J114,[1]!AVION1[#Data],3,FALSE))</f>
        <v/>
      </c>
      <c r="W114" s="114" t="str">
        <f>IF(ISNA(VLOOKUP(N114,[1]!INSTRUCTEUR[#Data],2,FALSE)),"",VLOOKUP(N114,[1]!INSTRUCTEUR[#Data],2,FALSE))</f>
        <v/>
      </c>
      <c r="X114" s="115">
        <f t="shared" si="17"/>
        <v>0</v>
      </c>
    </row>
    <row r="115" spans="1:24">
      <c r="A115" s="206"/>
      <c r="B115" s="117">
        <f t="shared" si="21"/>
        <v>6</v>
      </c>
      <c r="C115" s="172"/>
      <c r="D115" s="173"/>
      <c r="E115" s="174"/>
      <c r="F115" s="175"/>
      <c r="G115" s="124"/>
      <c r="H115" s="176">
        <f t="shared" si="19"/>
        <v>0</v>
      </c>
      <c r="I115" s="119" t="str">
        <f>IF(ISNA(VLOOKUP(J115,[1]!AVION1[#Data],2,FALSE)),"",VLOOKUP(J115,[1]!AVION1[#Data],2,FALSE))</f>
        <v/>
      </c>
      <c r="J115" s="174"/>
      <c r="K115" s="124"/>
      <c r="L115" s="124"/>
      <c r="M115" s="177">
        <f t="shared" si="20"/>
        <v>0</v>
      </c>
      <c r="N115" s="178"/>
      <c r="O115" s="124"/>
      <c r="P115" s="124"/>
      <c r="Q115" s="127">
        <f t="shared" si="12"/>
        <v>0</v>
      </c>
      <c r="R115" s="128">
        <f t="shared" si="13"/>
        <v>0</v>
      </c>
      <c r="S115" s="127">
        <f t="shared" si="14"/>
        <v>0</v>
      </c>
      <c r="T115" s="128">
        <f t="shared" si="15"/>
        <v>0</v>
      </c>
      <c r="U115" s="170">
        <f t="shared" si="16"/>
        <v>0</v>
      </c>
      <c r="V115" s="114" t="str">
        <f>IF(ISNA(VLOOKUP(J115,[1]!AVION1[#Data],3,FALSE)),"",VLOOKUP(J115,[1]!AVION1[#Data],3,FALSE))</f>
        <v/>
      </c>
      <c r="W115" s="114" t="str">
        <f>IF(ISNA(VLOOKUP(N115,[1]!INSTRUCTEUR[#Data],2,FALSE)),"",VLOOKUP(N115,[1]!INSTRUCTEUR[#Data],2,FALSE))</f>
        <v/>
      </c>
      <c r="X115" s="115">
        <f t="shared" si="17"/>
        <v>0</v>
      </c>
    </row>
    <row r="116" spans="1:24">
      <c r="A116" s="206"/>
      <c r="B116" s="117">
        <f t="shared" si="21"/>
        <v>7</v>
      </c>
      <c r="C116" s="172"/>
      <c r="D116" s="173"/>
      <c r="E116" s="174"/>
      <c r="F116" s="175"/>
      <c r="G116" s="124"/>
      <c r="H116" s="176">
        <f t="shared" si="19"/>
        <v>0</v>
      </c>
      <c r="I116" s="119" t="str">
        <f>IF(ISNA(VLOOKUP(J116,[1]!AVION1[#Data],2,FALSE)),"",VLOOKUP(J116,[1]!AVION1[#Data],2,FALSE))</f>
        <v/>
      </c>
      <c r="J116" s="174"/>
      <c r="K116" s="124"/>
      <c r="L116" s="124"/>
      <c r="M116" s="177">
        <f t="shared" si="20"/>
        <v>0</v>
      </c>
      <c r="N116" s="178"/>
      <c r="O116" s="124"/>
      <c r="P116" s="124"/>
      <c r="Q116" s="127">
        <f t="shared" si="12"/>
        <v>0</v>
      </c>
      <c r="R116" s="128">
        <f t="shared" si="13"/>
        <v>0</v>
      </c>
      <c r="S116" s="127">
        <f t="shared" si="14"/>
        <v>0</v>
      </c>
      <c r="T116" s="128">
        <f t="shared" si="15"/>
        <v>0</v>
      </c>
      <c r="U116" s="170">
        <f t="shared" si="16"/>
        <v>0</v>
      </c>
      <c r="V116" s="114" t="str">
        <f>IF(ISNA(VLOOKUP(J116,[1]!AVION1[#Data],3,FALSE)),"",VLOOKUP(J116,[1]!AVION1[#Data],3,FALSE))</f>
        <v/>
      </c>
      <c r="W116" s="114" t="str">
        <f>IF(ISNA(VLOOKUP(N116,[1]!INSTRUCTEUR[#Data],2,FALSE)),"",VLOOKUP(N116,[1]!INSTRUCTEUR[#Data],2,FALSE))</f>
        <v/>
      </c>
      <c r="X116" s="115">
        <f t="shared" si="17"/>
        <v>0</v>
      </c>
    </row>
    <row r="117" spans="1:24">
      <c r="A117" s="206"/>
      <c r="B117" s="117">
        <f t="shared" si="21"/>
        <v>8</v>
      </c>
      <c r="C117" s="172"/>
      <c r="D117" s="173"/>
      <c r="E117" s="174"/>
      <c r="F117" s="175"/>
      <c r="G117" s="124"/>
      <c r="H117" s="176">
        <f t="shared" si="19"/>
        <v>0</v>
      </c>
      <c r="I117" s="119" t="str">
        <f>IF(ISNA(VLOOKUP(J117,[1]!AVION1[#Data],2,FALSE)),"",VLOOKUP(J117,[1]!AVION1[#Data],2,FALSE))</f>
        <v/>
      </c>
      <c r="J117" s="174"/>
      <c r="K117" s="124"/>
      <c r="L117" s="124"/>
      <c r="M117" s="177">
        <f t="shared" si="20"/>
        <v>0</v>
      </c>
      <c r="N117" s="178"/>
      <c r="O117" s="124"/>
      <c r="P117" s="124"/>
      <c r="Q117" s="127">
        <f t="shared" si="12"/>
        <v>0</v>
      </c>
      <c r="R117" s="128">
        <f t="shared" si="13"/>
        <v>0</v>
      </c>
      <c r="S117" s="127">
        <f t="shared" si="14"/>
        <v>0</v>
      </c>
      <c r="T117" s="128">
        <f t="shared" si="15"/>
        <v>0</v>
      </c>
      <c r="U117" s="170">
        <f t="shared" si="16"/>
        <v>0</v>
      </c>
      <c r="V117" s="114" t="str">
        <f>IF(ISNA(VLOOKUP(J117,[1]!AVION1[#Data],3,FALSE)),"",VLOOKUP(J117,[1]!AVION1[#Data],3,FALSE))</f>
        <v/>
      </c>
      <c r="W117" s="114" t="str">
        <f>IF(ISNA(VLOOKUP(N117,[1]!INSTRUCTEUR[#Data],2,FALSE)),"",VLOOKUP(N117,[1]!INSTRUCTEUR[#Data],2,FALSE))</f>
        <v/>
      </c>
      <c r="X117" s="115">
        <f t="shared" si="17"/>
        <v>0</v>
      </c>
    </row>
    <row r="118" spans="1:24">
      <c r="A118" s="206"/>
      <c r="B118" s="117">
        <f t="shared" si="21"/>
        <v>9</v>
      </c>
      <c r="C118" s="172"/>
      <c r="D118" s="173"/>
      <c r="E118" s="174"/>
      <c r="F118" s="175"/>
      <c r="G118" s="124"/>
      <c r="H118" s="176">
        <f t="shared" si="19"/>
        <v>0</v>
      </c>
      <c r="I118" s="119" t="str">
        <f>IF(ISNA(VLOOKUP(J118,[1]!AVION1[#Data],2,FALSE)),"",VLOOKUP(J118,[1]!AVION1[#Data],2,FALSE))</f>
        <v/>
      </c>
      <c r="J118" s="174"/>
      <c r="K118" s="124"/>
      <c r="L118" s="124"/>
      <c r="M118" s="177">
        <f t="shared" si="20"/>
        <v>0</v>
      </c>
      <c r="N118" s="178"/>
      <c r="O118" s="124"/>
      <c r="P118" s="124"/>
      <c r="Q118" s="127">
        <f t="shared" si="12"/>
        <v>0</v>
      </c>
      <c r="R118" s="128">
        <f t="shared" si="13"/>
        <v>0</v>
      </c>
      <c r="S118" s="127">
        <f t="shared" si="14"/>
        <v>0</v>
      </c>
      <c r="T118" s="128">
        <f t="shared" si="15"/>
        <v>0</v>
      </c>
      <c r="U118" s="170">
        <f t="shared" si="16"/>
        <v>0</v>
      </c>
      <c r="V118" s="114" t="str">
        <f>IF(ISNA(VLOOKUP(J118,[1]!AVION1[#Data],3,FALSE)),"",VLOOKUP(J118,[1]!AVION1[#Data],3,FALSE))</f>
        <v/>
      </c>
      <c r="W118" s="114" t="str">
        <f>IF(ISNA(VLOOKUP(N118,[1]!INSTRUCTEUR[#Data],2,FALSE)),"",VLOOKUP(N118,[1]!INSTRUCTEUR[#Data],2,FALSE))</f>
        <v/>
      </c>
      <c r="X118" s="115">
        <f t="shared" si="17"/>
        <v>0</v>
      </c>
    </row>
    <row r="119" spans="1:24">
      <c r="A119" s="206"/>
      <c r="B119" s="117">
        <f t="shared" si="21"/>
        <v>10</v>
      </c>
      <c r="C119" s="172"/>
      <c r="D119" s="173"/>
      <c r="E119" s="174"/>
      <c r="F119" s="175"/>
      <c r="G119" s="124"/>
      <c r="H119" s="176">
        <f t="shared" si="19"/>
        <v>0</v>
      </c>
      <c r="I119" s="119" t="str">
        <f>IF(ISNA(VLOOKUP(J119,[1]!AVION1[#Data],2,FALSE)),"",VLOOKUP(J119,[1]!AVION1[#Data],2,FALSE))</f>
        <v/>
      </c>
      <c r="J119" s="174"/>
      <c r="K119" s="124"/>
      <c r="L119" s="124"/>
      <c r="M119" s="177">
        <f t="shared" si="20"/>
        <v>0</v>
      </c>
      <c r="N119" s="178"/>
      <c r="O119" s="124"/>
      <c r="P119" s="124"/>
      <c r="Q119" s="127">
        <f t="shared" si="12"/>
        <v>0</v>
      </c>
      <c r="R119" s="128">
        <f t="shared" si="13"/>
        <v>0</v>
      </c>
      <c r="S119" s="127">
        <f t="shared" si="14"/>
        <v>0</v>
      </c>
      <c r="T119" s="128">
        <f t="shared" si="15"/>
        <v>0</v>
      </c>
      <c r="U119" s="170">
        <f t="shared" si="16"/>
        <v>0</v>
      </c>
      <c r="V119" s="114" t="str">
        <f>IF(ISNA(VLOOKUP(J119,[1]!AVION1[#Data],3,FALSE)),"",VLOOKUP(J119,[1]!AVION1[#Data],3,FALSE))</f>
        <v/>
      </c>
      <c r="W119" s="114" t="str">
        <f>IF(ISNA(VLOOKUP(N119,[1]!INSTRUCTEUR[#Data],2,FALSE)),"",VLOOKUP(N119,[1]!INSTRUCTEUR[#Data],2,FALSE))</f>
        <v/>
      </c>
      <c r="X119" s="115">
        <f t="shared" si="17"/>
        <v>0</v>
      </c>
    </row>
    <row r="120" spans="1:24">
      <c r="A120" s="206"/>
      <c r="B120" s="117">
        <f t="shared" si="21"/>
        <v>11</v>
      </c>
      <c r="C120" s="172"/>
      <c r="D120" s="173"/>
      <c r="E120" s="174"/>
      <c r="F120" s="175"/>
      <c r="G120" s="124"/>
      <c r="H120" s="176">
        <f t="shared" si="19"/>
        <v>0</v>
      </c>
      <c r="I120" s="119" t="str">
        <f>IF(ISNA(VLOOKUP(J120,[1]!AVION1[#Data],2,FALSE)),"",VLOOKUP(J120,[1]!AVION1[#Data],2,FALSE))</f>
        <v/>
      </c>
      <c r="J120" s="174"/>
      <c r="K120" s="124"/>
      <c r="L120" s="124"/>
      <c r="M120" s="177">
        <f t="shared" si="20"/>
        <v>0</v>
      </c>
      <c r="N120" s="178"/>
      <c r="O120" s="124"/>
      <c r="P120" s="124"/>
      <c r="Q120" s="127">
        <f t="shared" si="12"/>
        <v>0</v>
      </c>
      <c r="R120" s="128">
        <f t="shared" si="13"/>
        <v>0</v>
      </c>
      <c r="S120" s="127">
        <f t="shared" si="14"/>
        <v>0</v>
      </c>
      <c r="T120" s="128">
        <f t="shared" si="15"/>
        <v>0</v>
      </c>
      <c r="U120" s="170">
        <f t="shared" si="16"/>
        <v>0</v>
      </c>
      <c r="V120" s="114" t="str">
        <f>IF(ISNA(VLOOKUP(J120,[1]!AVION1[#Data],3,FALSE)),"",VLOOKUP(J120,[1]!AVION1[#Data],3,FALSE))</f>
        <v/>
      </c>
      <c r="W120" s="114" t="str">
        <f>IF(ISNA(VLOOKUP(N120,[1]!INSTRUCTEUR[#Data],2,FALSE)),"",VLOOKUP(N120,[1]!INSTRUCTEUR[#Data],2,FALSE))</f>
        <v/>
      </c>
      <c r="X120" s="115">
        <f t="shared" si="17"/>
        <v>0</v>
      </c>
    </row>
    <row r="121" spans="1:24">
      <c r="A121" s="206"/>
      <c r="B121" s="117">
        <f t="shared" si="21"/>
        <v>12</v>
      </c>
      <c r="C121" s="172"/>
      <c r="D121" s="173"/>
      <c r="E121" s="174"/>
      <c r="F121" s="175"/>
      <c r="G121" s="124"/>
      <c r="H121" s="176">
        <f t="shared" si="19"/>
        <v>0</v>
      </c>
      <c r="I121" s="119" t="str">
        <f>IF(ISNA(VLOOKUP(J121,[1]!AVION1[#Data],2,FALSE)),"",VLOOKUP(J121,[1]!AVION1[#Data],2,FALSE))</f>
        <v/>
      </c>
      <c r="J121" s="174"/>
      <c r="K121" s="124"/>
      <c r="L121" s="124"/>
      <c r="M121" s="177">
        <f t="shared" si="20"/>
        <v>0</v>
      </c>
      <c r="N121" s="178"/>
      <c r="O121" s="124"/>
      <c r="P121" s="124"/>
      <c r="Q121" s="127">
        <f t="shared" si="12"/>
        <v>0</v>
      </c>
      <c r="R121" s="128">
        <f t="shared" si="13"/>
        <v>0</v>
      </c>
      <c r="S121" s="127">
        <f t="shared" si="14"/>
        <v>0</v>
      </c>
      <c r="T121" s="128">
        <f t="shared" si="15"/>
        <v>0</v>
      </c>
      <c r="U121" s="170">
        <f t="shared" si="16"/>
        <v>0</v>
      </c>
      <c r="V121" s="114" t="str">
        <f>IF(ISNA(VLOOKUP(J121,[1]!AVION1[#Data],3,FALSE)),"",VLOOKUP(J121,[1]!AVION1[#Data],3,FALSE))</f>
        <v/>
      </c>
      <c r="W121" s="114" t="str">
        <f>IF(ISNA(VLOOKUP(N121,[1]!INSTRUCTEUR[#Data],2,FALSE)),"",VLOOKUP(N121,[1]!INSTRUCTEUR[#Data],2,FALSE))</f>
        <v/>
      </c>
      <c r="X121" s="115">
        <f t="shared" si="17"/>
        <v>0</v>
      </c>
    </row>
    <row r="122" spans="1:24">
      <c r="A122" s="206"/>
      <c r="B122" s="117">
        <f t="shared" si="21"/>
        <v>13</v>
      </c>
      <c r="C122" s="172"/>
      <c r="D122" s="173"/>
      <c r="E122" s="174"/>
      <c r="F122" s="175"/>
      <c r="G122" s="124"/>
      <c r="H122" s="176">
        <f t="shared" si="19"/>
        <v>0</v>
      </c>
      <c r="I122" s="119" t="str">
        <f>IF(ISNA(VLOOKUP(J122,[1]!AVION1[#Data],2,FALSE)),"",VLOOKUP(J122,[1]!AVION1[#Data],2,FALSE))</f>
        <v/>
      </c>
      <c r="J122" s="174"/>
      <c r="K122" s="124"/>
      <c r="L122" s="124"/>
      <c r="M122" s="177">
        <f t="shared" si="20"/>
        <v>0</v>
      </c>
      <c r="N122" s="178"/>
      <c r="O122" s="124"/>
      <c r="P122" s="124"/>
      <c r="Q122" s="127">
        <f t="shared" si="12"/>
        <v>0</v>
      </c>
      <c r="R122" s="128">
        <f t="shared" si="13"/>
        <v>0</v>
      </c>
      <c r="S122" s="127">
        <f t="shared" si="14"/>
        <v>0</v>
      </c>
      <c r="T122" s="128">
        <f t="shared" si="15"/>
        <v>0</v>
      </c>
      <c r="U122" s="170">
        <f t="shared" si="16"/>
        <v>0</v>
      </c>
      <c r="V122" s="114" t="str">
        <f>IF(ISNA(VLOOKUP(J122,[1]!AVION1[#Data],3,FALSE)),"",VLOOKUP(J122,[1]!AVION1[#Data],3,FALSE))</f>
        <v/>
      </c>
      <c r="W122" s="114" t="str">
        <f>IF(ISNA(VLOOKUP(N122,[1]!INSTRUCTEUR[#Data],2,FALSE)),"",VLOOKUP(N122,[1]!INSTRUCTEUR[#Data],2,FALSE))</f>
        <v/>
      </c>
      <c r="X122" s="115">
        <f t="shared" si="17"/>
        <v>0</v>
      </c>
    </row>
    <row r="123" spans="1:24">
      <c r="A123" s="206"/>
      <c r="B123" s="117">
        <f t="shared" si="21"/>
        <v>14</v>
      </c>
      <c r="C123" s="172"/>
      <c r="D123" s="173"/>
      <c r="E123" s="174"/>
      <c r="F123" s="175"/>
      <c r="G123" s="124"/>
      <c r="H123" s="176">
        <f t="shared" si="19"/>
        <v>0</v>
      </c>
      <c r="I123" s="119" t="str">
        <f>IF(ISNA(VLOOKUP(J123,[1]!AVION1[#Data],2,FALSE)),"",VLOOKUP(J123,[1]!AVION1[#Data],2,FALSE))</f>
        <v/>
      </c>
      <c r="J123" s="174"/>
      <c r="K123" s="124"/>
      <c r="L123" s="124"/>
      <c r="M123" s="177">
        <f t="shared" si="20"/>
        <v>0</v>
      </c>
      <c r="N123" s="178"/>
      <c r="O123" s="124"/>
      <c r="P123" s="124"/>
      <c r="Q123" s="127">
        <f t="shared" si="12"/>
        <v>0</v>
      </c>
      <c r="R123" s="128">
        <f t="shared" si="13"/>
        <v>0</v>
      </c>
      <c r="S123" s="127">
        <f t="shared" si="14"/>
        <v>0</v>
      </c>
      <c r="T123" s="128">
        <f t="shared" si="15"/>
        <v>0</v>
      </c>
      <c r="U123" s="170">
        <f t="shared" si="16"/>
        <v>0</v>
      </c>
      <c r="V123" s="114" t="str">
        <f>IF(ISNA(VLOOKUP(J123,[1]!AVION1[#Data],3,FALSE)),"",VLOOKUP(J123,[1]!AVION1[#Data],3,FALSE))</f>
        <v/>
      </c>
      <c r="W123" s="114" t="str">
        <f>IF(ISNA(VLOOKUP(N123,[1]!INSTRUCTEUR[#Data],2,FALSE)),"",VLOOKUP(N123,[1]!INSTRUCTEUR[#Data],2,FALSE))</f>
        <v/>
      </c>
      <c r="X123" s="115">
        <f t="shared" si="17"/>
        <v>0</v>
      </c>
    </row>
    <row r="124" spans="1:24">
      <c r="A124" s="206"/>
      <c r="B124" s="117">
        <f t="shared" si="21"/>
        <v>15</v>
      </c>
      <c r="C124" s="172"/>
      <c r="D124" s="173"/>
      <c r="E124" s="174"/>
      <c r="F124" s="175"/>
      <c r="G124" s="124"/>
      <c r="H124" s="176">
        <f t="shared" si="19"/>
        <v>0</v>
      </c>
      <c r="I124" s="119" t="str">
        <f>IF(ISNA(VLOOKUP(J124,[1]!AVION1[#Data],2,FALSE)),"",VLOOKUP(J124,[1]!AVION1[#Data],2,FALSE))</f>
        <v/>
      </c>
      <c r="J124" s="174"/>
      <c r="K124" s="124"/>
      <c r="L124" s="124"/>
      <c r="M124" s="177">
        <f t="shared" si="20"/>
        <v>0</v>
      </c>
      <c r="N124" s="178"/>
      <c r="O124" s="124"/>
      <c r="P124" s="124"/>
      <c r="Q124" s="127">
        <f t="shared" si="12"/>
        <v>0</v>
      </c>
      <c r="R124" s="128">
        <f t="shared" si="13"/>
        <v>0</v>
      </c>
      <c r="S124" s="127">
        <f t="shared" si="14"/>
        <v>0</v>
      </c>
      <c r="T124" s="128">
        <f t="shared" si="15"/>
        <v>0</v>
      </c>
      <c r="U124" s="170">
        <f t="shared" si="16"/>
        <v>0</v>
      </c>
      <c r="V124" s="114" t="str">
        <f>IF(ISNA(VLOOKUP(J124,[1]!AVION1[#Data],3,FALSE)),"",VLOOKUP(J124,[1]!AVION1[#Data],3,FALSE))</f>
        <v/>
      </c>
      <c r="W124" s="114" t="str">
        <f>IF(ISNA(VLOOKUP(N124,[1]!INSTRUCTEUR[#Data],2,FALSE)),"",VLOOKUP(N124,[1]!INSTRUCTEUR[#Data],2,FALSE))</f>
        <v/>
      </c>
      <c r="X124" s="115">
        <f t="shared" si="17"/>
        <v>0</v>
      </c>
    </row>
    <row r="125" spans="1:24">
      <c r="A125" s="206"/>
      <c r="B125" s="117">
        <f t="shared" si="21"/>
        <v>16</v>
      </c>
      <c r="C125" s="172"/>
      <c r="D125" s="173"/>
      <c r="E125" s="174"/>
      <c r="F125" s="175"/>
      <c r="G125" s="124"/>
      <c r="H125" s="176">
        <f t="shared" si="19"/>
        <v>0</v>
      </c>
      <c r="I125" s="119" t="str">
        <f>IF(ISNA(VLOOKUP(J125,[1]!AVION1[#Data],2,FALSE)),"",VLOOKUP(J125,[1]!AVION1[#Data],2,FALSE))</f>
        <v/>
      </c>
      <c r="J125" s="174"/>
      <c r="K125" s="124"/>
      <c r="L125" s="124"/>
      <c r="M125" s="177">
        <f t="shared" si="20"/>
        <v>0</v>
      </c>
      <c r="N125" s="178"/>
      <c r="O125" s="124"/>
      <c r="P125" s="124"/>
      <c r="Q125" s="127">
        <f t="shared" si="12"/>
        <v>0</v>
      </c>
      <c r="R125" s="128">
        <f t="shared" si="13"/>
        <v>0</v>
      </c>
      <c r="S125" s="127">
        <f t="shared" si="14"/>
        <v>0</v>
      </c>
      <c r="T125" s="128">
        <f t="shared" si="15"/>
        <v>0</v>
      </c>
      <c r="U125" s="170">
        <f t="shared" si="16"/>
        <v>0</v>
      </c>
      <c r="V125" s="114" t="str">
        <f>IF(ISNA(VLOOKUP(J125,[1]!AVION1[#Data],3,FALSE)),"",VLOOKUP(J125,[1]!AVION1[#Data],3,FALSE))</f>
        <v/>
      </c>
      <c r="W125" s="114" t="str">
        <f>IF(ISNA(VLOOKUP(N125,[1]!INSTRUCTEUR[#Data],2,FALSE)),"",VLOOKUP(N125,[1]!INSTRUCTEUR[#Data],2,FALSE))</f>
        <v/>
      </c>
      <c r="X125" s="115">
        <f t="shared" si="17"/>
        <v>0</v>
      </c>
    </row>
    <row r="126" spans="1:24">
      <c r="A126" s="206"/>
      <c r="B126" s="117">
        <f t="shared" si="21"/>
        <v>17</v>
      </c>
      <c r="C126" s="172"/>
      <c r="D126" s="173"/>
      <c r="E126" s="174"/>
      <c r="F126" s="175"/>
      <c r="G126" s="124"/>
      <c r="H126" s="176">
        <f t="shared" si="19"/>
        <v>0</v>
      </c>
      <c r="I126" s="119" t="str">
        <f>IF(ISNA(VLOOKUP(J126,[1]!AVION1[#Data],2,FALSE)),"",VLOOKUP(J126,[1]!AVION1[#Data],2,FALSE))</f>
        <v/>
      </c>
      <c r="J126" s="174"/>
      <c r="K126" s="124"/>
      <c r="L126" s="124"/>
      <c r="M126" s="177">
        <f t="shared" si="20"/>
        <v>0</v>
      </c>
      <c r="N126" s="178"/>
      <c r="O126" s="124"/>
      <c r="P126" s="124"/>
      <c r="Q126" s="127">
        <f t="shared" si="12"/>
        <v>0</v>
      </c>
      <c r="R126" s="128">
        <f t="shared" si="13"/>
        <v>0</v>
      </c>
      <c r="S126" s="127">
        <f t="shared" si="14"/>
        <v>0</v>
      </c>
      <c r="T126" s="128">
        <f t="shared" si="15"/>
        <v>0</v>
      </c>
      <c r="U126" s="170">
        <f t="shared" si="16"/>
        <v>0</v>
      </c>
      <c r="V126" s="114" t="str">
        <f>IF(ISNA(VLOOKUP(J126,[1]!AVION1[#Data],3,FALSE)),"",VLOOKUP(J126,[1]!AVION1[#Data],3,FALSE))</f>
        <v/>
      </c>
      <c r="W126" s="114" t="str">
        <f>IF(ISNA(VLOOKUP(N126,[1]!INSTRUCTEUR[#Data],2,FALSE)),"",VLOOKUP(N126,[1]!INSTRUCTEUR[#Data],2,FALSE))</f>
        <v/>
      </c>
      <c r="X126" s="115">
        <f t="shared" si="17"/>
        <v>0</v>
      </c>
    </row>
    <row r="127" spans="1:24" ht="15" thickBot="1">
      <c r="A127" s="207"/>
      <c r="B127" s="132">
        <f t="shared" si="21"/>
        <v>18</v>
      </c>
      <c r="C127" s="180"/>
      <c r="D127" s="181"/>
      <c r="E127" s="182"/>
      <c r="F127" s="183"/>
      <c r="G127" s="139"/>
      <c r="H127" s="184">
        <f t="shared" si="19"/>
        <v>0</v>
      </c>
      <c r="I127" s="134" t="str">
        <f>IF(ISNA(VLOOKUP(J127,[1]!AVION1[#Data],2,FALSE)),"",VLOOKUP(J127,[1]!AVION1[#Data],2,FALSE))</f>
        <v/>
      </c>
      <c r="J127" s="182"/>
      <c r="K127" s="139"/>
      <c r="L127" s="139"/>
      <c r="M127" s="197">
        <f t="shared" si="20"/>
        <v>0</v>
      </c>
      <c r="N127" s="186"/>
      <c r="O127" s="139"/>
      <c r="P127" s="139"/>
      <c r="Q127" s="142">
        <f t="shared" si="12"/>
        <v>0</v>
      </c>
      <c r="R127" s="143">
        <f t="shared" si="13"/>
        <v>0</v>
      </c>
      <c r="S127" s="142">
        <f t="shared" si="14"/>
        <v>0</v>
      </c>
      <c r="T127" s="143">
        <f t="shared" si="15"/>
        <v>0</v>
      </c>
      <c r="U127" s="187">
        <f t="shared" si="16"/>
        <v>0</v>
      </c>
      <c r="V127" s="114" t="str">
        <f>IF(ISNA(VLOOKUP(J127,[1]!AVION1[#Data],3,FALSE)),"",VLOOKUP(J127,[1]!AVION1[#Data],3,FALSE))</f>
        <v/>
      </c>
      <c r="W127" s="114" t="str">
        <f>IF(ISNA(VLOOKUP(N127,[1]!INSTRUCTEUR[#Data],2,FALSE)),"",VLOOKUP(N127,[1]!INSTRUCTEUR[#Data],2,FALSE))</f>
        <v/>
      </c>
      <c r="X127" s="115">
        <f t="shared" si="17"/>
        <v>0</v>
      </c>
    </row>
    <row r="128" spans="1:24" ht="15.6">
      <c r="C128" s="145"/>
      <c r="D128" s="146"/>
      <c r="E128" s="146"/>
      <c r="F128" s="147"/>
      <c r="G128" s="146"/>
      <c r="H128" s="148"/>
      <c r="I128" s="149" t="str">
        <f>IF(ISNA(VLOOKUP(J128,[1]!AVION1[#Data],2,FALSE)),"",VLOOKUP(J128,[1]!AVION1[#Data],2,FALSE))</f>
        <v/>
      </c>
      <c r="J128" s="150"/>
      <c r="K128" s="188"/>
      <c r="L128" s="189" t="s">
        <v>60</v>
      </c>
      <c r="M128" s="190">
        <f>SUM(M110:M127)</f>
        <v>0</v>
      </c>
      <c r="N128" s="153"/>
      <c r="O128" s="154">
        <f>SUM(O110:O127)</f>
        <v>0</v>
      </c>
      <c r="P128" s="154"/>
      <c r="Q128" s="155"/>
      <c r="R128" s="156"/>
      <c r="S128" s="157"/>
      <c r="T128" s="158">
        <f>SUM(T110:T127)/1440</f>
        <v>0</v>
      </c>
      <c r="U128" s="158">
        <f>SUM(U110:U127)/1440</f>
        <v>0</v>
      </c>
      <c r="V128" s="114" t="str">
        <f>IF(ISNA(VLOOKUP(J128,[1]!AVION1[#Data],3,FALSE)),"",VLOOKUP(J128,[1]!AVION1[#Data],3,FALSE))</f>
        <v/>
      </c>
      <c r="W128" s="114" t="str">
        <f>IF(ISNA(VLOOKUP(N128,[1]!INSTRUCTEUR[#Data],2,FALSE)),"",VLOOKUP(N128,[1]!INSTRUCTEUR[#Data],2,FALSE))</f>
        <v/>
      </c>
      <c r="X128" s="115">
        <f t="shared" si="17"/>
        <v>0</v>
      </c>
    </row>
    <row r="129" spans="1:24" ht="15.6">
      <c r="C129" s="145"/>
      <c r="D129" s="146"/>
      <c r="E129" s="146"/>
      <c r="F129" s="147"/>
      <c r="G129" s="146"/>
      <c r="H129" s="148"/>
      <c r="I129" s="149" t="str">
        <f>IF(ISNA(VLOOKUP(J129,[1]!AVION1[#Data],2,FALSE)),"",VLOOKUP(J129,[1]!AVION1[#Data],2,FALSE))</f>
        <v/>
      </c>
      <c r="J129" s="146"/>
      <c r="K129" s="191"/>
      <c r="L129" s="192" t="s">
        <v>61</v>
      </c>
      <c r="M129" s="193">
        <f>M109</f>
        <v>1.1520833333333333</v>
      </c>
      <c r="N129" s="153"/>
      <c r="O129" s="163">
        <f>O109</f>
        <v>101</v>
      </c>
      <c r="P129" s="163"/>
      <c r="Q129" s="157"/>
      <c r="R129" s="156"/>
      <c r="S129" s="157"/>
      <c r="T129" s="164">
        <f>T109</f>
        <v>0.15208333333333332</v>
      </c>
      <c r="U129" s="164">
        <f>U109</f>
        <v>1</v>
      </c>
      <c r="V129" s="114" t="str">
        <f>IF(ISNA(VLOOKUP(J129,[1]!AVION1[#Data],3,FALSE)),"",VLOOKUP(J129,[1]!AVION1[#Data],3,FALSE))</f>
        <v/>
      </c>
      <c r="W129" s="114" t="str">
        <f>IF(ISNA(VLOOKUP(N129,[1]!INSTRUCTEUR[#Data],2,FALSE)),"",VLOOKUP(N129,[1]!INSTRUCTEUR[#Data],2,FALSE))</f>
        <v/>
      </c>
      <c r="X129" s="115">
        <f t="shared" si="17"/>
        <v>219</v>
      </c>
    </row>
    <row r="130" spans="1:24" ht="16.2" thickBot="1">
      <c r="C130" s="145"/>
      <c r="D130" s="146"/>
      <c r="E130" s="146"/>
      <c r="F130" s="147"/>
      <c r="G130" s="146"/>
      <c r="H130" s="148"/>
      <c r="I130" s="149" t="str">
        <f>IF(ISNA(VLOOKUP(J130,[1]!AVION1[#Data],2,FALSE)),"",VLOOKUP(J130,[1]!AVION1[#Data],2,FALSE))</f>
        <v/>
      </c>
      <c r="J130" s="146"/>
      <c r="K130" s="194"/>
      <c r="L130" s="195" t="s">
        <v>62</v>
      </c>
      <c r="M130" s="196">
        <f>SUM(M128:M129)</f>
        <v>1.1520833333333333</v>
      </c>
      <c r="N130" s="153"/>
      <c r="O130" s="167">
        <f>SUM(O128:O129)</f>
        <v>101</v>
      </c>
      <c r="P130" s="167"/>
      <c r="Q130" s="157"/>
      <c r="R130" s="156"/>
      <c r="S130" s="157"/>
      <c r="T130" s="168">
        <f>SUM(T129+T128)</f>
        <v>0.15208333333333332</v>
      </c>
      <c r="U130" s="168">
        <f>SUM(U129+U128)</f>
        <v>1</v>
      </c>
      <c r="V130" s="114" t="str">
        <f>IF(ISNA(VLOOKUP(J130,[1]!AVION1[#Data],3,FALSE)),"",VLOOKUP(J130,[1]!AVION1[#Data],3,FALSE))</f>
        <v/>
      </c>
      <c r="W130" s="114" t="str">
        <f>IF(ISNA(VLOOKUP(N130,[1]!INSTRUCTEUR[#Data],2,FALSE)),"",VLOOKUP(N130,[1]!INSTRUCTEUR[#Data],2,FALSE))</f>
        <v/>
      </c>
      <c r="X130" s="115">
        <f t="shared" si="17"/>
        <v>219</v>
      </c>
    </row>
    <row r="131" spans="1:24">
      <c r="A131" s="205">
        <v>7</v>
      </c>
      <c r="B131" s="101">
        <v>1</v>
      </c>
      <c r="C131" s="198"/>
      <c r="D131" s="199"/>
      <c r="E131" s="200"/>
      <c r="F131" s="201"/>
      <c r="G131" s="108"/>
      <c r="H131" s="202">
        <f t="shared" si="19"/>
        <v>0</v>
      </c>
      <c r="I131" s="103" t="str">
        <f>IF(ISNA(VLOOKUP(J131,[1]!AVION1[#Data],2,FALSE)),"",VLOOKUP(J131,[1]!AVION1[#Data],2,FALSE))</f>
        <v/>
      </c>
      <c r="J131" s="200"/>
      <c r="K131" s="108"/>
      <c r="L131" s="108"/>
      <c r="M131" s="203">
        <f t="shared" si="20"/>
        <v>0</v>
      </c>
      <c r="N131" s="204"/>
      <c r="O131" s="108"/>
      <c r="P131" s="108"/>
      <c r="Q131" s="111">
        <f t="shared" si="12"/>
        <v>0</v>
      </c>
      <c r="R131" s="112">
        <f t="shared" si="13"/>
        <v>0</v>
      </c>
      <c r="S131" s="111">
        <f t="shared" si="14"/>
        <v>0</v>
      </c>
      <c r="T131" s="112">
        <f t="shared" si="15"/>
        <v>0</v>
      </c>
      <c r="U131" s="169">
        <f t="shared" si="16"/>
        <v>0</v>
      </c>
      <c r="V131" s="114" t="str">
        <f>IF(ISNA(VLOOKUP(J131,[1]!AVION1[#Data],3,FALSE)),"",VLOOKUP(J131,[1]!AVION1[#Data],3,FALSE))</f>
        <v/>
      </c>
      <c r="W131" s="114" t="str">
        <f>IF(ISNA(VLOOKUP(N131,[1]!INSTRUCTEUR[#Data],2,FALSE)),"",VLOOKUP(N131,[1]!INSTRUCTEUR[#Data],2,FALSE))</f>
        <v/>
      </c>
      <c r="X131" s="115">
        <f t="shared" si="17"/>
        <v>0</v>
      </c>
    </row>
    <row r="132" spans="1:24">
      <c r="A132" s="206"/>
      <c r="B132" s="117">
        <f>B131+1</f>
        <v>2</v>
      </c>
      <c r="C132" s="172"/>
      <c r="D132" s="173"/>
      <c r="E132" s="174"/>
      <c r="F132" s="175"/>
      <c r="G132" s="124"/>
      <c r="H132" s="176">
        <f t="shared" si="19"/>
        <v>0</v>
      </c>
      <c r="I132" s="119" t="str">
        <f>IF(ISNA(VLOOKUP(J132,[1]!AVION1[#Data],2,FALSE)),"",VLOOKUP(J132,[1]!AVION1[#Data],2,FALSE))</f>
        <v/>
      </c>
      <c r="J132" s="174"/>
      <c r="K132" s="124"/>
      <c r="L132" s="124"/>
      <c r="M132" s="177">
        <f t="shared" si="20"/>
        <v>0</v>
      </c>
      <c r="N132" s="178"/>
      <c r="O132" s="124"/>
      <c r="P132" s="124"/>
      <c r="Q132" s="127">
        <f t="shared" si="12"/>
        <v>0</v>
      </c>
      <c r="R132" s="128">
        <f t="shared" si="13"/>
        <v>0</v>
      </c>
      <c r="S132" s="127">
        <f t="shared" si="14"/>
        <v>0</v>
      </c>
      <c r="T132" s="128">
        <f t="shared" si="15"/>
        <v>0</v>
      </c>
      <c r="U132" s="170">
        <f t="shared" si="16"/>
        <v>0</v>
      </c>
      <c r="V132" s="114" t="str">
        <f>IF(ISNA(VLOOKUP(J132,[1]!AVION1[#Data],3,FALSE)),"",VLOOKUP(J132,[1]!AVION1[#Data],3,FALSE))</f>
        <v/>
      </c>
      <c r="W132" s="114" t="str">
        <f>IF(ISNA(VLOOKUP(N132,[1]!INSTRUCTEUR[#Data],2,FALSE)),"",VLOOKUP(N132,[1]!INSTRUCTEUR[#Data],2,FALSE))</f>
        <v/>
      </c>
      <c r="X132" s="115">
        <f t="shared" si="17"/>
        <v>0</v>
      </c>
    </row>
    <row r="133" spans="1:24">
      <c r="A133" s="206"/>
      <c r="B133" s="117">
        <f t="shared" ref="B133:B148" si="22">B132+1</f>
        <v>3</v>
      </c>
      <c r="C133" s="172"/>
      <c r="D133" s="173"/>
      <c r="E133" s="174"/>
      <c r="F133" s="175"/>
      <c r="G133" s="124"/>
      <c r="H133" s="176">
        <f t="shared" si="19"/>
        <v>0</v>
      </c>
      <c r="I133" s="119" t="str">
        <f>IF(ISNA(VLOOKUP(J133,[1]!AVION1[#Data],2,FALSE)),"",VLOOKUP(J133,[1]!AVION1[#Data],2,FALSE))</f>
        <v/>
      </c>
      <c r="J133" s="174"/>
      <c r="K133" s="124"/>
      <c r="L133" s="124"/>
      <c r="M133" s="177">
        <f t="shared" si="20"/>
        <v>0</v>
      </c>
      <c r="N133" s="178"/>
      <c r="O133" s="124"/>
      <c r="P133" s="124"/>
      <c r="Q133" s="127">
        <f t="shared" si="12"/>
        <v>0</v>
      </c>
      <c r="R133" s="128">
        <f t="shared" si="13"/>
        <v>0</v>
      </c>
      <c r="S133" s="127">
        <f t="shared" si="14"/>
        <v>0</v>
      </c>
      <c r="T133" s="128">
        <f t="shared" si="15"/>
        <v>0</v>
      </c>
      <c r="U133" s="170">
        <f t="shared" si="16"/>
        <v>0</v>
      </c>
      <c r="V133" s="114" t="str">
        <f>IF(ISNA(VLOOKUP(J133,[1]!AVION1[#Data],3,FALSE)),"",VLOOKUP(J133,[1]!AVION1[#Data],3,FALSE))</f>
        <v/>
      </c>
      <c r="W133" s="114" t="str">
        <f>IF(ISNA(VLOOKUP(N133,[1]!INSTRUCTEUR[#Data],2,FALSE)),"",VLOOKUP(N133,[1]!INSTRUCTEUR[#Data],2,FALSE))</f>
        <v/>
      </c>
      <c r="X133" s="115">
        <f t="shared" si="17"/>
        <v>0</v>
      </c>
    </row>
    <row r="134" spans="1:24">
      <c r="A134" s="206"/>
      <c r="B134" s="117">
        <f t="shared" si="22"/>
        <v>4</v>
      </c>
      <c r="C134" s="172"/>
      <c r="D134" s="173"/>
      <c r="E134" s="174"/>
      <c r="F134" s="175"/>
      <c r="G134" s="124"/>
      <c r="H134" s="176">
        <f t="shared" si="19"/>
        <v>0</v>
      </c>
      <c r="I134" s="119" t="str">
        <f>IF(ISNA(VLOOKUP(J134,[1]!AVION1[#Data],2,FALSE)),"",VLOOKUP(J134,[1]!AVION1[#Data],2,FALSE))</f>
        <v/>
      </c>
      <c r="J134" s="174"/>
      <c r="K134" s="124"/>
      <c r="L134" s="124"/>
      <c r="M134" s="177">
        <f t="shared" si="20"/>
        <v>0</v>
      </c>
      <c r="N134" s="178"/>
      <c r="O134" s="124"/>
      <c r="P134" s="124"/>
      <c r="Q134" s="127">
        <f t="shared" si="12"/>
        <v>0</v>
      </c>
      <c r="R134" s="128">
        <f t="shared" si="13"/>
        <v>0</v>
      </c>
      <c r="S134" s="127">
        <f t="shared" si="14"/>
        <v>0</v>
      </c>
      <c r="T134" s="128">
        <f t="shared" si="15"/>
        <v>0</v>
      </c>
      <c r="U134" s="170">
        <f t="shared" si="16"/>
        <v>0</v>
      </c>
      <c r="V134" s="114" t="str">
        <f>IF(ISNA(VLOOKUP(J134,[1]!AVION1[#Data],3,FALSE)),"",VLOOKUP(J134,[1]!AVION1[#Data],3,FALSE))</f>
        <v/>
      </c>
      <c r="W134" s="114" t="str">
        <f>IF(ISNA(VLOOKUP(N134,[1]!INSTRUCTEUR[#Data],2,FALSE)),"",VLOOKUP(N134,[1]!INSTRUCTEUR[#Data],2,FALSE))</f>
        <v/>
      </c>
      <c r="X134" s="115">
        <f t="shared" si="17"/>
        <v>0</v>
      </c>
    </row>
    <row r="135" spans="1:24">
      <c r="A135" s="206"/>
      <c r="B135" s="117">
        <f t="shared" si="22"/>
        <v>5</v>
      </c>
      <c r="C135" s="172"/>
      <c r="D135" s="173"/>
      <c r="E135" s="174"/>
      <c r="F135" s="175"/>
      <c r="G135" s="124"/>
      <c r="H135" s="176">
        <f t="shared" si="19"/>
        <v>0</v>
      </c>
      <c r="I135" s="119" t="str">
        <f>IF(ISNA(VLOOKUP(J135,[1]!AVION1[#Data],2,FALSE)),"",VLOOKUP(J135,[1]!AVION1[#Data],2,FALSE))</f>
        <v/>
      </c>
      <c r="J135" s="174"/>
      <c r="K135" s="124"/>
      <c r="L135" s="124"/>
      <c r="M135" s="177">
        <f t="shared" si="20"/>
        <v>0</v>
      </c>
      <c r="N135" s="178"/>
      <c r="O135" s="124"/>
      <c r="P135" s="124"/>
      <c r="Q135" s="127">
        <f t="shared" si="12"/>
        <v>0</v>
      </c>
      <c r="R135" s="128">
        <f t="shared" si="13"/>
        <v>0</v>
      </c>
      <c r="S135" s="127">
        <f t="shared" si="14"/>
        <v>0</v>
      </c>
      <c r="T135" s="128">
        <f t="shared" si="15"/>
        <v>0</v>
      </c>
      <c r="U135" s="170">
        <f t="shared" si="16"/>
        <v>0</v>
      </c>
      <c r="V135" s="114" t="str">
        <f>IF(ISNA(VLOOKUP(J135,[1]!AVION1[#Data],3,FALSE)),"",VLOOKUP(J135,[1]!AVION1[#Data],3,FALSE))</f>
        <v/>
      </c>
      <c r="W135" s="114" t="str">
        <f>IF(ISNA(VLOOKUP(N135,[1]!INSTRUCTEUR[#Data],2,FALSE)),"",VLOOKUP(N135,[1]!INSTRUCTEUR[#Data],2,FALSE))</f>
        <v/>
      </c>
      <c r="X135" s="115">
        <f t="shared" si="17"/>
        <v>0</v>
      </c>
    </row>
    <row r="136" spans="1:24">
      <c r="A136" s="206"/>
      <c r="B136" s="117">
        <f t="shared" si="22"/>
        <v>6</v>
      </c>
      <c r="C136" s="172"/>
      <c r="D136" s="173"/>
      <c r="E136" s="174"/>
      <c r="F136" s="175"/>
      <c r="G136" s="124"/>
      <c r="H136" s="176">
        <f t="shared" si="19"/>
        <v>0</v>
      </c>
      <c r="I136" s="119" t="str">
        <f>IF(ISNA(VLOOKUP(J136,[1]!AVION1[#Data],2,FALSE)),"",VLOOKUP(J136,[1]!AVION1[#Data],2,FALSE))</f>
        <v/>
      </c>
      <c r="J136" s="174"/>
      <c r="K136" s="124"/>
      <c r="L136" s="124"/>
      <c r="M136" s="177">
        <f t="shared" si="20"/>
        <v>0</v>
      </c>
      <c r="N136" s="178"/>
      <c r="O136" s="124"/>
      <c r="P136" s="124"/>
      <c r="Q136" s="127">
        <f t="shared" si="12"/>
        <v>0</v>
      </c>
      <c r="R136" s="128">
        <f t="shared" si="13"/>
        <v>0</v>
      </c>
      <c r="S136" s="127">
        <f t="shared" si="14"/>
        <v>0</v>
      </c>
      <c r="T136" s="128">
        <f t="shared" si="15"/>
        <v>0</v>
      </c>
      <c r="U136" s="170">
        <f t="shared" si="16"/>
        <v>0</v>
      </c>
      <c r="V136" s="114" t="str">
        <f>IF(ISNA(VLOOKUP(J136,[1]!AVION1[#Data],3,FALSE)),"",VLOOKUP(J136,[1]!AVION1[#Data],3,FALSE))</f>
        <v/>
      </c>
      <c r="W136" s="114" t="str">
        <f>IF(ISNA(VLOOKUP(N136,[1]!INSTRUCTEUR[#Data],2,FALSE)),"",VLOOKUP(N136,[1]!INSTRUCTEUR[#Data],2,FALSE))</f>
        <v/>
      </c>
      <c r="X136" s="115">
        <f t="shared" si="17"/>
        <v>0</v>
      </c>
    </row>
    <row r="137" spans="1:24">
      <c r="A137" s="206"/>
      <c r="B137" s="117">
        <f t="shared" si="22"/>
        <v>7</v>
      </c>
      <c r="C137" s="172"/>
      <c r="D137" s="173"/>
      <c r="E137" s="174"/>
      <c r="F137" s="175"/>
      <c r="G137" s="124"/>
      <c r="H137" s="176">
        <f t="shared" si="19"/>
        <v>0</v>
      </c>
      <c r="I137" s="119" t="str">
        <f>IF(ISNA(VLOOKUP(J137,[1]!AVION1[#Data],2,FALSE)),"",VLOOKUP(J137,[1]!AVION1[#Data],2,FALSE))</f>
        <v/>
      </c>
      <c r="J137" s="174"/>
      <c r="K137" s="124"/>
      <c r="L137" s="124"/>
      <c r="M137" s="177">
        <f t="shared" si="20"/>
        <v>0</v>
      </c>
      <c r="N137" s="178"/>
      <c r="O137" s="124"/>
      <c r="P137" s="124"/>
      <c r="Q137" s="127">
        <f t="shared" si="12"/>
        <v>0</v>
      </c>
      <c r="R137" s="128">
        <f t="shared" si="13"/>
        <v>0</v>
      </c>
      <c r="S137" s="127">
        <f t="shared" si="14"/>
        <v>0</v>
      </c>
      <c r="T137" s="128">
        <f t="shared" si="15"/>
        <v>0</v>
      </c>
      <c r="U137" s="170">
        <f t="shared" si="16"/>
        <v>0</v>
      </c>
      <c r="V137" s="114" t="str">
        <f>IF(ISNA(VLOOKUP(J137,[1]!AVION1[#Data],3,FALSE)),"",VLOOKUP(J137,[1]!AVION1[#Data],3,FALSE))</f>
        <v/>
      </c>
      <c r="W137" s="114" t="str">
        <f>IF(ISNA(VLOOKUP(N137,[1]!INSTRUCTEUR[#Data],2,FALSE)),"",VLOOKUP(N137,[1]!INSTRUCTEUR[#Data],2,FALSE))</f>
        <v/>
      </c>
      <c r="X137" s="115">
        <f t="shared" si="17"/>
        <v>0</v>
      </c>
    </row>
    <row r="138" spans="1:24">
      <c r="A138" s="206"/>
      <c r="B138" s="117">
        <f t="shared" si="22"/>
        <v>8</v>
      </c>
      <c r="C138" s="172"/>
      <c r="D138" s="173"/>
      <c r="E138" s="174"/>
      <c r="F138" s="175"/>
      <c r="G138" s="124"/>
      <c r="H138" s="176">
        <f t="shared" si="19"/>
        <v>0</v>
      </c>
      <c r="I138" s="119" t="str">
        <f>IF(ISNA(VLOOKUP(J138,[1]!AVION1[#Data],2,FALSE)),"",VLOOKUP(J138,[1]!AVION1[#Data],2,FALSE))</f>
        <v/>
      </c>
      <c r="J138" s="174"/>
      <c r="K138" s="124"/>
      <c r="L138" s="124"/>
      <c r="M138" s="177">
        <f t="shared" si="20"/>
        <v>0</v>
      </c>
      <c r="N138" s="178"/>
      <c r="O138" s="124"/>
      <c r="P138" s="124"/>
      <c r="Q138" s="127">
        <f t="shared" ref="Q138:Q201" si="23">IFERROR(X138*V138,0)</f>
        <v>0</v>
      </c>
      <c r="R138" s="128">
        <f t="shared" ref="R138:R201" si="24">IFERROR(W138*X138,0)</f>
        <v>0</v>
      </c>
      <c r="S138" s="127">
        <f t="shared" ref="S138:S201" si="25">R138+Q138</f>
        <v>0</v>
      </c>
      <c r="T138" s="128">
        <f t="shared" ref="T138:T201" si="26">IF(N138="PENDERS Bernard",X138,0)</f>
        <v>0</v>
      </c>
      <c r="U138" s="170">
        <f t="shared" ref="U138:U201" si="27">IF(N138="PENDERS Bernard",0,X138)</f>
        <v>0</v>
      </c>
      <c r="V138" s="114" t="str">
        <f>IF(ISNA(VLOOKUP(J138,[1]!AVION1[#Data],3,FALSE)),"",VLOOKUP(J138,[1]!AVION1[#Data],3,FALSE))</f>
        <v/>
      </c>
      <c r="W138" s="114" t="str">
        <f>IF(ISNA(VLOOKUP(N138,[1]!INSTRUCTEUR[#Data],2,FALSE)),"",VLOOKUP(N138,[1]!INSTRUCTEUR[#Data],2,FALSE))</f>
        <v/>
      </c>
      <c r="X138" s="115">
        <f t="shared" ref="X138:X201" si="28">(HOUR(M138)*3600+MINUTE(M138)*60+SECOND(M138))/60</f>
        <v>0</v>
      </c>
    </row>
    <row r="139" spans="1:24">
      <c r="A139" s="206"/>
      <c r="B139" s="117">
        <f t="shared" si="22"/>
        <v>9</v>
      </c>
      <c r="C139" s="172"/>
      <c r="D139" s="173"/>
      <c r="E139" s="174"/>
      <c r="F139" s="175"/>
      <c r="G139" s="124"/>
      <c r="H139" s="176">
        <f t="shared" si="19"/>
        <v>0</v>
      </c>
      <c r="I139" s="119" t="str">
        <f>IF(ISNA(VLOOKUP(J139,[1]!AVION1[#Data],2,FALSE)),"",VLOOKUP(J139,[1]!AVION1[#Data],2,FALSE))</f>
        <v/>
      </c>
      <c r="J139" s="174"/>
      <c r="K139" s="124"/>
      <c r="L139" s="124"/>
      <c r="M139" s="177">
        <f t="shared" si="20"/>
        <v>0</v>
      </c>
      <c r="N139" s="178"/>
      <c r="O139" s="124"/>
      <c r="P139" s="124"/>
      <c r="Q139" s="127">
        <f t="shared" si="23"/>
        <v>0</v>
      </c>
      <c r="R139" s="128">
        <f t="shared" si="24"/>
        <v>0</v>
      </c>
      <c r="S139" s="127">
        <f t="shared" si="25"/>
        <v>0</v>
      </c>
      <c r="T139" s="128">
        <f t="shared" si="26"/>
        <v>0</v>
      </c>
      <c r="U139" s="170">
        <f t="shared" si="27"/>
        <v>0</v>
      </c>
      <c r="V139" s="114" t="str">
        <f>IF(ISNA(VLOOKUP(J139,[1]!AVION1[#Data],3,FALSE)),"",VLOOKUP(J139,[1]!AVION1[#Data],3,FALSE))</f>
        <v/>
      </c>
      <c r="W139" s="114" t="str">
        <f>IF(ISNA(VLOOKUP(N139,[1]!INSTRUCTEUR[#Data],2,FALSE)),"",VLOOKUP(N139,[1]!INSTRUCTEUR[#Data],2,FALSE))</f>
        <v/>
      </c>
      <c r="X139" s="115">
        <f t="shared" si="28"/>
        <v>0</v>
      </c>
    </row>
    <row r="140" spans="1:24">
      <c r="A140" s="206"/>
      <c r="B140" s="117">
        <f t="shared" si="22"/>
        <v>10</v>
      </c>
      <c r="C140" s="172"/>
      <c r="D140" s="173"/>
      <c r="E140" s="174"/>
      <c r="F140" s="175"/>
      <c r="G140" s="124"/>
      <c r="H140" s="176">
        <f t="shared" si="19"/>
        <v>0</v>
      </c>
      <c r="I140" s="119" t="str">
        <f>IF(ISNA(VLOOKUP(J140,[1]!AVION1[#Data],2,FALSE)),"",VLOOKUP(J140,[1]!AVION1[#Data],2,FALSE))</f>
        <v/>
      </c>
      <c r="J140" s="174"/>
      <c r="K140" s="124"/>
      <c r="L140" s="124"/>
      <c r="M140" s="177">
        <f t="shared" si="20"/>
        <v>0</v>
      </c>
      <c r="N140" s="178"/>
      <c r="O140" s="124"/>
      <c r="P140" s="124"/>
      <c r="Q140" s="127">
        <f t="shared" si="23"/>
        <v>0</v>
      </c>
      <c r="R140" s="128">
        <f t="shared" si="24"/>
        <v>0</v>
      </c>
      <c r="S140" s="127">
        <f t="shared" si="25"/>
        <v>0</v>
      </c>
      <c r="T140" s="128">
        <f t="shared" si="26"/>
        <v>0</v>
      </c>
      <c r="U140" s="170">
        <f t="shared" si="27"/>
        <v>0</v>
      </c>
      <c r="V140" s="114" t="str">
        <f>IF(ISNA(VLOOKUP(J140,[1]!AVION1[#Data],3,FALSE)),"",VLOOKUP(J140,[1]!AVION1[#Data],3,FALSE))</f>
        <v/>
      </c>
      <c r="W140" s="114" t="str">
        <f>IF(ISNA(VLOOKUP(N140,[1]!INSTRUCTEUR[#Data],2,FALSE)),"",VLOOKUP(N140,[1]!INSTRUCTEUR[#Data],2,FALSE))</f>
        <v/>
      </c>
      <c r="X140" s="115">
        <f t="shared" si="28"/>
        <v>0</v>
      </c>
    </row>
    <row r="141" spans="1:24">
      <c r="A141" s="206"/>
      <c r="B141" s="117">
        <f t="shared" si="22"/>
        <v>11</v>
      </c>
      <c r="C141" s="172"/>
      <c r="D141" s="173"/>
      <c r="E141" s="174"/>
      <c r="F141" s="175"/>
      <c r="G141" s="124"/>
      <c r="H141" s="176">
        <f t="shared" si="19"/>
        <v>0</v>
      </c>
      <c r="I141" s="119" t="str">
        <f>IF(ISNA(VLOOKUP(J141,[1]!AVION1[#Data],2,FALSE)),"",VLOOKUP(J141,[1]!AVION1[#Data],2,FALSE))</f>
        <v/>
      </c>
      <c r="J141" s="174"/>
      <c r="K141" s="124"/>
      <c r="L141" s="124"/>
      <c r="M141" s="177">
        <f t="shared" si="20"/>
        <v>0</v>
      </c>
      <c r="N141" s="178"/>
      <c r="O141" s="124"/>
      <c r="P141" s="124"/>
      <c r="Q141" s="127">
        <f t="shared" si="23"/>
        <v>0</v>
      </c>
      <c r="R141" s="128">
        <f t="shared" si="24"/>
        <v>0</v>
      </c>
      <c r="S141" s="127">
        <f t="shared" si="25"/>
        <v>0</v>
      </c>
      <c r="T141" s="128">
        <f t="shared" si="26"/>
        <v>0</v>
      </c>
      <c r="U141" s="170">
        <f t="shared" si="27"/>
        <v>0</v>
      </c>
      <c r="V141" s="114" t="str">
        <f>IF(ISNA(VLOOKUP(J141,[1]!AVION1[#Data],3,FALSE)),"",VLOOKUP(J141,[1]!AVION1[#Data],3,FALSE))</f>
        <v/>
      </c>
      <c r="W141" s="114" t="str">
        <f>IF(ISNA(VLOOKUP(N141,[1]!INSTRUCTEUR[#Data],2,FALSE)),"",VLOOKUP(N141,[1]!INSTRUCTEUR[#Data],2,FALSE))</f>
        <v/>
      </c>
      <c r="X141" s="115">
        <f t="shared" si="28"/>
        <v>0</v>
      </c>
    </row>
    <row r="142" spans="1:24">
      <c r="A142" s="206"/>
      <c r="B142" s="117">
        <f t="shared" si="22"/>
        <v>12</v>
      </c>
      <c r="C142" s="172"/>
      <c r="D142" s="173"/>
      <c r="E142" s="174"/>
      <c r="F142" s="175"/>
      <c r="G142" s="124"/>
      <c r="H142" s="176">
        <f t="shared" si="19"/>
        <v>0</v>
      </c>
      <c r="I142" s="119" t="str">
        <f>IF(ISNA(VLOOKUP(J142,[1]!AVION1[#Data],2,FALSE)),"",VLOOKUP(J142,[1]!AVION1[#Data],2,FALSE))</f>
        <v/>
      </c>
      <c r="J142" s="174"/>
      <c r="K142" s="124"/>
      <c r="L142" s="124"/>
      <c r="M142" s="177">
        <f t="shared" si="20"/>
        <v>0</v>
      </c>
      <c r="N142" s="178"/>
      <c r="O142" s="124"/>
      <c r="P142" s="124"/>
      <c r="Q142" s="127">
        <f t="shared" si="23"/>
        <v>0</v>
      </c>
      <c r="R142" s="128">
        <f t="shared" si="24"/>
        <v>0</v>
      </c>
      <c r="S142" s="127">
        <f t="shared" si="25"/>
        <v>0</v>
      </c>
      <c r="T142" s="128">
        <f t="shared" si="26"/>
        <v>0</v>
      </c>
      <c r="U142" s="170">
        <f t="shared" si="27"/>
        <v>0</v>
      </c>
      <c r="V142" s="114" t="str">
        <f>IF(ISNA(VLOOKUP(J142,[1]!AVION1[#Data],3,FALSE)),"",VLOOKUP(J142,[1]!AVION1[#Data],3,FALSE))</f>
        <v/>
      </c>
      <c r="W142" s="114" t="str">
        <f>IF(ISNA(VLOOKUP(N142,[1]!INSTRUCTEUR[#Data],2,FALSE)),"",VLOOKUP(N142,[1]!INSTRUCTEUR[#Data],2,FALSE))</f>
        <v/>
      </c>
      <c r="X142" s="115">
        <f t="shared" si="28"/>
        <v>0</v>
      </c>
    </row>
    <row r="143" spans="1:24">
      <c r="A143" s="206"/>
      <c r="B143" s="117">
        <f t="shared" si="22"/>
        <v>13</v>
      </c>
      <c r="C143" s="172"/>
      <c r="D143" s="173"/>
      <c r="E143" s="174"/>
      <c r="F143" s="175"/>
      <c r="G143" s="124"/>
      <c r="H143" s="176">
        <f t="shared" si="19"/>
        <v>0</v>
      </c>
      <c r="I143" s="119" t="str">
        <f>IF(ISNA(VLOOKUP(J143,[1]!AVION1[#Data],2,FALSE)),"",VLOOKUP(J143,[1]!AVION1[#Data],2,FALSE))</f>
        <v/>
      </c>
      <c r="J143" s="174"/>
      <c r="K143" s="124"/>
      <c r="L143" s="124"/>
      <c r="M143" s="177">
        <f t="shared" si="20"/>
        <v>0</v>
      </c>
      <c r="N143" s="178"/>
      <c r="O143" s="124"/>
      <c r="P143" s="124"/>
      <c r="Q143" s="127">
        <f t="shared" si="23"/>
        <v>0</v>
      </c>
      <c r="R143" s="128">
        <f t="shared" si="24"/>
        <v>0</v>
      </c>
      <c r="S143" s="127">
        <f t="shared" si="25"/>
        <v>0</v>
      </c>
      <c r="T143" s="128">
        <f t="shared" si="26"/>
        <v>0</v>
      </c>
      <c r="U143" s="170">
        <f t="shared" si="27"/>
        <v>0</v>
      </c>
      <c r="V143" s="114" t="str">
        <f>IF(ISNA(VLOOKUP(J143,[1]!AVION1[#Data],3,FALSE)),"",VLOOKUP(J143,[1]!AVION1[#Data],3,FALSE))</f>
        <v/>
      </c>
      <c r="W143" s="114" t="str">
        <f>IF(ISNA(VLOOKUP(N143,[1]!INSTRUCTEUR[#Data],2,FALSE)),"",VLOOKUP(N143,[1]!INSTRUCTEUR[#Data],2,FALSE))</f>
        <v/>
      </c>
      <c r="X143" s="115">
        <f t="shared" si="28"/>
        <v>0</v>
      </c>
    </row>
    <row r="144" spans="1:24">
      <c r="A144" s="206"/>
      <c r="B144" s="117">
        <f t="shared" si="22"/>
        <v>14</v>
      </c>
      <c r="C144" s="172"/>
      <c r="D144" s="173"/>
      <c r="E144" s="174"/>
      <c r="F144" s="175"/>
      <c r="G144" s="124"/>
      <c r="H144" s="176">
        <f t="shared" si="19"/>
        <v>0</v>
      </c>
      <c r="I144" s="119" t="str">
        <f>IF(ISNA(VLOOKUP(J144,[1]!AVION1[#Data],2,FALSE)),"",VLOOKUP(J144,[1]!AVION1[#Data],2,FALSE))</f>
        <v/>
      </c>
      <c r="J144" s="174"/>
      <c r="K144" s="124"/>
      <c r="L144" s="124"/>
      <c r="M144" s="177">
        <f t="shared" si="20"/>
        <v>0</v>
      </c>
      <c r="N144" s="178"/>
      <c r="O144" s="124"/>
      <c r="P144" s="124"/>
      <c r="Q144" s="127">
        <f t="shared" si="23"/>
        <v>0</v>
      </c>
      <c r="R144" s="128">
        <f t="shared" si="24"/>
        <v>0</v>
      </c>
      <c r="S144" s="127">
        <f t="shared" si="25"/>
        <v>0</v>
      </c>
      <c r="T144" s="128">
        <f t="shared" si="26"/>
        <v>0</v>
      </c>
      <c r="U144" s="170">
        <f t="shared" si="27"/>
        <v>0</v>
      </c>
      <c r="V144" s="114" t="str">
        <f>IF(ISNA(VLOOKUP(J144,[1]!AVION1[#Data],3,FALSE)),"",VLOOKUP(J144,[1]!AVION1[#Data],3,FALSE))</f>
        <v/>
      </c>
      <c r="W144" s="114" t="str">
        <f>IF(ISNA(VLOOKUP(N144,[1]!INSTRUCTEUR[#Data],2,FALSE)),"",VLOOKUP(N144,[1]!INSTRUCTEUR[#Data],2,FALSE))</f>
        <v/>
      </c>
      <c r="X144" s="115">
        <f t="shared" si="28"/>
        <v>0</v>
      </c>
    </row>
    <row r="145" spans="1:24">
      <c r="A145" s="206"/>
      <c r="B145" s="117">
        <f t="shared" si="22"/>
        <v>15</v>
      </c>
      <c r="C145" s="172"/>
      <c r="D145" s="173"/>
      <c r="E145" s="174"/>
      <c r="F145" s="175"/>
      <c r="G145" s="124"/>
      <c r="H145" s="176">
        <f t="shared" si="19"/>
        <v>0</v>
      </c>
      <c r="I145" s="119" t="str">
        <f>IF(ISNA(VLOOKUP(J145,[1]!AVION1[#Data],2,FALSE)),"",VLOOKUP(J145,[1]!AVION1[#Data],2,FALSE))</f>
        <v/>
      </c>
      <c r="J145" s="174"/>
      <c r="K145" s="124"/>
      <c r="L145" s="124"/>
      <c r="M145" s="177">
        <f t="shared" si="20"/>
        <v>0</v>
      </c>
      <c r="N145" s="178"/>
      <c r="O145" s="124"/>
      <c r="P145" s="124"/>
      <c r="Q145" s="127">
        <f t="shared" si="23"/>
        <v>0</v>
      </c>
      <c r="R145" s="128">
        <f t="shared" si="24"/>
        <v>0</v>
      </c>
      <c r="S145" s="127">
        <f t="shared" si="25"/>
        <v>0</v>
      </c>
      <c r="T145" s="128">
        <f t="shared" si="26"/>
        <v>0</v>
      </c>
      <c r="U145" s="170">
        <f t="shared" si="27"/>
        <v>0</v>
      </c>
      <c r="V145" s="114" t="str">
        <f>IF(ISNA(VLOOKUP(J145,[1]!AVION1[#Data],3,FALSE)),"",VLOOKUP(J145,[1]!AVION1[#Data],3,FALSE))</f>
        <v/>
      </c>
      <c r="W145" s="114" t="str">
        <f>IF(ISNA(VLOOKUP(N145,[1]!INSTRUCTEUR[#Data],2,FALSE)),"",VLOOKUP(N145,[1]!INSTRUCTEUR[#Data],2,FALSE))</f>
        <v/>
      </c>
      <c r="X145" s="115">
        <f t="shared" si="28"/>
        <v>0</v>
      </c>
    </row>
    <row r="146" spans="1:24">
      <c r="A146" s="206"/>
      <c r="B146" s="117">
        <f t="shared" si="22"/>
        <v>16</v>
      </c>
      <c r="C146" s="172"/>
      <c r="D146" s="173"/>
      <c r="E146" s="174"/>
      <c r="F146" s="175"/>
      <c r="G146" s="124"/>
      <c r="H146" s="176">
        <f t="shared" si="19"/>
        <v>0</v>
      </c>
      <c r="I146" s="119" t="str">
        <f>IF(ISNA(VLOOKUP(J146,[1]!AVION1[#Data],2,FALSE)),"",VLOOKUP(J146,[1]!AVION1[#Data],2,FALSE))</f>
        <v/>
      </c>
      <c r="J146" s="174"/>
      <c r="K146" s="124"/>
      <c r="L146" s="124"/>
      <c r="M146" s="177">
        <f t="shared" si="20"/>
        <v>0</v>
      </c>
      <c r="N146" s="178"/>
      <c r="O146" s="124"/>
      <c r="P146" s="124"/>
      <c r="Q146" s="127">
        <f t="shared" si="23"/>
        <v>0</v>
      </c>
      <c r="R146" s="128">
        <f t="shared" si="24"/>
        <v>0</v>
      </c>
      <c r="S146" s="127">
        <f t="shared" si="25"/>
        <v>0</v>
      </c>
      <c r="T146" s="128">
        <f t="shared" si="26"/>
        <v>0</v>
      </c>
      <c r="U146" s="170">
        <f t="shared" si="27"/>
        <v>0</v>
      </c>
      <c r="V146" s="114" t="str">
        <f>IF(ISNA(VLOOKUP(J146,[1]!AVION1[#Data],3,FALSE)),"",VLOOKUP(J146,[1]!AVION1[#Data],3,FALSE))</f>
        <v/>
      </c>
      <c r="W146" s="114" t="str">
        <f>IF(ISNA(VLOOKUP(N146,[1]!INSTRUCTEUR[#Data],2,FALSE)),"",VLOOKUP(N146,[1]!INSTRUCTEUR[#Data],2,FALSE))</f>
        <v/>
      </c>
      <c r="X146" s="115">
        <f t="shared" si="28"/>
        <v>0</v>
      </c>
    </row>
    <row r="147" spans="1:24">
      <c r="A147" s="206"/>
      <c r="B147" s="117">
        <f t="shared" si="22"/>
        <v>17</v>
      </c>
      <c r="C147" s="172"/>
      <c r="D147" s="173"/>
      <c r="E147" s="174"/>
      <c r="F147" s="175"/>
      <c r="G147" s="124"/>
      <c r="H147" s="176">
        <f t="shared" si="19"/>
        <v>0</v>
      </c>
      <c r="I147" s="119" t="str">
        <f>IF(ISNA(VLOOKUP(J147,[1]!AVION1[#Data],2,FALSE)),"",VLOOKUP(J147,[1]!AVION1[#Data],2,FALSE))</f>
        <v/>
      </c>
      <c r="J147" s="174"/>
      <c r="K147" s="124"/>
      <c r="L147" s="124"/>
      <c r="M147" s="177">
        <f t="shared" si="20"/>
        <v>0</v>
      </c>
      <c r="N147" s="178"/>
      <c r="O147" s="124"/>
      <c r="P147" s="124"/>
      <c r="Q147" s="127">
        <f t="shared" si="23"/>
        <v>0</v>
      </c>
      <c r="R147" s="128">
        <f t="shared" si="24"/>
        <v>0</v>
      </c>
      <c r="S147" s="127">
        <f t="shared" si="25"/>
        <v>0</v>
      </c>
      <c r="T147" s="128">
        <f t="shared" si="26"/>
        <v>0</v>
      </c>
      <c r="U147" s="170">
        <f t="shared" si="27"/>
        <v>0</v>
      </c>
      <c r="V147" s="114" t="str">
        <f>IF(ISNA(VLOOKUP(J147,[1]!AVION1[#Data],3,FALSE)),"",VLOOKUP(J147,[1]!AVION1[#Data],3,FALSE))</f>
        <v/>
      </c>
      <c r="W147" s="114" t="str">
        <f>IF(ISNA(VLOOKUP(N147,[1]!INSTRUCTEUR[#Data],2,FALSE)),"",VLOOKUP(N147,[1]!INSTRUCTEUR[#Data],2,FALSE))</f>
        <v/>
      </c>
      <c r="X147" s="115">
        <f t="shared" si="28"/>
        <v>0</v>
      </c>
    </row>
    <row r="148" spans="1:24" ht="15" thickBot="1">
      <c r="A148" s="207"/>
      <c r="B148" s="132">
        <f t="shared" si="22"/>
        <v>18</v>
      </c>
      <c r="C148" s="180"/>
      <c r="D148" s="181"/>
      <c r="E148" s="182"/>
      <c r="F148" s="183"/>
      <c r="G148" s="139"/>
      <c r="H148" s="184">
        <f t="shared" si="19"/>
        <v>0</v>
      </c>
      <c r="I148" s="134" t="str">
        <f>IF(ISNA(VLOOKUP(J148,[1]!AVION1[#Data],2,FALSE)),"",VLOOKUP(J148,[1]!AVION1[#Data],2,FALSE))</f>
        <v/>
      </c>
      <c r="J148" s="182"/>
      <c r="K148" s="139"/>
      <c r="L148" s="139"/>
      <c r="M148" s="197">
        <f t="shared" si="20"/>
        <v>0</v>
      </c>
      <c r="N148" s="186"/>
      <c r="O148" s="139"/>
      <c r="P148" s="139"/>
      <c r="Q148" s="142">
        <f t="shared" si="23"/>
        <v>0</v>
      </c>
      <c r="R148" s="143">
        <f t="shared" si="24"/>
        <v>0</v>
      </c>
      <c r="S148" s="142">
        <f t="shared" si="25"/>
        <v>0</v>
      </c>
      <c r="T148" s="143">
        <f t="shared" si="26"/>
        <v>0</v>
      </c>
      <c r="U148" s="187">
        <f t="shared" si="27"/>
        <v>0</v>
      </c>
      <c r="V148" s="114" t="str">
        <f>IF(ISNA(VLOOKUP(J148,[1]!AVION1[#Data],3,FALSE)),"",VLOOKUP(J148,[1]!AVION1[#Data],3,FALSE))</f>
        <v/>
      </c>
      <c r="W148" s="114" t="str">
        <f>IF(ISNA(VLOOKUP(N148,[1]!INSTRUCTEUR[#Data],2,FALSE)),"",VLOOKUP(N148,[1]!INSTRUCTEUR[#Data],2,FALSE))</f>
        <v/>
      </c>
      <c r="X148" s="115">
        <f t="shared" si="28"/>
        <v>0</v>
      </c>
    </row>
    <row r="149" spans="1:24" ht="15.6">
      <c r="C149" s="145"/>
      <c r="D149" s="146"/>
      <c r="E149" s="146"/>
      <c r="F149" s="147"/>
      <c r="G149" s="146"/>
      <c r="H149" s="148"/>
      <c r="I149" s="149" t="str">
        <f>IF(ISNA(VLOOKUP(J149,[1]!AVION1[#Data],2,FALSE)),"",VLOOKUP(J149,[1]!AVION1[#Data],2,FALSE))</f>
        <v/>
      </c>
      <c r="J149" s="150"/>
      <c r="K149" s="188"/>
      <c r="L149" s="208" t="s">
        <v>60</v>
      </c>
      <c r="M149" s="209">
        <f>SUM(M131:M148)</f>
        <v>0</v>
      </c>
      <c r="N149" s="210"/>
      <c r="O149" s="211">
        <f>SUM(O131:O148)</f>
        <v>0</v>
      </c>
      <c r="P149" s="211"/>
      <c r="Q149" s="212"/>
      <c r="R149" s="213"/>
      <c r="S149" s="214"/>
      <c r="T149" s="215">
        <f>SUM(T131:T148)/1440</f>
        <v>0</v>
      </c>
      <c r="U149" s="216">
        <f>SUM(U131:U148)/1440</f>
        <v>0</v>
      </c>
      <c r="V149" s="114" t="str">
        <f>IF(ISNA(VLOOKUP(J149,[1]!AVION1[#Data],3,FALSE)),"",VLOOKUP(J149,[1]!AVION1[#Data],3,FALSE))</f>
        <v/>
      </c>
      <c r="W149" s="114" t="str">
        <f>IF(ISNA(VLOOKUP(N149,[1]!INSTRUCTEUR[#Data],2,FALSE)),"",VLOOKUP(N149,[1]!INSTRUCTEUR[#Data],2,FALSE))</f>
        <v/>
      </c>
      <c r="X149" s="115">
        <f t="shared" si="28"/>
        <v>0</v>
      </c>
    </row>
    <row r="150" spans="1:24" ht="15.6">
      <c r="C150" s="145"/>
      <c r="D150" s="146"/>
      <c r="E150" s="146"/>
      <c r="F150" s="147"/>
      <c r="G150" s="146"/>
      <c r="H150" s="148"/>
      <c r="I150" s="149" t="str">
        <f>IF(ISNA(VLOOKUP(J150,[1]!AVION1[#Data],2,FALSE)),"",VLOOKUP(J150,[1]!AVION1[#Data],2,FALSE))</f>
        <v/>
      </c>
      <c r="J150" s="146"/>
      <c r="K150" s="191"/>
      <c r="L150" s="217" t="s">
        <v>61</v>
      </c>
      <c r="M150" s="162">
        <f>M130</f>
        <v>1.1520833333333333</v>
      </c>
      <c r="N150" s="218"/>
      <c r="O150" s="163">
        <f>O130</f>
        <v>101</v>
      </c>
      <c r="P150" s="163"/>
      <c r="Q150" s="219"/>
      <c r="R150" s="220"/>
      <c r="S150" s="219"/>
      <c r="T150" s="164">
        <f>T130</f>
        <v>0.15208333333333332</v>
      </c>
      <c r="U150" s="221">
        <f>U130</f>
        <v>1</v>
      </c>
      <c r="V150" s="114" t="str">
        <f>IF(ISNA(VLOOKUP(J150,[1]!AVION1[#Data],3,FALSE)),"",VLOOKUP(J150,[1]!AVION1[#Data],3,FALSE))</f>
        <v/>
      </c>
      <c r="W150" s="114" t="str">
        <f>IF(ISNA(VLOOKUP(N150,[1]!INSTRUCTEUR[#Data],2,FALSE)),"",VLOOKUP(N150,[1]!INSTRUCTEUR[#Data],2,FALSE))</f>
        <v/>
      </c>
      <c r="X150" s="115">
        <f t="shared" si="28"/>
        <v>219</v>
      </c>
    </row>
    <row r="151" spans="1:24" ht="16.2" thickBot="1">
      <c r="C151" s="145"/>
      <c r="D151" s="146"/>
      <c r="E151" s="146"/>
      <c r="F151" s="147"/>
      <c r="G151" s="146"/>
      <c r="H151" s="148"/>
      <c r="I151" s="149" t="str">
        <f>IF(ISNA(VLOOKUP(J151,[1]!AVION1[#Data],2,FALSE)),"",VLOOKUP(J151,[1]!AVION1[#Data],2,FALSE))</f>
        <v/>
      </c>
      <c r="J151" s="146"/>
      <c r="K151" s="222"/>
      <c r="L151" s="223" t="s">
        <v>62</v>
      </c>
      <c r="M151" s="224">
        <f>SUM(M149:M150)</f>
        <v>1.1520833333333333</v>
      </c>
      <c r="N151" s="225"/>
      <c r="O151" s="226">
        <f>SUM(O149:O150)</f>
        <v>101</v>
      </c>
      <c r="P151" s="226"/>
      <c r="Q151" s="227"/>
      <c r="R151" s="228"/>
      <c r="S151" s="227"/>
      <c r="T151" s="229">
        <f>SUM(T150+T149)</f>
        <v>0.15208333333333332</v>
      </c>
      <c r="U151" s="230">
        <f>SUM(U150+U149)</f>
        <v>1</v>
      </c>
      <c r="V151" s="114" t="str">
        <f>IF(ISNA(VLOOKUP(J151,[1]!AVION1[#Data],3,FALSE)),"",VLOOKUP(J151,[1]!AVION1[#Data],3,FALSE))</f>
        <v/>
      </c>
      <c r="W151" s="114" t="str">
        <f>IF(ISNA(VLOOKUP(N151,[1]!INSTRUCTEUR[#Data],2,FALSE)),"",VLOOKUP(N151,[1]!INSTRUCTEUR[#Data],2,FALSE))</f>
        <v/>
      </c>
      <c r="X151" s="115">
        <f t="shared" si="28"/>
        <v>219</v>
      </c>
    </row>
    <row r="152" spans="1:24">
      <c r="C152" s="231"/>
      <c r="D152" s="232"/>
      <c r="E152" s="233"/>
      <c r="F152" s="234"/>
      <c r="G152" s="235"/>
      <c r="H152" s="236">
        <f t="shared" si="19"/>
        <v>0</v>
      </c>
      <c r="I152" s="237" t="str">
        <f>IF(ISNA(VLOOKUP(J152,[1]!AVION1[#Data],2,FALSE)),"",VLOOKUP(J152,[1]!AVION1[#Data],2,FALSE))</f>
        <v/>
      </c>
      <c r="J152" s="233"/>
      <c r="K152" s="235"/>
      <c r="L152" s="235"/>
      <c r="M152" s="238">
        <f t="shared" si="20"/>
        <v>0</v>
      </c>
      <c r="N152" s="239"/>
      <c r="O152" s="235"/>
      <c r="P152" s="235"/>
      <c r="Q152" s="240">
        <f t="shared" si="23"/>
        <v>0</v>
      </c>
      <c r="R152" s="241">
        <f t="shared" si="24"/>
        <v>0</v>
      </c>
      <c r="S152" s="240">
        <f t="shared" si="25"/>
        <v>0</v>
      </c>
      <c r="T152" s="241">
        <f t="shared" si="26"/>
        <v>0</v>
      </c>
      <c r="U152" s="241">
        <f t="shared" si="27"/>
        <v>0</v>
      </c>
      <c r="V152" s="114" t="str">
        <f>IF(ISNA(VLOOKUP(J152,[1]!AVION1[#Data],3,FALSE)),"",VLOOKUP(J152,[1]!AVION1[#Data],3,FALSE))</f>
        <v/>
      </c>
      <c r="W152" s="114" t="str">
        <f>IF(ISNA(VLOOKUP(N152,[1]!INSTRUCTEUR[#Data],2,FALSE)),"",VLOOKUP(N152,[1]!INSTRUCTEUR[#Data],2,FALSE))</f>
        <v/>
      </c>
      <c r="X152" s="115">
        <f t="shared" si="28"/>
        <v>0</v>
      </c>
    </row>
    <row r="153" spans="1:24">
      <c r="C153" s="231"/>
      <c r="D153" s="232"/>
      <c r="E153" s="233"/>
      <c r="F153" s="234"/>
      <c r="G153" s="235"/>
      <c r="H153" s="236">
        <f t="shared" si="19"/>
        <v>0</v>
      </c>
      <c r="I153" s="237" t="str">
        <f>IF(ISNA(VLOOKUP(J153,[1]!AVION1[#Data],2,FALSE)),"",VLOOKUP(J153,[1]!AVION1[#Data],2,FALSE))</f>
        <v/>
      </c>
      <c r="J153" s="233"/>
      <c r="K153" s="235"/>
      <c r="L153" s="235"/>
      <c r="M153" s="238">
        <f t="shared" si="20"/>
        <v>0</v>
      </c>
      <c r="N153" s="239"/>
      <c r="O153" s="235"/>
      <c r="P153" s="235"/>
      <c r="Q153" s="240">
        <f t="shared" si="23"/>
        <v>0</v>
      </c>
      <c r="R153" s="241">
        <f t="shared" si="24"/>
        <v>0</v>
      </c>
      <c r="S153" s="240">
        <f t="shared" si="25"/>
        <v>0</v>
      </c>
      <c r="T153" s="241">
        <f t="shared" si="26"/>
        <v>0</v>
      </c>
      <c r="U153" s="241">
        <f t="shared" si="27"/>
        <v>0</v>
      </c>
      <c r="V153" s="114" t="str">
        <f>IF(ISNA(VLOOKUP(J153,[1]!AVION1[#Data],3,FALSE)),"",VLOOKUP(J153,[1]!AVION1[#Data],3,FALSE))</f>
        <v/>
      </c>
      <c r="W153" s="114" t="str">
        <f>IF(ISNA(VLOOKUP(N153,[1]!INSTRUCTEUR[#Data],2,FALSE)),"",VLOOKUP(N153,[1]!INSTRUCTEUR[#Data],2,FALSE))</f>
        <v/>
      </c>
      <c r="X153" s="115">
        <f t="shared" si="28"/>
        <v>0</v>
      </c>
    </row>
    <row r="154" spans="1:24">
      <c r="C154" s="231"/>
      <c r="D154" s="232"/>
      <c r="E154" s="233"/>
      <c r="F154" s="234"/>
      <c r="G154" s="235"/>
      <c r="H154" s="236">
        <f t="shared" si="19"/>
        <v>0</v>
      </c>
      <c r="I154" s="237" t="str">
        <f>IF(ISNA(VLOOKUP(J154,[1]!AVION1[#Data],2,FALSE)),"",VLOOKUP(J154,[1]!AVION1[#Data],2,FALSE))</f>
        <v/>
      </c>
      <c r="J154" s="233"/>
      <c r="K154" s="235"/>
      <c r="L154" s="235"/>
      <c r="M154" s="238">
        <f t="shared" si="20"/>
        <v>0</v>
      </c>
      <c r="N154" s="239"/>
      <c r="O154" s="235"/>
      <c r="P154" s="235"/>
      <c r="Q154" s="240">
        <f t="shared" si="23"/>
        <v>0</v>
      </c>
      <c r="R154" s="241">
        <f t="shared" si="24"/>
        <v>0</v>
      </c>
      <c r="S154" s="240">
        <f t="shared" si="25"/>
        <v>0</v>
      </c>
      <c r="T154" s="241">
        <f t="shared" si="26"/>
        <v>0</v>
      </c>
      <c r="U154" s="241">
        <f t="shared" si="27"/>
        <v>0</v>
      </c>
      <c r="V154" s="114" t="str">
        <f>IF(ISNA(VLOOKUP(J154,[1]!AVION1[#Data],3,FALSE)),"",VLOOKUP(J154,[1]!AVION1[#Data],3,FALSE))</f>
        <v/>
      </c>
      <c r="W154" s="114" t="str">
        <f>IF(ISNA(VLOOKUP(N154,[1]!INSTRUCTEUR[#Data],2,FALSE)),"",VLOOKUP(N154,[1]!INSTRUCTEUR[#Data],2,FALSE))</f>
        <v/>
      </c>
      <c r="X154" s="115">
        <f t="shared" si="28"/>
        <v>0</v>
      </c>
    </row>
    <row r="155" spans="1:24">
      <c r="C155" s="231"/>
      <c r="D155" s="232"/>
      <c r="E155" s="233"/>
      <c r="F155" s="234"/>
      <c r="G155" s="235"/>
      <c r="H155" s="236">
        <f t="shared" si="19"/>
        <v>0</v>
      </c>
      <c r="I155" s="237" t="str">
        <f>IF(ISNA(VLOOKUP(J155,[1]!AVION1[#Data],2,FALSE)),"",VLOOKUP(J155,[1]!AVION1[#Data],2,FALSE))</f>
        <v/>
      </c>
      <c r="J155" s="233"/>
      <c r="K155" s="235"/>
      <c r="L155" s="235"/>
      <c r="M155" s="238">
        <f t="shared" si="20"/>
        <v>0</v>
      </c>
      <c r="N155" s="239"/>
      <c r="O155" s="235"/>
      <c r="P155" s="235"/>
      <c r="Q155" s="240">
        <f t="shared" si="23"/>
        <v>0</v>
      </c>
      <c r="R155" s="241">
        <f t="shared" si="24"/>
        <v>0</v>
      </c>
      <c r="S155" s="240">
        <f t="shared" si="25"/>
        <v>0</v>
      </c>
      <c r="T155" s="241">
        <f t="shared" si="26"/>
        <v>0</v>
      </c>
      <c r="U155" s="241">
        <f t="shared" si="27"/>
        <v>0</v>
      </c>
      <c r="V155" s="114" t="str">
        <f>IF(ISNA(VLOOKUP(J155,[1]!AVION1[#Data],3,FALSE)),"",VLOOKUP(J155,[1]!AVION1[#Data],3,FALSE))</f>
        <v/>
      </c>
      <c r="W155" s="114" t="str">
        <f>IF(ISNA(VLOOKUP(N155,[1]!INSTRUCTEUR[#Data],2,FALSE)),"",VLOOKUP(N155,[1]!INSTRUCTEUR[#Data],2,FALSE))</f>
        <v/>
      </c>
      <c r="X155" s="115">
        <f t="shared" si="28"/>
        <v>0</v>
      </c>
    </row>
    <row r="156" spans="1:24">
      <c r="C156" s="231"/>
      <c r="D156" s="232"/>
      <c r="E156" s="233"/>
      <c r="F156" s="234"/>
      <c r="G156" s="235"/>
      <c r="H156" s="236">
        <f t="shared" si="19"/>
        <v>0</v>
      </c>
      <c r="I156" s="237" t="str">
        <f>IF(ISNA(VLOOKUP(J156,[1]!AVION1[#Data],2,FALSE)),"",VLOOKUP(J156,[1]!AVION1[#Data],2,FALSE))</f>
        <v/>
      </c>
      <c r="J156" s="233"/>
      <c r="K156" s="235"/>
      <c r="L156" s="235"/>
      <c r="M156" s="238">
        <f t="shared" si="20"/>
        <v>0</v>
      </c>
      <c r="N156" s="239"/>
      <c r="O156" s="235"/>
      <c r="P156" s="235"/>
      <c r="Q156" s="240">
        <f t="shared" si="23"/>
        <v>0</v>
      </c>
      <c r="R156" s="241">
        <f t="shared" si="24"/>
        <v>0</v>
      </c>
      <c r="S156" s="240">
        <f t="shared" si="25"/>
        <v>0</v>
      </c>
      <c r="T156" s="241">
        <f t="shared" si="26"/>
        <v>0</v>
      </c>
      <c r="U156" s="241">
        <f t="shared" si="27"/>
        <v>0</v>
      </c>
      <c r="V156" s="114" t="str">
        <f>IF(ISNA(VLOOKUP(J156,[1]!AVION1[#Data],3,FALSE)),"",VLOOKUP(J156,[1]!AVION1[#Data],3,FALSE))</f>
        <v/>
      </c>
      <c r="W156" s="114" t="str">
        <f>IF(ISNA(VLOOKUP(N156,[1]!INSTRUCTEUR[#Data],2,FALSE)),"",VLOOKUP(N156,[1]!INSTRUCTEUR[#Data],2,FALSE))</f>
        <v/>
      </c>
      <c r="X156" s="115">
        <f t="shared" si="28"/>
        <v>0</v>
      </c>
    </row>
    <row r="157" spans="1:24">
      <c r="C157" s="231"/>
      <c r="D157" s="232"/>
      <c r="E157" s="233"/>
      <c r="F157" s="234"/>
      <c r="G157" s="235"/>
      <c r="H157" s="236">
        <f t="shared" si="19"/>
        <v>0</v>
      </c>
      <c r="I157" s="237" t="str">
        <f>IF(ISNA(VLOOKUP(J157,[1]!AVION1[#Data],2,FALSE)),"",VLOOKUP(J157,[1]!AVION1[#Data],2,FALSE))</f>
        <v/>
      </c>
      <c r="J157" s="233"/>
      <c r="K157" s="235"/>
      <c r="L157" s="235"/>
      <c r="M157" s="238">
        <f t="shared" si="20"/>
        <v>0</v>
      </c>
      <c r="N157" s="239"/>
      <c r="O157" s="235"/>
      <c r="P157" s="235"/>
      <c r="Q157" s="240">
        <f t="shared" si="23"/>
        <v>0</v>
      </c>
      <c r="R157" s="241">
        <f t="shared" si="24"/>
        <v>0</v>
      </c>
      <c r="S157" s="240">
        <f t="shared" si="25"/>
        <v>0</v>
      </c>
      <c r="T157" s="241">
        <f t="shared" si="26"/>
        <v>0</v>
      </c>
      <c r="U157" s="241">
        <f t="shared" si="27"/>
        <v>0</v>
      </c>
      <c r="V157" s="114" t="str">
        <f>IF(ISNA(VLOOKUP(J157,[1]!AVION1[#Data],3,FALSE)),"",VLOOKUP(J157,[1]!AVION1[#Data],3,FALSE))</f>
        <v/>
      </c>
      <c r="W157" s="114" t="str">
        <f>IF(ISNA(VLOOKUP(N157,[1]!INSTRUCTEUR[#Data],2,FALSE)),"",VLOOKUP(N157,[1]!INSTRUCTEUR[#Data],2,FALSE))</f>
        <v/>
      </c>
      <c r="X157" s="115">
        <f t="shared" si="28"/>
        <v>0</v>
      </c>
    </row>
    <row r="158" spans="1:24">
      <c r="C158" s="231"/>
      <c r="D158" s="232"/>
      <c r="E158" s="233"/>
      <c r="F158" s="234"/>
      <c r="G158" s="235"/>
      <c r="H158" s="236">
        <f t="shared" si="19"/>
        <v>0</v>
      </c>
      <c r="I158" s="237" t="str">
        <f>IF(ISNA(VLOOKUP(J158,[1]!AVION1[#Data],2,FALSE)),"",VLOOKUP(J158,[1]!AVION1[#Data],2,FALSE))</f>
        <v/>
      </c>
      <c r="J158" s="233"/>
      <c r="K158" s="235"/>
      <c r="L158" s="235"/>
      <c r="M158" s="238">
        <f t="shared" si="20"/>
        <v>0</v>
      </c>
      <c r="N158" s="239"/>
      <c r="O158" s="235"/>
      <c r="P158" s="235"/>
      <c r="Q158" s="240">
        <f t="shared" si="23"/>
        <v>0</v>
      </c>
      <c r="R158" s="241">
        <f t="shared" si="24"/>
        <v>0</v>
      </c>
      <c r="S158" s="240">
        <f t="shared" si="25"/>
        <v>0</v>
      </c>
      <c r="T158" s="241">
        <f t="shared" si="26"/>
        <v>0</v>
      </c>
      <c r="U158" s="241">
        <f t="shared" si="27"/>
        <v>0</v>
      </c>
      <c r="V158" s="114" t="str">
        <f>IF(ISNA(VLOOKUP(J158,[1]!AVION1[#Data],3,FALSE)),"",VLOOKUP(J158,[1]!AVION1[#Data],3,FALSE))</f>
        <v/>
      </c>
      <c r="W158" s="114" t="str">
        <f>IF(ISNA(VLOOKUP(N158,[1]!INSTRUCTEUR[#Data],2,FALSE)),"",VLOOKUP(N158,[1]!INSTRUCTEUR[#Data],2,FALSE))</f>
        <v/>
      </c>
      <c r="X158" s="115">
        <f t="shared" si="28"/>
        <v>0</v>
      </c>
    </row>
    <row r="159" spans="1:24">
      <c r="C159" s="231"/>
      <c r="D159" s="232"/>
      <c r="E159" s="233"/>
      <c r="F159" s="234"/>
      <c r="G159" s="235"/>
      <c r="H159" s="236">
        <f t="shared" si="19"/>
        <v>0</v>
      </c>
      <c r="I159" s="237" t="str">
        <f>IF(ISNA(VLOOKUP(J159,[1]!AVION1[#Data],2,FALSE)),"",VLOOKUP(J159,[1]!AVION1[#Data],2,FALSE))</f>
        <v/>
      </c>
      <c r="J159" s="233"/>
      <c r="K159" s="235"/>
      <c r="L159" s="235"/>
      <c r="M159" s="238">
        <f t="shared" si="20"/>
        <v>0</v>
      </c>
      <c r="N159" s="239"/>
      <c r="O159" s="235"/>
      <c r="P159" s="235"/>
      <c r="Q159" s="240">
        <f t="shared" si="23"/>
        <v>0</v>
      </c>
      <c r="R159" s="241">
        <f t="shared" si="24"/>
        <v>0</v>
      </c>
      <c r="S159" s="240">
        <f t="shared" si="25"/>
        <v>0</v>
      </c>
      <c r="T159" s="241">
        <f t="shared" si="26"/>
        <v>0</v>
      </c>
      <c r="U159" s="241">
        <f t="shared" si="27"/>
        <v>0</v>
      </c>
      <c r="V159" s="114" t="str">
        <f>IF(ISNA(VLOOKUP(J159,[1]!AVION1[#Data],3,FALSE)),"",VLOOKUP(J159,[1]!AVION1[#Data],3,FALSE))</f>
        <v/>
      </c>
      <c r="W159" s="114" t="str">
        <f>IF(ISNA(VLOOKUP(N159,[1]!INSTRUCTEUR[#Data],2,FALSE)),"",VLOOKUP(N159,[1]!INSTRUCTEUR[#Data],2,FALSE))</f>
        <v/>
      </c>
      <c r="X159" s="115">
        <f t="shared" si="28"/>
        <v>0</v>
      </c>
    </row>
    <row r="160" spans="1:24">
      <c r="C160" s="231"/>
      <c r="D160" s="232"/>
      <c r="E160" s="233"/>
      <c r="F160" s="234"/>
      <c r="G160" s="235"/>
      <c r="H160" s="236">
        <f t="shared" si="19"/>
        <v>0</v>
      </c>
      <c r="I160" s="237" t="str">
        <f>IF(ISNA(VLOOKUP(J160,[1]!AVION1[#Data],2,FALSE)),"",VLOOKUP(J160,[1]!AVION1[#Data],2,FALSE))</f>
        <v/>
      </c>
      <c r="J160" s="233"/>
      <c r="K160" s="235"/>
      <c r="L160" s="235"/>
      <c r="M160" s="238">
        <f t="shared" si="20"/>
        <v>0</v>
      </c>
      <c r="N160" s="239"/>
      <c r="O160" s="235"/>
      <c r="P160" s="235"/>
      <c r="Q160" s="240">
        <f t="shared" si="23"/>
        <v>0</v>
      </c>
      <c r="R160" s="241">
        <f t="shared" si="24"/>
        <v>0</v>
      </c>
      <c r="S160" s="240">
        <f t="shared" si="25"/>
        <v>0</v>
      </c>
      <c r="T160" s="241">
        <f t="shared" si="26"/>
        <v>0</v>
      </c>
      <c r="U160" s="241">
        <f t="shared" si="27"/>
        <v>0</v>
      </c>
      <c r="V160" s="114" t="str">
        <f>IF(ISNA(VLOOKUP(J160,[1]!AVION1[#Data],3,FALSE)),"",VLOOKUP(J160,[1]!AVION1[#Data],3,FALSE))</f>
        <v/>
      </c>
      <c r="W160" s="114" t="str">
        <f>IF(ISNA(VLOOKUP(N160,[1]!INSTRUCTEUR[#Data],2,FALSE)),"",VLOOKUP(N160,[1]!INSTRUCTEUR[#Data],2,FALSE))</f>
        <v/>
      </c>
      <c r="X160" s="115">
        <f t="shared" si="28"/>
        <v>0</v>
      </c>
    </row>
    <row r="161" spans="3:24">
      <c r="C161" s="231"/>
      <c r="D161" s="232"/>
      <c r="E161" s="233"/>
      <c r="F161" s="234"/>
      <c r="G161" s="235"/>
      <c r="H161" s="236">
        <f t="shared" si="19"/>
        <v>0</v>
      </c>
      <c r="I161" s="237" t="str">
        <f>IF(ISNA(VLOOKUP(J161,[1]!AVION1[#Data],2,FALSE)),"",VLOOKUP(J161,[1]!AVION1[#Data],2,FALSE))</f>
        <v/>
      </c>
      <c r="J161" s="233"/>
      <c r="K161" s="235"/>
      <c r="L161" s="235"/>
      <c r="M161" s="238">
        <f t="shared" si="20"/>
        <v>0</v>
      </c>
      <c r="N161" s="239"/>
      <c r="O161" s="235"/>
      <c r="P161" s="235"/>
      <c r="Q161" s="240">
        <f t="shared" si="23"/>
        <v>0</v>
      </c>
      <c r="R161" s="241">
        <f t="shared" si="24"/>
        <v>0</v>
      </c>
      <c r="S161" s="240">
        <f t="shared" si="25"/>
        <v>0</v>
      </c>
      <c r="T161" s="241">
        <f t="shared" si="26"/>
        <v>0</v>
      </c>
      <c r="U161" s="241">
        <f t="shared" si="27"/>
        <v>0</v>
      </c>
      <c r="V161" s="114" t="str">
        <f>IF(ISNA(VLOOKUP(J161,[1]!AVION1[#Data],3,FALSE)),"",VLOOKUP(J161,[1]!AVION1[#Data],3,FALSE))</f>
        <v/>
      </c>
      <c r="W161" s="114" t="str">
        <f>IF(ISNA(VLOOKUP(N161,[1]!INSTRUCTEUR[#Data],2,FALSE)),"",VLOOKUP(N161,[1]!INSTRUCTEUR[#Data],2,FALSE))</f>
        <v/>
      </c>
      <c r="X161" s="115">
        <f t="shared" si="28"/>
        <v>0</v>
      </c>
    </row>
    <row r="162" spans="3:24">
      <c r="C162" s="231"/>
      <c r="D162" s="232"/>
      <c r="E162" s="233"/>
      <c r="F162" s="234"/>
      <c r="G162" s="235"/>
      <c r="H162" s="236">
        <f t="shared" si="19"/>
        <v>0</v>
      </c>
      <c r="I162" s="237" t="str">
        <f>IF(ISNA(VLOOKUP(J162,[1]!AVION1[#Data],2,FALSE)),"",VLOOKUP(J162,[1]!AVION1[#Data],2,FALSE))</f>
        <v/>
      </c>
      <c r="J162" s="233"/>
      <c r="K162" s="235"/>
      <c r="L162" s="235"/>
      <c r="M162" s="238">
        <f t="shared" si="20"/>
        <v>0</v>
      </c>
      <c r="N162" s="239"/>
      <c r="O162" s="235"/>
      <c r="P162" s="235"/>
      <c r="Q162" s="240">
        <f t="shared" si="23"/>
        <v>0</v>
      </c>
      <c r="R162" s="241">
        <f t="shared" si="24"/>
        <v>0</v>
      </c>
      <c r="S162" s="240">
        <f t="shared" si="25"/>
        <v>0</v>
      </c>
      <c r="T162" s="241">
        <f t="shared" si="26"/>
        <v>0</v>
      </c>
      <c r="U162" s="241">
        <f t="shared" si="27"/>
        <v>0</v>
      </c>
      <c r="V162" s="114" t="str">
        <f>IF(ISNA(VLOOKUP(J162,[1]!AVION1[#Data],3,FALSE)),"",VLOOKUP(J162,[1]!AVION1[#Data],3,FALSE))</f>
        <v/>
      </c>
      <c r="W162" s="114" t="str">
        <f>IF(ISNA(VLOOKUP(N162,[1]!INSTRUCTEUR[#Data],2,FALSE)),"",VLOOKUP(N162,[1]!INSTRUCTEUR[#Data],2,FALSE))</f>
        <v/>
      </c>
      <c r="X162" s="115">
        <f t="shared" si="28"/>
        <v>0</v>
      </c>
    </row>
    <row r="163" spans="3:24">
      <c r="C163" s="231"/>
      <c r="D163" s="232"/>
      <c r="E163" s="233"/>
      <c r="F163" s="234"/>
      <c r="G163" s="235"/>
      <c r="H163" s="236">
        <f t="shared" si="19"/>
        <v>0</v>
      </c>
      <c r="I163" s="237" t="str">
        <f>IF(ISNA(VLOOKUP(J163,[1]!AVION1[#Data],2,FALSE)),"",VLOOKUP(J163,[1]!AVION1[#Data],2,FALSE))</f>
        <v/>
      </c>
      <c r="J163" s="233"/>
      <c r="K163" s="235"/>
      <c r="L163" s="235"/>
      <c r="M163" s="238">
        <f t="shared" si="20"/>
        <v>0</v>
      </c>
      <c r="N163" s="239"/>
      <c r="O163" s="235"/>
      <c r="P163" s="235"/>
      <c r="Q163" s="240">
        <f t="shared" si="23"/>
        <v>0</v>
      </c>
      <c r="R163" s="241">
        <f t="shared" si="24"/>
        <v>0</v>
      </c>
      <c r="S163" s="240">
        <f t="shared" si="25"/>
        <v>0</v>
      </c>
      <c r="T163" s="241">
        <f t="shared" si="26"/>
        <v>0</v>
      </c>
      <c r="U163" s="241">
        <f t="shared" si="27"/>
        <v>0</v>
      </c>
      <c r="V163" s="114" t="str">
        <f>IF(ISNA(VLOOKUP(J163,[1]!AVION1[#Data],3,FALSE)),"",VLOOKUP(J163,[1]!AVION1[#Data],3,FALSE))</f>
        <v/>
      </c>
      <c r="W163" s="114" t="str">
        <f>IF(ISNA(VLOOKUP(N163,[1]!INSTRUCTEUR[#Data],2,FALSE)),"",VLOOKUP(N163,[1]!INSTRUCTEUR[#Data],2,FALSE))</f>
        <v/>
      </c>
      <c r="X163" s="115">
        <f t="shared" si="28"/>
        <v>0</v>
      </c>
    </row>
    <row r="164" spans="3:24">
      <c r="C164" s="231"/>
      <c r="D164" s="232"/>
      <c r="E164" s="233"/>
      <c r="F164" s="234"/>
      <c r="G164" s="235"/>
      <c r="H164" s="236">
        <f t="shared" si="19"/>
        <v>0</v>
      </c>
      <c r="I164" s="237" t="str">
        <f>IF(ISNA(VLOOKUP(J164,[1]!AVION1[#Data],2,FALSE)),"",VLOOKUP(J164,[1]!AVION1[#Data],2,FALSE))</f>
        <v/>
      </c>
      <c r="J164" s="233"/>
      <c r="K164" s="235"/>
      <c r="L164" s="235"/>
      <c r="M164" s="238">
        <f t="shared" si="20"/>
        <v>0</v>
      </c>
      <c r="N164" s="239"/>
      <c r="O164" s="235"/>
      <c r="P164" s="235"/>
      <c r="Q164" s="240">
        <f t="shared" si="23"/>
        <v>0</v>
      </c>
      <c r="R164" s="241">
        <f t="shared" si="24"/>
        <v>0</v>
      </c>
      <c r="S164" s="240">
        <f t="shared" si="25"/>
        <v>0</v>
      </c>
      <c r="T164" s="241">
        <f t="shared" si="26"/>
        <v>0</v>
      </c>
      <c r="U164" s="241">
        <f t="shared" si="27"/>
        <v>0</v>
      </c>
      <c r="V164" s="114" t="str">
        <f>IF(ISNA(VLOOKUP(J164,[1]!AVION1[#Data],3,FALSE)),"",VLOOKUP(J164,[1]!AVION1[#Data],3,FALSE))</f>
        <v/>
      </c>
      <c r="W164" s="114" t="str">
        <f>IF(ISNA(VLOOKUP(N164,[1]!INSTRUCTEUR[#Data],2,FALSE)),"",VLOOKUP(N164,[1]!INSTRUCTEUR[#Data],2,FALSE))</f>
        <v/>
      </c>
      <c r="X164" s="115">
        <f t="shared" si="28"/>
        <v>0</v>
      </c>
    </row>
    <row r="165" spans="3:24">
      <c r="C165" s="231"/>
      <c r="D165" s="232"/>
      <c r="E165" s="233"/>
      <c r="F165" s="234"/>
      <c r="G165" s="235"/>
      <c r="H165" s="236">
        <f t="shared" ref="H165:H228" si="29">F165+M165</f>
        <v>0</v>
      </c>
      <c r="I165" s="237" t="str">
        <f>IF(ISNA(VLOOKUP(J165,[1]!AVION1[#Data],2,FALSE)),"",VLOOKUP(J165,[1]!AVION1[#Data],2,FALSE))</f>
        <v/>
      </c>
      <c r="J165" s="233"/>
      <c r="K165" s="235"/>
      <c r="L165" s="235"/>
      <c r="M165" s="238">
        <f t="shared" ref="M165:M228" si="30">(L165-K165)*60/14400</f>
        <v>0</v>
      </c>
      <c r="N165" s="239"/>
      <c r="O165" s="235"/>
      <c r="P165" s="235"/>
      <c r="Q165" s="240">
        <f t="shared" si="23"/>
        <v>0</v>
      </c>
      <c r="R165" s="241">
        <f t="shared" si="24"/>
        <v>0</v>
      </c>
      <c r="S165" s="240">
        <f t="shared" si="25"/>
        <v>0</v>
      </c>
      <c r="T165" s="241">
        <f t="shared" si="26"/>
        <v>0</v>
      </c>
      <c r="U165" s="241">
        <f t="shared" si="27"/>
        <v>0</v>
      </c>
      <c r="V165" s="114" t="str">
        <f>IF(ISNA(VLOOKUP(J165,[1]!AVION1[#Data],3,FALSE)),"",VLOOKUP(J165,[1]!AVION1[#Data],3,FALSE))</f>
        <v/>
      </c>
      <c r="W165" s="114" t="str">
        <f>IF(ISNA(VLOOKUP(N165,[1]!INSTRUCTEUR[#Data],2,FALSE)),"",VLOOKUP(N165,[1]!INSTRUCTEUR[#Data],2,FALSE))</f>
        <v/>
      </c>
      <c r="X165" s="115">
        <f t="shared" si="28"/>
        <v>0</v>
      </c>
    </row>
    <row r="166" spans="3:24">
      <c r="C166" s="231"/>
      <c r="D166" s="232"/>
      <c r="E166" s="233"/>
      <c r="F166" s="234"/>
      <c r="G166" s="235"/>
      <c r="H166" s="236">
        <f t="shared" si="29"/>
        <v>0</v>
      </c>
      <c r="I166" s="237" t="str">
        <f>IF(ISNA(VLOOKUP(J166,[1]!AVION1[#Data],2,FALSE)),"",VLOOKUP(J166,[1]!AVION1[#Data],2,FALSE))</f>
        <v/>
      </c>
      <c r="J166" s="233"/>
      <c r="K166" s="235"/>
      <c r="L166" s="235"/>
      <c r="M166" s="238">
        <f t="shared" si="30"/>
        <v>0</v>
      </c>
      <c r="N166" s="239"/>
      <c r="O166" s="235"/>
      <c r="P166" s="235"/>
      <c r="Q166" s="240">
        <f t="shared" si="23"/>
        <v>0</v>
      </c>
      <c r="R166" s="241">
        <f t="shared" si="24"/>
        <v>0</v>
      </c>
      <c r="S166" s="240">
        <f t="shared" si="25"/>
        <v>0</v>
      </c>
      <c r="T166" s="241">
        <f t="shared" si="26"/>
        <v>0</v>
      </c>
      <c r="U166" s="241">
        <f t="shared" si="27"/>
        <v>0</v>
      </c>
      <c r="V166" s="114" t="str">
        <f>IF(ISNA(VLOOKUP(J166,[1]!AVION1[#Data],3,FALSE)),"",VLOOKUP(J166,[1]!AVION1[#Data],3,FALSE))</f>
        <v/>
      </c>
      <c r="W166" s="114" t="str">
        <f>IF(ISNA(VLOOKUP(N166,[1]!INSTRUCTEUR[#Data],2,FALSE)),"",VLOOKUP(N166,[1]!INSTRUCTEUR[#Data],2,FALSE))</f>
        <v/>
      </c>
      <c r="X166" s="115">
        <f t="shared" si="28"/>
        <v>0</v>
      </c>
    </row>
    <row r="167" spans="3:24">
      <c r="C167" s="231"/>
      <c r="D167" s="232"/>
      <c r="E167" s="233"/>
      <c r="F167" s="234"/>
      <c r="G167" s="235"/>
      <c r="H167" s="236">
        <f t="shared" si="29"/>
        <v>0</v>
      </c>
      <c r="I167" s="237" t="str">
        <f>IF(ISNA(VLOOKUP(J167,[1]!AVION1[#Data],2,FALSE)),"",VLOOKUP(J167,[1]!AVION1[#Data],2,FALSE))</f>
        <v/>
      </c>
      <c r="J167" s="233"/>
      <c r="K167" s="235"/>
      <c r="L167" s="235"/>
      <c r="M167" s="238">
        <f t="shared" si="30"/>
        <v>0</v>
      </c>
      <c r="N167" s="239"/>
      <c r="O167" s="235"/>
      <c r="P167" s="235"/>
      <c r="Q167" s="240">
        <f t="shared" si="23"/>
        <v>0</v>
      </c>
      <c r="R167" s="241">
        <f t="shared" si="24"/>
        <v>0</v>
      </c>
      <c r="S167" s="240">
        <f t="shared" si="25"/>
        <v>0</v>
      </c>
      <c r="T167" s="241">
        <f t="shared" si="26"/>
        <v>0</v>
      </c>
      <c r="U167" s="241">
        <f t="shared" si="27"/>
        <v>0</v>
      </c>
      <c r="V167" s="114" t="str">
        <f>IF(ISNA(VLOOKUP(J167,[1]!AVION1[#Data],3,FALSE)),"",VLOOKUP(J167,[1]!AVION1[#Data],3,FALSE))</f>
        <v/>
      </c>
      <c r="W167" s="114" t="str">
        <f>IF(ISNA(VLOOKUP(N167,[1]!INSTRUCTEUR[#Data],2,FALSE)),"",VLOOKUP(N167,[1]!INSTRUCTEUR[#Data],2,FALSE))</f>
        <v/>
      </c>
      <c r="X167" s="115">
        <f t="shared" si="28"/>
        <v>0</v>
      </c>
    </row>
    <row r="168" spans="3:24">
      <c r="C168" s="231"/>
      <c r="D168" s="232"/>
      <c r="E168" s="233"/>
      <c r="F168" s="234"/>
      <c r="G168" s="235"/>
      <c r="H168" s="236">
        <f t="shared" si="29"/>
        <v>0</v>
      </c>
      <c r="I168" s="237" t="str">
        <f>IF(ISNA(VLOOKUP(J168,[1]!AVION1[#Data],2,FALSE)),"",VLOOKUP(J168,[1]!AVION1[#Data],2,FALSE))</f>
        <v/>
      </c>
      <c r="J168" s="233"/>
      <c r="K168" s="235"/>
      <c r="L168" s="235"/>
      <c r="M168" s="238">
        <f t="shared" si="30"/>
        <v>0</v>
      </c>
      <c r="N168" s="239"/>
      <c r="O168" s="235"/>
      <c r="P168" s="235"/>
      <c r="Q168" s="240">
        <f t="shared" si="23"/>
        <v>0</v>
      </c>
      <c r="R168" s="241">
        <f t="shared" si="24"/>
        <v>0</v>
      </c>
      <c r="S168" s="240">
        <f t="shared" si="25"/>
        <v>0</v>
      </c>
      <c r="T168" s="241">
        <f t="shared" si="26"/>
        <v>0</v>
      </c>
      <c r="U168" s="241">
        <f t="shared" si="27"/>
        <v>0</v>
      </c>
      <c r="V168" s="114" t="str">
        <f>IF(ISNA(VLOOKUP(J168,[1]!AVION1[#Data],3,FALSE)),"",VLOOKUP(J168,[1]!AVION1[#Data],3,FALSE))</f>
        <v/>
      </c>
      <c r="W168" s="114" t="str">
        <f>IF(ISNA(VLOOKUP(N168,[1]!INSTRUCTEUR[#Data],2,FALSE)),"",VLOOKUP(N168,[1]!INSTRUCTEUR[#Data],2,FALSE))</f>
        <v/>
      </c>
      <c r="X168" s="115">
        <f t="shared" si="28"/>
        <v>0</v>
      </c>
    </row>
    <row r="169" spans="3:24">
      <c r="C169" s="231"/>
      <c r="D169" s="232"/>
      <c r="E169" s="233"/>
      <c r="F169" s="234"/>
      <c r="G169" s="235"/>
      <c r="H169" s="236">
        <f t="shared" si="29"/>
        <v>0</v>
      </c>
      <c r="I169" s="237" t="str">
        <f>IF(ISNA(VLOOKUP(J169,[1]!AVION1[#Data],2,FALSE)),"",VLOOKUP(J169,[1]!AVION1[#Data],2,FALSE))</f>
        <v/>
      </c>
      <c r="J169" s="233"/>
      <c r="K169" s="235"/>
      <c r="L169" s="235"/>
      <c r="M169" s="238">
        <f t="shared" si="30"/>
        <v>0</v>
      </c>
      <c r="N169" s="239"/>
      <c r="O169" s="235"/>
      <c r="P169" s="235"/>
      <c r="Q169" s="240">
        <f t="shared" si="23"/>
        <v>0</v>
      </c>
      <c r="R169" s="241">
        <f t="shared" si="24"/>
        <v>0</v>
      </c>
      <c r="S169" s="240">
        <f t="shared" si="25"/>
        <v>0</v>
      </c>
      <c r="T169" s="241">
        <f t="shared" si="26"/>
        <v>0</v>
      </c>
      <c r="U169" s="241">
        <f t="shared" si="27"/>
        <v>0</v>
      </c>
      <c r="V169" s="114" t="str">
        <f>IF(ISNA(VLOOKUP(J169,[1]!AVION1[#Data],3,FALSE)),"",VLOOKUP(J169,[1]!AVION1[#Data],3,FALSE))</f>
        <v/>
      </c>
      <c r="W169" s="114" t="str">
        <f>IF(ISNA(VLOOKUP(N169,[1]!INSTRUCTEUR[#Data],2,FALSE)),"",VLOOKUP(N169,[1]!INSTRUCTEUR[#Data],2,FALSE))</f>
        <v/>
      </c>
      <c r="X169" s="115">
        <f t="shared" si="28"/>
        <v>0</v>
      </c>
    </row>
    <row r="170" spans="3:24">
      <c r="C170" s="231"/>
      <c r="D170" s="232"/>
      <c r="E170" s="233"/>
      <c r="F170" s="234"/>
      <c r="G170" s="235"/>
      <c r="H170" s="236">
        <f t="shared" si="29"/>
        <v>0</v>
      </c>
      <c r="I170" s="237" t="str">
        <f>IF(ISNA(VLOOKUP(J170,[1]!AVION1[#Data],2,FALSE)),"",VLOOKUP(J170,[1]!AVION1[#Data],2,FALSE))</f>
        <v/>
      </c>
      <c r="J170" s="233"/>
      <c r="K170" s="235"/>
      <c r="L170" s="235"/>
      <c r="M170" s="238">
        <f t="shared" si="30"/>
        <v>0</v>
      </c>
      <c r="N170" s="239"/>
      <c r="O170" s="235"/>
      <c r="P170" s="235"/>
      <c r="Q170" s="240">
        <f t="shared" si="23"/>
        <v>0</v>
      </c>
      <c r="R170" s="241">
        <f t="shared" si="24"/>
        <v>0</v>
      </c>
      <c r="S170" s="240">
        <f t="shared" si="25"/>
        <v>0</v>
      </c>
      <c r="T170" s="241">
        <f t="shared" si="26"/>
        <v>0</v>
      </c>
      <c r="U170" s="241">
        <f t="shared" si="27"/>
        <v>0</v>
      </c>
      <c r="V170" s="114" t="str">
        <f>IF(ISNA(VLOOKUP(J170,[1]!AVION1[#Data],3,FALSE)),"",VLOOKUP(J170,[1]!AVION1[#Data],3,FALSE))</f>
        <v/>
      </c>
      <c r="W170" s="114" t="str">
        <f>IF(ISNA(VLOOKUP(N170,[1]!INSTRUCTEUR[#Data],2,FALSE)),"",VLOOKUP(N170,[1]!INSTRUCTEUR[#Data],2,FALSE))</f>
        <v/>
      </c>
      <c r="X170" s="115">
        <f t="shared" si="28"/>
        <v>0</v>
      </c>
    </row>
    <row r="171" spans="3:24">
      <c r="C171" s="231"/>
      <c r="D171" s="232"/>
      <c r="E171" s="233"/>
      <c r="F171" s="234"/>
      <c r="G171" s="235"/>
      <c r="H171" s="236">
        <f t="shared" si="29"/>
        <v>0</v>
      </c>
      <c r="I171" s="237" t="str">
        <f>IF(ISNA(VLOOKUP(J171,[1]!AVION1[#Data],2,FALSE)),"",VLOOKUP(J171,[1]!AVION1[#Data],2,FALSE))</f>
        <v/>
      </c>
      <c r="J171" s="233"/>
      <c r="K171" s="235"/>
      <c r="L171" s="235"/>
      <c r="M171" s="238">
        <f t="shared" si="30"/>
        <v>0</v>
      </c>
      <c r="N171" s="239"/>
      <c r="O171" s="235"/>
      <c r="P171" s="235"/>
      <c r="Q171" s="240">
        <f t="shared" si="23"/>
        <v>0</v>
      </c>
      <c r="R171" s="241">
        <f t="shared" si="24"/>
        <v>0</v>
      </c>
      <c r="S171" s="240">
        <f t="shared" si="25"/>
        <v>0</v>
      </c>
      <c r="T171" s="241">
        <f t="shared" si="26"/>
        <v>0</v>
      </c>
      <c r="U171" s="241">
        <f t="shared" si="27"/>
        <v>0</v>
      </c>
      <c r="V171" s="114" t="str">
        <f>IF(ISNA(VLOOKUP(J171,[1]!AVION1[#Data],3,FALSE)),"",VLOOKUP(J171,[1]!AVION1[#Data],3,FALSE))</f>
        <v/>
      </c>
      <c r="W171" s="114" t="str">
        <f>IF(ISNA(VLOOKUP(N171,[1]!INSTRUCTEUR[#Data],2,FALSE)),"",VLOOKUP(N171,[1]!INSTRUCTEUR[#Data],2,FALSE))</f>
        <v/>
      </c>
      <c r="X171" s="115">
        <f t="shared" si="28"/>
        <v>0</v>
      </c>
    </row>
    <row r="172" spans="3:24">
      <c r="C172" s="231"/>
      <c r="D172" s="232"/>
      <c r="E172" s="233"/>
      <c r="F172" s="234"/>
      <c r="G172" s="235"/>
      <c r="H172" s="236">
        <f t="shared" si="29"/>
        <v>0</v>
      </c>
      <c r="I172" s="237" t="str">
        <f>IF(ISNA(VLOOKUP(J172,[1]!AVION1[#Data],2,FALSE)),"",VLOOKUP(J172,[1]!AVION1[#Data],2,FALSE))</f>
        <v/>
      </c>
      <c r="J172" s="233"/>
      <c r="K172" s="235"/>
      <c r="L172" s="235"/>
      <c r="M172" s="238">
        <f t="shared" si="30"/>
        <v>0</v>
      </c>
      <c r="N172" s="239"/>
      <c r="O172" s="235"/>
      <c r="P172" s="235"/>
      <c r="Q172" s="240">
        <f t="shared" si="23"/>
        <v>0</v>
      </c>
      <c r="R172" s="241">
        <f t="shared" si="24"/>
        <v>0</v>
      </c>
      <c r="S172" s="240">
        <f t="shared" si="25"/>
        <v>0</v>
      </c>
      <c r="T172" s="241">
        <f t="shared" si="26"/>
        <v>0</v>
      </c>
      <c r="U172" s="241">
        <f t="shared" si="27"/>
        <v>0</v>
      </c>
      <c r="V172" s="114" t="str">
        <f>IF(ISNA(VLOOKUP(J172,[1]!AVION1[#Data],3,FALSE)),"",VLOOKUP(J172,[1]!AVION1[#Data],3,FALSE))</f>
        <v/>
      </c>
      <c r="W172" s="114" t="str">
        <f>IF(ISNA(VLOOKUP(N172,[1]!INSTRUCTEUR[#Data],2,FALSE)),"",VLOOKUP(N172,[1]!INSTRUCTEUR[#Data],2,FALSE))</f>
        <v/>
      </c>
      <c r="X172" s="115">
        <f t="shared" si="28"/>
        <v>0</v>
      </c>
    </row>
    <row r="173" spans="3:24">
      <c r="C173" s="231"/>
      <c r="D173" s="232"/>
      <c r="E173" s="233"/>
      <c r="F173" s="234"/>
      <c r="G173" s="235"/>
      <c r="H173" s="236">
        <f t="shared" si="29"/>
        <v>0</v>
      </c>
      <c r="I173" s="237" t="str">
        <f>IF(ISNA(VLOOKUP(J173,[1]!AVION1[#Data],2,FALSE)),"",VLOOKUP(J173,[1]!AVION1[#Data],2,FALSE))</f>
        <v/>
      </c>
      <c r="J173" s="233"/>
      <c r="K173" s="235"/>
      <c r="L173" s="235"/>
      <c r="M173" s="238">
        <f t="shared" si="30"/>
        <v>0</v>
      </c>
      <c r="N173" s="239"/>
      <c r="O173" s="235"/>
      <c r="P173" s="235"/>
      <c r="Q173" s="240">
        <f t="shared" si="23"/>
        <v>0</v>
      </c>
      <c r="R173" s="241">
        <f t="shared" si="24"/>
        <v>0</v>
      </c>
      <c r="S173" s="240">
        <f t="shared" si="25"/>
        <v>0</v>
      </c>
      <c r="T173" s="241">
        <f t="shared" si="26"/>
        <v>0</v>
      </c>
      <c r="U173" s="241">
        <f t="shared" si="27"/>
        <v>0</v>
      </c>
      <c r="V173" s="114" t="str">
        <f>IF(ISNA(VLOOKUP(J173,[1]!AVION1[#Data],3,FALSE)),"",VLOOKUP(J173,[1]!AVION1[#Data],3,FALSE))</f>
        <v/>
      </c>
      <c r="W173" s="114" t="str">
        <f>IF(ISNA(VLOOKUP(N173,[1]!INSTRUCTEUR[#Data],2,FALSE)),"",VLOOKUP(N173,[1]!INSTRUCTEUR[#Data],2,FALSE))</f>
        <v/>
      </c>
      <c r="X173" s="115">
        <f t="shared" si="28"/>
        <v>0</v>
      </c>
    </row>
    <row r="174" spans="3:24">
      <c r="C174" s="231"/>
      <c r="D174" s="232"/>
      <c r="E174" s="233"/>
      <c r="F174" s="234"/>
      <c r="G174" s="235"/>
      <c r="H174" s="236">
        <f t="shared" si="29"/>
        <v>0</v>
      </c>
      <c r="I174" s="237" t="str">
        <f>IF(ISNA(VLOOKUP(J174,[1]!AVION1[#Data],2,FALSE)),"",VLOOKUP(J174,[1]!AVION1[#Data],2,FALSE))</f>
        <v/>
      </c>
      <c r="J174" s="233"/>
      <c r="K174" s="235"/>
      <c r="L174" s="235"/>
      <c r="M174" s="238">
        <f t="shared" si="30"/>
        <v>0</v>
      </c>
      <c r="N174" s="239"/>
      <c r="O174" s="235"/>
      <c r="P174" s="235"/>
      <c r="Q174" s="240">
        <f t="shared" si="23"/>
        <v>0</v>
      </c>
      <c r="R174" s="241">
        <f t="shared" si="24"/>
        <v>0</v>
      </c>
      <c r="S174" s="240">
        <f t="shared" si="25"/>
        <v>0</v>
      </c>
      <c r="T174" s="241">
        <f t="shared" si="26"/>
        <v>0</v>
      </c>
      <c r="U174" s="241">
        <f t="shared" si="27"/>
        <v>0</v>
      </c>
      <c r="V174" s="114" t="str">
        <f>IF(ISNA(VLOOKUP(J174,[1]!AVION1[#Data],3,FALSE)),"",VLOOKUP(J174,[1]!AVION1[#Data],3,FALSE))</f>
        <v/>
      </c>
      <c r="W174" s="114" t="str">
        <f>IF(ISNA(VLOOKUP(N174,[1]!INSTRUCTEUR[#Data],2,FALSE)),"",VLOOKUP(N174,[1]!INSTRUCTEUR[#Data],2,FALSE))</f>
        <v/>
      </c>
      <c r="X174" s="115">
        <f t="shared" si="28"/>
        <v>0</v>
      </c>
    </row>
    <row r="175" spans="3:24">
      <c r="C175" s="231"/>
      <c r="D175" s="232"/>
      <c r="E175" s="233"/>
      <c r="F175" s="234"/>
      <c r="G175" s="235"/>
      <c r="H175" s="236">
        <f t="shared" si="29"/>
        <v>0</v>
      </c>
      <c r="I175" s="237" t="str">
        <f>IF(ISNA(VLOOKUP(J175,[1]!AVION1[#Data],2,FALSE)),"",VLOOKUP(J175,[1]!AVION1[#Data],2,FALSE))</f>
        <v/>
      </c>
      <c r="J175" s="233"/>
      <c r="K175" s="235"/>
      <c r="L175" s="235"/>
      <c r="M175" s="238">
        <f t="shared" si="30"/>
        <v>0</v>
      </c>
      <c r="N175" s="239"/>
      <c r="O175" s="235"/>
      <c r="P175" s="235"/>
      <c r="Q175" s="240">
        <f t="shared" si="23"/>
        <v>0</v>
      </c>
      <c r="R175" s="241">
        <f t="shared" si="24"/>
        <v>0</v>
      </c>
      <c r="S175" s="240">
        <f t="shared" si="25"/>
        <v>0</v>
      </c>
      <c r="T175" s="241">
        <f t="shared" si="26"/>
        <v>0</v>
      </c>
      <c r="U175" s="241">
        <f t="shared" si="27"/>
        <v>0</v>
      </c>
      <c r="V175" s="114" t="str">
        <f>IF(ISNA(VLOOKUP(J175,[1]!AVION1[#Data],3,FALSE)),"",VLOOKUP(J175,[1]!AVION1[#Data],3,FALSE))</f>
        <v/>
      </c>
      <c r="W175" s="114" t="str">
        <f>IF(ISNA(VLOOKUP(N175,[1]!INSTRUCTEUR[#Data],2,FALSE)),"",VLOOKUP(N175,[1]!INSTRUCTEUR[#Data],2,FALSE))</f>
        <v/>
      </c>
      <c r="X175" s="115">
        <f t="shared" si="28"/>
        <v>0</v>
      </c>
    </row>
    <row r="176" spans="3:24">
      <c r="C176" s="231"/>
      <c r="D176" s="232"/>
      <c r="E176" s="233"/>
      <c r="F176" s="234"/>
      <c r="G176" s="235"/>
      <c r="H176" s="236">
        <f t="shared" si="29"/>
        <v>0</v>
      </c>
      <c r="I176" s="237" t="str">
        <f>IF(ISNA(VLOOKUP(J176,[1]!AVION1[#Data],2,FALSE)),"",VLOOKUP(J176,[1]!AVION1[#Data],2,FALSE))</f>
        <v/>
      </c>
      <c r="J176" s="233"/>
      <c r="K176" s="235"/>
      <c r="L176" s="235"/>
      <c r="M176" s="238">
        <f t="shared" si="30"/>
        <v>0</v>
      </c>
      <c r="N176" s="239"/>
      <c r="O176" s="235"/>
      <c r="P176" s="235"/>
      <c r="Q176" s="240">
        <f t="shared" si="23"/>
        <v>0</v>
      </c>
      <c r="R176" s="241">
        <f t="shared" si="24"/>
        <v>0</v>
      </c>
      <c r="S176" s="240">
        <f t="shared" si="25"/>
        <v>0</v>
      </c>
      <c r="T176" s="241">
        <f t="shared" si="26"/>
        <v>0</v>
      </c>
      <c r="U176" s="241">
        <f t="shared" si="27"/>
        <v>0</v>
      </c>
      <c r="V176" s="114" t="str">
        <f>IF(ISNA(VLOOKUP(J176,[1]!AVION1[#Data],3,FALSE)),"",VLOOKUP(J176,[1]!AVION1[#Data],3,FALSE))</f>
        <v/>
      </c>
      <c r="W176" s="114" t="str">
        <f>IF(ISNA(VLOOKUP(N176,[1]!INSTRUCTEUR[#Data],2,FALSE)),"",VLOOKUP(N176,[1]!INSTRUCTEUR[#Data],2,FALSE))</f>
        <v/>
      </c>
      <c r="X176" s="115">
        <f t="shared" si="28"/>
        <v>0</v>
      </c>
    </row>
    <row r="177" spans="3:24">
      <c r="C177" s="231"/>
      <c r="D177" s="232"/>
      <c r="E177" s="233"/>
      <c r="F177" s="234"/>
      <c r="G177" s="235"/>
      <c r="H177" s="236">
        <f t="shared" si="29"/>
        <v>0</v>
      </c>
      <c r="I177" s="237" t="str">
        <f>IF(ISNA(VLOOKUP(J177,[1]!AVION1[#Data],2,FALSE)),"",VLOOKUP(J177,[1]!AVION1[#Data],2,FALSE))</f>
        <v/>
      </c>
      <c r="J177" s="233"/>
      <c r="K177" s="235"/>
      <c r="L177" s="235"/>
      <c r="M177" s="238">
        <f t="shared" si="30"/>
        <v>0</v>
      </c>
      <c r="N177" s="239"/>
      <c r="O177" s="235"/>
      <c r="P177" s="235"/>
      <c r="Q177" s="240">
        <f t="shared" si="23"/>
        <v>0</v>
      </c>
      <c r="R177" s="241">
        <f t="shared" si="24"/>
        <v>0</v>
      </c>
      <c r="S177" s="240">
        <f t="shared" si="25"/>
        <v>0</v>
      </c>
      <c r="T177" s="241">
        <f t="shared" si="26"/>
        <v>0</v>
      </c>
      <c r="U177" s="241">
        <f t="shared" si="27"/>
        <v>0</v>
      </c>
      <c r="V177" s="114" t="str">
        <f>IF(ISNA(VLOOKUP(J177,[1]!AVION1[#Data],3,FALSE)),"",VLOOKUP(J177,[1]!AVION1[#Data],3,FALSE))</f>
        <v/>
      </c>
      <c r="W177" s="114" t="str">
        <f>IF(ISNA(VLOOKUP(N177,[1]!INSTRUCTEUR[#Data],2,FALSE)),"",VLOOKUP(N177,[1]!INSTRUCTEUR[#Data],2,FALSE))</f>
        <v/>
      </c>
      <c r="X177" s="115">
        <f t="shared" si="28"/>
        <v>0</v>
      </c>
    </row>
    <row r="178" spans="3:24">
      <c r="C178" s="231"/>
      <c r="D178" s="232"/>
      <c r="E178" s="233"/>
      <c r="F178" s="234"/>
      <c r="G178" s="235"/>
      <c r="H178" s="236">
        <f t="shared" si="29"/>
        <v>0</v>
      </c>
      <c r="I178" s="237" t="str">
        <f>IF(ISNA(VLOOKUP(J178,[1]!AVION1[#Data],2,FALSE)),"",VLOOKUP(J178,[1]!AVION1[#Data],2,FALSE))</f>
        <v/>
      </c>
      <c r="J178" s="233"/>
      <c r="K178" s="235"/>
      <c r="L178" s="235"/>
      <c r="M178" s="238">
        <f t="shared" si="30"/>
        <v>0</v>
      </c>
      <c r="N178" s="239"/>
      <c r="O178" s="235"/>
      <c r="P178" s="235"/>
      <c r="Q178" s="240">
        <f t="shared" si="23"/>
        <v>0</v>
      </c>
      <c r="R178" s="241">
        <f t="shared" si="24"/>
        <v>0</v>
      </c>
      <c r="S178" s="240">
        <f t="shared" si="25"/>
        <v>0</v>
      </c>
      <c r="T178" s="241">
        <f t="shared" si="26"/>
        <v>0</v>
      </c>
      <c r="U178" s="241">
        <f t="shared" si="27"/>
        <v>0</v>
      </c>
      <c r="V178" s="114" t="str">
        <f>IF(ISNA(VLOOKUP(J178,[1]!AVION1[#Data],3,FALSE)),"",VLOOKUP(J178,[1]!AVION1[#Data],3,FALSE))</f>
        <v/>
      </c>
      <c r="W178" s="114" t="str">
        <f>IF(ISNA(VLOOKUP(N178,[1]!INSTRUCTEUR[#Data],2,FALSE)),"",VLOOKUP(N178,[1]!INSTRUCTEUR[#Data],2,FALSE))</f>
        <v/>
      </c>
      <c r="X178" s="115">
        <f t="shared" si="28"/>
        <v>0</v>
      </c>
    </row>
    <row r="179" spans="3:24">
      <c r="C179" s="231"/>
      <c r="D179" s="232"/>
      <c r="E179" s="233"/>
      <c r="F179" s="234"/>
      <c r="G179" s="235"/>
      <c r="H179" s="236">
        <f t="shared" si="29"/>
        <v>0</v>
      </c>
      <c r="I179" s="237" t="str">
        <f>IF(ISNA(VLOOKUP(J179,[1]!AVION1[#Data],2,FALSE)),"",VLOOKUP(J179,[1]!AVION1[#Data],2,FALSE))</f>
        <v/>
      </c>
      <c r="J179" s="233"/>
      <c r="K179" s="235"/>
      <c r="L179" s="235"/>
      <c r="M179" s="238">
        <f t="shared" si="30"/>
        <v>0</v>
      </c>
      <c r="N179" s="239"/>
      <c r="O179" s="235"/>
      <c r="P179" s="235"/>
      <c r="Q179" s="240">
        <f t="shared" si="23"/>
        <v>0</v>
      </c>
      <c r="R179" s="241">
        <f t="shared" si="24"/>
        <v>0</v>
      </c>
      <c r="S179" s="240">
        <f t="shared" si="25"/>
        <v>0</v>
      </c>
      <c r="T179" s="241">
        <f t="shared" si="26"/>
        <v>0</v>
      </c>
      <c r="U179" s="241">
        <f t="shared" si="27"/>
        <v>0</v>
      </c>
      <c r="V179" s="114" t="str">
        <f>IF(ISNA(VLOOKUP(J179,[1]!AVION1[#Data],3,FALSE)),"",VLOOKUP(J179,[1]!AVION1[#Data],3,FALSE))</f>
        <v/>
      </c>
      <c r="W179" s="114" t="str">
        <f>IF(ISNA(VLOOKUP(N179,[1]!INSTRUCTEUR[#Data],2,FALSE)),"",VLOOKUP(N179,[1]!INSTRUCTEUR[#Data],2,FALSE))</f>
        <v/>
      </c>
      <c r="X179" s="115">
        <f t="shared" si="28"/>
        <v>0</v>
      </c>
    </row>
    <row r="180" spans="3:24">
      <c r="C180" s="231"/>
      <c r="D180" s="232"/>
      <c r="E180" s="233"/>
      <c r="F180" s="234"/>
      <c r="G180" s="235"/>
      <c r="H180" s="236">
        <f t="shared" si="29"/>
        <v>0</v>
      </c>
      <c r="I180" s="237" t="str">
        <f>IF(ISNA(VLOOKUP(J180,[1]!AVION1[#Data],2,FALSE)),"",VLOOKUP(J180,[1]!AVION1[#Data],2,FALSE))</f>
        <v/>
      </c>
      <c r="J180" s="233"/>
      <c r="K180" s="235"/>
      <c r="L180" s="235"/>
      <c r="M180" s="238">
        <f t="shared" si="30"/>
        <v>0</v>
      </c>
      <c r="N180" s="239"/>
      <c r="O180" s="235"/>
      <c r="P180" s="235"/>
      <c r="Q180" s="240">
        <f t="shared" si="23"/>
        <v>0</v>
      </c>
      <c r="R180" s="241">
        <f t="shared" si="24"/>
        <v>0</v>
      </c>
      <c r="S180" s="240">
        <f t="shared" si="25"/>
        <v>0</v>
      </c>
      <c r="T180" s="241">
        <f t="shared" si="26"/>
        <v>0</v>
      </c>
      <c r="U180" s="241">
        <f t="shared" si="27"/>
        <v>0</v>
      </c>
      <c r="V180" s="114" t="str">
        <f>IF(ISNA(VLOOKUP(J180,[1]!AVION1[#Data],3,FALSE)),"",VLOOKUP(J180,[1]!AVION1[#Data],3,FALSE))</f>
        <v/>
      </c>
      <c r="W180" s="114" t="str">
        <f>IF(ISNA(VLOOKUP(N180,[1]!INSTRUCTEUR[#Data],2,FALSE)),"",VLOOKUP(N180,[1]!INSTRUCTEUR[#Data],2,FALSE))</f>
        <v/>
      </c>
      <c r="X180" s="115">
        <f t="shared" si="28"/>
        <v>0</v>
      </c>
    </row>
    <row r="181" spans="3:24">
      <c r="C181" s="231"/>
      <c r="D181" s="232"/>
      <c r="E181" s="233"/>
      <c r="F181" s="234"/>
      <c r="G181" s="235"/>
      <c r="H181" s="236">
        <f t="shared" si="29"/>
        <v>0</v>
      </c>
      <c r="I181" s="237" t="str">
        <f>IF(ISNA(VLOOKUP(J181,[1]!AVION1[#Data],2,FALSE)),"",VLOOKUP(J181,[1]!AVION1[#Data],2,FALSE))</f>
        <v/>
      </c>
      <c r="J181" s="233"/>
      <c r="K181" s="235"/>
      <c r="L181" s="235"/>
      <c r="M181" s="238">
        <f t="shared" si="30"/>
        <v>0</v>
      </c>
      <c r="N181" s="239"/>
      <c r="O181" s="235"/>
      <c r="P181" s="235"/>
      <c r="Q181" s="240">
        <f t="shared" si="23"/>
        <v>0</v>
      </c>
      <c r="R181" s="241">
        <f t="shared" si="24"/>
        <v>0</v>
      </c>
      <c r="S181" s="240">
        <f t="shared" si="25"/>
        <v>0</v>
      </c>
      <c r="T181" s="241">
        <f t="shared" si="26"/>
        <v>0</v>
      </c>
      <c r="U181" s="241">
        <f t="shared" si="27"/>
        <v>0</v>
      </c>
      <c r="V181" s="114" t="str">
        <f>IF(ISNA(VLOOKUP(J181,[1]!AVION1[#Data],3,FALSE)),"",VLOOKUP(J181,[1]!AVION1[#Data],3,FALSE))</f>
        <v/>
      </c>
      <c r="W181" s="114" t="str">
        <f>IF(ISNA(VLOOKUP(N181,[1]!INSTRUCTEUR[#Data],2,FALSE)),"",VLOOKUP(N181,[1]!INSTRUCTEUR[#Data],2,FALSE))</f>
        <v/>
      </c>
      <c r="X181" s="115">
        <f t="shared" si="28"/>
        <v>0</v>
      </c>
    </row>
    <row r="182" spans="3:24">
      <c r="C182" s="231"/>
      <c r="D182" s="232"/>
      <c r="E182" s="233"/>
      <c r="F182" s="234"/>
      <c r="G182" s="235"/>
      <c r="H182" s="236">
        <f t="shared" si="29"/>
        <v>0</v>
      </c>
      <c r="I182" s="237" t="str">
        <f>IF(ISNA(VLOOKUP(J182,[1]!AVION1[#Data],2,FALSE)),"",VLOOKUP(J182,[1]!AVION1[#Data],2,FALSE))</f>
        <v/>
      </c>
      <c r="J182" s="233"/>
      <c r="K182" s="235"/>
      <c r="L182" s="235"/>
      <c r="M182" s="238">
        <f t="shared" si="30"/>
        <v>0</v>
      </c>
      <c r="N182" s="239"/>
      <c r="O182" s="235"/>
      <c r="P182" s="235"/>
      <c r="Q182" s="240">
        <f t="shared" si="23"/>
        <v>0</v>
      </c>
      <c r="R182" s="241">
        <f t="shared" si="24"/>
        <v>0</v>
      </c>
      <c r="S182" s="240">
        <f t="shared" si="25"/>
        <v>0</v>
      </c>
      <c r="T182" s="241">
        <f t="shared" si="26"/>
        <v>0</v>
      </c>
      <c r="U182" s="241">
        <f t="shared" si="27"/>
        <v>0</v>
      </c>
      <c r="V182" s="114" t="str">
        <f>IF(ISNA(VLOOKUP(J182,[1]!AVION1[#Data],3,FALSE)),"",VLOOKUP(J182,[1]!AVION1[#Data],3,FALSE))</f>
        <v/>
      </c>
      <c r="W182" s="114" t="str">
        <f>IF(ISNA(VLOOKUP(N182,[1]!INSTRUCTEUR[#Data],2,FALSE)),"",VLOOKUP(N182,[1]!INSTRUCTEUR[#Data],2,FALSE))</f>
        <v/>
      </c>
      <c r="X182" s="115">
        <f t="shared" si="28"/>
        <v>0</v>
      </c>
    </row>
    <row r="183" spans="3:24">
      <c r="C183" s="231"/>
      <c r="D183" s="232"/>
      <c r="E183" s="233"/>
      <c r="F183" s="234"/>
      <c r="G183" s="235"/>
      <c r="H183" s="236">
        <f t="shared" si="29"/>
        <v>0</v>
      </c>
      <c r="I183" s="237" t="str">
        <f>IF(ISNA(VLOOKUP(J183,[1]!AVION1[#Data],2,FALSE)),"",VLOOKUP(J183,[1]!AVION1[#Data],2,FALSE))</f>
        <v/>
      </c>
      <c r="J183" s="233"/>
      <c r="K183" s="235"/>
      <c r="L183" s="235"/>
      <c r="M183" s="238">
        <f t="shared" si="30"/>
        <v>0</v>
      </c>
      <c r="N183" s="239"/>
      <c r="O183" s="235"/>
      <c r="P183" s="235"/>
      <c r="Q183" s="240">
        <f t="shared" si="23"/>
        <v>0</v>
      </c>
      <c r="R183" s="241">
        <f t="shared" si="24"/>
        <v>0</v>
      </c>
      <c r="S183" s="240">
        <f t="shared" si="25"/>
        <v>0</v>
      </c>
      <c r="T183" s="241">
        <f t="shared" si="26"/>
        <v>0</v>
      </c>
      <c r="U183" s="241">
        <f t="shared" si="27"/>
        <v>0</v>
      </c>
      <c r="V183" s="114" t="str">
        <f>IF(ISNA(VLOOKUP(J183,[1]!AVION1[#Data],3,FALSE)),"",VLOOKUP(J183,[1]!AVION1[#Data],3,FALSE))</f>
        <v/>
      </c>
      <c r="W183" s="114" t="str">
        <f>IF(ISNA(VLOOKUP(N183,[1]!INSTRUCTEUR[#Data],2,FALSE)),"",VLOOKUP(N183,[1]!INSTRUCTEUR[#Data],2,FALSE))</f>
        <v/>
      </c>
      <c r="X183" s="115">
        <f t="shared" si="28"/>
        <v>0</v>
      </c>
    </row>
    <row r="184" spans="3:24">
      <c r="C184" s="231"/>
      <c r="D184" s="232"/>
      <c r="E184" s="233"/>
      <c r="F184" s="234"/>
      <c r="G184" s="235"/>
      <c r="H184" s="236">
        <f t="shared" si="29"/>
        <v>0</v>
      </c>
      <c r="I184" s="237" t="str">
        <f>IF(ISNA(VLOOKUP(J184,[1]!AVION1[#Data],2,FALSE)),"",VLOOKUP(J184,[1]!AVION1[#Data],2,FALSE))</f>
        <v/>
      </c>
      <c r="J184" s="233"/>
      <c r="K184" s="235"/>
      <c r="L184" s="235"/>
      <c r="M184" s="238">
        <f t="shared" si="30"/>
        <v>0</v>
      </c>
      <c r="N184" s="239"/>
      <c r="O184" s="235"/>
      <c r="P184" s="235"/>
      <c r="Q184" s="240">
        <f t="shared" si="23"/>
        <v>0</v>
      </c>
      <c r="R184" s="241">
        <f t="shared" si="24"/>
        <v>0</v>
      </c>
      <c r="S184" s="240">
        <f t="shared" si="25"/>
        <v>0</v>
      </c>
      <c r="T184" s="241">
        <f t="shared" si="26"/>
        <v>0</v>
      </c>
      <c r="U184" s="241">
        <f t="shared" si="27"/>
        <v>0</v>
      </c>
      <c r="V184" s="114" t="str">
        <f>IF(ISNA(VLOOKUP(J184,[1]!AVION1[#Data],3,FALSE)),"",VLOOKUP(J184,[1]!AVION1[#Data],3,FALSE))</f>
        <v/>
      </c>
      <c r="W184" s="114" t="str">
        <f>IF(ISNA(VLOOKUP(N184,[1]!INSTRUCTEUR[#Data],2,FALSE)),"",VLOOKUP(N184,[1]!INSTRUCTEUR[#Data],2,FALSE))</f>
        <v/>
      </c>
      <c r="X184" s="115">
        <f t="shared" si="28"/>
        <v>0</v>
      </c>
    </row>
    <row r="185" spans="3:24">
      <c r="C185" s="231"/>
      <c r="D185" s="232"/>
      <c r="E185" s="233"/>
      <c r="F185" s="234"/>
      <c r="G185" s="235"/>
      <c r="H185" s="236">
        <f t="shared" si="29"/>
        <v>0</v>
      </c>
      <c r="I185" s="237" t="str">
        <f>IF(ISNA(VLOOKUP(J185,[1]!AVION1[#Data],2,FALSE)),"",VLOOKUP(J185,[1]!AVION1[#Data],2,FALSE))</f>
        <v/>
      </c>
      <c r="J185" s="233"/>
      <c r="K185" s="235"/>
      <c r="L185" s="235"/>
      <c r="M185" s="238">
        <f t="shared" si="30"/>
        <v>0</v>
      </c>
      <c r="N185" s="239"/>
      <c r="O185" s="235"/>
      <c r="P185" s="235"/>
      <c r="Q185" s="240">
        <f t="shared" si="23"/>
        <v>0</v>
      </c>
      <c r="R185" s="241">
        <f t="shared" si="24"/>
        <v>0</v>
      </c>
      <c r="S185" s="240">
        <f t="shared" si="25"/>
        <v>0</v>
      </c>
      <c r="T185" s="241">
        <f t="shared" si="26"/>
        <v>0</v>
      </c>
      <c r="U185" s="241">
        <f t="shared" si="27"/>
        <v>0</v>
      </c>
      <c r="V185" s="114" t="str">
        <f>IF(ISNA(VLOOKUP(J185,[1]!AVION1[#Data],3,FALSE)),"",VLOOKUP(J185,[1]!AVION1[#Data],3,FALSE))</f>
        <v/>
      </c>
      <c r="W185" s="114" t="str">
        <f>IF(ISNA(VLOOKUP(N185,[1]!INSTRUCTEUR[#Data],2,FALSE)),"",VLOOKUP(N185,[1]!INSTRUCTEUR[#Data],2,FALSE))</f>
        <v/>
      </c>
      <c r="X185" s="115">
        <f t="shared" si="28"/>
        <v>0</v>
      </c>
    </row>
    <row r="186" spans="3:24">
      <c r="C186" s="231"/>
      <c r="D186" s="232"/>
      <c r="E186" s="233"/>
      <c r="F186" s="234"/>
      <c r="G186" s="235"/>
      <c r="H186" s="236">
        <f t="shared" si="29"/>
        <v>0</v>
      </c>
      <c r="I186" s="237" t="str">
        <f>IF(ISNA(VLOOKUP(J186,[1]!AVION1[#Data],2,FALSE)),"",VLOOKUP(J186,[1]!AVION1[#Data],2,FALSE))</f>
        <v/>
      </c>
      <c r="J186" s="233"/>
      <c r="K186" s="235"/>
      <c r="L186" s="235"/>
      <c r="M186" s="238">
        <f t="shared" si="30"/>
        <v>0</v>
      </c>
      <c r="N186" s="239"/>
      <c r="O186" s="235"/>
      <c r="P186" s="235"/>
      <c r="Q186" s="240">
        <f t="shared" si="23"/>
        <v>0</v>
      </c>
      <c r="R186" s="241">
        <f t="shared" si="24"/>
        <v>0</v>
      </c>
      <c r="S186" s="240">
        <f t="shared" si="25"/>
        <v>0</v>
      </c>
      <c r="T186" s="241">
        <f t="shared" si="26"/>
        <v>0</v>
      </c>
      <c r="U186" s="241">
        <f t="shared" si="27"/>
        <v>0</v>
      </c>
      <c r="V186" s="114" t="str">
        <f>IF(ISNA(VLOOKUP(J186,[1]!AVION1[#Data],3,FALSE)),"",VLOOKUP(J186,[1]!AVION1[#Data],3,FALSE))</f>
        <v/>
      </c>
      <c r="W186" s="114" t="str">
        <f>IF(ISNA(VLOOKUP(N186,[1]!INSTRUCTEUR[#Data],2,FALSE)),"",VLOOKUP(N186,[1]!INSTRUCTEUR[#Data],2,FALSE))</f>
        <v/>
      </c>
      <c r="X186" s="115">
        <f t="shared" si="28"/>
        <v>0</v>
      </c>
    </row>
    <row r="187" spans="3:24">
      <c r="C187" s="231"/>
      <c r="D187" s="232"/>
      <c r="E187" s="233"/>
      <c r="F187" s="234"/>
      <c r="G187" s="235"/>
      <c r="H187" s="236">
        <f t="shared" si="29"/>
        <v>0</v>
      </c>
      <c r="I187" s="237" t="str">
        <f>IF(ISNA(VLOOKUP(J187,[1]!AVION1[#Data],2,FALSE)),"",VLOOKUP(J187,[1]!AVION1[#Data],2,FALSE))</f>
        <v/>
      </c>
      <c r="J187" s="233"/>
      <c r="K187" s="235"/>
      <c r="L187" s="235"/>
      <c r="M187" s="238">
        <f t="shared" si="30"/>
        <v>0</v>
      </c>
      <c r="N187" s="239"/>
      <c r="O187" s="235"/>
      <c r="P187" s="235"/>
      <c r="Q187" s="240">
        <f t="shared" si="23"/>
        <v>0</v>
      </c>
      <c r="R187" s="241">
        <f t="shared" si="24"/>
        <v>0</v>
      </c>
      <c r="S187" s="240">
        <f t="shared" si="25"/>
        <v>0</v>
      </c>
      <c r="T187" s="241">
        <f t="shared" si="26"/>
        <v>0</v>
      </c>
      <c r="U187" s="241">
        <f t="shared" si="27"/>
        <v>0</v>
      </c>
      <c r="V187" s="114" t="str">
        <f>IF(ISNA(VLOOKUP(J187,[1]!AVION1[#Data],3,FALSE)),"",VLOOKUP(J187,[1]!AVION1[#Data],3,FALSE))</f>
        <v/>
      </c>
      <c r="W187" s="114" t="str">
        <f>IF(ISNA(VLOOKUP(N187,[1]!INSTRUCTEUR[#Data],2,FALSE)),"",VLOOKUP(N187,[1]!INSTRUCTEUR[#Data],2,FALSE))</f>
        <v/>
      </c>
      <c r="X187" s="115">
        <f t="shared" si="28"/>
        <v>0</v>
      </c>
    </row>
    <row r="188" spans="3:24">
      <c r="C188" s="231"/>
      <c r="D188" s="232"/>
      <c r="E188" s="233"/>
      <c r="F188" s="234"/>
      <c r="G188" s="235"/>
      <c r="H188" s="236">
        <f t="shared" si="29"/>
        <v>0</v>
      </c>
      <c r="I188" s="237" t="str">
        <f>IF(ISNA(VLOOKUP(J188,[1]!AVION1[#Data],2,FALSE)),"",VLOOKUP(J188,[1]!AVION1[#Data],2,FALSE))</f>
        <v/>
      </c>
      <c r="J188" s="233"/>
      <c r="K188" s="235"/>
      <c r="L188" s="235"/>
      <c r="M188" s="238">
        <f t="shared" si="30"/>
        <v>0</v>
      </c>
      <c r="N188" s="239"/>
      <c r="O188" s="235"/>
      <c r="P188" s="235"/>
      <c r="Q188" s="240">
        <f t="shared" si="23"/>
        <v>0</v>
      </c>
      <c r="R188" s="241">
        <f t="shared" si="24"/>
        <v>0</v>
      </c>
      <c r="S188" s="240">
        <f t="shared" si="25"/>
        <v>0</v>
      </c>
      <c r="T188" s="241">
        <f t="shared" si="26"/>
        <v>0</v>
      </c>
      <c r="U188" s="241">
        <f t="shared" si="27"/>
        <v>0</v>
      </c>
      <c r="V188" s="114" t="str">
        <f>IF(ISNA(VLOOKUP(J188,[1]!AVION1[#Data],3,FALSE)),"",VLOOKUP(J188,[1]!AVION1[#Data],3,FALSE))</f>
        <v/>
      </c>
      <c r="W188" s="114" t="str">
        <f>IF(ISNA(VLOOKUP(N188,[1]!INSTRUCTEUR[#Data],2,FALSE)),"",VLOOKUP(N188,[1]!INSTRUCTEUR[#Data],2,FALSE))</f>
        <v/>
      </c>
      <c r="X188" s="115">
        <f t="shared" si="28"/>
        <v>0</v>
      </c>
    </row>
    <row r="189" spans="3:24">
      <c r="C189" s="231"/>
      <c r="D189" s="232"/>
      <c r="E189" s="233"/>
      <c r="F189" s="234"/>
      <c r="G189" s="235"/>
      <c r="H189" s="236">
        <f t="shared" si="29"/>
        <v>0</v>
      </c>
      <c r="I189" s="237" t="str">
        <f>IF(ISNA(VLOOKUP(J189,[1]!AVION1[#Data],2,FALSE)),"",VLOOKUP(J189,[1]!AVION1[#Data],2,FALSE))</f>
        <v/>
      </c>
      <c r="J189" s="233"/>
      <c r="K189" s="235"/>
      <c r="L189" s="235"/>
      <c r="M189" s="238">
        <f t="shared" si="30"/>
        <v>0</v>
      </c>
      <c r="N189" s="239"/>
      <c r="O189" s="235"/>
      <c r="P189" s="235"/>
      <c r="Q189" s="240">
        <f t="shared" si="23"/>
        <v>0</v>
      </c>
      <c r="R189" s="241">
        <f t="shared" si="24"/>
        <v>0</v>
      </c>
      <c r="S189" s="240">
        <f t="shared" si="25"/>
        <v>0</v>
      </c>
      <c r="T189" s="241">
        <f t="shared" si="26"/>
        <v>0</v>
      </c>
      <c r="U189" s="241">
        <f t="shared" si="27"/>
        <v>0</v>
      </c>
      <c r="V189" s="114" t="str">
        <f>IF(ISNA(VLOOKUP(J189,[1]!AVION1[#Data],3,FALSE)),"",VLOOKUP(J189,[1]!AVION1[#Data],3,FALSE))</f>
        <v/>
      </c>
      <c r="W189" s="114" t="str">
        <f>IF(ISNA(VLOOKUP(N189,[1]!INSTRUCTEUR[#Data],2,FALSE)),"",VLOOKUP(N189,[1]!INSTRUCTEUR[#Data],2,FALSE))</f>
        <v/>
      </c>
      <c r="X189" s="115">
        <f t="shared" si="28"/>
        <v>0</v>
      </c>
    </row>
    <row r="190" spans="3:24">
      <c r="C190" s="231"/>
      <c r="D190" s="232"/>
      <c r="E190" s="233"/>
      <c r="F190" s="234"/>
      <c r="G190" s="235"/>
      <c r="H190" s="236">
        <f t="shared" si="29"/>
        <v>0</v>
      </c>
      <c r="I190" s="237" t="str">
        <f>IF(ISNA(VLOOKUP(J190,[1]!AVION1[#Data],2,FALSE)),"",VLOOKUP(J190,[1]!AVION1[#Data],2,FALSE))</f>
        <v/>
      </c>
      <c r="J190" s="233"/>
      <c r="K190" s="235"/>
      <c r="L190" s="235"/>
      <c r="M190" s="238">
        <f t="shared" si="30"/>
        <v>0</v>
      </c>
      <c r="N190" s="239"/>
      <c r="O190" s="235"/>
      <c r="P190" s="235"/>
      <c r="Q190" s="240">
        <f t="shared" si="23"/>
        <v>0</v>
      </c>
      <c r="R190" s="241">
        <f t="shared" si="24"/>
        <v>0</v>
      </c>
      <c r="S190" s="240">
        <f t="shared" si="25"/>
        <v>0</v>
      </c>
      <c r="T190" s="241">
        <f t="shared" si="26"/>
        <v>0</v>
      </c>
      <c r="U190" s="241">
        <f t="shared" si="27"/>
        <v>0</v>
      </c>
      <c r="V190" s="114" t="str">
        <f>IF(ISNA(VLOOKUP(J190,[1]!AVION1[#Data],3,FALSE)),"",VLOOKUP(J190,[1]!AVION1[#Data],3,FALSE))</f>
        <v/>
      </c>
      <c r="W190" s="114" t="str">
        <f>IF(ISNA(VLOOKUP(N190,[1]!INSTRUCTEUR[#Data],2,FALSE)),"",VLOOKUP(N190,[1]!INSTRUCTEUR[#Data],2,FALSE))</f>
        <v/>
      </c>
      <c r="X190" s="115">
        <f t="shared" si="28"/>
        <v>0</v>
      </c>
    </row>
    <row r="191" spans="3:24">
      <c r="C191" s="231"/>
      <c r="D191" s="232"/>
      <c r="E191" s="233"/>
      <c r="F191" s="234"/>
      <c r="G191" s="235"/>
      <c r="H191" s="236">
        <f t="shared" si="29"/>
        <v>0</v>
      </c>
      <c r="I191" s="237" t="str">
        <f>IF(ISNA(VLOOKUP(J191,[1]!AVION1[#Data],2,FALSE)),"",VLOOKUP(J191,[1]!AVION1[#Data],2,FALSE))</f>
        <v/>
      </c>
      <c r="J191" s="233"/>
      <c r="K191" s="235"/>
      <c r="L191" s="235"/>
      <c r="M191" s="238">
        <f t="shared" si="30"/>
        <v>0</v>
      </c>
      <c r="N191" s="239"/>
      <c r="O191" s="235"/>
      <c r="P191" s="235"/>
      <c r="Q191" s="240">
        <f t="shared" si="23"/>
        <v>0</v>
      </c>
      <c r="R191" s="241">
        <f t="shared" si="24"/>
        <v>0</v>
      </c>
      <c r="S191" s="240">
        <f t="shared" si="25"/>
        <v>0</v>
      </c>
      <c r="T191" s="241">
        <f t="shared" si="26"/>
        <v>0</v>
      </c>
      <c r="U191" s="241">
        <f t="shared" si="27"/>
        <v>0</v>
      </c>
      <c r="V191" s="114" t="str">
        <f>IF(ISNA(VLOOKUP(J191,[1]!AVION1[#Data],3,FALSE)),"",VLOOKUP(J191,[1]!AVION1[#Data],3,FALSE))</f>
        <v/>
      </c>
      <c r="W191" s="114" t="str">
        <f>IF(ISNA(VLOOKUP(N191,[1]!INSTRUCTEUR[#Data],2,FALSE)),"",VLOOKUP(N191,[1]!INSTRUCTEUR[#Data],2,FALSE))</f>
        <v/>
      </c>
      <c r="X191" s="115">
        <f t="shared" si="28"/>
        <v>0</v>
      </c>
    </row>
    <row r="192" spans="3:24">
      <c r="C192" s="231"/>
      <c r="D192" s="232"/>
      <c r="E192" s="233"/>
      <c r="F192" s="234"/>
      <c r="G192" s="235"/>
      <c r="H192" s="236">
        <f t="shared" si="29"/>
        <v>0</v>
      </c>
      <c r="I192" s="237" t="str">
        <f>IF(ISNA(VLOOKUP(J192,[1]!AVION1[#Data],2,FALSE)),"",VLOOKUP(J192,[1]!AVION1[#Data],2,FALSE))</f>
        <v/>
      </c>
      <c r="J192" s="233"/>
      <c r="K192" s="235"/>
      <c r="L192" s="235"/>
      <c r="M192" s="238">
        <f t="shared" si="30"/>
        <v>0</v>
      </c>
      <c r="N192" s="239"/>
      <c r="O192" s="235"/>
      <c r="P192" s="235"/>
      <c r="Q192" s="240">
        <f t="shared" si="23"/>
        <v>0</v>
      </c>
      <c r="R192" s="241">
        <f t="shared" si="24"/>
        <v>0</v>
      </c>
      <c r="S192" s="240">
        <f t="shared" si="25"/>
        <v>0</v>
      </c>
      <c r="T192" s="241">
        <f t="shared" si="26"/>
        <v>0</v>
      </c>
      <c r="U192" s="241">
        <f t="shared" si="27"/>
        <v>0</v>
      </c>
      <c r="V192" s="114" t="str">
        <f>IF(ISNA(VLOOKUP(J192,[1]!AVION1[#Data],3,FALSE)),"",VLOOKUP(J192,[1]!AVION1[#Data],3,FALSE))</f>
        <v/>
      </c>
      <c r="W192" s="114" t="str">
        <f>IF(ISNA(VLOOKUP(N192,[1]!INSTRUCTEUR[#Data],2,FALSE)),"",VLOOKUP(N192,[1]!INSTRUCTEUR[#Data],2,FALSE))</f>
        <v/>
      </c>
      <c r="X192" s="115">
        <f t="shared" si="28"/>
        <v>0</v>
      </c>
    </row>
    <row r="193" spans="3:24">
      <c r="C193" s="231"/>
      <c r="D193" s="232"/>
      <c r="E193" s="233"/>
      <c r="F193" s="234"/>
      <c r="G193" s="235"/>
      <c r="H193" s="236">
        <f t="shared" si="29"/>
        <v>0</v>
      </c>
      <c r="I193" s="237" t="str">
        <f>IF(ISNA(VLOOKUP(J193,[1]!AVION1[#Data],2,FALSE)),"",VLOOKUP(J193,[1]!AVION1[#Data],2,FALSE))</f>
        <v/>
      </c>
      <c r="J193" s="233"/>
      <c r="K193" s="235"/>
      <c r="L193" s="235"/>
      <c r="M193" s="238">
        <f t="shared" si="30"/>
        <v>0</v>
      </c>
      <c r="N193" s="239"/>
      <c r="O193" s="235"/>
      <c r="P193" s="235"/>
      <c r="Q193" s="240">
        <f t="shared" si="23"/>
        <v>0</v>
      </c>
      <c r="R193" s="241">
        <f t="shared" si="24"/>
        <v>0</v>
      </c>
      <c r="S193" s="240">
        <f t="shared" si="25"/>
        <v>0</v>
      </c>
      <c r="T193" s="241">
        <f t="shared" si="26"/>
        <v>0</v>
      </c>
      <c r="U193" s="241">
        <f t="shared" si="27"/>
        <v>0</v>
      </c>
      <c r="V193" s="114" t="str">
        <f>IF(ISNA(VLOOKUP(J193,[1]!AVION1[#Data],3,FALSE)),"",VLOOKUP(J193,[1]!AVION1[#Data],3,FALSE))</f>
        <v/>
      </c>
      <c r="W193" s="114" t="str">
        <f>IF(ISNA(VLOOKUP(N193,[1]!INSTRUCTEUR[#Data],2,FALSE)),"",VLOOKUP(N193,[1]!INSTRUCTEUR[#Data],2,FALSE))</f>
        <v/>
      </c>
      <c r="X193" s="115">
        <f t="shared" si="28"/>
        <v>0</v>
      </c>
    </row>
    <row r="194" spans="3:24">
      <c r="C194" s="231"/>
      <c r="D194" s="232"/>
      <c r="E194" s="233"/>
      <c r="F194" s="234"/>
      <c r="G194" s="235"/>
      <c r="H194" s="236">
        <f t="shared" si="29"/>
        <v>0</v>
      </c>
      <c r="I194" s="237" t="str">
        <f>IF(ISNA(VLOOKUP(J194,[1]!AVION1[#Data],2,FALSE)),"",VLOOKUP(J194,[1]!AVION1[#Data],2,FALSE))</f>
        <v/>
      </c>
      <c r="J194" s="233"/>
      <c r="K194" s="235"/>
      <c r="L194" s="235"/>
      <c r="M194" s="238">
        <f t="shared" si="30"/>
        <v>0</v>
      </c>
      <c r="N194" s="239"/>
      <c r="O194" s="235"/>
      <c r="P194" s="235"/>
      <c r="Q194" s="240">
        <f t="shared" si="23"/>
        <v>0</v>
      </c>
      <c r="R194" s="241">
        <f t="shared" si="24"/>
        <v>0</v>
      </c>
      <c r="S194" s="240">
        <f t="shared" si="25"/>
        <v>0</v>
      </c>
      <c r="T194" s="241">
        <f t="shared" si="26"/>
        <v>0</v>
      </c>
      <c r="U194" s="241">
        <f t="shared" si="27"/>
        <v>0</v>
      </c>
      <c r="V194" s="114" t="str">
        <f>IF(ISNA(VLOOKUP(J194,[1]!AVION1[#Data],3,FALSE)),"",VLOOKUP(J194,[1]!AVION1[#Data],3,FALSE))</f>
        <v/>
      </c>
      <c r="W194" s="114" t="str">
        <f>IF(ISNA(VLOOKUP(N194,[1]!INSTRUCTEUR[#Data],2,FALSE)),"",VLOOKUP(N194,[1]!INSTRUCTEUR[#Data],2,FALSE))</f>
        <v/>
      </c>
      <c r="X194" s="115">
        <f t="shared" si="28"/>
        <v>0</v>
      </c>
    </row>
    <row r="195" spans="3:24">
      <c r="C195" s="231"/>
      <c r="D195" s="232"/>
      <c r="E195" s="233"/>
      <c r="F195" s="234"/>
      <c r="G195" s="235"/>
      <c r="H195" s="236">
        <f t="shared" si="29"/>
        <v>0</v>
      </c>
      <c r="I195" s="237" t="str">
        <f>IF(ISNA(VLOOKUP(J195,[1]!AVION1[#Data],2,FALSE)),"",VLOOKUP(J195,[1]!AVION1[#Data],2,FALSE))</f>
        <v/>
      </c>
      <c r="J195" s="233"/>
      <c r="K195" s="235"/>
      <c r="L195" s="235"/>
      <c r="M195" s="238">
        <f t="shared" si="30"/>
        <v>0</v>
      </c>
      <c r="N195" s="239"/>
      <c r="O195" s="235"/>
      <c r="P195" s="235"/>
      <c r="Q195" s="240">
        <f t="shared" si="23"/>
        <v>0</v>
      </c>
      <c r="R195" s="241">
        <f t="shared" si="24"/>
        <v>0</v>
      </c>
      <c r="S195" s="240">
        <f t="shared" si="25"/>
        <v>0</v>
      </c>
      <c r="T195" s="241">
        <f t="shared" si="26"/>
        <v>0</v>
      </c>
      <c r="U195" s="241">
        <f t="shared" si="27"/>
        <v>0</v>
      </c>
      <c r="V195" s="114" t="str">
        <f>IF(ISNA(VLOOKUP(J195,[1]!AVION1[#Data],3,FALSE)),"",VLOOKUP(J195,[1]!AVION1[#Data],3,FALSE))</f>
        <v/>
      </c>
      <c r="W195" s="114" t="str">
        <f>IF(ISNA(VLOOKUP(N195,[1]!INSTRUCTEUR[#Data],2,FALSE)),"",VLOOKUP(N195,[1]!INSTRUCTEUR[#Data],2,FALSE))</f>
        <v/>
      </c>
      <c r="X195" s="115">
        <f t="shared" si="28"/>
        <v>0</v>
      </c>
    </row>
    <row r="196" spans="3:24">
      <c r="C196" s="231"/>
      <c r="D196" s="232"/>
      <c r="E196" s="233"/>
      <c r="F196" s="234"/>
      <c r="G196" s="235"/>
      <c r="H196" s="236">
        <f t="shared" si="29"/>
        <v>0</v>
      </c>
      <c r="I196" s="237" t="str">
        <f>IF(ISNA(VLOOKUP(J196,[1]!AVION1[#Data],2,FALSE)),"",VLOOKUP(J196,[1]!AVION1[#Data],2,FALSE))</f>
        <v/>
      </c>
      <c r="J196" s="233"/>
      <c r="K196" s="235"/>
      <c r="L196" s="235"/>
      <c r="M196" s="238">
        <f t="shared" si="30"/>
        <v>0</v>
      </c>
      <c r="N196" s="239"/>
      <c r="O196" s="235"/>
      <c r="P196" s="235"/>
      <c r="Q196" s="240">
        <f t="shared" si="23"/>
        <v>0</v>
      </c>
      <c r="R196" s="241">
        <f t="shared" si="24"/>
        <v>0</v>
      </c>
      <c r="S196" s="240">
        <f t="shared" si="25"/>
        <v>0</v>
      </c>
      <c r="T196" s="241">
        <f t="shared" si="26"/>
        <v>0</v>
      </c>
      <c r="U196" s="241">
        <f t="shared" si="27"/>
        <v>0</v>
      </c>
      <c r="V196" s="114" t="str">
        <f>IF(ISNA(VLOOKUP(J196,[1]!AVION1[#Data],3,FALSE)),"",VLOOKUP(J196,[1]!AVION1[#Data],3,FALSE))</f>
        <v/>
      </c>
      <c r="W196" s="114" t="str">
        <f>IF(ISNA(VLOOKUP(N196,[1]!INSTRUCTEUR[#Data],2,FALSE)),"",VLOOKUP(N196,[1]!INSTRUCTEUR[#Data],2,FALSE))</f>
        <v/>
      </c>
      <c r="X196" s="115">
        <f t="shared" si="28"/>
        <v>0</v>
      </c>
    </row>
    <row r="197" spans="3:24">
      <c r="C197" s="231"/>
      <c r="D197" s="232"/>
      <c r="E197" s="233"/>
      <c r="F197" s="234"/>
      <c r="G197" s="235"/>
      <c r="H197" s="236">
        <f t="shared" si="29"/>
        <v>0</v>
      </c>
      <c r="I197" s="237" t="str">
        <f>IF(ISNA(VLOOKUP(J197,[1]!AVION1[#Data],2,FALSE)),"",VLOOKUP(J197,[1]!AVION1[#Data],2,FALSE))</f>
        <v/>
      </c>
      <c r="J197" s="233"/>
      <c r="K197" s="235"/>
      <c r="L197" s="235"/>
      <c r="M197" s="238">
        <f t="shared" si="30"/>
        <v>0</v>
      </c>
      <c r="N197" s="239"/>
      <c r="O197" s="235"/>
      <c r="P197" s="235"/>
      <c r="Q197" s="240">
        <f t="shared" si="23"/>
        <v>0</v>
      </c>
      <c r="R197" s="241">
        <f t="shared" si="24"/>
        <v>0</v>
      </c>
      <c r="S197" s="240">
        <f t="shared" si="25"/>
        <v>0</v>
      </c>
      <c r="T197" s="241">
        <f t="shared" si="26"/>
        <v>0</v>
      </c>
      <c r="U197" s="241">
        <f t="shared" si="27"/>
        <v>0</v>
      </c>
      <c r="V197" s="114" t="str">
        <f>IF(ISNA(VLOOKUP(J197,[1]!AVION1[#Data],3,FALSE)),"",VLOOKUP(J197,[1]!AVION1[#Data],3,FALSE))</f>
        <v/>
      </c>
      <c r="W197" s="114" t="str">
        <f>IF(ISNA(VLOOKUP(N197,[1]!INSTRUCTEUR[#Data],2,FALSE)),"",VLOOKUP(N197,[1]!INSTRUCTEUR[#Data],2,FALSE))</f>
        <v/>
      </c>
      <c r="X197" s="115">
        <f t="shared" si="28"/>
        <v>0</v>
      </c>
    </row>
    <row r="198" spans="3:24">
      <c r="C198" s="231"/>
      <c r="D198" s="232"/>
      <c r="E198" s="233"/>
      <c r="F198" s="234"/>
      <c r="G198" s="235"/>
      <c r="H198" s="236">
        <f t="shared" si="29"/>
        <v>0</v>
      </c>
      <c r="I198" s="237" t="str">
        <f>IF(ISNA(VLOOKUP(J198,[1]!AVION1[#Data],2,FALSE)),"",VLOOKUP(J198,[1]!AVION1[#Data],2,FALSE))</f>
        <v/>
      </c>
      <c r="J198" s="233"/>
      <c r="K198" s="235"/>
      <c r="L198" s="235"/>
      <c r="M198" s="238">
        <f t="shared" si="30"/>
        <v>0</v>
      </c>
      <c r="N198" s="239"/>
      <c r="O198" s="235"/>
      <c r="P198" s="235"/>
      <c r="Q198" s="240">
        <f t="shared" si="23"/>
        <v>0</v>
      </c>
      <c r="R198" s="241">
        <f t="shared" si="24"/>
        <v>0</v>
      </c>
      <c r="S198" s="240">
        <f t="shared" si="25"/>
        <v>0</v>
      </c>
      <c r="T198" s="241">
        <f t="shared" si="26"/>
        <v>0</v>
      </c>
      <c r="U198" s="241">
        <f t="shared" si="27"/>
        <v>0</v>
      </c>
      <c r="V198" s="114" t="str">
        <f>IF(ISNA(VLOOKUP(J198,[1]!AVION1[#Data],3,FALSE)),"",VLOOKUP(J198,[1]!AVION1[#Data],3,FALSE))</f>
        <v/>
      </c>
      <c r="W198" s="114" t="str">
        <f>IF(ISNA(VLOOKUP(N198,[1]!INSTRUCTEUR[#Data],2,FALSE)),"",VLOOKUP(N198,[1]!INSTRUCTEUR[#Data],2,FALSE))</f>
        <v/>
      </c>
      <c r="X198" s="115">
        <f t="shared" si="28"/>
        <v>0</v>
      </c>
    </row>
    <row r="199" spans="3:24">
      <c r="C199" s="231"/>
      <c r="D199" s="232"/>
      <c r="E199" s="233"/>
      <c r="F199" s="234"/>
      <c r="G199" s="235"/>
      <c r="H199" s="236">
        <f t="shared" si="29"/>
        <v>0</v>
      </c>
      <c r="I199" s="237" t="str">
        <f>IF(ISNA(VLOOKUP(J199,[1]!AVION1[#Data],2,FALSE)),"",VLOOKUP(J199,[1]!AVION1[#Data],2,FALSE))</f>
        <v/>
      </c>
      <c r="J199" s="233"/>
      <c r="K199" s="235"/>
      <c r="L199" s="235"/>
      <c r="M199" s="238">
        <f t="shared" si="30"/>
        <v>0</v>
      </c>
      <c r="N199" s="239"/>
      <c r="O199" s="235"/>
      <c r="P199" s="235"/>
      <c r="Q199" s="240">
        <f t="shared" si="23"/>
        <v>0</v>
      </c>
      <c r="R199" s="241">
        <f t="shared" si="24"/>
        <v>0</v>
      </c>
      <c r="S199" s="240">
        <f t="shared" si="25"/>
        <v>0</v>
      </c>
      <c r="T199" s="241">
        <f t="shared" si="26"/>
        <v>0</v>
      </c>
      <c r="U199" s="241">
        <f t="shared" si="27"/>
        <v>0</v>
      </c>
      <c r="V199" s="114" t="str">
        <f>IF(ISNA(VLOOKUP(J199,[1]!AVION1[#Data],3,FALSE)),"",VLOOKUP(J199,[1]!AVION1[#Data],3,FALSE))</f>
        <v/>
      </c>
      <c r="W199" s="114" t="str">
        <f>IF(ISNA(VLOOKUP(N199,[1]!INSTRUCTEUR[#Data],2,FALSE)),"",VLOOKUP(N199,[1]!INSTRUCTEUR[#Data],2,FALSE))</f>
        <v/>
      </c>
      <c r="X199" s="115">
        <f t="shared" si="28"/>
        <v>0</v>
      </c>
    </row>
    <row r="200" spans="3:24">
      <c r="C200" s="231"/>
      <c r="D200" s="232"/>
      <c r="E200" s="233"/>
      <c r="F200" s="234"/>
      <c r="G200" s="235"/>
      <c r="H200" s="236">
        <f t="shared" si="29"/>
        <v>0</v>
      </c>
      <c r="I200" s="237" t="str">
        <f>IF(ISNA(VLOOKUP(J200,[1]!AVION1[#Data],2,FALSE)),"",VLOOKUP(J200,[1]!AVION1[#Data],2,FALSE))</f>
        <v/>
      </c>
      <c r="J200" s="233"/>
      <c r="K200" s="235"/>
      <c r="L200" s="235"/>
      <c r="M200" s="238">
        <f t="shared" si="30"/>
        <v>0</v>
      </c>
      <c r="N200" s="239"/>
      <c r="O200" s="235"/>
      <c r="P200" s="235"/>
      <c r="Q200" s="240">
        <f t="shared" si="23"/>
        <v>0</v>
      </c>
      <c r="R200" s="241">
        <f t="shared" si="24"/>
        <v>0</v>
      </c>
      <c r="S200" s="240">
        <f t="shared" si="25"/>
        <v>0</v>
      </c>
      <c r="T200" s="241">
        <f t="shared" si="26"/>
        <v>0</v>
      </c>
      <c r="U200" s="241">
        <f t="shared" si="27"/>
        <v>0</v>
      </c>
      <c r="V200" s="114" t="str">
        <f>IF(ISNA(VLOOKUP(J200,[1]!AVION1[#Data],3,FALSE)),"",VLOOKUP(J200,[1]!AVION1[#Data],3,FALSE))</f>
        <v/>
      </c>
      <c r="W200" s="114" t="str">
        <f>IF(ISNA(VLOOKUP(N200,[1]!INSTRUCTEUR[#Data],2,FALSE)),"",VLOOKUP(N200,[1]!INSTRUCTEUR[#Data],2,FALSE))</f>
        <v/>
      </c>
      <c r="X200" s="115">
        <f t="shared" si="28"/>
        <v>0</v>
      </c>
    </row>
    <row r="201" spans="3:24">
      <c r="C201" s="231"/>
      <c r="D201" s="232"/>
      <c r="E201" s="233"/>
      <c r="F201" s="234"/>
      <c r="G201" s="235"/>
      <c r="H201" s="236">
        <f t="shared" si="29"/>
        <v>0</v>
      </c>
      <c r="I201" s="237" t="str">
        <f>IF(ISNA(VLOOKUP(J201,[1]!AVION1[#Data],2,FALSE)),"",VLOOKUP(J201,[1]!AVION1[#Data],2,FALSE))</f>
        <v/>
      </c>
      <c r="J201" s="233"/>
      <c r="K201" s="235"/>
      <c r="L201" s="235"/>
      <c r="M201" s="238">
        <f t="shared" si="30"/>
        <v>0</v>
      </c>
      <c r="N201" s="239"/>
      <c r="O201" s="235"/>
      <c r="P201" s="235"/>
      <c r="Q201" s="240">
        <f t="shared" si="23"/>
        <v>0</v>
      </c>
      <c r="R201" s="241">
        <f t="shared" si="24"/>
        <v>0</v>
      </c>
      <c r="S201" s="240">
        <f t="shared" si="25"/>
        <v>0</v>
      </c>
      <c r="T201" s="241">
        <f t="shared" si="26"/>
        <v>0</v>
      </c>
      <c r="U201" s="241">
        <f t="shared" si="27"/>
        <v>0</v>
      </c>
      <c r="V201" s="114" t="str">
        <f>IF(ISNA(VLOOKUP(J201,[1]!AVION1[#Data],3,FALSE)),"",VLOOKUP(J201,[1]!AVION1[#Data],3,FALSE))</f>
        <v/>
      </c>
      <c r="W201" s="114" t="str">
        <f>IF(ISNA(VLOOKUP(N201,[1]!INSTRUCTEUR[#Data],2,FALSE)),"",VLOOKUP(N201,[1]!INSTRUCTEUR[#Data],2,FALSE))</f>
        <v/>
      </c>
      <c r="X201" s="115">
        <f t="shared" si="28"/>
        <v>0</v>
      </c>
    </row>
    <row r="202" spans="3:24">
      <c r="C202" s="231"/>
      <c r="D202" s="232"/>
      <c r="E202" s="233"/>
      <c r="F202" s="234"/>
      <c r="G202" s="235"/>
      <c r="H202" s="236">
        <f t="shared" si="29"/>
        <v>0</v>
      </c>
      <c r="I202" s="237" t="str">
        <f>IF(ISNA(VLOOKUP(J202,[1]!AVION1[#Data],2,FALSE)),"",VLOOKUP(J202,[1]!AVION1[#Data],2,FALSE))</f>
        <v/>
      </c>
      <c r="J202" s="233"/>
      <c r="K202" s="235"/>
      <c r="L202" s="235"/>
      <c r="M202" s="238">
        <f t="shared" si="30"/>
        <v>0</v>
      </c>
      <c r="N202" s="239"/>
      <c r="O202" s="235"/>
      <c r="P202" s="235"/>
      <c r="Q202" s="240">
        <f t="shared" ref="Q202:Q265" si="31">IFERROR(X202*V202,0)</f>
        <v>0</v>
      </c>
      <c r="R202" s="241">
        <f t="shared" ref="R202:R265" si="32">IFERROR(W202*X202,0)</f>
        <v>0</v>
      </c>
      <c r="S202" s="240">
        <f t="shared" ref="S202:S265" si="33">R202+Q202</f>
        <v>0</v>
      </c>
      <c r="T202" s="241">
        <f t="shared" ref="T202:T265" si="34">IF(N202="PENDERS Bernard",X202,0)</f>
        <v>0</v>
      </c>
      <c r="U202" s="241">
        <f t="shared" ref="U202:U265" si="35">IF(N202="PENDERS Bernard",0,X202)</f>
        <v>0</v>
      </c>
      <c r="V202" s="114" t="str">
        <f>IF(ISNA(VLOOKUP(J202,[1]!AVION1[#Data],3,FALSE)),"",VLOOKUP(J202,[1]!AVION1[#Data],3,FALSE))</f>
        <v/>
      </c>
      <c r="W202" s="114" t="str">
        <f>IF(ISNA(VLOOKUP(N202,[1]!INSTRUCTEUR[#Data],2,FALSE)),"",VLOOKUP(N202,[1]!INSTRUCTEUR[#Data],2,FALSE))</f>
        <v/>
      </c>
      <c r="X202" s="115">
        <f t="shared" ref="X202:X265" si="36">(HOUR(M202)*3600+MINUTE(M202)*60+SECOND(M202))/60</f>
        <v>0</v>
      </c>
    </row>
    <row r="203" spans="3:24">
      <c r="C203" s="231"/>
      <c r="D203" s="232"/>
      <c r="E203" s="233"/>
      <c r="F203" s="234"/>
      <c r="G203" s="235"/>
      <c r="H203" s="236">
        <f t="shared" si="29"/>
        <v>0</v>
      </c>
      <c r="I203" s="237" t="str">
        <f>IF(ISNA(VLOOKUP(J203,[1]!AVION1[#Data],2,FALSE)),"",VLOOKUP(J203,[1]!AVION1[#Data],2,FALSE))</f>
        <v/>
      </c>
      <c r="J203" s="233"/>
      <c r="K203" s="235"/>
      <c r="L203" s="235"/>
      <c r="M203" s="238">
        <f t="shared" si="30"/>
        <v>0</v>
      </c>
      <c r="N203" s="239"/>
      <c r="O203" s="235"/>
      <c r="P203" s="235"/>
      <c r="Q203" s="240">
        <f t="shared" si="31"/>
        <v>0</v>
      </c>
      <c r="R203" s="241">
        <f t="shared" si="32"/>
        <v>0</v>
      </c>
      <c r="S203" s="240">
        <f t="shared" si="33"/>
        <v>0</v>
      </c>
      <c r="T203" s="241">
        <f t="shared" si="34"/>
        <v>0</v>
      </c>
      <c r="U203" s="241">
        <f t="shared" si="35"/>
        <v>0</v>
      </c>
      <c r="V203" s="114" t="str">
        <f>IF(ISNA(VLOOKUP(J203,[1]!AVION1[#Data],3,FALSE)),"",VLOOKUP(J203,[1]!AVION1[#Data],3,FALSE))</f>
        <v/>
      </c>
      <c r="W203" s="114" t="str">
        <f>IF(ISNA(VLOOKUP(N203,[1]!INSTRUCTEUR[#Data],2,FALSE)),"",VLOOKUP(N203,[1]!INSTRUCTEUR[#Data],2,FALSE))</f>
        <v/>
      </c>
      <c r="X203" s="115">
        <f t="shared" si="36"/>
        <v>0</v>
      </c>
    </row>
    <row r="204" spans="3:24">
      <c r="C204" s="231"/>
      <c r="D204" s="232"/>
      <c r="E204" s="233"/>
      <c r="F204" s="234"/>
      <c r="G204" s="235"/>
      <c r="H204" s="236">
        <f t="shared" si="29"/>
        <v>0</v>
      </c>
      <c r="I204" s="237" t="str">
        <f>IF(ISNA(VLOOKUP(J204,[1]!AVION1[#Data],2,FALSE)),"",VLOOKUP(J204,[1]!AVION1[#Data],2,FALSE))</f>
        <v/>
      </c>
      <c r="J204" s="233"/>
      <c r="K204" s="235"/>
      <c r="L204" s="235"/>
      <c r="M204" s="238">
        <f t="shared" si="30"/>
        <v>0</v>
      </c>
      <c r="N204" s="239"/>
      <c r="O204" s="235"/>
      <c r="P204" s="235"/>
      <c r="Q204" s="240">
        <f t="shared" si="31"/>
        <v>0</v>
      </c>
      <c r="R204" s="241">
        <f t="shared" si="32"/>
        <v>0</v>
      </c>
      <c r="S204" s="240">
        <f t="shared" si="33"/>
        <v>0</v>
      </c>
      <c r="T204" s="241">
        <f t="shared" si="34"/>
        <v>0</v>
      </c>
      <c r="U204" s="241">
        <f t="shared" si="35"/>
        <v>0</v>
      </c>
      <c r="V204" s="114" t="str">
        <f>IF(ISNA(VLOOKUP(J204,[1]!AVION1[#Data],3,FALSE)),"",VLOOKUP(J204,[1]!AVION1[#Data],3,FALSE))</f>
        <v/>
      </c>
      <c r="W204" s="114" t="str">
        <f>IF(ISNA(VLOOKUP(N204,[1]!INSTRUCTEUR[#Data],2,FALSE)),"",VLOOKUP(N204,[1]!INSTRUCTEUR[#Data],2,FALSE))</f>
        <v/>
      </c>
      <c r="X204" s="115">
        <f t="shared" si="36"/>
        <v>0</v>
      </c>
    </row>
    <row r="205" spans="3:24">
      <c r="C205" s="231"/>
      <c r="D205" s="232"/>
      <c r="E205" s="233"/>
      <c r="F205" s="234"/>
      <c r="G205" s="235"/>
      <c r="H205" s="236">
        <f t="shared" si="29"/>
        <v>0</v>
      </c>
      <c r="I205" s="237" t="str">
        <f>IF(ISNA(VLOOKUP(J205,[1]!AVION1[#Data],2,FALSE)),"",VLOOKUP(J205,[1]!AVION1[#Data],2,FALSE))</f>
        <v/>
      </c>
      <c r="J205" s="233"/>
      <c r="K205" s="235"/>
      <c r="L205" s="235"/>
      <c r="M205" s="238">
        <f t="shared" si="30"/>
        <v>0</v>
      </c>
      <c r="N205" s="239"/>
      <c r="O205" s="235"/>
      <c r="P205" s="235"/>
      <c r="Q205" s="240">
        <f t="shared" si="31"/>
        <v>0</v>
      </c>
      <c r="R205" s="241">
        <f t="shared" si="32"/>
        <v>0</v>
      </c>
      <c r="S205" s="240">
        <f t="shared" si="33"/>
        <v>0</v>
      </c>
      <c r="T205" s="241">
        <f t="shared" si="34"/>
        <v>0</v>
      </c>
      <c r="U205" s="241">
        <f t="shared" si="35"/>
        <v>0</v>
      </c>
      <c r="V205" s="114" t="str">
        <f>IF(ISNA(VLOOKUP(J205,[1]!AVION1[#Data],3,FALSE)),"",VLOOKUP(J205,[1]!AVION1[#Data],3,FALSE))</f>
        <v/>
      </c>
      <c r="W205" s="114" t="str">
        <f>IF(ISNA(VLOOKUP(N205,[1]!INSTRUCTEUR[#Data],2,FALSE)),"",VLOOKUP(N205,[1]!INSTRUCTEUR[#Data],2,FALSE))</f>
        <v/>
      </c>
      <c r="X205" s="115">
        <f t="shared" si="36"/>
        <v>0</v>
      </c>
    </row>
    <row r="206" spans="3:24">
      <c r="C206" s="231"/>
      <c r="D206" s="232"/>
      <c r="E206" s="233"/>
      <c r="F206" s="234"/>
      <c r="G206" s="235"/>
      <c r="H206" s="236">
        <f t="shared" si="29"/>
        <v>0</v>
      </c>
      <c r="I206" s="237" t="str">
        <f>IF(ISNA(VLOOKUP(J206,[1]!AVION1[#Data],2,FALSE)),"",VLOOKUP(J206,[1]!AVION1[#Data],2,FALSE))</f>
        <v/>
      </c>
      <c r="J206" s="233"/>
      <c r="K206" s="235"/>
      <c r="L206" s="235"/>
      <c r="M206" s="238">
        <f t="shared" si="30"/>
        <v>0</v>
      </c>
      <c r="N206" s="239"/>
      <c r="O206" s="235"/>
      <c r="P206" s="235"/>
      <c r="Q206" s="240">
        <f t="shared" si="31"/>
        <v>0</v>
      </c>
      <c r="R206" s="241">
        <f t="shared" si="32"/>
        <v>0</v>
      </c>
      <c r="S206" s="240">
        <f t="shared" si="33"/>
        <v>0</v>
      </c>
      <c r="T206" s="241">
        <f t="shared" si="34"/>
        <v>0</v>
      </c>
      <c r="U206" s="241">
        <f t="shared" si="35"/>
        <v>0</v>
      </c>
      <c r="V206" s="114" t="str">
        <f>IF(ISNA(VLOOKUP(J206,[1]!AVION1[#Data],3,FALSE)),"",VLOOKUP(J206,[1]!AVION1[#Data],3,FALSE))</f>
        <v/>
      </c>
      <c r="W206" s="114" t="str">
        <f>IF(ISNA(VLOOKUP(N206,[1]!INSTRUCTEUR[#Data],2,FALSE)),"",VLOOKUP(N206,[1]!INSTRUCTEUR[#Data],2,FALSE))</f>
        <v/>
      </c>
      <c r="X206" s="115">
        <f t="shared" si="36"/>
        <v>0</v>
      </c>
    </row>
    <row r="207" spans="3:24">
      <c r="C207" s="231"/>
      <c r="D207" s="232"/>
      <c r="E207" s="233"/>
      <c r="F207" s="234"/>
      <c r="G207" s="235"/>
      <c r="H207" s="236">
        <f t="shared" si="29"/>
        <v>0</v>
      </c>
      <c r="I207" s="237" t="str">
        <f>IF(ISNA(VLOOKUP(J207,[1]!AVION1[#Data],2,FALSE)),"",VLOOKUP(J207,[1]!AVION1[#Data],2,FALSE))</f>
        <v/>
      </c>
      <c r="J207" s="233"/>
      <c r="K207" s="235"/>
      <c r="L207" s="235"/>
      <c r="M207" s="238">
        <f t="shared" si="30"/>
        <v>0</v>
      </c>
      <c r="N207" s="239"/>
      <c r="O207" s="235"/>
      <c r="P207" s="235"/>
      <c r="Q207" s="240">
        <f t="shared" si="31"/>
        <v>0</v>
      </c>
      <c r="R207" s="241">
        <f t="shared" si="32"/>
        <v>0</v>
      </c>
      <c r="S207" s="240">
        <f t="shared" si="33"/>
        <v>0</v>
      </c>
      <c r="T207" s="241">
        <f t="shared" si="34"/>
        <v>0</v>
      </c>
      <c r="U207" s="241">
        <f t="shared" si="35"/>
        <v>0</v>
      </c>
      <c r="V207" s="114" t="str">
        <f>IF(ISNA(VLOOKUP(J207,[1]!AVION1[#Data],3,FALSE)),"",VLOOKUP(J207,[1]!AVION1[#Data],3,FALSE))</f>
        <v/>
      </c>
      <c r="W207" s="114" t="str">
        <f>IF(ISNA(VLOOKUP(N207,[1]!INSTRUCTEUR[#Data],2,FALSE)),"",VLOOKUP(N207,[1]!INSTRUCTEUR[#Data],2,FALSE))</f>
        <v/>
      </c>
      <c r="X207" s="115">
        <f t="shared" si="36"/>
        <v>0</v>
      </c>
    </row>
    <row r="208" spans="3:24">
      <c r="C208" s="231"/>
      <c r="D208" s="232"/>
      <c r="E208" s="233"/>
      <c r="F208" s="234"/>
      <c r="G208" s="235"/>
      <c r="H208" s="236">
        <f t="shared" si="29"/>
        <v>0</v>
      </c>
      <c r="I208" s="237" t="str">
        <f>IF(ISNA(VLOOKUP(J208,[1]!AVION1[#Data],2,FALSE)),"",VLOOKUP(J208,[1]!AVION1[#Data],2,FALSE))</f>
        <v/>
      </c>
      <c r="J208" s="233"/>
      <c r="K208" s="235"/>
      <c r="L208" s="235"/>
      <c r="M208" s="238">
        <f t="shared" si="30"/>
        <v>0</v>
      </c>
      <c r="N208" s="239"/>
      <c r="O208" s="235"/>
      <c r="P208" s="235"/>
      <c r="Q208" s="240">
        <f t="shared" si="31"/>
        <v>0</v>
      </c>
      <c r="R208" s="241">
        <f t="shared" si="32"/>
        <v>0</v>
      </c>
      <c r="S208" s="240">
        <f t="shared" si="33"/>
        <v>0</v>
      </c>
      <c r="T208" s="241">
        <f t="shared" si="34"/>
        <v>0</v>
      </c>
      <c r="U208" s="241">
        <f t="shared" si="35"/>
        <v>0</v>
      </c>
      <c r="V208" s="114" t="str">
        <f>IF(ISNA(VLOOKUP(J208,[1]!AVION1[#Data],3,FALSE)),"",VLOOKUP(J208,[1]!AVION1[#Data],3,FALSE))</f>
        <v/>
      </c>
      <c r="W208" s="114" t="str">
        <f>IF(ISNA(VLOOKUP(N208,[1]!INSTRUCTEUR[#Data],2,FALSE)),"",VLOOKUP(N208,[1]!INSTRUCTEUR[#Data],2,FALSE))</f>
        <v/>
      </c>
      <c r="X208" s="115">
        <f t="shared" si="36"/>
        <v>0</v>
      </c>
    </row>
    <row r="209" spans="3:24">
      <c r="C209" s="231"/>
      <c r="D209" s="232"/>
      <c r="E209" s="233"/>
      <c r="F209" s="234"/>
      <c r="G209" s="235"/>
      <c r="H209" s="236">
        <f t="shared" si="29"/>
        <v>0</v>
      </c>
      <c r="I209" s="237" t="str">
        <f>IF(ISNA(VLOOKUP(J209,[1]!AVION1[#Data],2,FALSE)),"",VLOOKUP(J209,[1]!AVION1[#Data],2,FALSE))</f>
        <v/>
      </c>
      <c r="J209" s="233"/>
      <c r="K209" s="235"/>
      <c r="L209" s="235"/>
      <c r="M209" s="238">
        <f t="shared" si="30"/>
        <v>0</v>
      </c>
      <c r="N209" s="239"/>
      <c r="O209" s="235"/>
      <c r="P209" s="235"/>
      <c r="Q209" s="240">
        <f t="shared" si="31"/>
        <v>0</v>
      </c>
      <c r="R209" s="241">
        <f t="shared" si="32"/>
        <v>0</v>
      </c>
      <c r="S209" s="240">
        <f t="shared" si="33"/>
        <v>0</v>
      </c>
      <c r="T209" s="241">
        <f t="shared" si="34"/>
        <v>0</v>
      </c>
      <c r="U209" s="241">
        <f t="shared" si="35"/>
        <v>0</v>
      </c>
      <c r="V209" s="114" t="str">
        <f>IF(ISNA(VLOOKUP(J209,[1]!AVION1[#Data],3,FALSE)),"",VLOOKUP(J209,[1]!AVION1[#Data],3,FALSE))</f>
        <v/>
      </c>
      <c r="W209" s="114" t="str">
        <f>IF(ISNA(VLOOKUP(N209,[1]!INSTRUCTEUR[#Data],2,FALSE)),"",VLOOKUP(N209,[1]!INSTRUCTEUR[#Data],2,FALSE))</f>
        <v/>
      </c>
      <c r="X209" s="115">
        <f t="shared" si="36"/>
        <v>0</v>
      </c>
    </row>
    <row r="210" spans="3:24">
      <c r="C210" s="231"/>
      <c r="D210" s="232"/>
      <c r="E210" s="233"/>
      <c r="F210" s="234"/>
      <c r="G210" s="235"/>
      <c r="H210" s="236">
        <f t="shared" si="29"/>
        <v>0</v>
      </c>
      <c r="I210" s="237" t="str">
        <f>IF(ISNA(VLOOKUP(J210,[1]!AVION1[#Data],2,FALSE)),"",VLOOKUP(J210,[1]!AVION1[#Data],2,FALSE))</f>
        <v/>
      </c>
      <c r="J210" s="233"/>
      <c r="K210" s="235"/>
      <c r="L210" s="235"/>
      <c r="M210" s="238">
        <f t="shared" si="30"/>
        <v>0</v>
      </c>
      <c r="N210" s="239"/>
      <c r="O210" s="235"/>
      <c r="P210" s="235"/>
      <c r="Q210" s="240">
        <f t="shared" si="31"/>
        <v>0</v>
      </c>
      <c r="R210" s="241">
        <f t="shared" si="32"/>
        <v>0</v>
      </c>
      <c r="S210" s="240">
        <f t="shared" si="33"/>
        <v>0</v>
      </c>
      <c r="T210" s="241">
        <f t="shared" si="34"/>
        <v>0</v>
      </c>
      <c r="U210" s="241">
        <f t="shared" si="35"/>
        <v>0</v>
      </c>
      <c r="V210" s="114" t="str">
        <f>IF(ISNA(VLOOKUP(J210,[1]!AVION1[#Data],3,FALSE)),"",VLOOKUP(J210,[1]!AVION1[#Data],3,FALSE))</f>
        <v/>
      </c>
      <c r="W210" s="114" t="str">
        <f>IF(ISNA(VLOOKUP(N210,[1]!INSTRUCTEUR[#Data],2,FALSE)),"",VLOOKUP(N210,[1]!INSTRUCTEUR[#Data],2,FALSE))</f>
        <v/>
      </c>
      <c r="X210" s="115">
        <f t="shared" si="36"/>
        <v>0</v>
      </c>
    </row>
    <row r="211" spans="3:24">
      <c r="C211" s="231"/>
      <c r="D211" s="232"/>
      <c r="E211" s="233"/>
      <c r="F211" s="234"/>
      <c r="G211" s="235"/>
      <c r="H211" s="236">
        <f t="shared" si="29"/>
        <v>0</v>
      </c>
      <c r="I211" s="237" t="str">
        <f>IF(ISNA(VLOOKUP(J211,[1]!AVION1[#Data],2,FALSE)),"",VLOOKUP(J211,[1]!AVION1[#Data],2,FALSE))</f>
        <v/>
      </c>
      <c r="J211" s="233"/>
      <c r="K211" s="235"/>
      <c r="L211" s="235"/>
      <c r="M211" s="238">
        <f t="shared" si="30"/>
        <v>0</v>
      </c>
      <c r="N211" s="239"/>
      <c r="O211" s="235"/>
      <c r="P211" s="235"/>
      <c r="Q211" s="240">
        <f t="shared" si="31"/>
        <v>0</v>
      </c>
      <c r="R211" s="241">
        <f t="shared" si="32"/>
        <v>0</v>
      </c>
      <c r="S211" s="240">
        <f t="shared" si="33"/>
        <v>0</v>
      </c>
      <c r="T211" s="241">
        <f t="shared" si="34"/>
        <v>0</v>
      </c>
      <c r="U211" s="241">
        <f t="shared" si="35"/>
        <v>0</v>
      </c>
      <c r="V211" s="114" t="str">
        <f>IF(ISNA(VLOOKUP(J211,[1]!AVION1[#Data],3,FALSE)),"",VLOOKUP(J211,[1]!AVION1[#Data],3,FALSE))</f>
        <v/>
      </c>
      <c r="W211" s="114" t="str">
        <f>IF(ISNA(VLOOKUP(N211,[1]!INSTRUCTEUR[#Data],2,FALSE)),"",VLOOKUP(N211,[1]!INSTRUCTEUR[#Data],2,FALSE))</f>
        <v/>
      </c>
      <c r="X211" s="115">
        <f t="shared" si="36"/>
        <v>0</v>
      </c>
    </row>
    <row r="212" spans="3:24">
      <c r="C212" s="231"/>
      <c r="D212" s="232"/>
      <c r="E212" s="233"/>
      <c r="F212" s="234"/>
      <c r="G212" s="235"/>
      <c r="H212" s="236">
        <f t="shared" si="29"/>
        <v>0</v>
      </c>
      <c r="I212" s="237" t="str">
        <f>IF(ISNA(VLOOKUP(J212,[1]!AVION1[#Data],2,FALSE)),"",VLOOKUP(J212,[1]!AVION1[#Data],2,FALSE))</f>
        <v/>
      </c>
      <c r="J212" s="233"/>
      <c r="K212" s="235"/>
      <c r="L212" s="235"/>
      <c r="M212" s="238">
        <f t="shared" si="30"/>
        <v>0</v>
      </c>
      <c r="N212" s="239"/>
      <c r="O212" s="235"/>
      <c r="P212" s="235"/>
      <c r="Q212" s="240">
        <f t="shared" si="31"/>
        <v>0</v>
      </c>
      <c r="R212" s="241">
        <f t="shared" si="32"/>
        <v>0</v>
      </c>
      <c r="S212" s="240">
        <f t="shared" si="33"/>
        <v>0</v>
      </c>
      <c r="T212" s="241">
        <f t="shared" si="34"/>
        <v>0</v>
      </c>
      <c r="U212" s="241">
        <f t="shared" si="35"/>
        <v>0</v>
      </c>
      <c r="V212" s="114" t="str">
        <f>IF(ISNA(VLOOKUP(J212,[1]!AVION1[#Data],3,FALSE)),"",VLOOKUP(J212,[1]!AVION1[#Data],3,FALSE))</f>
        <v/>
      </c>
      <c r="W212" s="114" t="str">
        <f>IF(ISNA(VLOOKUP(N212,[1]!INSTRUCTEUR[#Data],2,FALSE)),"",VLOOKUP(N212,[1]!INSTRUCTEUR[#Data],2,FALSE))</f>
        <v/>
      </c>
      <c r="X212" s="115">
        <f t="shared" si="36"/>
        <v>0</v>
      </c>
    </row>
    <row r="213" spans="3:24">
      <c r="C213" s="231"/>
      <c r="D213" s="232"/>
      <c r="E213" s="233"/>
      <c r="F213" s="234"/>
      <c r="G213" s="235"/>
      <c r="H213" s="236">
        <f t="shared" si="29"/>
        <v>0</v>
      </c>
      <c r="I213" s="237" t="str">
        <f>IF(ISNA(VLOOKUP(J213,[1]!AVION1[#Data],2,FALSE)),"",VLOOKUP(J213,[1]!AVION1[#Data],2,FALSE))</f>
        <v/>
      </c>
      <c r="J213" s="233"/>
      <c r="K213" s="235"/>
      <c r="L213" s="235"/>
      <c r="M213" s="238">
        <f t="shared" si="30"/>
        <v>0</v>
      </c>
      <c r="N213" s="239"/>
      <c r="O213" s="235"/>
      <c r="P213" s="235"/>
      <c r="Q213" s="240">
        <f t="shared" si="31"/>
        <v>0</v>
      </c>
      <c r="R213" s="241">
        <f t="shared" si="32"/>
        <v>0</v>
      </c>
      <c r="S213" s="240">
        <f t="shared" si="33"/>
        <v>0</v>
      </c>
      <c r="T213" s="241">
        <f t="shared" si="34"/>
        <v>0</v>
      </c>
      <c r="U213" s="241">
        <f t="shared" si="35"/>
        <v>0</v>
      </c>
      <c r="V213" s="114" t="str">
        <f>IF(ISNA(VLOOKUP(J213,[1]!AVION1[#Data],3,FALSE)),"",VLOOKUP(J213,[1]!AVION1[#Data],3,FALSE))</f>
        <v/>
      </c>
      <c r="W213" s="114" t="str">
        <f>IF(ISNA(VLOOKUP(N213,[1]!INSTRUCTEUR[#Data],2,FALSE)),"",VLOOKUP(N213,[1]!INSTRUCTEUR[#Data],2,FALSE))</f>
        <v/>
      </c>
      <c r="X213" s="115">
        <f t="shared" si="36"/>
        <v>0</v>
      </c>
    </row>
    <row r="214" spans="3:24">
      <c r="C214" s="231"/>
      <c r="D214" s="232"/>
      <c r="E214" s="233"/>
      <c r="F214" s="234"/>
      <c r="G214" s="235"/>
      <c r="H214" s="236">
        <f t="shared" si="29"/>
        <v>0</v>
      </c>
      <c r="I214" s="237" t="str">
        <f>IF(ISNA(VLOOKUP(J214,[1]!AVION1[#Data],2,FALSE)),"",VLOOKUP(J214,[1]!AVION1[#Data],2,FALSE))</f>
        <v/>
      </c>
      <c r="J214" s="233"/>
      <c r="K214" s="235"/>
      <c r="L214" s="235"/>
      <c r="M214" s="238">
        <f t="shared" si="30"/>
        <v>0</v>
      </c>
      <c r="N214" s="239"/>
      <c r="O214" s="235"/>
      <c r="P214" s="235"/>
      <c r="Q214" s="240">
        <f t="shared" si="31"/>
        <v>0</v>
      </c>
      <c r="R214" s="241">
        <f t="shared" si="32"/>
        <v>0</v>
      </c>
      <c r="S214" s="240">
        <f t="shared" si="33"/>
        <v>0</v>
      </c>
      <c r="T214" s="241">
        <f t="shared" si="34"/>
        <v>0</v>
      </c>
      <c r="U214" s="241">
        <f t="shared" si="35"/>
        <v>0</v>
      </c>
      <c r="V214" s="114" t="str">
        <f>IF(ISNA(VLOOKUP(J214,[1]!AVION1[#Data],3,FALSE)),"",VLOOKUP(J214,[1]!AVION1[#Data],3,FALSE))</f>
        <v/>
      </c>
      <c r="W214" s="114" t="str">
        <f>IF(ISNA(VLOOKUP(N214,[1]!INSTRUCTEUR[#Data],2,FALSE)),"",VLOOKUP(N214,[1]!INSTRUCTEUR[#Data],2,FALSE))</f>
        <v/>
      </c>
      <c r="X214" s="115">
        <f t="shared" si="36"/>
        <v>0</v>
      </c>
    </row>
    <row r="215" spans="3:24">
      <c r="C215" s="231"/>
      <c r="D215" s="232"/>
      <c r="E215" s="233"/>
      <c r="F215" s="234"/>
      <c r="G215" s="235"/>
      <c r="H215" s="236">
        <f t="shared" si="29"/>
        <v>0</v>
      </c>
      <c r="I215" s="237" t="str">
        <f>IF(ISNA(VLOOKUP(J215,[1]!AVION1[#Data],2,FALSE)),"",VLOOKUP(J215,[1]!AVION1[#Data],2,FALSE))</f>
        <v/>
      </c>
      <c r="J215" s="233"/>
      <c r="K215" s="235"/>
      <c r="L215" s="235"/>
      <c r="M215" s="238">
        <f t="shared" si="30"/>
        <v>0</v>
      </c>
      <c r="N215" s="239"/>
      <c r="O215" s="235"/>
      <c r="P215" s="235"/>
      <c r="Q215" s="240">
        <f t="shared" si="31"/>
        <v>0</v>
      </c>
      <c r="R215" s="241">
        <f t="shared" si="32"/>
        <v>0</v>
      </c>
      <c r="S215" s="240">
        <f t="shared" si="33"/>
        <v>0</v>
      </c>
      <c r="T215" s="241">
        <f t="shared" si="34"/>
        <v>0</v>
      </c>
      <c r="U215" s="241">
        <f t="shared" si="35"/>
        <v>0</v>
      </c>
      <c r="V215" s="114" t="str">
        <f>IF(ISNA(VLOOKUP(J215,[1]!AVION1[#Data],3,FALSE)),"",VLOOKUP(J215,[1]!AVION1[#Data],3,FALSE))</f>
        <v/>
      </c>
      <c r="W215" s="114" t="str">
        <f>IF(ISNA(VLOOKUP(N215,[1]!INSTRUCTEUR[#Data],2,FALSE)),"",VLOOKUP(N215,[1]!INSTRUCTEUR[#Data],2,FALSE))</f>
        <v/>
      </c>
      <c r="X215" s="115">
        <f t="shared" si="36"/>
        <v>0</v>
      </c>
    </row>
    <row r="216" spans="3:24">
      <c r="C216" s="231"/>
      <c r="D216" s="232"/>
      <c r="E216" s="233"/>
      <c r="F216" s="234"/>
      <c r="G216" s="235"/>
      <c r="H216" s="236">
        <f t="shared" si="29"/>
        <v>0</v>
      </c>
      <c r="I216" s="237" t="str">
        <f>IF(ISNA(VLOOKUP(J216,[1]!AVION1[#Data],2,FALSE)),"",VLOOKUP(J216,[1]!AVION1[#Data],2,FALSE))</f>
        <v/>
      </c>
      <c r="J216" s="233"/>
      <c r="K216" s="235"/>
      <c r="L216" s="235"/>
      <c r="M216" s="238">
        <f t="shared" si="30"/>
        <v>0</v>
      </c>
      <c r="N216" s="239"/>
      <c r="O216" s="235"/>
      <c r="P216" s="235"/>
      <c r="Q216" s="240">
        <f t="shared" si="31"/>
        <v>0</v>
      </c>
      <c r="R216" s="241">
        <f t="shared" si="32"/>
        <v>0</v>
      </c>
      <c r="S216" s="240">
        <f t="shared" si="33"/>
        <v>0</v>
      </c>
      <c r="T216" s="241">
        <f t="shared" si="34"/>
        <v>0</v>
      </c>
      <c r="U216" s="241">
        <f t="shared" si="35"/>
        <v>0</v>
      </c>
      <c r="V216" s="114" t="str">
        <f>IF(ISNA(VLOOKUP(J216,[1]!AVION1[#Data],3,FALSE)),"",VLOOKUP(J216,[1]!AVION1[#Data],3,FALSE))</f>
        <v/>
      </c>
      <c r="W216" s="114" t="str">
        <f>IF(ISNA(VLOOKUP(N216,[1]!INSTRUCTEUR[#Data],2,FALSE)),"",VLOOKUP(N216,[1]!INSTRUCTEUR[#Data],2,FALSE))</f>
        <v/>
      </c>
      <c r="X216" s="115">
        <f t="shared" si="36"/>
        <v>0</v>
      </c>
    </row>
    <row r="217" spans="3:24">
      <c r="C217" s="231"/>
      <c r="D217" s="232"/>
      <c r="E217" s="233"/>
      <c r="F217" s="234"/>
      <c r="G217" s="235"/>
      <c r="H217" s="236">
        <f t="shared" si="29"/>
        <v>0</v>
      </c>
      <c r="I217" s="237" t="str">
        <f>IF(ISNA(VLOOKUP(J217,[1]!AVION1[#Data],2,FALSE)),"",VLOOKUP(J217,[1]!AVION1[#Data],2,FALSE))</f>
        <v/>
      </c>
      <c r="J217" s="233"/>
      <c r="K217" s="235"/>
      <c r="L217" s="235"/>
      <c r="M217" s="238">
        <f t="shared" si="30"/>
        <v>0</v>
      </c>
      <c r="N217" s="239"/>
      <c r="O217" s="235"/>
      <c r="P217" s="235"/>
      <c r="Q217" s="240">
        <f t="shared" si="31"/>
        <v>0</v>
      </c>
      <c r="R217" s="241">
        <f t="shared" si="32"/>
        <v>0</v>
      </c>
      <c r="S217" s="240">
        <f t="shared" si="33"/>
        <v>0</v>
      </c>
      <c r="T217" s="241">
        <f t="shared" si="34"/>
        <v>0</v>
      </c>
      <c r="U217" s="241">
        <f t="shared" si="35"/>
        <v>0</v>
      </c>
      <c r="V217" s="114" t="str">
        <f>IF(ISNA(VLOOKUP(J217,[1]!AVION1[#Data],3,FALSE)),"",VLOOKUP(J217,[1]!AVION1[#Data],3,FALSE))</f>
        <v/>
      </c>
      <c r="W217" s="114" t="str">
        <f>IF(ISNA(VLOOKUP(N217,[1]!INSTRUCTEUR[#Data],2,FALSE)),"",VLOOKUP(N217,[1]!INSTRUCTEUR[#Data],2,FALSE))</f>
        <v/>
      </c>
      <c r="X217" s="115">
        <f t="shared" si="36"/>
        <v>0</v>
      </c>
    </row>
    <row r="218" spans="3:24">
      <c r="C218" s="231"/>
      <c r="D218" s="232"/>
      <c r="E218" s="233"/>
      <c r="F218" s="234"/>
      <c r="G218" s="235"/>
      <c r="H218" s="236">
        <f t="shared" si="29"/>
        <v>0</v>
      </c>
      <c r="I218" s="237" t="str">
        <f>IF(ISNA(VLOOKUP(J218,[1]!AVION1[#Data],2,FALSE)),"",VLOOKUP(J218,[1]!AVION1[#Data],2,FALSE))</f>
        <v/>
      </c>
      <c r="J218" s="233"/>
      <c r="K218" s="235"/>
      <c r="L218" s="235"/>
      <c r="M218" s="238">
        <f t="shared" si="30"/>
        <v>0</v>
      </c>
      <c r="N218" s="239"/>
      <c r="O218" s="235"/>
      <c r="P218" s="235"/>
      <c r="Q218" s="240">
        <f t="shared" si="31"/>
        <v>0</v>
      </c>
      <c r="R218" s="241">
        <f t="shared" si="32"/>
        <v>0</v>
      </c>
      <c r="S218" s="240">
        <f t="shared" si="33"/>
        <v>0</v>
      </c>
      <c r="T218" s="241">
        <f t="shared" si="34"/>
        <v>0</v>
      </c>
      <c r="U218" s="241">
        <f t="shared" si="35"/>
        <v>0</v>
      </c>
      <c r="V218" s="114" t="str">
        <f>IF(ISNA(VLOOKUP(J218,[1]!AVION1[#Data],3,FALSE)),"",VLOOKUP(J218,[1]!AVION1[#Data],3,FALSE))</f>
        <v/>
      </c>
      <c r="W218" s="114" t="str">
        <f>IF(ISNA(VLOOKUP(N218,[1]!INSTRUCTEUR[#Data],2,FALSE)),"",VLOOKUP(N218,[1]!INSTRUCTEUR[#Data],2,FALSE))</f>
        <v/>
      </c>
      <c r="X218" s="115">
        <f t="shared" si="36"/>
        <v>0</v>
      </c>
    </row>
    <row r="219" spans="3:24">
      <c r="C219" s="231"/>
      <c r="D219" s="232"/>
      <c r="E219" s="233"/>
      <c r="F219" s="234"/>
      <c r="G219" s="235"/>
      <c r="H219" s="236">
        <f t="shared" si="29"/>
        <v>0</v>
      </c>
      <c r="I219" s="237" t="str">
        <f>IF(ISNA(VLOOKUP(J219,[1]!AVION1[#Data],2,FALSE)),"",VLOOKUP(J219,[1]!AVION1[#Data],2,FALSE))</f>
        <v/>
      </c>
      <c r="J219" s="233"/>
      <c r="K219" s="235"/>
      <c r="L219" s="235"/>
      <c r="M219" s="238">
        <f t="shared" si="30"/>
        <v>0</v>
      </c>
      <c r="N219" s="239"/>
      <c r="O219" s="235"/>
      <c r="P219" s="235"/>
      <c r="Q219" s="240">
        <f t="shared" si="31"/>
        <v>0</v>
      </c>
      <c r="R219" s="241">
        <f t="shared" si="32"/>
        <v>0</v>
      </c>
      <c r="S219" s="240">
        <f t="shared" si="33"/>
        <v>0</v>
      </c>
      <c r="T219" s="241">
        <f t="shared" si="34"/>
        <v>0</v>
      </c>
      <c r="U219" s="241">
        <f t="shared" si="35"/>
        <v>0</v>
      </c>
      <c r="V219" s="114" t="str">
        <f>IF(ISNA(VLOOKUP(J219,[1]!AVION1[#Data],3,FALSE)),"",VLOOKUP(J219,[1]!AVION1[#Data],3,FALSE))</f>
        <v/>
      </c>
      <c r="W219" s="114" t="str">
        <f>IF(ISNA(VLOOKUP(N219,[1]!INSTRUCTEUR[#Data],2,FALSE)),"",VLOOKUP(N219,[1]!INSTRUCTEUR[#Data],2,FALSE))</f>
        <v/>
      </c>
      <c r="X219" s="115">
        <f t="shared" si="36"/>
        <v>0</v>
      </c>
    </row>
    <row r="220" spans="3:24">
      <c r="C220" s="231"/>
      <c r="D220" s="232"/>
      <c r="E220" s="233"/>
      <c r="F220" s="234"/>
      <c r="G220" s="235"/>
      <c r="H220" s="236">
        <f t="shared" si="29"/>
        <v>0</v>
      </c>
      <c r="I220" s="237" t="str">
        <f>IF(ISNA(VLOOKUP(J220,[1]!AVION1[#Data],2,FALSE)),"",VLOOKUP(J220,[1]!AVION1[#Data],2,FALSE))</f>
        <v/>
      </c>
      <c r="J220" s="233"/>
      <c r="K220" s="235"/>
      <c r="L220" s="235"/>
      <c r="M220" s="238">
        <f t="shared" si="30"/>
        <v>0</v>
      </c>
      <c r="N220" s="239"/>
      <c r="O220" s="235"/>
      <c r="P220" s="235"/>
      <c r="Q220" s="240">
        <f t="shared" si="31"/>
        <v>0</v>
      </c>
      <c r="R220" s="241">
        <f t="shared" si="32"/>
        <v>0</v>
      </c>
      <c r="S220" s="240">
        <f t="shared" si="33"/>
        <v>0</v>
      </c>
      <c r="T220" s="241">
        <f t="shared" si="34"/>
        <v>0</v>
      </c>
      <c r="U220" s="241">
        <f t="shared" si="35"/>
        <v>0</v>
      </c>
      <c r="V220" s="114" t="str">
        <f>IF(ISNA(VLOOKUP(J220,[1]!AVION1[#Data],3,FALSE)),"",VLOOKUP(J220,[1]!AVION1[#Data],3,FALSE))</f>
        <v/>
      </c>
      <c r="W220" s="114" t="str">
        <f>IF(ISNA(VLOOKUP(N220,[1]!INSTRUCTEUR[#Data],2,FALSE)),"",VLOOKUP(N220,[1]!INSTRUCTEUR[#Data],2,FALSE))</f>
        <v/>
      </c>
      <c r="X220" s="115">
        <f t="shared" si="36"/>
        <v>0</v>
      </c>
    </row>
    <row r="221" spans="3:24">
      <c r="C221" s="231"/>
      <c r="D221" s="232"/>
      <c r="E221" s="233"/>
      <c r="F221" s="234"/>
      <c r="G221" s="235"/>
      <c r="H221" s="236">
        <f t="shared" si="29"/>
        <v>0</v>
      </c>
      <c r="I221" s="237" t="str">
        <f>IF(ISNA(VLOOKUP(J221,[1]!AVION1[#Data],2,FALSE)),"",VLOOKUP(J221,[1]!AVION1[#Data],2,FALSE))</f>
        <v/>
      </c>
      <c r="J221" s="233"/>
      <c r="K221" s="235"/>
      <c r="L221" s="235"/>
      <c r="M221" s="238">
        <f t="shared" si="30"/>
        <v>0</v>
      </c>
      <c r="N221" s="239"/>
      <c r="O221" s="235"/>
      <c r="P221" s="235"/>
      <c r="Q221" s="240">
        <f t="shared" si="31"/>
        <v>0</v>
      </c>
      <c r="R221" s="241">
        <f t="shared" si="32"/>
        <v>0</v>
      </c>
      <c r="S221" s="240">
        <f t="shared" si="33"/>
        <v>0</v>
      </c>
      <c r="T221" s="241">
        <f t="shared" si="34"/>
        <v>0</v>
      </c>
      <c r="U221" s="241">
        <f t="shared" si="35"/>
        <v>0</v>
      </c>
      <c r="V221" s="114" t="str">
        <f>IF(ISNA(VLOOKUP(J221,[1]!AVION1[#Data],3,FALSE)),"",VLOOKUP(J221,[1]!AVION1[#Data],3,FALSE))</f>
        <v/>
      </c>
      <c r="W221" s="114" t="str">
        <f>IF(ISNA(VLOOKUP(N221,[1]!INSTRUCTEUR[#Data],2,FALSE)),"",VLOOKUP(N221,[1]!INSTRUCTEUR[#Data],2,FALSE))</f>
        <v/>
      </c>
      <c r="X221" s="115">
        <f t="shared" si="36"/>
        <v>0</v>
      </c>
    </row>
    <row r="222" spans="3:24">
      <c r="C222" s="231"/>
      <c r="D222" s="232"/>
      <c r="E222" s="233"/>
      <c r="F222" s="234"/>
      <c r="G222" s="235"/>
      <c r="H222" s="236">
        <f t="shared" si="29"/>
        <v>0</v>
      </c>
      <c r="I222" s="237" t="str">
        <f>IF(ISNA(VLOOKUP(J222,[1]!AVION1[#Data],2,FALSE)),"",VLOOKUP(J222,[1]!AVION1[#Data],2,FALSE))</f>
        <v/>
      </c>
      <c r="J222" s="233"/>
      <c r="K222" s="235"/>
      <c r="L222" s="235"/>
      <c r="M222" s="238">
        <f t="shared" si="30"/>
        <v>0</v>
      </c>
      <c r="N222" s="239"/>
      <c r="O222" s="235"/>
      <c r="P222" s="235"/>
      <c r="Q222" s="240">
        <f t="shared" si="31"/>
        <v>0</v>
      </c>
      <c r="R222" s="241">
        <f t="shared" si="32"/>
        <v>0</v>
      </c>
      <c r="S222" s="240">
        <f t="shared" si="33"/>
        <v>0</v>
      </c>
      <c r="T222" s="241">
        <f t="shared" si="34"/>
        <v>0</v>
      </c>
      <c r="U222" s="241">
        <f t="shared" si="35"/>
        <v>0</v>
      </c>
      <c r="V222" s="114" t="str">
        <f>IF(ISNA(VLOOKUP(J222,[1]!AVION1[#Data],3,FALSE)),"",VLOOKUP(J222,[1]!AVION1[#Data],3,FALSE))</f>
        <v/>
      </c>
      <c r="W222" s="114" t="str">
        <f>IF(ISNA(VLOOKUP(N222,[1]!INSTRUCTEUR[#Data],2,FALSE)),"",VLOOKUP(N222,[1]!INSTRUCTEUR[#Data],2,FALSE))</f>
        <v/>
      </c>
      <c r="X222" s="115">
        <f t="shared" si="36"/>
        <v>0</v>
      </c>
    </row>
    <row r="223" spans="3:24">
      <c r="C223" s="231"/>
      <c r="D223" s="232"/>
      <c r="E223" s="233"/>
      <c r="F223" s="234"/>
      <c r="G223" s="235"/>
      <c r="H223" s="236">
        <f t="shared" si="29"/>
        <v>0</v>
      </c>
      <c r="I223" s="237" t="str">
        <f>IF(ISNA(VLOOKUP(J223,[1]!AVION1[#Data],2,FALSE)),"",VLOOKUP(J223,[1]!AVION1[#Data],2,FALSE))</f>
        <v/>
      </c>
      <c r="J223" s="233"/>
      <c r="K223" s="235"/>
      <c r="L223" s="235"/>
      <c r="M223" s="238">
        <f t="shared" si="30"/>
        <v>0</v>
      </c>
      <c r="N223" s="239"/>
      <c r="O223" s="235"/>
      <c r="P223" s="235"/>
      <c r="Q223" s="240">
        <f t="shared" si="31"/>
        <v>0</v>
      </c>
      <c r="R223" s="241">
        <f t="shared" si="32"/>
        <v>0</v>
      </c>
      <c r="S223" s="240">
        <f t="shared" si="33"/>
        <v>0</v>
      </c>
      <c r="T223" s="241">
        <f t="shared" si="34"/>
        <v>0</v>
      </c>
      <c r="U223" s="241">
        <f t="shared" si="35"/>
        <v>0</v>
      </c>
      <c r="V223" s="114" t="str">
        <f>IF(ISNA(VLOOKUP(J223,[1]!AVION1[#Data],3,FALSE)),"",VLOOKUP(J223,[1]!AVION1[#Data],3,FALSE))</f>
        <v/>
      </c>
      <c r="W223" s="114" t="str">
        <f>IF(ISNA(VLOOKUP(N223,[1]!INSTRUCTEUR[#Data],2,FALSE)),"",VLOOKUP(N223,[1]!INSTRUCTEUR[#Data],2,FALSE))</f>
        <v/>
      </c>
      <c r="X223" s="115">
        <f t="shared" si="36"/>
        <v>0</v>
      </c>
    </row>
    <row r="224" spans="3:24">
      <c r="C224" s="231"/>
      <c r="D224" s="232"/>
      <c r="E224" s="233"/>
      <c r="F224" s="234"/>
      <c r="G224" s="235"/>
      <c r="H224" s="236">
        <f t="shared" si="29"/>
        <v>0</v>
      </c>
      <c r="I224" s="237" t="str">
        <f>IF(ISNA(VLOOKUP(J224,[1]!AVION1[#Data],2,FALSE)),"",VLOOKUP(J224,[1]!AVION1[#Data],2,FALSE))</f>
        <v/>
      </c>
      <c r="J224" s="233"/>
      <c r="K224" s="235"/>
      <c r="L224" s="235"/>
      <c r="M224" s="238">
        <f t="shared" si="30"/>
        <v>0</v>
      </c>
      <c r="N224" s="239"/>
      <c r="O224" s="235"/>
      <c r="P224" s="235"/>
      <c r="Q224" s="240">
        <f t="shared" si="31"/>
        <v>0</v>
      </c>
      <c r="R224" s="241">
        <f t="shared" si="32"/>
        <v>0</v>
      </c>
      <c r="S224" s="240">
        <f t="shared" si="33"/>
        <v>0</v>
      </c>
      <c r="T224" s="241">
        <f t="shared" si="34"/>
        <v>0</v>
      </c>
      <c r="U224" s="241">
        <f t="shared" si="35"/>
        <v>0</v>
      </c>
      <c r="V224" s="114" t="str">
        <f>IF(ISNA(VLOOKUP(J224,[1]!AVION1[#Data],3,FALSE)),"",VLOOKUP(J224,[1]!AVION1[#Data],3,FALSE))</f>
        <v/>
      </c>
      <c r="W224" s="114" t="str">
        <f>IF(ISNA(VLOOKUP(N224,[1]!INSTRUCTEUR[#Data],2,FALSE)),"",VLOOKUP(N224,[1]!INSTRUCTEUR[#Data],2,FALSE))</f>
        <v/>
      </c>
      <c r="X224" s="115">
        <f t="shared" si="36"/>
        <v>0</v>
      </c>
    </row>
    <row r="225" spans="3:24">
      <c r="C225" s="231"/>
      <c r="D225" s="232"/>
      <c r="E225" s="233"/>
      <c r="F225" s="234"/>
      <c r="G225" s="235"/>
      <c r="H225" s="236">
        <f t="shared" si="29"/>
        <v>0</v>
      </c>
      <c r="I225" s="237" t="str">
        <f>IF(ISNA(VLOOKUP(J225,[1]!AVION1[#Data],2,FALSE)),"",VLOOKUP(J225,[1]!AVION1[#Data],2,FALSE))</f>
        <v/>
      </c>
      <c r="J225" s="233"/>
      <c r="K225" s="235"/>
      <c r="L225" s="235"/>
      <c r="M225" s="238">
        <f t="shared" si="30"/>
        <v>0</v>
      </c>
      <c r="N225" s="239"/>
      <c r="O225" s="235"/>
      <c r="P225" s="235"/>
      <c r="Q225" s="240">
        <f t="shared" si="31"/>
        <v>0</v>
      </c>
      <c r="R225" s="241">
        <f t="shared" si="32"/>
        <v>0</v>
      </c>
      <c r="S225" s="240">
        <f t="shared" si="33"/>
        <v>0</v>
      </c>
      <c r="T225" s="241">
        <f t="shared" si="34"/>
        <v>0</v>
      </c>
      <c r="U225" s="241">
        <f t="shared" si="35"/>
        <v>0</v>
      </c>
      <c r="V225" s="114" t="str">
        <f>IF(ISNA(VLOOKUP(J225,[1]!AVION1[#Data],3,FALSE)),"",VLOOKUP(J225,[1]!AVION1[#Data],3,FALSE))</f>
        <v/>
      </c>
      <c r="W225" s="114" t="str">
        <f>IF(ISNA(VLOOKUP(N225,[1]!INSTRUCTEUR[#Data],2,FALSE)),"",VLOOKUP(N225,[1]!INSTRUCTEUR[#Data],2,FALSE))</f>
        <v/>
      </c>
      <c r="X225" s="115">
        <f t="shared" si="36"/>
        <v>0</v>
      </c>
    </row>
    <row r="226" spans="3:24">
      <c r="C226" s="231"/>
      <c r="D226" s="232"/>
      <c r="E226" s="233"/>
      <c r="F226" s="234"/>
      <c r="G226" s="235"/>
      <c r="H226" s="236">
        <f t="shared" si="29"/>
        <v>0</v>
      </c>
      <c r="I226" s="237" t="str">
        <f>IF(ISNA(VLOOKUP(J226,[1]!AVION1[#Data],2,FALSE)),"",VLOOKUP(J226,[1]!AVION1[#Data],2,FALSE))</f>
        <v/>
      </c>
      <c r="J226" s="233"/>
      <c r="K226" s="235"/>
      <c r="L226" s="235"/>
      <c r="M226" s="238">
        <f t="shared" si="30"/>
        <v>0</v>
      </c>
      <c r="N226" s="239"/>
      <c r="O226" s="235"/>
      <c r="P226" s="235"/>
      <c r="Q226" s="240">
        <f t="shared" si="31"/>
        <v>0</v>
      </c>
      <c r="R226" s="241">
        <f t="shared" si="32"/>
        <v>0</v>
      </c>
      <c r="S226" s="240">
        <f t="shared" si="33"/>
        <v>0</v>
      </c>
      <c r="T226" s="241">
        <f t="shared" si="34"/>
        <v>0</v>
      </c>
      <c r="U226" s="241">
        <f t="shared" si="35"/>
        <v>0</v>
      </c>
      <c r="V226" s="114" t="str">
        <f>IF(ISNA(VLOOKUP(J226,[1]!AVION1[#Data],3,FALSE)),"",VLOOKUP(J226,[1]!AVION1[#Data],3,FALSE))</f>
        <v/>
      </c>
      <c r="W226" s="114" t="str">
        <f>IF(ISNA(VLOOKUP(N226,[1]!INSTRUCTEUR[#Data],2,FALSE)),"",VLOOKUP(N226,[1]!INSTRUCTEUR[#Data],2,FALSE))</f>
        <v/>
      </c>
      <c r="X226" s="115">
        <f t="shared" si="36"/>
        <v>0</v>
      </c>
    </row>
    <row r="227" spans="3:24">
      <c r="C227" s="231"/>
      <c r="D227" s="232"/>
      <c r="E227" s="233"/>
      <c r="F227" s="234"/>
      <c r="G227" s="235"/>
      <c r="H227" s="236">
        <f t="shared" si="29"/>
        <v>0</v>
      </c>
      <c r="I227" s="237" t="str">
        <f>IF(ISNA(VLOOKUP(J227,[1]!AVION1[#Data],2,FALSE)),"",VLOOKUP(J227,[1]!AVION1[#Data],2,FALSE))</f>
        <v/>
      </c>
      <c r="J227" s="233"/>
      <c r="K227" s="235"/>
      <c r="L227" s="235"/>
      <c r="M227" s="238">
        <f t="shared" si="30"/>
        <v>0</v>
      </c>
      <c r="N227" s="239"/>
      <c r="O227" s="235"/>
      <c r="P227" s="235"/>
      <c r="Q227" s="240">
        <f t="shared" si="31"/>
        <v>0</v>
      </c>
      <c r="R227" s="241">
        <f t="shared" si="32"/>
        <v>0</v>
      </c>
      <c r="S227" s="240">
        <f t="shared" si="33"/>
        <v>0</v>
      </c>
      <c r="T227" s="241">
        <f t="shared" si="34"/>
        <v>0</v>
      </c>
      <c r="U227" s="241">
        <f t="shared" si="35"/>
        <v>0</v>
      </c>
      <c r="V227" s="114" t="str">
        <f>IF(ISNA(VLOOKUP(J227,[1]!AVION1[#Data],3,FALSE)),"",VLOOKUP(J227,[1]!AVION1[#Data],3,FALSE))</f>
        <v/>
      </c>
      <c r="W227" s="114" t="str">
        <f>IF(ISNA(VLOOKUP(N227,[1]!INSTRUCTEUR[#Data],2,FALSE)),"",VLOOKUP(N227,[1]!INSTRUCTEUR[#Data],2,FALSE))</f>
        <v/>
      </c>
      <c r="X227" s="115">
        <f t="shared" si="36"/>
        <v>0</v>
      </c>
    </row>
    <row r="228" spans="3:24">
      <c r="C228" s="231"/>
      <c r="D228" s="232"/>
      <c r="E228" s="233"/>
      <c r="F228" s="234"/>
      <c r="G228" s="235"/>
      <c r="H228" s="236">
        <f t="shared" si="29"/>
        <v>0</v>
      </c>
      <c r="I228" s="237" t="str">
        <f>IF(ISNA(VLOOKUP(J228,[1]!AVION1[#Data],2,FALSE)),"",VLOOKUP(J228,[1]!AVION1[#Data],2,FALSE))</f>
        <v/>
      </c>
      <c r="J228" s="233"/>
      <c r="K228" s="235"/>
      <c r="L228" s="235"/>
      <c r="M228" s="238">
        <f t="shared" si="30"/>
        <v>0</v>
      </c>
      <c r="N228" s="239"/>
      <c r="O228" s="235"/>
      <c r="P228" s="235"/>
      <c r="Q228" s="240">
        <f t="shared" si="31"/>
        <v>0</v>
      </c>
      <c r="R228" s="241">
        <f t="shared" si="32"/>
        <v>0</v>
      </c>
      <c r="S228" s="240">
        <f t="shared" si="33"/>
        <v>0</v>
      </c>
      <c r="T228" s="241">
        <f t="shared" si="34"/>
        <v>0</v>
      </c>
      <c r="U228" s="241">
        <f t="shared" si="35"/>
        <v>0</v>
      </c>
      <c r="V228" s="114" t="str">
        <f>IF(ISNA(VLOOKUP(J228,[1]!AVION1[#Data],3,FALSE)),"",VLOOKUP(J228,[1]!AVION1[#Data],3,FALSE))</f>
        <v/>
      </c>
      <c r="W228" s="114" t="str">
        <f>IF(ISNA(VLOOKUP(N228,[1]!INSTRUCTEUR[#Data],2,FALSE)),"",VLOOKUP(N228,[1]!INSTRUCTEUR[#Data],2,FALSE))</f>
        <v/>
      </c>
      <c r="X228" s="115">
        <f t="shared" si="36"/>
        <v>0</v>
      </c>
    </row>
    <row r="229" spans="3:24">
      <c r="C229" s="231"/>
      <c r="D229" s="232"/>
      <c r="E229" s="233"/>
      <c r="F229" s="234"/>
      <c r="G229" s="235"/>
      <c r="H229" s="236">
        <f t="shared" ref="H229:H292" si="37">F229+M229</f>
        <v>0</v>
      </c>
      <c r="I229" s="237" t="str">
        <f>IF(ISNA(VLOOKUP(J229,[1]!AVION1[#Data],2,FALSE)),"",VLOOKUP(J229,[1]!AVION1[#Data],2,FALSE))</f>
        <v/>
      </c>
      <c r="J229" s="233"/>
      <c r="K229" s="235"/>
      <c r="L229" s="235"/>
      <c r="M229" s="238">
        <f t="shared" ref="M229:M292" si="38">(L229-K229)*60/14400</f>
        <v>0</v>
      </c>
      <c r="N229" s="239"/>
      <c r="O229" s="235"/>
      <c r="P229" s="235"/>
      <c r="Q229" s="240">
        <f t="shared" si="31"/>
        <v>0</v>
      </c>
      <c r="R229" s="241">
        <f t="shared" si="32"/>
        <v>0</v>
      </c>
      <c r="S229" s="240">
        <f t="shared" si="33"/>
        <v>0</v>
      </c>
      <c r="T229" s="241">
        <f t="shared" si="34"/>
        <v>0</v>
      </c>
      <c r="U229" s="241">
        <f t="shared" si="35"/>
        <v>0</v>
      </c>
      <c r="V229" s="114" t="str">
        <f>IF(ISNA(VLOOKUP(J229,[1]!AVION1[#Data],3,FALSE)),"",VLOOKUP(J229,[1]!AVION1[#Data],3,FALSE))</f>
        <v/>
      </c>
      <c r="W229" s="114" t="str">
        <f>IF(ISNA(VLOOKUP(N229,[1]!INSTRUCTEUR[#Data],2,FALSE)),"",VLOOKUP(N229,[1]!INSTRUCTEUR[#Data],2,FALSE))</f>
        <v/>
      </c>
      <c r="X229" s="115">
        <f t="shared" si="36"/>
        <v>0</v>
      </c>
    </row>
    <row r="230" spans="3:24">
      <c r="C230" s="231"/>
      <c r="D230" s="232"/>
      <c r="E230" s="233"/>
      <c r="F230" s="234"/>
      <c r="G230" s="235"/>
      <c r="H230" s="236">
        <f t="shared" si="37"/>
        <v>0</v>
      </c>
      <c r="I230" s="237" t="str">
        <f>IF(ISNA(VLOOKUP(J230,[1]!AVION1[#Data],2,FALSE)),"",VLOOKUP(J230,[1]!AVION1[#Data],2,FALSE))</f>
        <v/>
      </c>
      <c r="J230" s="233"/>
      <c r="K230" s="235"/>
      <c r="L230" s="235"/>
      <c r="M230" s="238">
        <f t="shared" si="38"/>
        <v>0</v>
      </c>
      <c r="N230" s="239"/>
      <c r="O230" s="235"/>
      <c r="P230" s="235"/>
      <c r="Q230" s="240">
        <f t="shared" si="31"/>
        <v>0</v>
      </c>
      <c r="R230" s="241">
        <f t="shared" si="32"/>
        <v>0</v>
      </c>
      <c r="S230" s="240">
        <f t="shared" si="33"/>
        <v>0</v>
      </c>
      <c r="T230" s="241">
        <f t="shared" si="34"/>
        <v>0</v>
      </c>
      <c r="U230" s="241">
        <f t="shared" si="35"/>
        <v>0</v>
      </c>
      <c r="V230" s="114" t="str">
        <f>IF(ISNA(VLOOKUP(J230,[1]!AVION1[#Data],3,FALSE)),"",VLOOKUP(J230,[1]!AVION1[#Data],3,FALSE))</f>
        <v/>
      </c>
      <c r="W230" s="114" t="str">
        <f>IF(ISNA(VLOOKUP(N230,[1]!INSTRUCTEUR[#Data],2,FALSE)),"",VLOOKUP(N230,[1]!INSTRUCTEUR[#Data],2,FALSE))</f>
        <v/>
      </c>
      <c r="X230" s="115">
        <f t="shared" si="36"/>
        <v>0</v>
      </c>
    </row>
    <row r="231" spans="3:24">
      <c r="C231" s="231"/>
      <c r="D231" s="232"/>
      <c r="E231" s="233"/>
      <c r="F231" s="234"/>
      <c r="G231" s="235"/>
      <c r="H231" s="236">
        <f t="shared" si="37"/>
        <v>0</v>
      </c>
      <c r="I231" s="237" t="str">
        <f>IF(ISNA(VLOOKUP(J231,[1]!AVION1[#Data],2,FALSE)),"",VLOOKUP(J231,[1]!AVION1[#Data],2,FALSE))</f>
        <v/>
      </c>
      <c r="J231" s="233"/>
      <c r="K231" s="235"/>
      <c r="L231" s="235"/>
      <c r="M231" s="238">
        <f t="shared" si="38"/>
        <v>0</v>
      </c>
      <c r="N231" s="239"/>
      <c r="O231" s="235"/>
      <c r="P231" s="235"/>
      <c r="Q231" s="240">
        <f t="shared" si="31"/>
        <v>0</v>
      </c>
      <c r="R231" s="241">
        <f t="shared" si="32"/>
        <v>0</v>
      </c>
      <c r="S231" s="240">
        <f t="shared" si="33"/>
        <v>0</v>
      </c>
      <c r="T231" s="241">
        <f t="shared" si="34"/>
        <v>0</v>
      </c>
      <c r="U231" s="241">
        <f t="shared" si="35"/>
        <v>0</v>
      </c>
      <c r="V231" s="114" t="str">
        <f>IF(ISNA(VLOOKUP(J231,[1]!AVION1[#Data],3,FALSE)),"",VLOOKUP(J231,[1]!AVION1[#Data],3,FALSE))</f>
        <v/>
      </c>
      <c r="W231" s="114" t="str">
        <f>IF(ISNA(VLOOKUP(N231,[1]!INSTRUCTEUR[#Data],2,FALSE)),"",VLOOKUP(N231,[1]!INSTRUCTEUR[#Data],2,FALSE))</f>
        <v/>
      </c>
      <c r="X231" s="115">
        <f t="shared" si="36"/>
        <v>0</v>
      </c>
    </row>
    <row r="232" spans="3:24">
      <c r="C232" s="231"/>
      <c r="D232" s="232"/>
      <c r="E232" s="233"/>
      <c r="F232" s="234"/>
      <c r="G232" s="235"/>
      <c r="H232" s="236">
        <f t="shared" si="37"/>
        <v>0</v>
      </c>
      <c r="I232" s="237" t="str">
        <f>IF(ISNA(VLOOKUP(J232,[1]!AVION1[#Data],2,FALSE)),"",VLOOKUP(J232,[1]!AVION1[#Data],2,FALSE))</f>
        <v/>
      </c>
      <c r="J232" s="233"/>
      <c r="K232" s="235"/>
      <c r="L232" s="235"/>
      <c r="M232" s="238">
        <f t="shared" si="38"/>
        <v>0</v>
      </c>
      <c r="N232" s="239"/>
      <c r="O232" s="235"/>
      <c r="P232" s="235"/>
      <c r="Q232" s="240">
        <f t="shared" si="31"/>
        <v>0</v>
      </c>
      <c r="R232" s="241">
        <f t="shared" si="32"/>
        <v>0</v>
      </c>
      <c r="S232" s="240">
        <f t="shared" si="33"/>
        <v>0</v>
      </c>
      <c r="T232" s="241">
        <f t="shared" si="34"/>
        <v>0</v>
      </c>
      <c r="U232" s="241">
        <f t="shared" si="35"/>
        <v>0</v>
      </c>
      <c r="V232" s="114" t="str">
        <f>IF(ISNA(VLOOKUP(J232,[1]!AVION1[#Data],3,FALSE)),"",VLOOKUP(J232,[1]!AVION1[#Data],3,FALSE))</f>
        <v/>
      </c>
      <c r="W232" s="114" t="str">
        <f>IF(ISNA(VLOOKUP(N232,[1]!INSTRUCTEUR[#Data],2,FALSE)),"",VLOOKUP(N232,[1]!INSTRUCTEUR[#Data],2,FALSE))</f>
        <v/>
      </c>
      <c r="X232" s="115">
        <f t="shared" si="36"/>
        <v>0</v>
      </c>
    </row>
    <row r="233" spans="3:24">
      <c r="C233" s="231"/>
      <c r="D233" s="232"/>
      <c r="E233" s="233"/>
      <c r="F233" s="234"/>
      <c r="G233" s="235"/>
      <c r="H233" s="236">
        <f t="shared" si="37"/>
        <v>0</v>
      </c>
      <c r="I233" s="237" t="str">
        <f>IF(ISNA(VLOOKUP(J233,[1]!AVION1[#Data],2,FALSE)),"",VLOOKUP(J233,[1]!AVION1[#Data],2,FALSE))</f>
        <v/>
      </c>
      <c r="J233" s="233"/>
      <c r="K233" s="235"/>
      <c r="L233" s="235"/>
      <c r="M233" s="238">
        <f t="shared" si="38"/>
        <v>0</v>
      </c>
      <c r="N233" s="239"/>
      <c r="O233" s="235"/>
      <c r="P233" s="235"/>
      <c r="Q233" s="240">
        <f t="shared" si="31"/>
        <v>0</v>
      </c>
      <c r="R233" s="241">
        <f t="shared" si="32"/>
        <v>0</v>
      </c>
      <c r="S233" s="240">
        <f t="shared" si="33"/>
        <v>0</v>
      </c>
      <c r="T233" s="241">
        <f t="shared" si="34"/>
        <v>0</v>
      </c>
      <c r="U233" s="241">
        <f t="shared" si="35"/>
        <v>0</v>
      </c>
      <c r="V233" s="114" t="str">
        <f>IF(ISNA(VLOOKUP(J233,[1]!AVION1[#Data],3,FALSE)),"",VLOOKUP(J233,[1]!AVION1[#Data],3,FALSE))</f>
        <v/>
      </c>
      <c r="W233" s="114" t="str">
        <f>IF(ISNA(VLOOKUP(N233,[1]!INSTRUCTEUR[#Data],2,FALSE)),"",VLOOKUP(N233,[1]!INSTRUCTEUR[#Data],2,FALSE))</f>
        <v/>
      </c>
      <c r="X233" s="115">
        <f t="shared" si="36"/>
        <v>0</v>
      </c>
    </row>
    <row r="234" spans="3:24">
      <c r="C234" s="231"/>
      <c r="D234" s="232"/>
      <c r="E234" s="233"/>
      <c r="F234" s="234"/>
      <c r="G234" s="235"/>
      <c r="H234" s="236">
        <f t="shared" si="37"/>
        <v>0</v>
      </c>
      <c r="I234" s="237" t="str">
        <f>IF(ISNA(VLOOKUP(J234,[1]!AVION1[#Data],2,FALSE)),"",VLOOKUP(J234,[1]!AVION1[#Data],2,FALSE))</f>
        <v/>
      </c>
      <c r="J234" s="233"/>
      <c r="K234" s="235"/>
      <c r="L234" s="235"/>
      <c r="M234" s="238">
        <f t="shared" si="38"/>
        <v>0</v>
      </c>
      <c r="N234" s="239"/>
      <c r="O234" s="235"/>
      <c r="P234" s="235"/>
      <c r="Q234" s="240">
        <f t="shared" si="31"/>
        <v>0</v>
      </c>
      <c r="R234" s="241">
        <f t="shared" si="32"/>
        <v>0</v>
      </c>
      <c r="S234" s="240">
        <f t="shared" si="33"/>
        <v>0</v>
      </c>
      <c r="T234" s="241">
        <f t="shared" si="34"/>
        <v>0</v>
      </c>
      <c r="U234" s="241">
        <f t="shared" si="35"/>
        <v>0</v>
      </c>
      <c r="V234" s="114" t="str">
        <f>IF(ISNA(VLOOKUP(J234,[1]!AVION1[#Data],3,FALSE)),"",VLOOKUP(J234,[1]!AVION1[#Data],3,FALSE))</f>
        <v/>
      </c>
      <c r="W234" s="114" t="str">
        <f>IF(ISNA(VLOOKUP(N234,[1]!INSTRUCTEUR[#Data],2,FALSE)),"",VLOOKUP(N234,[1]!INSTRUCTEUR[#Data],2,FALSE))</f>
        <v/>
      </c>
      <c r="X234" s="115">
        <f t="shared" si="36"/>
        <v>0</v>
      </c>
    </row>
    <row r="235" spans="3:24">
      <c r="C235" s="231"/>
      <c r="D235" s="232"/>
      <c r="E235" s="233"/>
      <c r="F235" s="234"/>
      <c r="G235" s="235"/>
      <c r="H235" s="236">
        <f t="shared" si="37"/>
        <v>0</v>
      </c>
      <c r="I235" s="237" t="str">
        <f>IF(ISNA(VLOOKUP(J235,[1]!AVION1[#Data],2,FALSE)),"",VLOOKUP(J235,[1]!AVION1[#Data],2,FALSE))</f>
        <v/>
      </c>
      <c r="J235" s="233"/>
      <c r="K235" s="235"/>
      <c r="L235" s="235"/>
      <c r="M235" s="238">
        <f t="shared" si="38"/>
        <v>0</v>
      </c>
      <c r="N235" s="239"/>
      <c r="O235" s="235"/>
      <c r="P235" s="235"/>
      <c r="Q235" s="240">
        <f t="shared" si="31"/>
        <v>0</v>
      </c>
      <c r="R235" s="241">
        <f t="shared" si="32"/>
        <v>0</v>
      </c>
      <c r="S235" s="240">
        <f t="shared" si="33"/>
        <v>0</v>
      </c>
      <c r="T235" s="241">
        <f t="shared" si="34"/>
        <v>0</v>
      </c>
      <c r="U235" s="241">
        <f t="shared" si="35"/>
        <v>0</v>
      </c>
      <c r="V235" s="114" t="str">
        <f>IF(ISNA(VLOOKUP(J235,[1]!AVION1[#Data],3,FALSE)),"",VLOOKUP(J235,[1]!AVION1[#Data],3,FALSE))</f>
        <v/>
      </c>
      <c r="W235" s="114" t="str">
        <f>IF(ISNA(VLOOKUP(N235,[1]!INSTRUCTEUR[#Data],2,FALSE)),"",VLOOKUP(N235,[1]!INSTRUCTEUR[#Data],2,FALSE))</f>
        <v/>
      </c>
      <c r="X235" s="115">
        <f t="shared" si="36"/>
        <v>0</v>
      </c>
    </row>
    <row r="236" spans="3:24">
      <c r="C236" s="231"/>
      <c r="D236" s="232"/>
      <c r="E236" s="233"/>
      <c r="F236" s="234"/>
      <c r="G236" s="235"/>
      <c r="H236" s="236">
        <f t="shared" si="37"/>
        <v>0</v>
      </c>
      <c r="I236" s="237" t="str">
        <f>IF(ISNA(VLOOKUP(J236,[1]!AVION1[#Data],2,FALSE)),"",VLOOKUP(J236,[1]!AVION1[#Data],2,FALSE))</f>
        <v/>
      </c>
      <c r="J236" s="233"/>
      <c r="K236" s="235"/>
      <c r="L236" s="235"/>
      <c r="M236" s="238">
        <f t="shared" si="38"/>
        <v>0</v>
      </c>
      <c r="N236" s="239"/>
      <c r="O236" s="235"/>
      <c r="P236" s="235"/>
      <c r="Q236" s="240">
        <f t="shared" si="31"/>
        <v>0</v>
      </c>
      <c r="R236" s="241">
        <f t="shared" si="32"/>
        <v>0</v>
      </c>
      <c r="S236" s="240">
        <f t="shared" si="33"/>
        <v>0</v>
      </c>
      <c r="T236" s="241">
        <f t="shared" si="34"/>
        <v>0</v>
      </c>
      <c r="U236" s="241">
        <f t="shared" si="35"/>
        <v>0</v>
      </c>
      <c r="V236" s="114" t="str">
        <f>IF(ISNA(VLOOKUP(J236,[1]!AVION1[#Data],3,FALSE)),"",VLOOKUP(J236,[1]!AVION1[#Data],3,FALSE))</f>
        <v/>
      </c>
      <c r="W236" s="114" t="str">
        <f>IF(ISNA(VLOOKUP(N236,[1]!INSTRUCTEUR[#Data],2,FALSE)),"",VLOOKUP(N236,[1]!INSTRUCTEUR[#Data],2,FALSE))</f>
        <v/>
      </c>
      <c r="X236" s="115">
        <f t="shared" si="36"/>
        <v>0</v>
      </c>
    </row>
    <row r="237" spans="3:24">
      <c r="C237" s="231"/>
      <c r="D237" s="232"/>
      <c r="E237" s="233"/>
      <c r="F237" s="234"/>
      <c r="G237" s="235"/>
      <c r="H237" s="236">
        <f t="shared" si="37"/>
        <v>0</v>
      </c>
      <c r="I237" s="237" t="str">
        <f>IF(ISNA(VLOOKUP(J237,[1]!AVION1[#Data],2,FALSE)),"",VLOOKUP(J237,[1]!AVION1[#Data],2,FALSE))</f>
        <v/>
      </c>
      <c r="J237" s="233"/>
      <c r="K237" s="235"/>
      <c r="L237" s="235"/>
      <c r="M237" s="238">
        <f t="shared" si="38"/>
        <v>0</v>
      </c>
      <c r="N237" s="239"/>
      <c r="O237" s="235"/>
      <c r="P237" s="235"/>
      <c r="Q237" s="240">
        <f t="shared" si="31"/>
        <v>0</v>
      </c>
      <c r="R237" s="241">
        <f t="shared" si="32"/>
        <v>0</v>
      </c>
      <c r="S237" s="240">
        <f t="shared" si="33"/>
        <v>0</v>
      </c>
      <c r="T237" s="241">
        <f t="shared" si="34"/>
        <v>0</v>
      </c>
      <c r="U237" s="241">
        <f t="shared" si="35"/>
        <v>0</v>
      </c>
      <c r="V237" s="114" t="str">
        <f>IF(ISNA(VLOOKUP(J237,[1]!AVION1[#Data],3,FALSE)),"",VLOOKUP(J237,[1]!AVION1[#Data],3,FALSE))</f>
        <v/>
      </c>
      <c r="W237" s="114" t="str">
        <f>IF(ISNA(VLOOKUP(N237,[1]!INSTRUCTEUR[#Data],2,FALSE)),"",VLOOKUP(N237,[1]!INSTRUCTEUR[#Data],2,FALSE))</f>
        <v/>
      </c>
      <c r="X237" s="115">
        <f t="shared" si="36"/>
        <v>0</v>
      </c>
    </row>
    <row r="238" spans="3:24">
      <c r="C238" s="231"/>
      <c r="D238" s="232"/>
      <c r="E238" s="233"/>
      <c r="F238" s="234"/>
      <c r="G238" s="235"/>
      <c r="H238" s="236">
        <f t="shared" si="37"/>
        <v>0</v>
      </c>
      <c r="I238" s="237" t="str">
        <f>IF(ISNA(VLOOKUP(J238,[1]!AVION1[#Data],2,FALSE)),"",VLOOKUP(J238,[1]!AVION1[#Data],2,FALSE))</f>
        <v/>
      </c>
      <c r="J238" s="233"/>
      <c r="K238" s="235"/>
      <c r="L238" s="235"/>
      <c r="M238" s="238">
        <f t="shared" si="38"/>
        <v>0</v>
      </c>
      <c r="N238" s="239"/>
      <c r="O238" s="235"/>
      <c r="P238" s="235"/>
      <c r="Q238" s="240">
        <f t="shared" si="31"/>
        <v>0</v>
      </c>
      <c r="R238" s="241">
        <f t="shared" si="32"/>
        <v>0</v>
      </c>
      <c r="S238" s="240">
        <f t="shared" si="33"/>
        <v>0</v>
      </c>
      <c r="T238" s="241">
        <f t="shared" si="34"/>
        <v>0</v>
      </c>
      <c r="U238" s="241">
        <f t="shared" si="35"/>
        <v>0</v>
      </c>
      <c r="V238" s="114" t="str">
        <f>IF(ISNA(VLOOKUP(J238,[1]!AVION1[#Data],3,FALSE)),"",VLOOKUP(J238,[1]!AVION1[#Data],3,FALSE))</f>
        <v/>
      </c>
      <c r="W238" s="114" t="str">
        <f>IF(ISNA(VLOOKUP(N238,[1]!INSTRUCTEUR[#Data],2,FALSE)),"",VLOOKUP(N238,[1]!INSTRUCTEUR[#Data],2,FALSE))</f>
        <v/>
      </c>
      <c r="X238" s="115">
        <f t="shared" si="36"/>
        <v>0</v>
      </c>
    </row>
    <row r="239" spans="3:24">
      <c r="C239" s="231"/>
      <c r="D239" s="232"/>
      <c r="E239" s="233"/>
      <c r="F239" s="234"/>
      <c r="G239" s="235"/>
      <c r="H239" s="236">
        <f t="shared" si="37"/>
        <v>0</v>
      </c>
      <c r="I239" s="237" t="str">
        <f>IF(ISNA(VLOOKUP(J239,[1]!AVION1[#Data],2,FALSE)),"",VLOOKUP(J239,[1]!AVION1[#Data],2,FALSE))</f>
        <v/>
      </c>
      <c r="J239" s="233"/>
      <c r="K239" s="235"/>
      <c r="L239" s="235"/>
      <c r="M239" s="238">
        <f t="shared" si="38"/>
        <v>0</v>
      </c>
      <c r="N239" s="239"/>
      <c r="O239" s="235"/>
      <c r="P239" s="235"/>
      <c r="Q239" s="240">
        <f t="shared" si="31"/>
        <v>0</v>
      </c>
      <c r="R239" s="241">
        <f t="shared" si="32"/>
        <v>0</v>
      </c>
      <c r="S239" s="240">
        <f t="shared" si="33"/>
        <v>0</v>
      </c>
      <c r="T239" s="241">
        <f t="shared" si="34"/>
        <v>0</v>
      </c>
      <c r="U239" s="241">
        <f t="shared" si="35"/>
        <v>0</v>
      </c>
      <c r="V239" s="114" t="str">
        <f>IF(ISNA(VLOOKUP(J239,[1]!AVION1[#Data],3,FALSE)),"",VLOOKUP(J239,[1]!AVION1[#Data],3,FALSE))</f>
        <v/>
      </c>
      <c r="W239" s="114" t="str">
        <f>IF(ISNA(VLOOKUP(N239,[1]!INSTRUCTEUR[#Data],2,FALSE)),"",VLOOKUP(N239,[1]!INSTRUCTEUR[#Data],2,FALSE))</f>
        <v/>
      </c>
      <c r="X239" s="115">
        <f t="shared" si="36"/>
        <v>0</v>
      </c>
    </row>
    <row r="240" spans="3:24">
      <c r="C240" s="231"/>
      <c r="D240" s="232"/>
      <c r="E240" s="233"/>
      <c r="F240" s="234"/>
      <c r="G240" s="235"/>
      <c r="H240" s="236">
        <f t="shared" si="37"/>
        <v>0</v>
      </c>
      <c r="I240" s="237" t="str">
        <f>IF(ISNA(VLOOKUP(J240,[1]!AVION1[#Data],2,FALSE)),"",VLOOKUP(J240,[1]!AVION1[#Data],2,FALSE))</f>
        <v/>
      </c>
      <c r="J240" s="233"/>
      <c r="K240" s="235"/>
      <c r="L240" s="235"/>
      <c r="M240" s="238">
        <f t="shared" si="38"/>
        <v>0</v>
      </c>
      <c r="N240" s="239"/>
      <c r="O240" s="235"/>
      <c r="P240" s="235"/>
      <c r="Q240" s="240">
        <f t="shared" si="31"/>
        <v>0</v>
      </c>
      <c r="R240" s="241">
        <f t="shared" si="32"/>
        <v>0</v>
      </c>
      <c r="S240" s="240">
        <f t="shared" si="33"/>
        <v>0</v>
      </c>
      <c r="T240" s="241">
        <f t="shared" si="34"/>
        <v>0</v>
      </c>
      <c r="U240" s="241">
        <f t="shared" si="35"/>
        <v>0</v>
      </c>
      <c r="V240" s="114" t="str">
        <f>IF(ISNA(VLOOKUP(J240,[1]!AVION1[#Data],3,FALSE)),"",VLOOKUP(J240,[1]!AVION1[#Data],3,FALSE))</f>
        <v/>
      </c>
      <c r="W240" s="114" t="str">
        <f>IF(ISNA(VLOOKUP(N240,[1]!INSTRUCTEUR[#Data],2,FALSE)),"",VLOOKUP(N240,[1]!INSTRUCTEUR[#Data],2,FALSE))</f>
        <v/>
      </c>
      <c r="X240" s="115">
        <f t="shared" si="36"/>
        <v>0</v>
      </c>
    </row>
    <row r="241" spans="3:24">
      <c r="C241" s="231"/>
      <c r="D241" s="232"/>
      <c r="E241" s="233"/>
      <c r="F241" s="234"/>
      <c r="G241" s="235"/>
      <c r="H241" s="236">
        <f t="shared" si="37"/>
        <v>0</v>
      </c>
      <c r="I241" s="237" t="str">
        <f>IF(ISNA(VLOOKUP(J241,[1]!AVION1[#Data],2,FALSE)),"",VLOOKUP(J241,[1]!AVION1[#Data],2,FALSE))</f>
        <v/>
      </c>
      <c r="J241" s="233"/>
      <c r="K241" s="235"/>
      <c r="L241" s="235"/>
      <c r="M241" s="238">
        <f t="shared" si="38"/>
        <v>0</v>
      </c>
      <c r="N241" s="239"/>
      <c r="O241" s="235"/>
      <c r="P241" s="235"/>
      <c r="Q241" s="240">
        <f t="shared" si="31"/>
        <v>0</v>
      </c>
      <c r="R241" s="241">
        <f t="shared" si="32"/>
        <v>0</v>
      </c>
      <c r="S241" s="240">
        <f t="shared" si="33"/>
        <v>0</v>
      </c>
      <c r="T241" s="241">
        <f t="shared" si="34"/>
        <v>0</v>
      </c>
      <c r="U241" s="241">
        <f t="shared" si="35"/>
        <v>0</v>
      </c>
      <c r="V241" s="114" t="str">
        <f>IF(ISNA(VLOOKUP(J241,[1]!AVION1[#Data],3,FALSE)),"",VLOOKUP(J241,[1]!AVION1[#Data],3,FALSE))</f>
        <v/>
      </c>
      <c r="W241" s="114" t="str">
        <f>IF(ISNA(VLOOKUP(N241,[1]!INSTRUCTEUR[#Data],2,FALSE)),"",VLOOKUP(N241,[1]!INSTRUCTEUR[#Data],2,FALSE))</f>
        <v/>
      </c>
      <c r="X241" s="115">
        <f t="shared" si="36"/>
        <v>0</v>
      </c>
    </row>
    <row r="242" spans="3:24">
      <c r="C242" s="231"/>
      <c r="D242" s="232"/>
      <c r="E242" s="233"/>
      <c r="F242" s="234"/>
      <c r="G242" s="235"/>
      <c r="H242" s="236">
        <f t="shared" si="37"/>
        <v>0</v>
      </c>
      <c r="I242" s="237" t="str">
        <f>IF(ISNA(VLOOKUP(J242,[1]!AVION1[#Data],2,FALSE)),"",VLOOKUP(J242,[1]!AVION1[#Data],2,FALSE))</f>
        <v/>
      </c>
      <c r="J242" s="233"/>
      <c r="K242" s="235"/>
      <c r="L242" s="235"/>
      <c r="M242" s="238">
        <f t="shared" si="38"/>
        <v>0</v>
      </c>
      <c r="N242" s="239"/>
      <c r="O242" s="235"/>
      <c r="P242" s="235"/>
      <c r="Q242" s="240">
        <f t="shared" si="31"/>
        <v>0</v>
      </c>
      <c r="R242" s="241">
        <f t="shared" si="32"/>
        <v>0</v>
      </c>
      <c r="S242" s="240">
        <f t="shared" si="33"/>
        <v>0</v>
      </c>
      <c r="T242" s="241">
        <f t="shared" si="34"/>
        <v>0</v>
      </c>
      <c r="U242" s="241">
        <f t="shared" si="35"/>
        <v>0</v>
      </c>
      <c r="V242" s="114" t="str">
        <f>IF(ISNA(VLOOKUP(J242,[1]!AVION1[#Data],3,FALSE)),"",VLOOKUP(J242,[1]!AVION1[#Data],3,FALSE))</f>
        <v/>
      </c>
      <c r="W242" s="114" t="str">
        <f>IF(ISNA(VLOOKUP(N242,[1]!INSTRUCTEUR[#Data],2,FALSE)),"",VLOOKUP(N242,[1]!INSTRUCTEUR[#Data],2,FALSE))</f>
        <v/>
      </c>
      <c r="X242" s="115">
        <f t="shared" si="36"/>
        <v>0</v>
      </c>
    </row>
    <row r="243" spans="3:24">
      <c r="C243" s="231"/>
      <c r="D243" s="232"/>
      <c r="E243" s="233"/>
      <c r="F243" s="234"/>
      <c r="G243" s="235"/>
      <c r="H243" s="236">
        <f t="shared" si="37"/>
        <v>0</v>
      </c>
      <c r="I243" s="237" t="str">
        <f>IF(ISNA(VLOOKUP(J243,[1]!AVION1[#Data],2,FALSE)),"",VLOOKUP(J243,[1]!AVION1[#Data],2,FALSE))</f>
        <v/>
      </c>
      <c r="J243" s="233"/>
      <c r="K243" s="235"/>
      <c r="L243" s="235"/>
      <c r="M243" s="238">
        <f t="shared" si="38"/>
        <v>0</v>
      </c>
      <c r="N243" s="239"/>
      <c r="O243" s="235"/>
      <c r="P243" s="235"/>
      <c r="Q243" s="240">
        <f t="shared" si="31"/>
        <v>0</v>
      </c>
      <c r="R243" s="241">
        <f t="shared" si="32"/>
        <v>0</v>
      </c>
      <c r="S243" s="240">
        <f t="shared" si="33"/>
        <v>0</v>
      </c>
      <c r="T243" s="241">
        <f t="shared" si="34"/>
        <v>0</v>
      </c>
      <c r="U243" s="241">
        <f t="shared" si="35"/>
        <v>0</v>
      </c>
      <c r="V243" s="114" t="str">
        <f>IF(ISNA(VLOOKUP(J243,[1]!AVION1[#Data],3,FALSE)),"",VLOOKUP(J243,[1]!AVION1[#Data],3,FALSE))</f>
        <v/>
      </c>
      <c r="W243" s="114" t="str">
        <f>IF(ISNA(VLOOKUP(N243,[1]!INSTRUCTEUR[#Data],2,FALSE)),"",VLOOKUP(N243,[1]!INSTRUCTEUR[#Data],2,FALSE))</f>
        <v/>
      </c>
      <c r="X243" s="115">
        <f t="shared" si="36"/>
        <v>0</v>
      </c>
    </row>
    <row r="244" spans="3:24">
      <c r="C244" s="231"/>
      <c r="D244" s="232"/>
      <c r="E244" s="233"/>
      <c r="F244" s="234"/>
      <c r="G244" s="235"/>
      <c r="H244" s="236">
        <f t="shared" si="37"/>
        <v>0</v>
      </c>
      <c r="I244" s="237" t="str">
        <f>IF(ISNA(VLOOKUP(J244,[1]!AVION1[#Data],2,FALSE)),"",VLOOKUP(J244,[1]!AVION1[#Data],2,FALSE))</f>
        <v/>
      </c>
      <c r="J244" s="233"/>
      <c r="K244" s="235"/>
      <c r="L244" s="235"/>
      <c r="M244" s="238">
        <f t="shared" si="38"/>
        <v>0</v>
      </c>
      <c r="N244" s="239"/>
      <c r="O244" s="235"/>
      <c r="P244" s="235"/>
      <c r="Q244" s="240">
        <f t="shared" si="31"/>
        <v>0</v>
      </c>
      <c r="R244" s="241">
        <f t="shared" si="32"/>
        <v>0</v>
      </c>
      <c r="S244" s="240">
        <f t="shared" si="33"/>
        <v>0</v>
      </c>
      <c r="T244" s="241">
        <f t="shared" si="34"/>
        <v>0</v>
      </c>
      <c r="U244" s="241">
        <f t="shared" si="35"/>
        <v>0</v>
      </c>
      <c r="V244" s="114" t="str">
        <f>IF(ISNA(VLOOKUP(J244,[1]!AVION1[#Data],3,FALSE)),"",VLOOKUP(J244,[1]!AVION1[#Data],3,FALSE))</f>
        <v/>
      </c>
      <c r="W244" s="114" t="str">
        <f>IF(ISNA(VLOOKUP(N244,[1]!INSTRUCTEUR[#Data],2,FALSE)),"",VLOOKUP(N244,[1]!INSTRUCTEUR[#Data],2,FALSE))</f>
        <v/>
      </c>
      <c r="X244" s="115">
        <f t="shared" si="36"/>
        <v>0</v>
      </c>
    </row>
    <row r="245" spans="3:24">
      <c r="C245" s="231"/>
      <c r="D245" s="232"/>
      <c r="E245" s="233"/>
      <c r="F245" s="234"/>
      <c r="G245" s="235"/>
      <c r="H245" s="236">
        <f t="shared" si="37"/>
        <v>0</v>
      </c>
      <c r="I245" s="237" t="str">
        <f>IF(ISNA(VLOOKUP(J245,[1]!AVION1[#Data],2,FALSE)),"",VLOOKUP(J245,[1]!AVION1[#Data],2,FALSE))</f>
        <v/>
      </c>
      <c r="J245" s="233"/>
      <c r="K245" s="235"/>
      <c r="L245" s="235"/>
      <c r="M245" s="238">
        <f t="shared" si="38"/>
        <v>0</v>
      </c>
      <c r="N245" s="239"/>
      <c r="O245" s="235"/>
      <c r="P245" s="235"/>
      <c r="Q245" s="240">
        <f t="shared" si="31"/>
        <v>0</v>
      </c>
      <c r="R245" s="241">
        <f t="shared" si="32"/>
        <v>0</v>
      </c>
      <c r="S245" s="240">
        <f t="shared" si="33"/>
        <v>0</v>
      </c>
      <c r="T245" s="241">
        <f t="shared" si="34"/>
        <v>0</v>
      </c>
      <c r="U245" s="241">
        <f t="shared" si="35"/>
        <v>0</v>
      </c>
      <c r="V245" s="114" t="str">
        <f>IF(ISNA(VLOOKUP(J245,[1]!AVION1[#Data],3,FALSE)),"",VLOOKUP(J245,[1]!AVION1[#Data],3,FALSE))</f>
        <v/>
      </c>
      <c r="W245" s="114" t="str">
        <f>IF(ISNA(VLOOKUP(N245,[1]!INSTRUCTEUR[#Data],2,FALSE)),"",VLOOKUP(N245,[1]!INSTRUCTEUR[#Data],2,FALSE))</f>
        <v/>
      </c>
      <c r="X245" s="115">
        <f t="shared" si="36"/>
        <v>0</v>
      </c>
    </row>
    <row r="246" spans="3:24">
      <c r="C246" s="231"/>
      <c r="D246" s="232"/>
      <c r="E246" s="233"/>
      <c r="F246" s="234"/>
      <c r="G246" s="235"/>
      <c r="H246" s="236">
        <f t="shared" si="37"/>
        <v>0</v>
      </c>
      <c r="I246" s="237" t="str">
        <f>IF(ISNA(VLOOKUP(J246,[1]!AVION1[#Data],2,FALSE)),"",VLOOKUP(J246,[1]!AVION1[#Data],2,FALSE))</f>
        <v/>
      </c>
      <c r="J246" s="233"/>
      <c r="K246" s="235"/>
      <c r="L246" s="235"/>
      <c r="M246" s="238">
        <f t="shared" si="38"/>
        <v>0</v>
      </c>
      <c r="N246" s="239"/>
      <c r="O246" s="235"/>
      <c r="P246" s="235"/>
      <c r="Q246" s="240">
        <f t="shared" si="31"/>
        <v>0</v>
      </c>
      <c r="R246" s="241">
        <f t="shared" si="32"/>
        <v>0</v>
      </c>
      <c r="S246" s="240">
        <f t="shared" si="33"/>
        <v>0</v>
      </c>
      <c r="T246" s="241">
        <f t="shared" si="34"/>
        <v>0</v>
      </c>
      <c r="U246" s="241">
        <f t="shared" si="35"/>
        <v>0</v>
      </c>
      <c r="V246" s="114" t="str">
        <f>IF(ISNA(VLOOKUP(J246,[1]!AVION1[#Data],3,FALSE)),"",VLOOKUP(J246,[1]!AVION1[#Data],3,FALSE))</f>
        <v/>
      </c>
      <c r="W246" s="114" t="str">
        <f>IF(ISNA(VLOOKUP(N246,[1]!INSTRUCTEUR[#Data],2,FALSE)),"",VLOOKUP(N246,[1]!INSTRUCTEUR[#Data],2,FALSE))</f>
        <v/>
      </c>
      <c r="X246" s="115">
        <f t="shared" si="36"/>
        <v>0</v>
      </c>
    </row>
    <row r="247" spans="3:24">
      <c r="C247" s="231"/>
      <c r="D247" s="232"/>
      <c r="E247" s="233"/>
      <c r="F247" s="234"/>
      <c r="G247" s="235"/>
      <c r="H247" s="236">
        <f t="shared" si="37"/>
        <v>0</v>
      </c>
      <c r="I247" s="237" t="str">
        <f>IF(ISNA(VLOOKUP(J247,[1]!AVION1[#Data],2,FALSE)),"",VLOOKUP(J247,[1]!AVION1[#Data],2,FALSE))</f>
        <v/>
      </c>
      <c r="J247" s="233"/>
      <c r="K247" s="235"/>
      <c r="L247" s="235"/>
      <c r="M247" s="238">
        <f t="shared" si="38"/>
        <v>0</v>
      </c>
      <c r="N247" s="239"/>
      <c r="O247" s="235"/>
      <c r="P247" s="235"/>
      <c r="Q247" s="240">
        <f t="shared" si="31"/>
        <v>0</v>
      </c>
      <c r="R247" s="241">
        <f t="shared" si="32"/>
        <v>0</v>
      </c>
      <c r="S247" s="240">
        <f t="shared" si="33"/>
        <v>0</v>
      </c>
      <c r="T247" s="241">
        <f t="shared" si="34"/>
        <v>0</v>
      </c>
      <c r="U247" s="241">
        <f t="shared" si="35"/>
        <v>0</v>
      </c>
      <c r="V247" s="114" t="str">
        <f>IF(ISNA(VLOOKUP(J247,[1]!AVION1[#Data],3,FALSE)),"",VLOOKUP(J247,[1]!AVION1[#Data],3,FALSE))</f>
        <v/>
      </c>
      <c r="W247" s="114" t="str">
        <f>IF(ISNA(VLOOKUP(N247,[1]!INSTRUCTEUR[#Data],2,FALSE)),"",VLOOKUP(N247,[1]!INSTRUCTEUR[#Data],2,FALSE))</f>
        <v/>
      </c>
      <c r="X247" s="115">
        <f t="shared" si="36"/>
        <v>0</v>
      </c>
    </row>
    <row r="248" spans="3:24">
      <c r="C248" s="231"/>
      <c r="D248" s="232"/>
      <c r="E248" s="233"/>
      <c r="F248" s="234"/>
      <c r="G248" s="235"/>
      <c r="H248" s="236">
        <f t="shared" si="37"/>
        <v>0</v>
      </c>
      <c r="I248" s="237" t="str">
        <f>IF(ISNA(VLOOKUP(J248,[1]!AVION1[#Data],2,FALSE)),"",VLOOKUP(J248,[1]!AVION1[#Data],2,FALSE))</f>
        <v/>
      </c>
      <c r="J248" s="233"/>
      <c r="K248" s="235"/>
      <c r="L248" s="235"/>
      <c r="M248" s="238">
        <f t="shared" si="38"/>
        <v>0</v>
      </c>
      <c r="N248" s="239"/>
      <c r="O248" s="235"/>
      <c r="P248" s="235"/>
      <c r="Q248" s="240">
        <f t="shared" si="31"/>
        <v>0</v>
      </c>
      <c r="R248" s="241">
        <f t="shared" si="32"/>
        <v>0</v>
      </c>
      <c r="S248" s="240">
        <f t="shared" si="33"/>
        <v>0</v>
      </c>
      <c r="T248" s="241">
        <f t="shared" si="34"/>
        <v>0</v>
      </c>
      <c r="U248" s="241">
        <f t="shared" si="35"/>
        <v>0</v>
      </c>
      <c r="V248" s="114" t="str">
        <f>IF(ISNA(VLOOKUP(J248,[1]!AVION1[#Data],3,FALSE)),"",VLOOKUP(J248,[1]!AVION1[#Data],3,FALSE))</f>
        <v/>
      </c>
      <c r="W248" s="114" t="str">
        <f>IF(ISNA(VLOOKUP(N248,[1]!INSTRUCTEUR[#Data],2,FALSE)),"",VLOOKUP(N248,[1]!INSTRUCTEUR[#Data],2,FALSE))</f>
        <v/>
      </c>
      <c r="X248" s="115">
        <f t="shared" si="36"/>
        <v>0</v>
      </c>
    </row>
    <row r="249" spans="3:24">
      <c r="C249" s="231"/>
      <c r="D249" s="232"/>
      <c r="E249" s="233"/>
      <c r="F249" s="234"/>
      <c r="G249" s="235"/>
      <c r="H249" s="236">
        <f t="shared" si="37"/>
        <v>0</v>
      </c>
      <c r="I249" s="237" t="str">
        <f>IF(ISNA(VLOOKUP(J249,[1]!AVION1[#Data],2,FALSE)),"",VLOOKUP(J249,[1]!AVION1[#Data],2,FALSE))</f>
        <v/>
      </c>
      <c r="J249" s="233"/>
      <c r="K249" s="235"/>
      <c r="L249" s="235"/>
      <c r="M249" s="238">
        <f t="shared" si="38"/>
        <v>0</v>
      </c>
      <c r="N249" s="239"/>
      <c r="O249" s="235"/>
      <c r="P249" s="235"/>
      <c r="Q249" s="240">
        <f t="shared" si="31"/>
        <v>0</v>
      </c>
      <c r="R249" s="241">
        <f t="shared" si="32"/>
        <v>0</v>
      </c>
      <c r="S249" s="240">
        <f t="shared" si="33"/>
        <v>0</v>
      </c>
      <c r="T249" s="241">
        <f t="shared" si="34"/>
        <v>0</v>
      </c>
      <c r="U249" s="241">
        <f t="shared" si="35"/>
        <v>0</v>
      </c>
      <c r="V249" s="114" t="str">
        <f>IF(ISNA(VLOOKUP(J249,[1]!AVION1[#Data],3,FALSE)),"",VLOOKUP(J249,[1]!AVION1[#Data],3,FALSE))</f>
        <v/>
      </c>
      <c r="W249" s="114" t="str">
        <f>IF(ISNA(VLOOKUP(N249,[1]!INSTRUCTEUR[#Data],2,FALSE)),"",VLOOKUP(N249,[1]!INSTRUCTEUR[#Data],2,FALSE))</f>
        <v/>
      </c>
      <c r="X249" s="115">
        <f t="shared" si="36"/>
        <v>0</v>
      </c>
    </row>
    <row r="250" spans="3:24">
      <c r="C250" s="231"/>
      <c r="D250" s="232"/>
      <c r="E250" s="233"/>
      <c r="F250" s="234"/>
      <c r="G250" s="235"/>
      <c r="H250" s="236">
        <f t="shared" si="37"/>
        <v>0</v>
      </c>
      <c r="I250" s="237" t="str">
        <f>IF(ISNA(VLOOKUP(J250,[1]!AVION1[#Data],2,FALSE)),"",VLOOKUP(J250,[1]!AVION1[#Data],2,FALSE))</f>
        <v/>
      </c>
      <c r="J250" s="233"/>
      <c r="K250" s="235"/>
      <c r="L250" s="235"/>
      <c r="M250" s="238">
        <f t="shared" si="38"/>
        <v>0</v>
      </c>
      <c r="N250" s="239"/>
      <c r="O250" s="235"/>
      <c r="P250" s="235"/>
      <c r="Q250" s="240">
        <f t="shared" si="31"/>
        <v>0</v>
      </c>
      <c r="R250" s="241">
        <f t="shared" si="32"/>
        <v>0</v>
      </c>
      <c r="S250" s="240">
        <f t="shared" si="33"/>
        <v>0</v>
      </c>
      <c r="T250" s="241">
        <f t="shared" si="34"/>
        <v>0</v>
      </c>
      <c r="U250" s="241">
        <f t="shared" si="35"/>
        <v>0</v>
      </c>
      <c r="V250" s="114" t="str">
        <f>IF(ISNA(VLOOKUP(J250,[1]!AVION1[#Data],3,FALSE)),"",VLOOKUP(J250,[1]!AVION1[#Data],3,FALSE))</f>
        <v/>
      </c>
      <c r="W250" s="114" t="str">
        <f>IF(ISNA(VLOOKUP(N250,[1]!INSTRUCTEUR[#Data],2,FALSE)),"",VLOOKUP(N250,[1]!INSTRUCTEUR[#Data],2,FALSE))</f>
        <v/>
      </c>
      <c r="X250" s="115">
        <f t="shared" si="36"/>
        <v>0</v>
      </c>
    </row>
    <row r="251" spans="3:24">
      <c r="C251" s="231"/>
      <c r="D251" s="232"/>
      <c r="E251" s="233"/>
      <c r="F251" s="234"/>
      <c r="G251" s="235"/>
      <c r="H251" s="236">
        <f t="shared" si="37"/>
        <v>0</v>
      </c>
      <c r="I251" s="237" t="str">
        <f>IF(ISNA(VLOOKUP(J251,[1]!AVION1[#Data],2,FALSE)),"",VLOOKUP(J251,[1]!AVION1[#Data],2,FALSE))</f>
        <v/>
      </c>
      <c r="J251" s="233"/>
      <c r="K251" s="235"/>
      <c r="L251" s="235"/>
      <c r="M251" s="238">
        <f t="shared" si="38"/>
        <v>0</v>
      </c>
      <c r="N251" s="239"/>
      <c r="O251" s="235"/>
      <c r="P251" s="235"/>
      <c r="Q251" s="240">
        <f t="shared" si="31"/>
        <v>0</v>
      </c>
      <c r="R251" s="241">
        <f t="shared" si="32"/>
        <v>0</v>
      </c>
      <c r="S251" s="240">
        <f t="shared" si="33"/>
        <v>0</v>
      </c>
      <c r="T251" s="241">
        <f t="shared" si="34"/>
        <v>0</v>
      </c>
      <c r="U251" s="241">
        <f t="shared" si="35"/>
        <v>0</v>
      </c>
      <c r="V251" s="114" t="str">
        <f>IF(ISNA(VLOOKUP(J251,[1]!AVION1[#Data],3,FALSE)),"",VLOOKUP(J251,[1]!AVION1[#Data],3,FALSE))</f>
        <v/>
      </c>
      <c r="W251" s="114" t="str">
        <f>IF(ISNA(VLOOKUP(N251,[1]!INSTRUCTEUR[#Data],2,FALSE)),"",VLOOKUP(N251,[1]!INSTRUCTEUR[#Data],2,FALSE))</f>
        <v/>
      </c>
      <c r="X251" s="115">
        <f t="shared" si="36"/>
        <v>0</v>
      </c>
    </row>
    <row r="252" spans="3:24">
      <c r="C252" s="231"/>
      <c r="D252" s="232"/>
      <c r="E252" s="233"/>
      <c r="F252" s="234"/>
      <c r="G252" s="235"/>
      <c r="H252" s="236">
        <f t="shared" si="37"/>
        <v>0</v>
      </c>
      <c r="I252" s="237" t="str">
        <f>IF(ISNA(VLOOKUP(J252,[1]!AVION1[#Data],2,FALSE)),"",VLOOKUP(J252,[1]!AVION1[#Data],2,FALSE))</f>
        <v/>
      </c>
      <c r="J252" s="233"/>
      <c r="K252" s="235"/>
      <c r="L252" s="235"/>
      <c r="M252" s="238">
        <f t="shared" si="38"/>
        <v>0</v>
      </c>
      <c r="N252" s="239"/>
      <c r="O252" s="235"/>
      <c r="P252" s="235"/>
      <c r="Q252" s="240">
        <f t="shared" si="31"/>
        <v>0</v>
      </c>
      <c r="R252" s="241">
        <f t="shared" si="32"/>
        <v>0</v>
      </c>
      <c r="S252" s="240">
        <f t="shared" si="33"/>
        <v>0</v>
      </c>
      <c r="T252" s="241">
        <f t="shared" si="34"/>
        <v>0</v>
      </c>
      <c r="U252" s="241">
        <f t="shared" si="35"/>
        <v>0</v>
      </c>
      <c r="V252" s="114" t="str">
        <f>IF(ISNA(VLOOKUP(J252,[1]!AVION1[#Data],3,FALSE)),"",VLOOKUP(J252,[1]!AVION1[#Data],3,FALSE))</f>
        <v/>
      </c>
      <c r="W252" s="114" t="str">
        <f>IF(ISNA(VLOOKUP(N252,[1]!INSTRUCTEUR[#Data],2,FALSE)),"",VLOOKUP(N252,[1]!INSTRUCTEUR[#Data],2,FALSE))</f>
        <v/>
      </c>
      <c r="X252" s="115">
        <f t="shared" si="36"/>
        <v>0</v>
      </c>
    </row>
    <row r="253" spans="3:24">
      <c r="C253" s="231"/>
      <c r="D253" s="232"/>
      <c r="E253" s="233"/>
      <c r="F253" s="234"/>
      <c r="G253" s="235"/>
      <c r="H253" s="236">
        <f t="shared" si="37"/>
        <v>0</v>
      </c>
      <c r="I253" s="237" t="str">
        <f>IF(ISNA(VLOOKUP(J253,[1]!AVION1[#Data],2,FALSE)),"",VLOOKUP(J253,[1]!AVION1[#Data],2,FALSE))</f>
        <v/>
      </c>
      <c r="J253" s="233"/>
      <c r="K253" s="235"/>
      <c r="L253" s="235"/>
      <c r="M253" s="238">
        <f t="shared" si="38"/>
        <v>0</v>
      </c>
      <c r="N253" s="239"/>
      <c r="O253" s="235"/>
      <c r="P253" s="235"/>
      <c r="Q253" s="240">
        <f t="shared" si="31"/>
        <v>0</v>
      </c>
      <c r="R253" s="241">
        <f t="shared" si="32"/>
        <v>0</v>
      </c>
      <c r="S253" s="240">
        <f t="shared" si="33"/>
        <v>0</v>
      </c>
      <c r="T253" s="241">
        <f t="shared" si="34"/>
        <v>0</v>
      </c>
      <c r="U253" s="241">
        <f t="shared" si="35"/>
        <v>0</v>
      </c>
      <c r="V253" s="114" t="str">
        <f>IF(ISNA(VLOOKUP(J253,[1]!AVION1[#Data],3,FALSE)),"",VLOOKUP(J253,[1]!AVION1[#Data],3,FALSE))</f>
        <v/>
      </c>
      <c r="W253" s="114" t="str">
        <f>IF(ISNA(VLOOKUP(N253,[1]!INSTRUCTEUR[#Data],2,FALSE)),"",VLOOKUP(N253,[1]!INSTRUCTEUR[#Data],2,FALSE))</f>
        <v/>
      </c>
      <c r="X253" s="115">
        <f t="shared" si="36"/>
        <v>0</v>
      </c>
    </row>
    <row r="254" spans="3:24">
      <c r="C254" s="231"/>
      <c r="D254" s="232"/>
      <c r="E254" s="233"/>
      <c r="F254" s="234"/>
      <c r="G254" s="235"/>
      <c r="H254" s="236">
        <f t="shared" si="37"/>
        <v>0</v>
      </c>
      <c r="I254" s="237" t="str">
        <f>IF(ISNA(VLOOKUP(J254,[1]!AVION1[#Data],2,FALSE)),"",VLOOKUP(J254,[1]!AVION1[#Data],2,FALSE))</f>
        <v/>
      </c>
      <c r="J254" s="233"/>
      <c r="K254" s="235"/>
      <c r="L254" s="235"/>
      <c r="M254" s="238">
        <f t="shared" si="38"/>
        <v>0</v>
      </c>
      <c r="N254" s="239"/>
      <c r="O254" s="235"/>
      <c r="P254" s="235"/>
      <c r="Q254" s="240">
        <f t="shared" si="31"/>
        <v>0</v>
      </c>
      <c r="R254" s="241">
        <f t="shared" si="32"/>
        <v>0</v>
      </c>
      <c r="S254" s="240">
        <f t="shared" si="33"/>
        <v>0</v>
      </c>
      <c r="T254" s="241">
        <f t="shared" si="34"/>
        <v>0</v>
      </c>
      <c r="U254" s="241">
        <f t="shared" si="35"/>
        <v>0</v>
      </c>
      <c r="V254" s="114" t="str">
        <f>IF(ISNA(VLOOKUP(J254,[1]!AVION1[#Data],3,FALSE)),"",VLOOKUP(J254,[1]!AVION1[#Data],3,FALSE))</f>
        <v/>
      </c>
      <c r="W254" s="114" t="str">
        <f>IF(ISNA(VLOOKUP(N254,[1]!INSTRUCTEUR[#Data],2,FALSE)),"",VLOOKUP(N254,[1]!INSTRUCTEUR[#Data],2,FALSE))</f>
        <v/>
      </c>
      <c r="X254" s="115">
        <f t="shared" si="36"/>
        <v>0</v>
      </c>
    </row>
    <row r="255" spans="3:24">
      <c r="C255" s="231"/>
      <c r="D255" s="232"/>
      <c r="E255" s="233"/>
      <c r="F255" s="234"/>
      <c r="G255" s="235"/>
      <c r="H255" s="236">
        <f t="shared" si="37"/>
        <v>0</v>
      </c>
      <c r="I255" s="237" t="str">
        <f>IF(ISNA(VLOOKUP(J255,[1]!AVION1[#Data],2,FALSE)),"",VLOOKUP(J255,[1]!AVION1[#Data],2,FALSE))</f>
        <v/>
      </c>
      <c r="J255" s="233"/>
      <c r="K255" s="235"/>
      <c r="L255" s="235"/>
      <c r="M255" s="238">
        <f t="shared" si="38"/>
        <v>0</v>
      </c>
      <c r="N255" s="239"/>
      <c r="O255" s="235"/>
      <c r="P255" s="235"/>
      <c r="Q255" s="240">
        <f t="shared" si="31"/>
        <v>0</v>
      </c>
      <c r="R255" s="241">
        <f t="shared" si="32"/>
        <v>0</v>
      </c>
      <c r="S255" s="240">
        <f t="shared" si="33"/>
        <v>0</v>
      </c>
      <c r="T255" s="241">
        <f t="shared" si="34"/>
        <v>0</v>
      </c>
      <c r="U255" s="241">
        <f t="shared" si="35"/>
        <v>0</v>
      </c>
      <c r="V255" s="114" t="str">
        <f>IF(ISNA(VLOOKUP(J255,[1]!AVION1[#Data],3,FALSE)),"",VLOOKUP(J255,[1]!AVION1[#Data],3,FALSE))</f>
        <v/>
      </c>
      <c r="W255" s="114" t="str">
        <f>IF(ISNA(VLOOKUP(N255,[1]!INSTRUCTEUR[#Data],2,FALSE)),"",VLOOKUP(N255,[1]!INSTRUCTEUR[#Data],2,FALSE))</f>
        <v/>
      </c>
      <c r="X255" s="115">
        <f t="shared" si="36"/>
        <v>0</v>
      </c>
    </row>
    <row r="256" spans="3:24">
      <c r="C256" s="231"/>
      <c r="D256" s="232"/>
      <c r="E256" s="233"/>
      <c r="F256" s="234"/>
      <c r="G256" s="235"/>
      <c r="H256" s="236">
        <f t="shared" si="37"/>
        <v>0</v>
      </c>
      <c r="I256" s="237" t="str">
        <f>IF(ISNA(VLOOKUP(J256,[1]!AVION1[#Data],2,FALSE)),"",VLOOKUP(J256,[1]!AVION1[#Data],2,FALSE))</f>
        <v/>
      </c>
      <c r="J256" s="233"/>
      <c r="K256" s="235"/>
      <c r="L256" s="235"/>
      <c r="M256" s="238">
        <f t="shared" si="38"/>
        <v>0</v>
      </c>
      <c r="N256" s="239"/>
      <c r="O256" s="235"/>
      <c r="P256" s="235"/>
      <c r="Q256" s="240">
        <f t="shared" si="31"/>
        <v>0</v>
      </c>
      <c r="R256" s="241">
        <f t="shared" si="32"/>
        <v>0</v>
      </c>
      <c r="S256" s="240">
        <f t="shared" si="33"/>
        <v>0</v>
      </c>
      <c r="T256" s="241">
        <f t="shared" si="34"/>
        <v>0</v>
      </c>
      <c r="U256" s="241">
        <f t="shared" si="35"/>
        <v>0</v>
      </c>
      <c r="V256" s="114" t="str">
        <f>IF(ISNA(VLOOKUP(J256,[1]!AVION1[#Data],3,FALSE)),"",VLOOKUP(J256,[1]!AVION1[#Data],3,FALSE))</f>
        <v/>
      </c>
      <c r="W256" s="114" t="str">
        <f>IF(ISNA(VLOOKUP(N256,[1]!INSTRUCTEUR[#Data],2,FALSE)),"",VLOOKUP(N256,[1]!INSTRUCTEUR[#Data],2,FALSE))</f>
        <v/>
      </c>
      <c r="X256" s="115">
        <f t="shared" si="36"/>
        <v>0</v>
      </c>
    </row>
    <row r="257" spans="3:24">
      <c r="C257" s="231"/>
      <c r="D257" s="232"/>
      <c r="E257" s="233"/>
      <c r="F257" s="234"/>
      <c r="G257" s="235"/>
      <c r="H257" s="236">
        <f t="shared" si="37"/>
        <v>0</v>
      </c>
      <c r="I257" s="237" t="str">
        <f>IF(ISNA(VLOOKUP(J257,[1]!AVION1[#Data],2,FALSE)),"",VLOOKUP(J257,[1]!AVION1[#Data],2,FALSE))</f>
        <v/>
      </c>
      <c r="J257" s="233"/>
      <c r="K257" s="235"/>
      <c r="L257" s="235"/>
      <c r="M257" s="238">
        <f t="shared" si="38"/>
        <v>0</v>
      </c>
      <c r="N257" s="239"/>
      <c r="O257" s="235"/>
      <c r="P257" s="235"/>
      <c r="Q257" s="240">
        <f t="shared" si="31"/>
        <v>0</v>
      </c>
      <c r="R257" s="241">
        <f t="shared" si="32"/>
        <v>0</v>
      </c>
      <c r="S257" s="240">
        <f t="shared" si="33"/>
        <v>0</v>
      </c>
      <c r="T257" s="241">
        <f t="shared" si="34"/>
        <v>0</v>
      </c>
      <c r="U257" s="241">
        <f t="shared" si="35"/>
        <v>0</v>
      </c>
      <c r="V257" s="114" t="str">
        <f>IF(ISNA(VLOOKUP(J257,[1]!AVION1[#Data],3,FALSE)),"",VLOOKUP(J257,[1]!AVION1[#Data],3,FALSE))</f>
        <v/>
      </c>
      <c r="W257" s="114" t="str">
        <f>IF(ISNA(VLOOKUP(N257,[1]!INSTRUCTEUR[#Data],2,FALSE)),"",VLOOKUP(N257,[1]!INSTRUCTEUR[#Data],2,FALSE))</f>
        <v/>
      </c>
      <c r="X257" s="115">
        <f t="shared" si="36"/>
        <v>0</v>
      </c>
    </row>
    <row r="258" spans="3:24">
      <c r="C258" s="231"/>
      <c r="D258" s="232"/>
      <c r="E258" s="233"/>
      <c r="F258" s="234"/>
      <c r="G258" s="235"/>
      <c r="H258" s="236">
        <f t="shared" si="37"/>
        <v>0</v>
      </c>
      <c r="I258" s="237" t="str">
        <f>IF(ISNA(VLOOKUP(J258,[1]!AVION1[#Data],2,FALSE)),"",VLOOKUP(J258,[1]!AVION1[#Data],2,FALSE))</f>
        <v/>
      </c>
      <c r="J258" s="233"/>
      <c r="K258" s="235"/>
      <c r="L258" s="235"/>
      <c r="M258" s="238">
        <f t="shared" si="38"/>
        <v>0</v>
      </c>
      <c r="N258" s="239"/>
      <c r="O258" s="235"/>
      <c r="P258" s="235"/>
      <c r="Q258" s="240">
        <f t="shared" si="31"/>
        <v>0</v>
      </c>
      <c r="R258" s="241">
        <f t="shared" si="32"/>
        <v>0</v>
      </c>
      <c r="S258" s="240">
        <f t="shared" si="33"/>
        <v>0</v>
      </c>
      <c r="T258" s="241">
        <f t="shared" si="34"/>
        <v>0</v>
      </c>
      <c r="U258" s="241">
        <f t="shared" si="35"/>
        <v>0</v>
      </c>
      <c r="V258" s="114" t="str">
        <f>IF(ISNA(VLOOKUP(J258,[1]!AVION1[#Data],3,FALSE)),"",VLOOKUP(J258,[1]!AVION1[#Data],3,FALSE))</f>
        <v/>
      </c>
      <c r="W258" s="114" t="str">
        <f>IF(ISNA(VLOOKUP(N258,[1]!INSTRUCTEUR[#Data],2,FALSE)),"",VLOOKUP(N258,[1]!INSTRUCTEUR[#Data],2,FALSE))</f>
        <v/>
      </c>
      <c r="X258" s="115">
        <f t="shared" si="36"/>
        <v>0</v>
      </c>
    </row>
    <row r="259" spans="3:24">
      <c r="C259" s="231"/>
      <c r="D259" s="232"/>
      <c r="E259" s="233"/>
      <c r="F259" s="234"/>
      <c r="G259" s="235"/>
      <c r="H259" s="236">
        <f t="shared" si="37"/>
        <v>0</v>
      </c>
      <c r="I259" s="237" t="str">
        <f>IF(ISNA(VLOOKUP(J259,[1]!AVION1[#Data],2,FALSE)),"",VLOOKUP(J259,[1]!AVION1[#Data],2,FALSE))</f>
        <v/>
      </c>
      <c r="J259" s="233"/>
      <c r="K259" s="235"/>
      <c r="L259" s="235"/>
      <c r="M259" s="238">
        <f t="shared" si="38"/>
        <v>0</v>
      </c>
      <c r="N259" s="239"/>
      <c r="O259" s="235"/>
      <c r="P259" s="235"/>
      <c r="Q259" s="240">
        <f t="shared" si="31"/>
        <v>0</v>
      </c>
      <c r="R259" s="241">
        <f t="shared" si="32"/>
        <v>0</v>
      </c>
      <c r="S259" s="240">
        <f t="shared" si="33"/>
        <v>0</v>
      </c>
      <c r="T259" s="241">
        <f t="shared" si="34"/>
        <v>0</v>
      </c>
      <c r="U259" s="241">
        <f t="shared" si="35"/>
        <v>0</v>
      </c>
      <c r="V259" s="114" t="str">
        <f>IF(ISNA(VLOOKUP(J259,[1]!AVION1[#Data],3,FALSE)),"",VLOOKUP(J259,[1]!AVION1[#Data],3,FALSE))</f>
        <v/>
      </c>
      <c r="W259" s="114" t="str">
        <f>IF(ISNA(VLOOKUP(N259,[1]!INSTRUCTEUR[#Data],2,FALSE)),"",VLOOKUP(N259,[1]!INSTRUCTEUR[#Data],2,FALSE))</f>
        <v/>
      </c>
      <c r="X259" s="115">
        <f t="shared" si="36"/>
        <v>0</v>
      </c>
    </row>
    <row r="260" spans="3:24">
      <c r="C260" s="231"/>
      <c r="D260" s="232"/>
      <c r="E260" s="233"/>
      <c r="F260" s="234"/>
      <c r="G260" s="235"/>
      <c r="H260" s="236">
        <f t="shared" si="37"/>
        <v>0</v>
      </c>
      <c r="I260" s="237" t="str">
        <f>IF(ISNA(VLOOKUP(J260,[1]!AVION1[#Data],2,FALSE)),"",VLOOKUP(J260,[1]!AVION1[#Data],2,FALSE))</f>
        <v/>
      </c>
      <c r="J260" s="233"/>
      <c r="K260" s="235"/>
      <c r="L260" s="235"/>
      <c r="M260" s="238">
        <f t="shared" si="38"/>
        <v>0</v>
      </c>
      <c r="N260" s="239"/>
      <c r="O260" s="235"/>
      <c r="P260" s="235"/>
      <c r="Q260" s="240">
        <f t="shared" si="31"/>
        <v>0</v>
      </c>
      <c r="R260" s="241">
        <f t="shared" si="32"/>
        <v>0</v>
      </c>
      <c r="S260" s="240">
        <f t="shared" si="33"/>
        <v>0</v>
      </c>
      <c r="T260" s="241">
        <f t="shared" si="34"/>
        <v>0</v>
      </c>
      <c r="U260" s="241">
        <f t="shared" si="35"/>
        <v>0</v>
      </c>
      <c r="V260" s="114" t="str">
        <f>IF(ISNA(VLOOKUP(J260,[1]!AVION1[#Data],3,FALSE)),"",VLOOKUP(J260,[1]!AVION1[#Data],3,FALSE))</f>
        <v/>
      </c>
      <c r="W260" s="114" t="str">
        <f>IF(ISNA(VLOOKUP(N260,[1]!INSTRUCTEUR[#Data],2,FALSE)),"",VLOOKUP(N260,[1]!INSTRUCTEUR[#Data],2,FALSE))</f>
        <v/>
      </c>
      <c r="X260" s="115">
        <f t="shared" si="36"/>
        <v>0</v>
      </c>
    </row>
    <row r="261" spans="3:24">
      <c r="C261" s="231"/>
      <c r="D261" s="232"/>
      <c r="E261" s="233"/>
      <c r="F261" s="234"/>
      <c r="G261" s="235"/>
      <c r="H261" s="236">
        <f t="shared" si="37"/>
        <v>0</v>
      </c>
      <c r="I261" s="237" t="str">
        <f>IF(ISNA(VLOOKUP(J261,[1]!AVION1[#Data],2,FALSE)),"",VLOOKUP(J261,[1]!AVION1[#Data],2,FALSE))</f>
        <v/>
      </c>
      <c r="J261" s="233"/>
      <c r="K261" s="235"/>
      <c r="L261" s="235"/>
      <c r="M261" s="238">
        <f t="shared" si="38"/>
        <v>0</v>
      </c>
      <c r="N261" s="239"/>
      <c r="O261" s="235"/>
      <c r="P261" s="235"/>
      <c r="Q261" s="240">
        <f t="shared" si="31"/>
        <v>0</v>
      </c>
      <c r="R261" s="241">
        <f t="shared" si="32"/>
        <v>0</v>
      </c>
      <c r="S261" s="240">
        <f t="shared" si="33"/>
        <v>0</v>
      </c>
      <c r="T261" s="241">
        <f t="shared" si="34"/>
        <v>0</v>
      </c>
      <c r="U261" s="241">
        <f t="shared" si="35"/>
        <v>0</v>
      </c>
      <c r="V261" s="114" t="str">
        <f>IF(ISNA(VLOOKUP(J261,[1]!AVION1[#Data],3,FALSE)),"",VLOOKUP(J261,[1]!AVION1[#Data],3,FALSE))</f>
        <v/>
      </c>
      <c r="W261" s="114" t="str">
        <f>IF(ISNA(VLOOKUP(N261,[1]!INSTRUCTEUR[#Data],2,FALSE)),"",VLOOKUP(N261,[1]!INSTRUCTEUR[#Data],2,FALSE))</f>
        <v/>
      </c>
      <c r="X261" s="115">
        <f t="shared" si="36"/>
        <v>0</v>
      </c>
    </row>
    <row r="262" spans="3:24">
      <c r="C262" s="231"/>
      <c r="D262" s="232"/>
      <c r="E262" s="233"/>
      <c r="F262" s="234"/>
      <c r="G262" s="235"/>
      <c r="H262" s="236">
        <f t="shared" si="37"/>
        <v>0</v>
      </c>
      <c r="I262" s="237" t="str">
        <f>IF(ISNA(VLOOKUP(J262,[1]!AVION1[#Data],2,FALSE)),"",VLOOKUP(J262,[1]!AVION1[#Data],2,FALSE))</f>
        <v/>
      </c>
      <c r="J262" s="233"/>
      <c r="K262" s="235"/>
      <c r="L262" s="235"/>
      <c r="M262" s="238">
        <f t="shared" si="38"/>
        <v>0</v>
      </c>
      <c r="N262" s="239"/>
      <c r="O262" s="235"/>
      <c r="P262" s="235"/>
      <c r="Q262" s="240">
        <f t="shared" si="31"/>
        <v>0</v>
      </c>
      <c r="R262" s="241">
        <f t="shared" si="32"/>
        <v>0</v>
      </c>
      <c r="S262" s="240">
        <f t="shared" si="33"/>
        <v>0</v>
      </c>
      <c r="T262" s="241">
        <f t="shared" si="34"/>
        <v>0</v>
      </c>
      <c r="U262" s="241">
        <f t="shared" si="35"/>
        <v>0</v>
      </c>
      <c r="V262" s="114" t="str">
        <f>IF(ISNA(VLOOKUP(J262,[1]!AVION1[#Data],3,FALSE)),"",VLOOKUP(J262,[1]!AVION1[#Data],3,FALSE))</f>
        <v/>
      </c>
      <c r="W262" s="114" t="str">
        <f>IF(ISNA(VLOOKUP(N262,[1]!INSTRUCTEUR[#Data],2,FALSE)),"",VLOOKUP(N262,[1]!INSTRUCTEUR[#Data],2,FALSE))</f>
        <v/>
      </c>
      <c r="X262" s="115">
        <f t="shared" si="36"/>
        <v>0</v>
      </c>
    </row>
    <row r="263" spans="3:24">
      <c r="C263" s="231"/>
      <c r="D263" s="232"/>
      <c r="E263" s="233"/>
      <c r="F263" s="234"/>
      <c r="G263" s="235"/>
      <c r="H263" s="236">
        <f t="shared" si="37"/>
        <v>0</v>
      </c>
      <c r="I263" s="237" t="str">
        <f>IF(ISNA(VLOOKUP(J263,[1]!AVION1[#Data],2,FALSE)),"",VLOOKUP(J263,[1]!AVION1[#Data],2,FALSE))</f>
        <v/>
      </c>
      <c r="J263" s="233"/>
      <c r="K263" s="235"/>
      <c r="L263" s="235"/>
      <c r="M263" s="238">
        <f t="shared" si="38"/>
        <v>0</v>
      </c>
      <c r="N263" s="239"/>
      <c r="O263" s="235"/>
      <c r="P263" s="235"/>
      <c r="Q263" s="240">
        <f t="shared" si="31"/>
        <v>0</v>
      </c>
      <c r="R263" s="241">
        <f t="shared" si="32"/>
        <v>0</v>
      </c>
      <c r="S263" s="240">
        <f t="shared" si="33"/>
        <v>0</v>
      </c>
      <c r="T263" s="241">
        <f t="shared" si="34"/>
        <v>0</v>
      </c>
      <c r="U263" s="241">
        <f t="shared" si="35"/>
        <v>0</v>
      </c>
      <c r="V263" s="114" t="str">
        <f>IF(ISNA(VLOOKUP(J263,[1]!AVION1[#Data],3,FALSE)),"",VLOOKUP(J263,[1]!AVION1[#Data],3,FALSE))</f>
        <v/>
      </c>
      <c r="W263" s="114" t="str">
        <f>IF(ISNA(VLOOKUP(N263,[1]!INSTRUCTEUR[#Data],2,FALSE)),"",VLOOKUP(N263,[1]!INSTRUCTEUR[#Data],2,FALSE))</f>
        <v/>
      </c>
      <c r="X263" s="115">
        <f t="shared" si="36"/>
        <v>0</v>
      </c>
    </row>
    <row r="264" spans="3:24">
      <c r="C264" s="231"/>
      <c r="D264" s="232"/>
      <c r="E264" s="233"/>
      <c r="F264" s="234"/>
      <c r="G264" s="235"/>
      <c r="H264" s="236">
        <f t="shared" si="37"/>
        <v>0</v>
      </c>
      <c r="I264" s="237" t="str">
        <f>IF(ISNA(VLOOKUP(J264,[1]!AVION1[#Data],2,FALSE)),"",VLOOKUP(J264,[1]!AVION1[#Data],2,FALSE))</f>
        <v/>
      </c>
      <c r="J264" s="233"/>
      <c r="K264" s="235"/>
      <c r="L264" s="235"/>
      <c r="M264" s="238">
        <f t="shared" si="38"/>
        <v>0</v>
      </c>
      <c r="N264" s="239"/>
      <c r="O264" s="235"/>
      <c r="P264" s="235"/>
      <c r="Q264" s="240">
        <f t="shared" si="31"/>
        <v>0</v>
      </c>
      <c r="R264" s="241">
        <f t="shared" si="32"/>
        <v>0</v>
      </c>
      <c r="S264" s="240">
        <f t="shared" si="33"/>
        <v>0</v>
      </c>
      <c r="T264" s="241">
        <f t="shared" si="34"/>
        <v>0</v>
      </c>
      <c r="U264" s="241">
        <f t="shared" si="35"/>
        <v>0</v>
      </c>
      <c r="V264" s="114" t="str">
        <f>IF(ISNA(VLOOKUP(J264,[1]!AVION1[#Data],3,FALSE)),"",VLOOKUP(J264,[1]!AVION1[#Data],3,FALSE))</f>
        <v/>
      </c>
      <c r="W264" s="114" t="str">
        <f>IF(ISNA(VLOOKUP(N264,[1]!INSTRUCTEUR[#Data],2,FALSE)),"",VLOOKUP(N264,[1]!INSTRUCTEUR[#Data],2,FALSE))</f>
        <v/>
      </c>
      <c r="X264" s="115">
        <f t="shared" si="36"/>
        <v>0</v>
      </c>
    </row>
    <row r="265" spans="3:24">
      <c r="C265" s="231"/>
      <c r="D265" s="232"/>
      <c r="E265" s="233"/>
      <c r="F265" s="234"/>
      <c r="G265" s="235"/>
      <c r="H265" s="236">
        <f t="shared" si="37"/>
        <v>0</v>
      </c>
      <c r="I265" s="237" t="str">
        <f>IF(ISNA(VLOOKUP(J265,[1]!AVION1[#Data],2,FALSE)),"",VLOOKUP(J265,[1]!AVION1[#Data],2,FALSE))</f>
        <v/>
      </c>
      <c r="J265" s="233"/>
      <c r="K265" s="235"/>
      <c r="L265" s="235"/>
      <c r="M265" s="238">
        <f t="shared" si="38"/>
        <v>0</v>
      </c>
      <c r="N265" s="239"/>
      <c r="O265" s="235"/>
      <c r="P265" s="235"/>
      <c r="Q265" s="240">
        <f t="shared" si="31"/>
        <v>0</v>
      </c>
      <c r="R265" s="241">
        <f t="shared" si="32"/>
        <v>0</v>
      </c>
      <c r="S265" s="240">
        <f t="shared" si="33"/>
        <v>0</v>
      </c>
      <c r="T265" s="241">
        <f t="shared" si="34"/>
        <v>0</v>
      </c>
      <c r="U265" s="241">
        <f t="shared" si="35"/>
        <v>0</v>
      </c>
      <c r="V265" s="114" t="str">
        <f>IF(ISNA(VLOOKUP(J265,[1]!AVION1[#Data],3,FALSE)),"",VLOOKUP(J265,[1]!AVION1[#Data],3,FALSE))</f>
        <v/>
      </c>
      <c r="W265" s="114" t="str">
        <f>IF(ISNA(VLOOKUP(N265,[1]!INSTRUCTEUR[#Data],2,FALSE)),"",VLOOKUP(N265,[1]!INSTRUCTEUR[#Data],2,FALSE))</f>
        <v/>
      </c>
      <c r="X265" s="115">
        <f t="shared" si="36"/>
        <v>0</v>
      </c>
    </row>
    <row r="266" spans="3:24">
      <c r="C266" s="231"/>
      <c r="D266" s="232"/>
      <c r="E266" s="233"/>
      <c r="F266" s="234"/>
      <c r="G266" s="235"/>
      <c r="H266" s="236">
        <f t="shared" si="37"/>
        <v>0</v>
      </c>
      <c r="I266" s="237" t="str">
        <f>IF(ISNA(VLOOKUP(J266,[1]!AVION1[#Data],2,FALSE)),"",VLOOKUP(J266,[1]!AVION1[#Data],2,FALSE))</f>
        <v/>
      </c>
      <c r="J266" s="233"/>
      <c r="K266" s="235"/>
      <c r="L266" s="235"/>
      <c r="M266" s="238">
        <f t="shared" si="38"/>
        <v>0</v>
      </c>
      <c r="N266" s="239"/>
      <c r="O266" s="235"/>
      <c r="P266" s="235"/>
      <c r="Q266" s="240">
        <f t="shared" ref="Q266:Q329" si="39">IFERROR(X266*V266,0)</f>
        <v>0</v>
      </c>
      <c r="R266" s="241">
        <f t="shared" ref="R266:R329" si="40">IFERROR(W266*X266,0)</f>
        <v>0</v>
      </c>
      <c r="S266" s="240">
        <f t="shared" ref="S266:S329" si="41">R266+Q266</f>
        <v>0</v>
      </c>
      <c r="T266" s="241">
        <f t="shared" ref="T266:T329" si="42">IF(N266="PENDERS Bernard",X266,0)</f>
        <v>0</v>
      </c>
      <c r="U266" s="241">
        <f t="shared" ref="U266:U329" si="43">IF(N266="PENDERS Bernard",0,X266)</f>
        <v>0</v>
      </c>
      <c r="V266" s="114" t="str">
        <f>IF(ISNA(VLOOKUP(J266,[1]!AVION1[#Data],3,FALSE)),"",VLOOKUP(J266,[1]!AVION1[#Data],3,FALSE))</f>
        <v/>
      </c>
      <c r="W266" s="114" t="str">
        <f>IF(ISNA(VLOOKUP(N266,[1]!INSTRUCTEUR[#Data],2,FALSE)),"",VLOOKUP(N266,[1]!INSTRUCTEUR[#Data],2,FALSE))</f>
        <v/>
      </c>
      <c r="X266" s="115">
        <f t="shared" ref="X266:X329" si="44">(HOUR(M266)*3600+MINUTE(M266)*60+SECOND(M266))/60</f>
        <v>0</v>
      </c>
    </row>
    <row r="267" spans="3:24">
      <c r="C267" s="231"/>
      <c r="D267" s="232"/>
      <c r="E267" s="233"/>
      <c r="F267" s="234"/>
      <c r="G267" s="235"/>
      <c r="H267" s="236">
        <f t="shared" si="37"/>
        <v>0</v>
      </c>
      <c r="I267" s="237" t="str">
        <f>IF(ISNA(VLOOKUP(J267,[1]!AVION1[#Data],2,FALSE)),"",VLOOKUP(J267,[1]!AVION1[#Data],2,FALSE))</f>
        <v/>
      </c>
      <c r="J267" s="233"/>
      <c r="K267" s="235"/>
      <c r="L267" s="235"/>
      <c r="M267" s="238">
        <f t="shared" si="38"/>
        <v>0</v>
      </c>
      <c r="N267" s="239"/>
      <c r="O267" s="235"/>
      <c r="P267" s="235"/>
      <c r="Q267" s="240">
        <f t="shared" si="39"/>
        <v>0</v>
      </c>
      <c r="R267" s="241">
        <f t="shared" si="40"/>
        <v>0</v>
      </c>
      <c r="S267" s="240">
        <f t="shared" si="41"/>
        <v>0</v>
      </c>
      <c r="T267" s="241">
        <f t="shared" si="42"/>
        <v>0</v>
      </c>
      <c r="U267" s="241">
        <f t="shared" si="43"/>
        <v>0</v>
      </c>
      <c r="V267" s="114" t="str">
        <f>IF(ISNA(VLOOKUP(J267,[1]!AVION1[#Data],3,FALSE)),"",VLOOKUP(J267,[1]!AVION1[#Data],3,FALSE))</f>
        <v/>
      </c>
      <c r="W267" s="114" t="str">
        <f>IF(ISNA(VLOOKUP(N267,[1]!INSTRUCTEUR[#Data],2,FALSE)),"",VLOOKUP(N267,[1]!INSTRUCTEUR[#Data],2,FALSE))</f>
        <v/>
      </c>
      <c r="X267" s="115">
        <f t="shared" si="44"/>
        <v>0</v>
      </c>
    </row>
    <row r="268" spans="3:24">
      <c r="C268" s="231"/>
      <c r="D268" s="232"/>
      <c r="E268" s="233"/>
      <c r="F268" s="234"/>
      <c r="G268" s="235"/>
      <c r="H268" s="236">
        <f t="shared" si="37"/>
        <v>0</v>
      </c>
      <c r="I268" s="237" t="str">
        <f>IF(ISNA(VLOOKUP(J268,[1]!AVION1[#Data],2,FALSE)),"",VLOOKUP(J268,[1]!AVION1[#Data],2,FALSE))</f>
        <v/>
      </c>
      <c r="J268" s="233"/>
      <c r="K268" s="235"/>
      <c r="L268" s="235"/>
      <c r="M268" s="238">
        <f t="shared" si="38"/>
        <v>0</v>
      </c>
      <c r="N268" s="239"/>
      <c r="O268" s="235"/>
      <c r="P268" s="235"/>
      <c r="Q268" s="240">
        <f t="shared" si="39"/>
        <v>0</v>
      </c>
      <c r="R268" s="241">
        <f t="shared" si="40"/>
        <v>0</v>
      </c>
      <c r="S268" s="240">
        <f t="shared" si="41"/>
        <v>0</v>
      </c>
      <c r="T268" s="241">
        <f t="shared" si="42"/>
        <v>0</v>
      </c>
      <c r="U268" s="241">
        <f t="shared" si="43"/>
        <v>0</v>
      </c>
      <c r="V268" s="114" t="str">
        <f>IF(ISNA(VLOOKUP(J268,[1]!AVION1[#Data],3,FALSE)),"",VLOOKUP(J268,[1]!AVION1[#Data],3,FALSE))</f>
        <v/>
      </c>
      <c r="W268" s="114" t="str">
        <f>IF(ISNA(VLOOKUP(N268,[1]!INSTRUCTEUR[#Data],2,FALSE)),"",VLOOKUP(N268,[1]!INSTRUCTEUR[#Data],2,FALSE))</f>
        <v/>
      </c>
      <c r="X268" s="115">
        <f t="shared" si="44"/>
        <v>0</v>
      </c>
    </row>
    <row r="269" spans="3:24">
      <c r="C269" s="231"/>
      <c r="D269" s="232"/>
      <c r="E269" s="233"/>
      <c r="F269" s="234"/>
      <c r="G269" s="235"/>
      <c r="H269" s="236">
        <f t="shared" si="37"/>
        <v>0</v>
      </c>
      <c r="I269" s="237" t="str">
        <f>IF(ISNA(VLOOKUP(J269,[1]!AVION1[#Data],2,FALSE)),"",VLOOKUP(J269,[1]!AVION1[#Data],2,FALSE))</f>
        <v/>
      </c>
      <c r="J269" s="233"/>
      <c r="K269" s="235"/>
      <c r="L269" s="235"/>
      <c r="M269" s="238">
        <f t="shared" si="38"/>
        <v>0</v>
      </c>
      <c r="N269" s="239"/>
      <c r="O269" s="235"/>
      <c r="P269" s="235"/>
      <c r="Q269" s="240">
        <f t="shared" si="39"/>
        <v>0</v>
      </c>
      <c r="R269" s="241">
        <f t="shared" si="40"/>
        <v>0</v>
      </c>
      <c r="S269" s="240">
        <f t="shared" si="41"/>
        <v>0</v>
      </c>
      <c r="T269" s="241">
        <f t="shared" si="42"/>
        <v>0</v>
      </c>
      <c r="U269" s="241">
        <f t="shared" si="43"/>
        <v>0</v>
      </c>
      <c r="V269" s="114" t="str">
        <f>IF(ISNA(VLOOKUP(J269,[1]!AVION1[#Data],3,FALSE)),"",VLOOKUP(J269,[1]!AVION1[#Data],3,FALSE))</f>
        <v/>
      </c>
      <c r="W269" s="114" t="str">
        <f>IF(ISNA(VLOOKUP(N269,[1]!INSTRUCTEUR[#Data],2,FALSE)),"",VLOOKUP(N269,[1]!INSTRUCTEUR[#Data],2,FALSE))</f>
        <v/>
      </c>
      <c r="X269" s="115">
        <f t="shared" si="44"/>
        <v>0</v>
      </c>
    </row>
    <row r="270" spans="3:24">
      <c r="C270" s="231"/>
      <c r="D270" s="232"/>
      <c r="E270" s="233"/>
      <c r="F270" s="234"/>
      <c r="G270" s="235"/>
      <c r="H270" s="236">
        <f t="shared" si="37"/>
        <v>0</v>
      </c>
      <c r="I270" s="237" t="str">
        <f>IF(ISNA(VLOOKUP(J270,[1]!AVION1[#Data],2,FALSE)),"",VLOOKUP(J270,[1]!AVION1[#Data],2,FALSE))</f>
        <v/>
      </c>
      <c r="J270" s="233"/>
      <c r="K270" s="235"/>
      <c r="L270" s="235"/>
      <c r="M270" s="238">
        <f t="shared" si="38"/>
        <v>0</v>
      </c>
      <c r="N270" s="239"/>
      <c r="O270" s="235"/>
      <c r="P270" s="235"/>
      <c r="Q270" s="240">
        <f t="shared" si="39"/>
        <v>0</v>
      </c>
      <c r="R270" s="241">
        <f t="shared" si="40"/>
        <v>0</v>
      </c>
      <c r="S270" s="240">
        <f t="shared" si="41"/>
        <v>0</v>
      </c>
      <c r="T270" s="241">
        <f t="shared" si="42"/>
        <v>0</v>
      </c>
      <c r="U270" s="241">
        <f t="shared" si="43"/>
        <v>0</v>
      </c>
      <c r="V270" s="114" t="str">
        <f>IF(ISNA(VLOOKUP(J270,[1]!AVION1[#Data],3,FALSE)),"",VLOOKUP(J270,[1]!AVION1[#Data],3,FALSE))</f>
        <v/>
      </c>
      <c r="W270" s="114" t="str">
        <f>IF(ISNA(VLOOKUP(N270,[1]!INSTRUCTEUR[#Data],2,FALSE)),"",VLOOKUP(N270,[1]!INSTRUCTEUR[#Data],2,FALSE))</f>
        <v/>
      </c>
      <c r="X270" s="115">
        <f t="shared" si="44"/>
        <v>0</v>
      </c>
    </row>
    <row r="271" spans="3:24">
      <c r="C271" s="231"/>
      <c r="D271" s="232"/>
      <c r="E271" s="233"/>
      <c r="F271" s="234"/>
      <c r="G271" s="235"/>
      <c r="H271" s="236">
        <f t="shared" si="37"/>
        <v>0</v>
      </c>
      <c r="I271" s="237" t="str">
        <f>IF(ISNA(VLOOKUP(J271,[1]!AVION1[#Data],2,FALSE)),"",VLOOKUP(J271,[1]!AVION1[#Data],2,FALSE))</f>
        <v/>
      </c>
      <c r="J271" s="233"/>
      <c r="K271" s="235"/>
      <c r="L271" s="235"/>
      <c r="M271" s="238">
        <f t="shared" si="38"/>
        <v>0</v>
      </c>
      <c r="N271" s="239"/>
      <c r="O271" s="235"/>
      <c r="P271" s="235"/>
      <c r="Q271" s="240">
        <f t="shared" si="39"/>
        <v>0</v>
      </c>
      <c r="R271" s="241">
        <f t="shared" si="40"/>
        <v>0</v>
      </c>
      <c r="S271" s="240">
        <f t="shared" si="41"/>
        <v>0</v>
      </c>
      <c r="T271" s="241">
        <f t="shared" si="42"/>
        <v>0</v>
      </c>
      <c r="U271" s="241">
        <f t="shared" si="43"/>
        <v>0</v>
      </c>
      <c r="V271" s="114" t="str">
        <f>IF(ISNA(VLOOKUP(J271,[1]!AVION1[#Data],3,FALSE)),"",VLOOKUP(J271,[1]!AVION1[#Data],3,FALSE))</f>
        <v/>
      </c>
      <c r="W271" s="114" t="str">
        <f>IF(ISNA(VLOOKUP(N271,[1]!INSTRUCTEUR[#Data],2,FALSE)),"",VLOOKUP(N271,[1]!INSTRUCTEUR[#Data],2,FALSE))</f>
        <v/>
      </c>
      <c r="X271" s="115">
        <f t="shared" si="44"/>
        <v>0</v>
      </c>
    </row>
    <row r="272" spans="3:24">
      <c r="C272" s="231"/>
      <c r="D272" s="232"/>
      <c r="E272" s="233"/>
      <c r="F272" s="234"/>
      <c r="G272" s="235"/>
      <c r="H272" s="236">
        <f t="shared" si="37"/>
        <v>0</v>
      </c>
      <c r="I272" s="237" t="str">
        <f>IF(ISNA(VLOOKUP(J272,[1]!AVION1[#Data],2,FALSE)),"",VLOOKUP(J272,[1]!AVION1[#Data],2,FALSE))</f>
        <v/>
      </c>
      <c r="J272" s="233"/>
      <c r="K272" s="235"/>
      <c r="L272" s="235"/>
      <c r="M272" s="238">
        <f t="shared" si="38"/>
        <v>0</v>
      </c>
      <c r="N272" s="239"/>
      <c r="O272" s="235"/>
      <c r="P272" s="235"/>
      <c r="Q272" s="240">
        <f t="shared" si="39"/>
        <v>0</v>
      </c>
      <c r="R272" s="241">
        <f t="shared" si="40"/>
        <v>0</v>
      </c>
      <c r="S272" s="240">
        <f t="shared" si="41"/>
        <v>0</v>
      </c>
      <c r="T272" s="241">
        <f t="shared" si="42"/>
        <v>0</v>
      </c>
      <c r="U272" s="241">
        <f t="shared" si="43"/>
        <v>0</v>
      </c>
      <c r="V272" s="114" t="str">
        <f>IF(ISNA(VLOOKUP(J272,[1]!AVION1[#Data],3,FALSE)),"",VLOOKUP(J272,[1]!AVION1[#Data],3,FALSE))</f>
        <v/>
      </c>
      <c r="W272" s="114" t="str">
        <f>IF(ISNA(VLOOKUP(N272,[1]!INSTRUCTEUR[#Data],2,FALSE)),"",VLOOKUP(N272,[1]!INSTRUCTEUR[#Data],2,FALSE))</f>
        <v/>
      </c>
      <c r="X272" s="115">
        <f t="shared" si="44"/>
        <v>0</v>
      </c>
    </row>
    <row r="273" spans="3:24">
      <c r="C273" s="231"/>
      <c r="D273" s="232"/>
      <c r="E273" s="233"/>
      <c r="F273" s="234"/>
      <c r="G273" s="235"/>
      <c r="H273" s="236">
        <f t="shared" si="37"/>
        <v>0</v>
      </c>
      <c r="I273" s="237" t="str">
        <f>IF(ISNA(VLOOKUP(J273,[1]!AVION1[#Data],2,FALSE)),"",VLOOKUP(J273,[1]!AVION1[#Data],2,FALSE))</f>
        <v/>
      </c>
      <c r="J273" s="233"/>
      <c r="K273" s="235"/>
      <c r="L273" s="235"/>
      <c r="M273" s="238">
        <f t="shared" si="38"/>
        <v>0</v>
      </c>
      <c r="N273" s="239"/>
      <c r="O273" s="235"/>
      <c r="P273" s="235"/>
      <c r="Q273" s="240">
        <f t="shared" si="39"/>
        <v>0</v>
      </c>
      <c r="R273" s="241">
        <f t="shared" si="40"/>
        <v>0</v>
      </c>
      <c r="S273" s="240">
        <f t="shared" si="41"/>
        <v>0</v>
      </c>
      <c r="T273" s="241">
        <f t="shared" si="42"/>
        <v>0</v>
      </c>
      <c r="U273" s="241">
        <f t="shared" si="43"/>
        <v>0</v>
      </c>
      <c r="V273" s="114" t="str">
        <f>IF(ISNA(VLOOKUP(J273,[1]!AVION1[#Data],3,FALSE)),"",VLOOKUP(J273,[1]!AVION1[#Data],3,FALSE))</f>
        <v/>
      </c>
      <c r="W273" s="114" t="str">
        <f>IF(ISNA(VLOOKUP(N273,[1]!INSTRUCTEUR[#Data],2,FALSE)),"",VLOOKUP(N273,[1]!INSTRUCTEUR[#Data],2,FALSE))</f>
        <v/>
      </c>
      <c r="X273" s="115">
        <f t="shared" si="44"/>
        <v>0</v>
      </c>
    </row>
    <row r="274" spans="3:24">
      <c r="C274" s="231"/>
      <c r="D274" s="232"/>
      <c r="E274" s="233"/>
      <c r="F274" s="234"/>
      <c r="G274" s="235"/>
      <c r="H274" s="236">
        <f t="shared" si="37"/>
        <v>0</v>
      </c>
      <c r="I274" s="237" t="str">
        <f>IF(ISNA(VLOOKUP(J274,[1]!AVION1[#Data],2,FALSE)),"",VLOOKUP(J274,[1]!AVION1[#Data],2,FALSE))</f>
        <v/>
      </c>
      <c r="J274" s="233"/>
      <c r="K274" s="235"/>
      <c r="L274" s="235"/>
      <c r="M274" s="238">
        <f t="shared" si="38"/>
        <v>0</v>
      </c>
      <c r="N274" s="239"/>
      <c r="O274" s="235"/>
      <c r="P274" s="235"/>
      <c r="Q274" s="240">
        <f t="shared" si="39"/>
        <v>0</v>
      </c>
      <c r="R274" s="241">
        <f t="shared" si="40"/>
        <v>0</v>
      </c>
      <c r="S274" s="240">
        <f t="shared" si="41"/>
        <v>0</v>
      </c>
      <c r="T274" s="241">
        <f t="shared" si="42"/>
        <v>0</v>
      </c>
      <c r="U274" s="241">
        <f t="shared" si="43"/>
        <v>0</v>
      </c>
      <c r="V274" s="114" t="str">
        <f>IF(ISNA(VLOOKUP(J274,[1]!AVION1[#Data],3,FALSE)),"",VLOOKUP(J274,[1]!AVION1[#Data],3,FALSE))</f>
        <v/>
      </c>
      <c r="W274" s="114" t="str">
        <f>IF(ISNA(VLOOKUP(N274,[1]!INSTRUCTEUR[#Data],2,FALSE)),"",VLOOKUP(N274,[1]!INSTRUCTEUR[#Data],2,FALSE))</f>
        <v/>
      </c>
      <c r="X274" s="115">
        <f t="shared" si="44"/>
        <v>0</v>
      </c>
    </row>
    <row r="275" spans="3:24">
      <c r="C275" s="231"/>
      <c r="D275" s="232"/>
      <c r="E275" s="233"/>
      <c r="F275" s="234"/>
      <c r="G275" s="235"/>
      <c r="H275" s="236">
        <f t="shared" si="37"/>
        <v>0</v>
      </c>
      <c r="I275" s="237" t="str">
        <f>IF(ISNA(VLOOKUP(J275,[1]!AVION1[#Data],2,FALSE)),"",VLOOKUP(J275,[1]!AVION1[#Data],2,FALSE))</f>
        <v/>
      </c>
      <c r="J275" s="233"/>
      <c r="K275" s="235"/>
      <c r="L275" s="235"/>
      <c r="M275" s="238">
        <f t="shared" si="38"/>
        <v>0</v>
      </c>
      <c r="N275" s="239"/>
      <c r="O275" s="235"/>
      <c r="P275" s="235"/>
      <c r="Q275" s="240">
        <f t="shared" si="39"/>
        <v>0</v>
      </c>
      <c r="R275" s="241">
        <f t="shared" si="40"/>
        <v>0</v>
      </c>
      <c r="S275" s="240">
        <f t="shared" si="41"/>
        <v>0</v>
      </c>
      <c r="T275" s="241">
        <f t="shared" si="42"/>
        <v>0</v>
      </c>
      <c r="U275" s="241">
        <f t="shared" si="43"/>
        <v>0</v>
      </c>
      <c r="V275" s="114" t="str">
        <f>IF(ISNA(VLOOKUP(J275,[1]!AVION1[#Data],3,FALSE)),"",VLOOKUP(J275,[1]!AVION1[#Data],3,FALSE))</f>
        <v/>
      </c>
      <c r="W275" s="114" t="str">
        <f>IF(ISNA(VLOOKUP(N275,[1]!INSTRUCTEUR[#Data],2,FALSE)),"",VLOOKUP(N275,[1]!INSTRUCTEUR[#Data],2,FALSE))</f>
        <v/>
      </c>
      <c r="X275" s="115">
        <f t="shared" si="44"/>
        <v>0</v>
      </c>
    </row>
    <row r="276" spans="3:24">
      <c r="C276" s="231"/>
      <c r="D276" s="232"/>
      <c r="E276" s="233"/>
      <c r="F276" s="234"/>
      <c r="G276" s="235"/>
      <c r="H276" s="236">
        <f t="shared" si="37"/>
        <v>0</v>
      </c>
      <c r="I276" s="237" t="str">
        <f>IF(ISNA(VLOOKUP(J276,[1]!AVION1[#Data],2,FALSE)),"",VLOOKUP(J276,[1]!AVION1[#Data],2,FALSE))</f>
        <v/>
      </c>
      <c r="J276" s="233"/>
      <c r="K276" s="235"/>
      <c r="L276" s="235"/>
      <c r="M276" s="238">
        <f t="shared" si="38"/>
        <v>0</v>
      </c>
      <c r="N276" s="239"/>
      <c r="O276" s="235"/>
      <c r="P276" s="235"/>
      <c r="Q276" s="240">
        <f t="shared" si="39"/>
        <v>0</v>
      </c>
      <c r="R276" s="241">
        <f t="shared" si="40"/>
        <v>0</v>
      </c>
      <c r="S276" s="240">
        <f t="shared" si="41"/>
        <v>0</v>
      </c>
      <c r="T276" s="241">
        <f t="shared" si="42"/>
        <v>0</v>
      </c>
      <c r="U276" s="241">
        <f t="shared" si="43"/>
        <v>0</v>
      </c>
      <c r="V276" s="114" t="str">
        <f>IF(ISNA(VLOOKUP(J276,[1]!AVION1[#Data],3,FALSE)),"",VLOOKUP(J276,[1]!AVION1[#Data],3,FALSE))</f>
        <v/>
      </c>
      <c r="W276" s="114" t="str">
        <f>IF(ISNA(VLOOKUP(N276,[1]!INSTRUCTEUR[#Data],2,FALSE)),"",VLOOKUP(N276,[1]!INSTRUCTEUR[#Data],2,FALSE))</f>
        <v/>
      </c>
      <c r="X276" s="115">
        <f t="shared" si="44"/>
        <v>0</v>
      </c>
    </row>
    <row r="277" spans="3:24">
      <c r="C277" s="231"/>
      <c r="D277" s="232"/>
      <c r="E277" s="233"/>
      <c r="F277" s="234"/>
      <c r="G277" s="235"/>
      <c r="H277" s="236">
        <f t="shared" si="37"/>
        <v>0</v>
      </c>
      <c r="I277" s="237" t="str">
        <f>IF(ISNA(VLOOKUP(J277,[1]!AVION1[#Data],2,FALSE)),"",VLOOKUP(J277,[1]!AVION1[#Data],2,FALSE))</f>
        <v/>
      </c>
      <c r="J277" s="233"/>
      <c r="K277" s="235"/>
      <c r="L277" s="235"/>
      <c r="M277" s="238">
        <f t="shared" si="38"/>
        <v>0</v>
      </c>
      <c r="N277" s="239"/>
      <c r="O277" s="235"/>
      <c r="P277" s="235"/>
      <c r="Q277" s="240">
        <f t="shared" si="39"/>
        <v>0</v>
      </c>
      <c r="R277" s="241">
        <f t="shared" si="40"/>
        <v>0</v>
      </c>
      <c r="S277" s="240">
        <f t="shared" si="41"/>
        <v>0</v>
      </c>
      <c r="T277" s="241">
        <f t="shared" si="42"/>
        <v>0</v>
      </c>
      <c r="U277" s="241">
        <f t="shared" si="43"/>
        <v>0</v>
      </c>
      <c r="V277" s="114" t="str">
        <f>IF(ISNA(VLOOKUP(J277,[1]!AVION1[#Data],3,FALSE)),"",VLOOKUP(J277,[1]!AVION1[#Data],3,FALSE))</f>
        <v/>
      </c>
      <c r="W277" s="114" t="str">
        <f>IF(ISNA(VLOOKUP(N277,[1]!INSTRUCTEUR[#Data],2,FALSE)),"",VLOOKUP(N277,[1]!INSTRUCTEUR[#Data],2,FALSE))</f>
        <v/>
      </c>
      <c r="X277" s="115">
        <f t="shared" si="44"/>
        <v>0</v>
      </c>
    </row>
    <row r="278" spans="3:24">
      <c r="C278" s="231"/>
      <c r="D278" s="232"/>
      <c r="E278" s="233"/>
      <c r="F278" s="234"/>
      <c r="G278" s="235"/>
      <c r="H278" s="236">
        <f t="shared" si="37"/>
        <v>0</v>
      </c>
      <c r="I278" s="237" t="str">
        <f>IF(ISNA(VLOOKUP(J278,[1]!AVION1[#Data],2,FALSE)),"",VLOOKUP(J278,[1]!AVION1[#Data],2,FALSE))</f>
        <v/>
      </c>
      <c r="J278" s="233"/>
      <c r="K278" s="235"/>
      <c r="L278" s="235"/>
      <c r="M278" s="238">
        <f t="shared" si="38"/>
        <v>0</v>
      </c>
      <c r="N278" s="239"/>
      <c r="O278" s="235"/>
      <c r="P278" s="235"/>
      <c r="Q278" s="240">
        <f t="shared" si="39"/>
        <v>0</v>
      </c>
      <c r="R278" s="241">
        <f t="shared" si="40"/>
        <v>0</v>
      </c>
      <c r="S278" s="240">
        <f t="shared" si="41"/>
        <v>0</v>
      </c>
      <c r="T278" s="241">
        <f t="shared" si="42"/>
        <v>0</v>
      </c>
      <c r="U278" s="241">
        <f t="shared" si="43"/>
        <v>0</v>
      </c>
      <c r="V278" s="114" t="str">
        <f>IF(ISNA(VLOOKUP(J278,[1]!AVION1[#Data],3,FALSE)),"",VLOOKUP(J278,[1]!AVION1[#Data],3,FALSE))</f>
        <v/>
      </c>
      <c r="W278" s="114" t="str">
        <f>IF(ISNA(VLOOKUP(N278,[1]!INSTRUCTEUR[#Data],2,FALSE)),"",VLOOKUP(N278,[1]!INSTRUCTEUR[#Data],2,FALSE))</f>
        <v/>
      </c>
      <c r="X278" s="115">
        <f t="shared" si="44"/>
        <v>0</v>
      </c>
    </row>
    <row r="279" spans="3:24">
      <c r="C279" s="231"/>
      <c r="D279" s="232"/>
      <c r="E279" s="233"/>
      <c r="F279" s="234"/>
      <c r="G279" s="235"/>
      <c r="H279" s="236">
        <f t="shared" si="37"/>
        <v>0</v>
      </c>
      <c r="I279" s="237" t="str">
        <f>IF(ISNA(VLOOKUP(J279,[1]!AVION1[#Data],2,FALSE)),"",VLOOKUP(J279,[1]!AVION1[#Data],2,FALSE))</f>
        <v/>
      </c>
      <c r="J279" s="233"/>
      <c r="K279" s="235"/>
      <c r="L279" s="235"/>
      <c r="M279" s="238">
        <f t="shared" si="38"/>
        <v>0</v>
      </c>
      <c r="N279" s="239"/>
      <c r="O279" s="235"/>
      <c r="P279" s="235"/>
      <c r="Q279" s="240">
        <f t="shared" si="39"/>
        <v>0</v>
      </c>
      <c r="R279" s="241">
        <f t="shared" si="40"/>
        <v>0</v>
      </c>
      <c r="S279" s="240">
        <f t="shared" si="41"/>
        <v>0</v>
      </c>
      <c r="T279" s="241">
        <f t="shared" si="42"/>
        <v>0</v>
      </c>
      <c r="U279" s="241">
        <f t="shared" si="43"/>
        <v>0</v>
      </c>
      <c r="V279" s="114" t="str">
        <f>IF(ISNA(VLOOKUP(J279,[1]!AVION1[#Data],3,FALSE)),"",VLOOKUP(J279,[1]!AVION1[#Data],3,FALSE))</f>
        <v/>
      </c>
      <c r="W279" s="114" t="str">
        <f>IF(ISNA(VLOOKUP(N279,[1]!INSTRUCTEUR[#Data],2,FALSE)),"",VLOOKUP(N279,[1]!INSTRUCTEUR[#Data],2,FALSE))</f>
        <v/>
      </c>
      <c r="X279" s="115">
        <f t="shared" si="44"/>
        <v>0</v>
      </c>
    </row>
    <row r="280" spans="3:24">
      <c r="C280" s="231"/>
      <c r="D280" s="232"/>
      <c r="E280" s="233"/>
      <c r="F280" s="234"/>
      <c r="G280" s="235"/>
      <c r="H280" s="236">
        <f t="shared" si="37"/>
        <v>0</v>
      </c>
      <c r="I280" s="237" t="str">
        <f>IF(ISNA(VLOOKUP(J280,[1]!AVION1[#Data],2,FALSE)),"",VLOOKUP(J280,[1]!AVION1[#Data],2,FALSE))</f>
        <v/>
      </c>
      <c r="J280" s="233"/>
      <c r="K280" s="235"/>
      <c r="L280" s="235"/>
      <c r="M280" s="238">
        <f t="shared" si="38"/>
        <v>0</v>
      </c>
      <c r="N280" s="239"/>
      <c r="O280" s="235"/>
      <c r="P280" s="235"/>
      <c r="Q280" s="240">
        <f t="shared" si="39"/>
        <v>0</v>
      </c>
      <c r="R280" s="241">
        <f t="shared" si="40"/>
        <v>0</v>
      </c>
      <c r="S280" s="240">
        <f t="shared" si="41"/>
        <v>0</v>
      </c>
      <c r="T280" s="241">
        <f t="shared" si="42"/>
        <v>0</v>
      </c>
      <c r="U280" s="241">
        <f t="shared" si="43"/>
        <v>0</v>
      </c>
      <c r="V280" s="114" t="str">
        <f>IF(ISNA(VLOOKUP(J280,[1]!AVION1[#Data],3,FALSE)),"",VLOOKUP(J280,[1]!AVION1[#Data],3,FALSE))</f>
        <v/>
      </c>
      <c r="W280" s="114" t="str">
        <f>IF(ISNA(VLOOKUP(N280,[1]!INSTRUCTEUR[#Data],2,FALSE)),"",VLOOKUP(N280,[1]!INSTRUCTEUR[#Data],2,FALSE))</f>
        <v/>
      </c>
      <c r="X280" s="115">
        <f t="shared" si="44"/>
        <v>0</v>
      </c>
    </row>
    <row r="281" spans="3:24">
      <c r="C281" s="231"/>
      <c r="D281" s="232"/>
      <c r="E281" s="233"/>
      <c r="F281" s="234"/>
      <c r="G281" s="235"/>
      <c r="H281" s="236">
        <f t="shared" si="37"/>
        <v>0</v>
      </c>
      <c r="I281" s="237" t="str">
        <f>IF(ISNA(VLOOKUP(J281,[1]!AVION1[#Data],2,FALSE)),"",VLOOKUP(J281,[1]!AVION1[#Data],2,FALSE))</f>
        <v/>
      </c>
      <c r="J281" s="233"/>
      <c r="K281" s="235"/>
      <c r="L281" s="235"/>
      <c r="M281" s="238">
        <f t="shared" si="38"/>
        <v>0</v>
      </c>
      <c r="N281" s="239"/>
      <c r="O281" s="235"/>
      <c r="P281" s="235"/>
      <c r="Q281" s="240">
        <f t="shared" si="39"/>
        <v>0</v>
      </c>
      <c r="R281" s="241">
        <f t="shared" si="40"/>
        <v>0</v>
      </c>
      <c r="S281" s="240">
        <f t="shared" si="41"/>
        <v>0</v>
      </c>
      <c r="T281" s="241">
        <f t="shared" si="42"/>
        <v>0</v>
      </c>
      <c r="U281" s="241">
        <f t="shared" si="43"/>
        <v>0</v>
      </c>
      <c r="V281" s="114" t="str">
        <f>IF(ISNA(VLOOKUP(J281,[1]!AVION1[#Data],3,FALSE)),"",VLOOKUP(J281,[1]!AVION1[#Data],3,FALSE))</f>
        <v/>
      </c>
      <c r="W281" s="114" t="str">
        <f>IF(ISNA(VLOOKUP(N281,[1]!INSTRUCTEUR[#Data],2,FALSE)),"",VLOOKUP(N281,[1]!INSTRUCTEUR[#Data],2,FALSE))</f>
        <v/>
      </c>
      <c r="X281" s="115">
        <f t="shared" si="44"/>
        <v>0</v>
      </c>
    </row>
    <row r="282" spans="3:24">
      <c r="C282" s="231"/>
      <c r="D282" s="232"/>
      <c r="E282" s="233"/>
      <c r="F282" s="234"/>
      <c r="G282" s="235"/>
      <c r="H282" s="236">
        <f t="shared" si="37"/>
        <v>0</v>
      </c>
      <c r="I282" s="237" t="str">
        <f>IF(ISNA(VLOOKUP(J282,[1]!AVION1[#Data],2,FALSE)),"",VLOOKUP(J282,[1]!AVION1[#Data],2,FALSE))</f>
        <v/>
      </c>
      <c r="J282" s="233"/>
      <c r="K282" s="235"/>
      <c r="L282" s="235"/>
      <c r="M282" s="238">
        <f t="shared" si="38"/>
        <v>0</v>
      </c>
      <c r="N282" s="239"/>
      <c r="O282" s="235"/>
      <c r="P282" s="235"/>
      <c r="Q282" s="240">
        <f t="shared" si="39"/>
        <v>0</v>
      </c>
      <c r="R282" s="241">
        <f t="shared" si="40"/>
        <v>0</v>
      </c>
      <c r="S282" s="240">
        <f t="shared" si="41"/>
        <v>0</v>
      </c>
      <c r="T282" s="241">
        <f t="shared" si="42"/>
        <v>0</v>
      </c>
      <c r="U282" s="241">
        <f t="shared" si="43"/>
        <v>0</v>
      </c>
      <c r="V282" s="114" t="str">
        <f>IF(ISNA(VLOOKUP(J282,[1]!AVION1[#Data],3,FALSE)),"",VLOOKUP(J282,[1]!AVION1[#Data],3,FALSE))</f>
        <v/>
      </c>
      <c r="W282" s="114" t="str">
        <f>IF(ISNA(VLOOKUP(N282,[1]!INSTRUCTEUR[#Data],2,FALSE)),"",VLOOKUP(N282,[1]!INSTRUCTEUR[#Data],2,FALSE))</f>
        <v/>
      </c>
      <c r="X282" s="115">
        <f t="shared" si="44"/>
        <v>0</v>
      </c>
    </row>
    <row r="283" spans="3:24">
      <c r="C283" s="231"/>
      <c r="D283" s="232"/>
      <c r="E283" s="233"/>
      <c r="F283" s="234"/>
      <c r="G283" s="235"/>
      <c r="H283" s="236">
        <f t="shared" si="37"/>
        <v>0</v>
      </c>
      <c r="I283" s="237" t="str">
        <f>IF(ISNA(VLOOKUP(J283,[1]!AVION1[#Data],2,FALSE)),"",VLOOKUP(J283,[1]!AVION1[#Data],2,FALSE))</f>
        <v/>
      </c>
      <c r="J283" s="233"/>
      <c r="K283" s="235"/>
      <c r="L283" s="235"/>
      <c r="M283" s="238">
        <f t="shared" si="38"/>
        <v>0</v>
      </c>
      <c r="N283" s="239"/>
      <c r="O283" s="235"/>
      <c r="P283" s="235"/>
      <c r="Q283" s="240">
        <f t="shared" si="39"/>
        <v>0</v>
      </c>
      <c r="R283" s="241">
        <f t="shared" si="40"/>
        <v>0</v>
      </c>
      <c r="S283" s="240">
        <f t="shared" si="41"/>
        <v>0</v>
      </c>
      <c r="T283" s="241">
        <f t="shared" si="42"/>
        <v>0</v>
      </c>
      <c r="U283" s="241">
        <f t="shared" si="43"/>
        <v>0</v>
      </c>
      <c r="V283" s="114" t="str">
        <f>IF(ISNA(VLOOKUP(J283,[1]!AVION1[#Data],3,FALSE)),"",VLOOKUP(J283,[1]!AVION1[#Data],3,FALSE))</f>
        <v/>
      </c>
      <c r="W283" s="114" t="str">
        <f>IF(ISNA(VLOOKUP(N283,[1]!INSTRUCTEUR[#Data],2,FALSE)),"",VLOOKUP(N283,[1]!INSTRUCTEUR[#Data],2,FALSE))</f>
        <v/>
      </c>
      <c r="X283" s="115">
        <f t="shared" si="44"/>
        <v>0</v>
      </c>
    </row>
    <row r="284" spans="3:24">
      <c r="C284" s="231"/>
      <c r="D284" s="232"/>
      <c r="E284" s="233"/>
      <c r="F284" s="234"/>
      <c r="G284" s="235"/>
      <c r="H284" s="236">
        <f t="shared" si="37"/>
        <v>0</v>
      </c>
      <c r="I284" s="237" t="str">
        <f>IF(ISNA(VLOOKUP(J284,[1]!AVION1[#Data],2,FALSE)),"",VLOOKUP(J284,[1]!AVION1[#Data],2,FALSE))</f>
        <v/>
      </c>
      <c r="J284" s="233"/>
      <c r="K284" s="235"/>
      <c r="L284" s="235"/>
      <c r="M284" s="238">
        <f t="shared" si="38"/>
        <v>0</v>
      </c>
      <c r="N284" s="239"/>
      <c r="O284" s="235"/>
      <c r="P284" s="235"/>
      <c r="Q284" s="240">
        <f t="shared" si="39"/>
        <v>0</v>
      </c>
      <c r="R284" s="241">
        <f t="shared" si="40"/>
        <v>0</v>
      </c>
      <c r="S284" s="240">
        <f t="shared" si="41"/>
        <v>0</v>
      </c>
      <c r="T284" s="241">
        <f t="shared" si="42"/>
        <v>0</v>
      </c>
      <c r="U284" s="241">
        <f t="shared" si="43"/>
        <v>0</v>
      </c>
      <c r="V284" s="114" t="str">
        <f>IF(ISNA(VLOOKUP(J284,[1]!AVION1[#Data],3,FALSE)),"",VLOOKUP(J284,[1]!AVION1[#Data],3,FALSE))</f>
        <v/>
      </c>
      <c r="W284" s="114" t="str">
        <f>IF(ISNA(VLOOKUP(N284,[1]!INSTRUCTEUR[#Data],2,FALSE)),"",VLOOKUP(N284,[1]!INSTRUCTEUR[#Data],2,FALSE))</f>
        <v/>
      </c>
      <c r="X284" s="115">
        <f t="shared" si="44"/>
        <v>0</v>
      </c>
    </row>
    <row r="285" spans="3:24">
      <c r="C285" s="231"/>
      <c r="D285" s="232"/>
      <c r="E285" s="233"/>
      <c r="F285" s="234"/>
      <c r="G285" s="235"/>
      <c r="H285" s="236">
        <f t="shared" si="37"/>
        <v>0</v>
      </c>
      <c r="I285" s="237" t="str">
        <f>IF(ISNA(VLOOKUP(J285,[1]!AVION1[#Data],2,FALSE)),"",VLOOKUP(J285,[1]!AVION1[#Data],2,FALSE))</f>
        <v/>
      </c>
      <c r="J285" s="233"/>
      <c r="K285" s="235"/>
      <c r="L285" s="235"/>
      <c r="M285" s="238">
        <f t="shared" si="38"/>
        <v>0</v>
      </c>
      <c r="N285" s="239"/>
      <c r="O285" s="235"/>
      <c r="P285" s="235"/>
      <c r="Q285" s="240">
        <f t="shared" si="39"/>
        <v>0</v>
      </c>
      <c r="R285" s="241">
        <f t="shared" si="40"/>
        <v>0</v>
      </c>
      <c r="S285" s="240">
        <f t="shared" si="41"/>
        <v>0</v>
      </c>
      <c r="T285" s="241">
        <f t="shared" si="42"/>
        <v>0</v>
      </c>
      <c r="U285" s="241">
        <f t="shared" si="43"/>
        <v>0</v>
      </c>
      <c r="V285" s="114" t="str">
        <f>IF(ISNA(VLOOKUP(J285,[1]!AVION1[#Data],3,FALSE)),"",VLOOKUP(J285,[1]!AVION1[#Data],3,FALSE))</f>
        <v/>
      </c>
      <c r="W285" s="114" t="str">
        <f>IF(ISNA(VLOOKUP(N285,[1]!INSTRUCTEUR[#Data],2,FALSE)),"",VLOOKUP(N285,[1]!INSTRUCTEUR[#Data],2,FALSE))</f>
        <v/>
      </c>
      <c r="X285" s="115">
        <f t="shared" si="44"/>
        <v>0</v>
      </c>
    </row>
    <row r="286" spans="3:24">
      <c r="C286" s="231"/>
      <c r="D286" s="232"/>
      <c r="E286" s="233"/>
      <c r="F286" s="234"/>
      <c r="G286" s="235"/>
      <c r="H286" s="236">
        <f t="shared" si="37"/>
        <v>0</v>
      </c>
      <c r="I286" s="237" t="str">
        <f>IF(ISNA(VLOOKUP(J286,[1]!AVION1[#Data],2,FALSE)),"",VLOOKUP(J286,[1]!AVION1[#Data],2,FALSE))</f>
        <v/>
      </c>
      <c r="J286" s="233"/>
      <c r="K286" s="235"/>
      <c r="L286" s="235"/>
      <c r="M286" s="238">
        <f t="shared" si="38"/>
        <v>0</v>
      </c>
      <c r="N286" s="239"/>
      <c r="O286" s="235"/>
      <c r="P286" s="235"/>
      <c r="Q286" s="240">
        <f t="shared" si="39"/>
        <v>0</v>
      </c>
      <c r="R286" s="241">
        <f t="shared" si="40"/>
        <v>0</v>
      </c>
      <c r="S286" s="240">
        <f t="shared" si="41"/>
        <v>0</v>
      </c>
      <c r="T286" s="241">
        <f t="shared" si="42"/>
        <v>0</v>
      </c>
      <c r="U286" s="241">
        <f t="shared" si="43"/>
        <v>0</v>
      </c>
      <c r="V286" s="114" t="str">
        <f>IF(ISNA(VLOOKUP(J286,[1]!AVION1[#Data],3,FALSE)),"",VLOOKUP(J286,[1]!AVION1[#Data],3,FALSE))</f>
        <v/>
      </c>
      <c r="W286" s="114" t="str">
        <f>IF(ISNA(VLOOKUP(N286,[1]!INSTRUCTEUR[#Data],2,FALSE)),"",VLOOKUP(N286,[1]!INSTRUCTEUR[#Data],2,FALSE))</f>
        <v/>
      </c>
      <c r="X286" s="115">
        <f t="shared" si="44"/>
        <v>0</v>
      </c>
    </row>
    <row r="287" spans="3:24">
      <c r="C287" s="231"/>
      <c r="D287" s="232"/>
      <c r="E287" s="233"/>
      <c r="F287" s="234"/>
      <c r="G287" s="235"/>
      <c r="H287" s="236">
        <f t="shared" si="37"/>
        <v>0</v>
      </c>
      <c r="I287" s="237" t="str">
        <f>IF(ISNA(VLOOKUP(J287,[1]!AVION1[#Data],2,FALSE)),"",VLOOKUP(J287,[1]!AVION1[#Data],2,FALSE))</f>
        <v/>
      </c>
      <c r="J287" s="233"/>
      <c r="K287" s="235"/>
      <c r="L287" s="235"/>
      <c r="M287" s="238">
        <f t="shared" si="38"/>
        <v>0</v>
      </c>
      <c r="N287" s="239"/>
      <c r="O287" s="235"/>
      <c r="P287" s="235"/>
      <c r="Q287" s="240">
        <f t="shared" si="39"/>
        <v>0</v>
      </c>
      <c r="R287" s="241">
        <f t="shared" si="40"/>
        <v>0</v>
      </c>
      <c r="S287" s="240">
        <f t="shared" si="41"/>
        <v>0</v>
      </c>
      <c r="T287" s="241">
        <f t="shared" si="42"/>
        <v>0</v>
      </c>
      <c r="U287" s="241">
        <f t="shared" si="43"/>
        <v>0</v>
      </c>
      <c r="V287" s="114" t="str">
        <f>IF(ISNA(VLOOKUP(J287,[1]!AVION1[#Data],3,FALSE)),"",VLOOKUP(J287,[1]!AVION1[#Data],3,FALSE))</f>
        <v/>
      </c>
      <c r="W287" s="114" t="str">
        <f>IF(ISNA(VLOOKUP(N287,[1]!INSTRUCTEUR[#Data],2,FALSE)),"",VLOOKUP(N287,[1]!INSTRUCTEUR[#Data],2,FALSE))</f>
        <v/>
      </c>
      <c r="X287" s="115">
        <f t="shared" si="44"/>
        <v>0</v>
      </c>
    </row>
    <row r="288" spans="3:24">
      <c r="C288" s="231"/>
      <c r="D288" s="232"/>
      <c r="E288" s="233"/>
      <c r="F288" s="234"/>
      <c r="G288" s="235"/>
      <c r="H288" s="236">
        <f t="shared" si="37"/>
        <v>0</v>
      </c>
      <c r="I288" s="237" t="str">
        <f>IF(ISNA(VLOOKUP(J288,[1]!AVION1[#Data],2,FALSE)),"",VLOOKUP(J288,[1]!AVION1[#Data],2,FALSE))</f>
        <v/>
      </c>
      <c r="J288" s="233"/>
      <c r="K288" s="235"/>
      <c r="L288" s="235"/>
      <c r="M288" s="238">
        <f t="shared" si="38"/>
        <v>0</v>
      </c>
      <c r="N288" s="239"/>
      <c r="O288" s="235"/>
      <c r="P288" s="235"/>
      <c r="Q288" s="240">
        <f t="shared" si="39"/>
        <v>0</v>
      </c>
      <c r="R288" s="241">
        <f t="shared" si="40"/>
        <v>0</v>
      </c>
      <c r="S288" s="240">
        <f t="shared" si="41"/>
        <v>0</v>
      </c>
      <c r="T288" s="241">
        <f t="shared" si="42"/>
        <v>0</v>
      </c>
      <c r="U288" s="241">
        <f t="shared" si="43"/>
        <v>0</v>
      </c>
      <c r="V288" s="114" t="str">
        <f>IF(ISNA(VLOOKUP(J288,[1]!AVION1[#Data],3,FALSE)),"",VLOOKUP(J288,[1]!AVION1[#Data],3,FALSE))</f>
        <v/>
      </c>
      <c r="W288" s="114" t="str">
        <f>IF(ISNA(VLOOKUP(N288,[1]!INSTRUCTEUR[#Data],2,FALSE)),"",VLOOKUP(N288,[1]!INSTRUCTEUR[#Data],2,FALSE))</f>
        <v/>
      </c>
      <c r="X288" s="115">
        <f t="shared" si="44"/>
        <v>0</v>
      </c>
    </row>
    <row r="289" spans="3:24">
      <c r="C289" s="231"/>
      <c r="D289" s="232"/>
      <c r="E289" s="233"/>
      <c r="F289" s="234"/>
      <c r="G289" s="235"/>
      <c r="H289" s="236">
        <f t="shared" si="37"/>
        <v>0</v>
      </c>
      <c r="I289" s="237" t="str">
        <f>IF(ISNA(VLOOKUP(J289,[1]!AVION1[#Data],2,FALSE)),"",VLOOKUP(J289,[1]!AVION1[#Data],2,FALSE))</f>
        <v/>
      </c>
      <c r="J289" s="233"/>
      <c r="K289" s="235"/>
      <c r="L289" s="235"/>
      <c r="M289" s="238">
        <f t="shared" si="38"/>
        <v>0</v>
      </c>
      <c r="N289" s="239"/>
      <c r="O289" s="235"/>
      <c r="P289" s="235"/>
      <c r="Q289" s="240">
        <f t="shared" si="39"/>
        <v>0</v>
      </c>
      <c r="R289" s="241">
        <f t="shared" si="40"/>
        <v>0</v>
      </c>
      <c r="S289" s="240">
        <f t="shared" si="41"/>
        <v>0</v>
      </c>
      <c r="T289" s="241">
        <f t="shared" si="42"/>
        <v>0</v>
      </c>
      <c r="U289" s="241">
        <f t="shared" si="43"/>
        <v>0</v>
      </c>
      <c r="V289" s="114" t="str">
        <f>IF(ISNA(VLOOKUP(J289,[1]!AVION1[#Data],3,FALSE)),"",VLOOKUP(J289,[1]!AVION1[#Data],3,FALSE))</f>
        <v/>
      </c>
      <c r="W289" s="114" t="str">
        <f>IF(ISNA(VLOOKUP(N289,[1]!INSTRUCTEUR[#Data],2,FALSE)),"",VLOOKUP(N289,[1]!INSTRUCTEUR[#Data],2,FALSE))</f>
        <v/>
      </c>
      <c r="X289" s="115">
        <f t="shared" si="44"/>
        <v>0</v>
      </c>
    </row>
    <row r="290" spans="3:24">
      <c r="C290" s="231"/>
      <c r="D290" s="232"/>
      <c r="E290" s="233"/>
      <c r="F290" s="234"/>
      <c r="G290" s="235"/>
      <c r="H290" s="236">
        <f t="shared" si="37"/>
        <v>0</v>
      </c>
      <c r="I290" s="237" t="str">
        <f>IF(ISNA(VLOOKUP(J290,[1]!AVION1[#Data],2,FALSE)),"",VLOOKUP(J290,[1]!AVION1[#Data],2,FALSE))</f>
        <v/>
      </c>
      <c r="J290" s="233"/>
      <c r="K290" s="235"/>
      <c r="L290" s="235"/>
      <c r="M290" s="238">
        <f t="shared" si="38"/>
        <v>0</v>
      </c>
      <c r="N290" s="239"/>
      <c r="O290" s="235"/>
      <c r="P290" s="235"/>
      <c r="Q290" s="240">
        <f t="shared" si="39"/>
        <v>0</v>
      </c>
      <c r="R290" s="241">
        <f t="shared" si="40"/>
        <v>0</v>
      </c>
      <c r="S290" s="240">
        <f t="shared" si="41"/>
        <v>0</v>
      </c>
      <c r="T290" s="241">
        <f t="shared" si="42"/>
        <v>0</v>
      </c>
      <c r="U290" s="241">
        <f t="shared" si="43"/>
        <v>0</v>
      </c>
      <c r="V290" s="114" t="str">
        <f>IF(ISNA(VLOOKUP(J290,[1]!AVION1[#Data],3,FALSE)),"",VLOOKUP(J290,[1]!AVION1[#Data],3,FALSE))</f>
        <v/>
      </c>
      <c r="W290" s="114" t="str">
        <f>IF(ISNA(VLOOKUP(N290,[1]!INSTRUCTEUR[#Data],2,FALSE)),"",VLOOKUP(N290,[1]!INSTRUCTEUR[#Data],2,FALSE))</f>
        <v/>
      </c>
      <c r="X290" s="115">
        <f t="shared" si="44"/>
        <v>0</v>
      </c>
    </row>
    <row r="291" spans="3:24">
      <c r="C291" s="231"/>
      <c r="D291" s="232"/>
      <c r="E291" s="233"/>
      <c r="F291" s="234"/>
      <c r="G291" s="235"/>
      <c r="H291" s="236">
        <f t="shared" si="37"/>
        <v>0</v>
      </c>
      <c r="I291" s="237" t="str">
        <f>IF(ISNA(VLOOKUP(J291,[1]!AVION1[#Data],2,FALSE)),"",VLOOKUP(J291,[1]!AVION1[#Data],2,FALSE))</f>
        <v/>
      </c>
      <c r="J291" s="233"/>
      <c r="K291" s="235"/>
      <c r="L291" s="235"/>
      <c r="M291" s="238">
        <f t="shared" si="38"/>
        <v>0</v>
      </c>
      <c r="N291" s="239"/>
      <c r="O291" s="235"/>
      <c r="P291" s="235"/>
      <c r="Q291" s="240">
        <f t="shared" si="39"/>
        <v>0</v>
      </c>
      <c r="R291" s="241">
        <f t="shared" si="40"/>
        <v>0</v>
      </c>
      <c r="S291" s="240">
        <f t="shared" si="41"/>
        <v>0</v>
      </c>
      <c r="T291" s="241">
        <f t="shared" si="42"/>
        <v>0</v>
      </c>
      <c r="U291" s="241">
        <f t="shared" si="43"/>
        <v>0</v>
      </c>
      <c r="V291" s="114" t="str">
        <f>IF(ISNA(VLOOKUP(J291,[1]!AVION1[#Data],3,FALSE)),"",VLOOKUP(J291,[1]!AVION1[#Data],3,FALSE))</f>
        <v/>
      </c>
      <c r="W291" s="114" t="str">
        <f>IF(ISNA(VLOOKUP(N291,[1]!INSTRUCTEUR[#Data],2,FALSE)),"",VLOOKUP(N291,[1]!INSTRUCTEUR[#Data],2,FALSE))</f>
        <v/>
      </c>
      <c r="X291" s="115">
        <f t="shared" si="44"/>
        <v>0</v>
      </c>
    </row>
    <row r="292" spans="3:24">
      <c r="C292" s="231"/>
      <c r="D292" s="232"/>
      <c r="E292" s="233"/>
      <c r="F292" s="234"/>
      <c r="G292" s="235"/>
      <c r="H292" s="236">
        <f t="shared" si="37"/>
        <v>0</v>
      </c>
      <c r="I292" s="237" t="str">
        <f>IF(ISNA(VLOOKUP(J292,[1]!AVION1[#Data],2,FALSE)),"",VLOOKUP(J292,[1]!AVION1[#Data],2,FALSE))</f>
        <v/>
      </c>
      <c r="J292" s="233"/>
      <c r="K292" s="235"/>
      <c r="L292" s="235"/>
      <c r="M292" s="238">
        <f t="shared" si="38"/>
        <v>0</v>
      </c>
      <c r="N292" s="239"/>
      <c r="O292" s="235"/>
      <c r="P292" s="235"/>
      <c r="Q292" s="240">
        <f t="shared" si="39"/>
        <v>0</v>
      </c>
      <c r="R292" s="241">
        <f t="shared" si="40"/>
        <v>0</v>
      </c>
      <c r="S292" s="240">
        <f t="shared" si="41"/>
        <v>0</v>
      </c>
      <c r="T292" s="241">
        <f t="shared" si="42"/>
        <v>0</v>
      </c>
      <c r="U292" s="241">
        <f t="shared" si="43"/>
        <v>0</v>
      </c>
      <c r="V292" s="114" t="str">
        <f>IF(ISNA(VLOOKUP(J292,[1]!AVION1[#Data],3,FALSE)),"",VLOOKUP(J292,[1]!AVION1[#Data],3,FALSE))</f>
        <v/>
      </c>
      <c r="W292" s="114" t="str">
        <f>IF(ISNA(VLOOKUP(N292,[1]!INSTRUCTEUR[#Data],2,FALSE)),"",VLOOKUP(N292,[1]!INSTRUCTEUR[#Data],2,FALSE))</f>
        <v/>
      </c>
      <c r="X292" s="115">
        <f t="shared" si="44"/>
        <v>0</v>
      </c>
    </row>
    <row r="293" spans="3:24">
      <c r="C293" s="231"/>
      <c r="D293" s="232"/>
      <c r="E293" s="233"/>
      <c r="F293" s="234"/>
      <c r="G293" s="235"/>
      <c r="H293" s="236">
        <f t="shared" ref="H293:H354" si="45">F293+M293</f>
        <v>0</v>
      </c>
      <c r="I293" s="237" t="str">
        <f>IF(ISNA(VLOOKUP(J293,[1]!AVION1[#Data],2,FALSE)),"",VLOOKUP(J293,[1]!AVION1[#Data],2,FALSE))</f>
        <v/>
      </c>
      <c r="J293" s="233"/>
      <c r="K293" s="235"/>
      <c r="L293" s="235"/>
      <c r="M293" s="238">
        <f t="shared" ref="M293:M354" si="46">(L293-K293)*60/14400</f>
        <v>0</v>
      </c>
      <c r="N293" s="239"/>
      <c r="O293" s="235"/>
      <c r="P293" s="235"/>
      <c r="Q293" s="240">
        <f t="shared" si="39"/>
        <v>0</v>
      </c>
      <c r="R293" s="241">
        <f t="shared" si="40"/>
        <v>0</v>
      </c>
      <c r="S293" s="240">
        <f t="shared" si="41"/>
        <v>0</v>
      </c>
      <c r="T293" s="241">
        <f t="shared" si="42"/>
        <v>0</v>
      </c>
      <c r="U293" s="241">
        <f t="shared" si="43"/>
        <v>0</v>
      </c>
      <c r="V293" s="114" t="str">
        <f>IF(ISNA(VLOOKUP(J293,[1]!AVION1[#Data],3,FALSE)),"",VLOOKUP(J293,[1]!AVION1[#Data],3,FALSE))</f>
        <v/>
      </c>
      <c r="W293" s="114" t="str">
        <f>IF(ISNA(VLOOKUP(N293,[1]!INSTRUCTEUR[#Data],2,FALSE)),"",VLOOKUP(N293,[1]!INSTRUCTEUR[#Data],2,FALSE))</f>
        <v/>
      </c>
      <c r="X293" s="115">
        <f t="shared" si="44"/>
        <v>0</v>
      </c>
    </row>
    <row r="294" spans="3:24">
      <c r="C294" s="231"/>
      <c r="D294" s="232"/>
      <c r="E294" s="233"/>
      <c r="F294" s="234"/>
      <c r="G294" s="235"/>
      <c r="H294" s="236">
        <f t="shared" si="45"/>
        <v>0</v>
      </c>
      <c r="I294" s="237" t="str">
        <f>IF(ISNA(VLOOKUP(J294,[1]!AVION1[#Data],2,FALSE)),"",VLOOKUP(J294,[1]!AVION1[#Data],2,FALSE))</f>
        <v/>
      </c>
      <c r="J294" s="233"/>
      <c r="K294" s="235"/>
      <c r="L294" s="235"/>
      <c r="M294" s="238">
        <f t="shared" si="46"/>
        <v>0</v>
      </c>
      <c r="N294" s="239"/>
      <c r="O294" s="235"/>
      <c r="P294" s="235"/>
      <c r="Q294" s="240">
        <f t="shared" si="39"/>
        <v>0</v>
      </c>
      <c r="R294" s="241">
        <f t="shared" si="40"/>
        <v>0</v>
      </c>
      <c r="S294" s="240">
        <f t="shared" si="41"/>
        <v>0</v>
      </c>
      <c r="T294" s="241">
        <f t="shared" si="42"/>
        <v>0</v>
      </c>
      <c r="U294" s="241">
        <f t="shared" si="43"/>
        <v>0</v>
      </c>
      <c r="V294" s="114" t="str">
        <f>IF(ISNA(VLOOKUP(J294,[1]!AVION1[#Data],3,FALSE)),"",VLOOKUP(J294,[1]!AVION1[#Data],3,FALSE))</f>
        <v/>
      </c>
      <c r="W294" s="114" t="str">
        <f>IF(ISNA(VLOOKUP(N294,[1]!INSTRUCTEUR[#Data],2,FALSE)),"",VLOOKUP(N294,[1]!INSTRUCTEUR[#Data],2,FALSE))</f>
        <v/>
      </c>
      <c r="X294" s="115">
        <f t="shared" si="44"/>
        <v>0</v>
      </c>
    </row>
    <row r="295" spans="3:24">
      <c r="C295" s="231"/>
      <c r="D295" s="232"/>
      <c r="E295" s="233"/>
      <c r="F295" s="234"/>
      <c r="G295" s="235"/>
      <c r="H295" s="236">
        <f t="shared" si="45"/>
        <v>0</v>
      </c>
      <c r="I295" s="237" t="str">
        <f>IF(ISNA(VLOOKUP(J295,[1]!AVION1[#Data],2,FALSE)),"",VLOOKUP(J295,[1]!AVION1[#Data],2,FALSE))</f>
        <v/>
      </c>
      <c r="J295" s="233"/>
      <c r="K295" s="235"/>
      <c r="L295" s="235"/>
      <c r="M295" s="238">
        <f t="shared" si="46"/>
        <v>0</v>
      </c>
      <c r="N295" s="239"/>
      <c r="O295" s="235"/>
      <c r="P295" s="235"/>
      <c r="Q295" s="240">
        <f t="shared" si="39"/>
        <v>0</v>
      </c>
      <c r="R295" s="241">
        <f t="shared" si="40"/>
        <v>0</v>
      </c>
      <c r="S295" s="240">
        <f t="shared" si="41"/>
        <v>0</v>
      </c>
      <c r="T295" s="241">
        <f t="shared" si="42"/>
        <v>0</v>
      </c>
      <c r="U295" s="241">
        <f t="shared" si="43"/>
        <v>0</v>
      </c>
      <c r="V295" s="114" t="str">
        <f>IF(ISNA(VLOOKUP(J295,[1]!AVION1[#Data],3,FALSE)),"",VLOOKUP(J295,[1]!AVION1[#Data],3,FALSE))</f>
        <v/>
      </c>
      <c r="W295" s="114" t="str">
        <f>IF(ISNA(VLOOKUP(N295,[1]!INSTRUCTEUR[#Data],2,FALSE)),"",VLOOKUP(N295,[1]!INSTRUCTEUR[#Data],2,FALSE))</f>
        <v/>
      </c>
      <c r="X295" s="115">
        <f t="shared" si="44"/>
        <v>0</v>
      </c>
    </row>
    <row r="296" spans="3:24">
      <c r="C296" s="231"/>
      <c r="D296" s="232"/>
      <c r="E296" s="233"/>
      <c r="F296" s="234"/>
      <c r="G296" s="235"/>
      <c r="H296" s="236">
        <f t="shared" si="45"/>
        <v>0</v>
      </c>
      <c r="I296" s="237" t="str">
        <f>IF(ISNA(VLOOKUP(J296,[1]!AVION1[#Data],2,FALSE)),"",VLOOKUP(J296,[1]!AVION1[#Data],2,FALSE))</f>
        <v/>
      </c>
      <c r="J296" s="233"/>
      <c r="K296" s="235"/>
      <c r="L296" s="235"/>
      <c r="M296" s="238">
        <f t="shared" si="46"/>
        <v>0</v>
      </c>
      <c r="N296" s="239"/>
      <c r="O296" s="235"/>
      <c r="P296" s="235"/>
      <c r="Q296" s="240">
        <f t="shared" si="39"/>
        <v>0</v>
      </c>
      <c r="R296" s="241">
        <f t="shared" si="40"/>
        <v>0</v>
      </c>
      <c r="S296" s="240">
        <f t="shared" si="41"/>
        <v>0</v>
      </c>
      <c r="T296" s="241">
        <f t="shared" si="42"/>
        <v>0</v>
      </c>
      <c r="U296" s="241">
        <f t="shared" si="43"/>
        <v>0</v>
      </c>
      <c r="V296" s="114" t="str">
        <f>IF(ISNA(VLOOKUP(J296,[1]!AVION1[#Data],3,FALSE)),"",VLOOKUP(J296,[1]!AVION1[#Data],3,FALSE))</f>
        <v/>
      </c>
      <c r="W296" s="114" t="str">
        <f>IF(ISNA(VLOOKUP(N296,[1]!INSTRUCTEUR[#Data],2,FALSE)),"",VLOOKUP(N296,[1]!INSTRUCTEUR[#Data],2,FALSE))</f>
        <v/>
      </c>
      <c r="X296" s="115">
        <f t="shared" si="44"/>
        <v>0</v>
      </c>
    </row>
    <row r="297" spans="3:24">
      <c r="C297" s="231"/>
      <c r="D297" s="232"/>
      <c r="E297" s="233"/>
      <c r="F297" s="234"/>
      <c r="G297" s="235"/>
      <c r="H297" s="236">
        <f t="shared" si="45"/>
        <v>0</v>
      </c>
      <c r="I297" s="237" t="str">
        <f>IF(ISNA(VLOOKUP(J297,[1]!AVION1[#Data],2,FALSE)),"",VLOOKUP(J297,[1]!AVION1[#Data],2,FALSE))</f>
        <v/>
      </c>
      <c r="J297" s="233"/>
      <c r="K297" s="235"/>
      <c r="L297" s="235"/>
      <c r="M297" s="238">
        <f t="shared" si="46"/>
        <v>0</v>
      </c>
      <c r="N297" s="239"/>
      <c r="O297" s="235"/>
      <c r="P297" s="235"/>
      <c r="Q297" s="240">
        <f t="shared" si="39"/>
        <v>0</v>
      </c>
      <c r="R297" s="241">
        <f t="shared" si="40"/>
        <v>0</v>
      </c>
      <c r="S297" s="240">
        <f t="shared" si="41"/>
        <v>0</v>
      </c>
      <c r="T297" s="241">
        <f t="shared" si="42"/>
        <v>0</v>
      </c>
      <c r="U297" s="241">
        <f t="shared" si="43"/>
        <v>0</v>
      </c>
      <c r="V297" s="114" t="str">
        <f>IF(ISNA(VLOOKUP(J297,[1]!AVION1[#Data],3,FALSE)),"",VLOOKUP(J297,[1]!AVION1[#Data],3,FALSE))</f>
        <v/>
      </c>
      <c r="W297" s="114" t="str">
        <f>IF(ISNA(VLOOKUP(N297,[1]!INSTRUCTEUR[#Data],2,FALSE)),"",VLOOKUP(N297,[1]!INSTRUCTEUR[#Data],2,FALSE))</f>
        <v/>
      </c>
      <c r="X297" s="115">
        <f t="shared" si="44"/>
        <v>0</v>
      </c>
    </row>
    <row r="298" spans="3:24">
      <c r="C298" s="231"/>
      <c r="D298" s="232"/>
      <c r="E298" s="233"/>
      <c r="F298" s="234"/>
      <c r="G298" s="235"/>
      <c r="H298" s="236">
        <f t="shared" si="45"/>
        <v>0</v>
      </c>
      <c r="I298" s="237" t="str">
        <f>IF(ISNA(VLOOKUP(J298,[1]!AVION1[#Data],2,FALSE)),"",VLOOKUP(J298,[1]!AVION1[#Data],2,FALSE))</f>
        <v/>
      </c>
      <c r="J298" s="233"/>
      <c r="K298" s="235"/>
      <c r="L298" s="235"/>
      <c r="M298" s="238">
        <f t="shared" si="46"/>
        <v>0</v>
      </c>
      <c r="N298" s="239"/>
      <c r="O298" s="235"/>
      <c r="P298" s="235"/>
      <c r="Q298" s="240">
        <f t="shared" si="39"/>
        <v>0</v>
      </c>
      <c r="R298" s="241">
        <f t="shared" si="40"/>
        <v>0</v>
      </c>
      <c r="S298" s="240">
        <f t="shared" si="41"/>
        <v>0</v>
      </c>
      <c r="T298" s="241">
        <f t="shared" si="42"/>
        <v>0</v>
      </c>
      <c r="U298" s="241">
        <f t="shared" si="43"/>
        <v>0</v>
      </c>
      <c r="V298" s="114" t="str">
        <f>IF(ISNA(VLOOKUP(J298,[1]!AVION1[#Data],3,FALSE)),"",VLOOKUP(J298,[1]!AVION1[#Data],3,FALSE))</f>
        <v/>
      </c>
      <c r="W298" s="114" t="str">
        <f>IF(ISNA(VLOOKUP(N298,[1]!INSTRUCTEUR[#Data],2,FALSE)),"",VLOOKUP(N298,[1]!INSTRUCTEUR[#Data],2,FALSE))</f>
        <v/>
      </c>
      <c r="X298" s="115">
        <f t="shared" si="44"/>
        <v>0</v>
      </c>
    </row>
    <row r="299" spans="3:24">
      <c r="C299" s="231"/>
      <c r="D299" s="232"/>
      <c r="E299" s="233"/>
      <c r="F299" s="234"/>
      <c r="G299" s="235"/>
      <c r="H299" s="236">
        <f t="shared" si="45"/>
        <v>0</v>
      </c>
      <c r="I299" s="237" t="str">
        <f>IF(ISNA(VLOOKUP(J299,[1]!AVION1[#Data],2,FALSE)),"",VLOOKUP(J299,[1]!AVION1[#Data],2,FALSE))</f>
        <v/>
      </c>
      <c r="J299" s="233"/>
      <c r="K299" s="235"/>
      <c r="L299" s="235"/>
      <c r="M299" s="238">
        <f t="shared" si="46"/>
        <v>0</v>
      </c>
      <c r="N299" s="239"/>
      <c r="O299" s="235"/>
      <c r="P299" s="235"/>
      <c r="Q299" s="240">
        <f t="shared" si="39"/>
        <v>0</v>
      </c>
      <c r="R299" s="241">
        <f t="shared" si="40"/>
        <v>0</v>
      </c>
      <c r="S299" s="240">
        <f t="shared" si="41"/>
        <v>0</v>
      </c>
      <c r="T299" s="241">
        <f t="shared" si="42"/>
        <v>0</v>
      </c>
      <c r="U299" s="241">
        <f t="shared" si="43"/>
        <v>0</v>
      </c>
      <c r="V299" s="114" t="str">
        <f>IF(ISNA(VLOOKUP(J299,[1]!AVION1[#Data],3,FALSE)),"",VLOOKUP(J299,[1]!AVION1[#Data],3,FALSE))</f>
        <v/>
      </c>
      <c r="W299" s="114" t="str">
        <f>IF(ISNA(VLOOKUP(N299,[1]!INSTRUCTEUR[#Data],2,FALSE)),"",VLOOKUP(N299,[1]!INSTRUCTEUR[#Data],2,FALSE))</f>
        <v/>
      </c>
      <c r="X299" s="115">
        <f t="shared" si="44"/>
        <v>0</v>
      </c>
    </row>
    <row r="300" spans="3:24">
      <c r="C300" s="231"/>
      <c r="D300" s="232"/>
      <c r="E300" s="233"/>
      <c r="F300" s="234"/>
      <c r="G300" s="235"/>
      <c r="H300" s="236">
        <f t="shared" si="45"/>
        <v>0</v>
      </c>
      <c r="I300" s="237" t="str">
        <f>IF(ISNA(VLOOKUP(J300,[1]!AVION1[#Data],2,FALSE)),"",VLOOKUP(J300,[1]!AVION1[#Data],2,FALSE))</f>
        <v/>
      </c>
      <c r="J300" s="233"/>
      <c r="K300" s="235"/>
      <c r="L300" s="235"/>
      <c r="M300" s="238">
        <f t="shared" si="46"/>
        <v>0</v>
      </c>
      <c r="N300" s="239"/>
      <c r="O300" s="235"/>
      <c r="P300" s="235"/>
      <c r="Q300" s="240">
        <f t="shared" si="39"/>
        <v>0</v>
      </c>
      <c r="R300" s="241">
        <f t="shared" si="40"/>
        <v>0</v>
      </c>
      <c r="S300" s="240">
        <f t="shared" si="41"/>
        <v>0</v>
      </c>
      <c r="T300" s="241">
        <f t="shared" si="42"/>
        <v>0</v>
      </c>
      <c r="U300" s="241">
        <f t="shared" si="43"/>
        <v>0</v>
      </c>
      <c r="V300" s="114" t="str">
        <f>IF(ISNA(VLOOKUP(J300,[1]!AVION1[#Data],3,FALSE)),"",VLOOKUP(J300,[1]!AVION1[#Data],3,FALSE))</f>
        <v/>
      </c>
      <c r="W300" s="114" t="str">
        <f>IF(ISNA(VLOOKUP(N300,[1]!INSTRUCTEUR[#Data],2,FALSE)),"",VLOOKUP(N300,[1]!INSTRUCTEUR[#Data],2,FALSE))</f>
        <v/>
      </c>
      <c r="X300" s="115">
        <f t="shared" si="44"/>
        <v>0</v>
      </c>
    </row>
    <row r="301" spans="3:24">
      <c r="C301" s="231"/>
      <c r="D301" s="232"/>
      <c r="E301" s="233"/>
      <c r="F301" s="234"/>
      <c r="G301" s="235"/>
      <c r="H301" s="236">
        <f t="shared" si="45"/>
        <v>0</v>
      </c>
      <c r="I301" s="237" t="str">
        <f>IF(ISNA(VLOOKUP(J301,[1]!AVION1[#Data],2,FALSE)),"",VLOOKUP(J301,[1]!AVION1[#Data],2,FALSE))</f>
        <v/>
      </c>
      <c r="J301" s="233"/>
      <c r="K301" s="235"/>
      <c r="L301" s="235"/>
      <c r="M301" s="238">
        <f t="shared" si="46"/>
        <v>0</v>
      </c>
      <c r="N301" s="239"/>
      <c r="O301" s="235"/>
      <c r="P301" s="235"/>
      <c r="Q301" s="240">
        <f t="shared" si="39"/>
        <v>0</v>
      </c>
      <c r="R301" s="241">
        <f t="shared" si="40"/>
        <v>0</v>
      </c>
      <c r="S301" s="240">
        <f t="shared" si="41"/>
        <v>0</v>
      </c>
      <c r="T301" s="241">
        <f t="shared" si="42"/>
        <v>0</v>
      </c>
      <c r="U301" s="241">
        <f t="shared" si="43"/>
        <v>0</v>
      </c>
      <c r="V301" s="114" t="str">
        <f>IF(ISNA(VLOOKUP(J301,[1]!AVION1[#Data],3,FALSE)),"",VLOOKUP(J301,[1]!AVION1[#Data],3,FALSE))</f>
        <v/>
      </c>
      <c r="W301" s="114" t="str">
        <f>IF(ISNA(VLOOKUP(N301,[1]!INSTRUCTEUR[#Data],2,FALSE)),"",VLOOKUP(N301,[1]!INSTRUCTEUR[#Data],2,FALSE))</f>
        <v/>
      </c>
      <c r="X301" s="115">
        <f t="shared" si="44"/>
        <v>0</v>
      </c>
    </row>
    <row r="302" spans="3:24">
      <c r="C302" s="231"/>
      <c r="D302" s="232"/>
      <c r="E302" s="233"/>
      <c r="F302" s="234"/>
      <c r="G302" s="235"/>
      <c r="H302" s="236">
        <f t="shared" si="45"/>
        <v>0</v>
      </c>
      <c r="I302" s="237" t="str">
        <f>IF(ISNA(VLOOKUP(J302,[1]!AVION1[#Data],2,FALSE)),"",VLOOKUP(J302,[1]!AVION1[#Data],2,FALSE))</f>
        <v/>
      </c>
      <c r="J302" s="233"/>
      <c r="K302" s="235"/>
      <c r="L302" s="235"/>
      <c r="M302" s="238">
        <f t="shared" si="46"/>
        <v>0</v>
      </c>
      <c r="N302" s="239"/>
      <c r="O302" s="235"/>
      <c r="P302" s="235"/>
      <c r="Q302" s="240">
        <f t="shared" si="39"/>
        <v>0</v>
      </c>
      <c r="R302" s="241">
        <f t="shared" si="40"/>
        <v>0</v>
      </c>
      <c r="S302" s="240">
        <f t="shared" si="41"/>
        <v>0</v>
      </c>
      <c r="T302" s="241">
        <f t="shared" si="42"/>
        <v>0</v>
      </c>
      <c r="U302" s="241">
        <f t="shared" si="43"/>
        <v>0</v>
      </c>
      <c r="V302" s="114" t="str">
        <f>IF(ISNA(VLOOKUP(J302,[1]!AVION1[#Data],3,FALSE)),"",VLOOKUP(J302,[1]!AVION1[#Data],3,FALSE))</f>
        <v/>
      </c>
      <c r="W302" s="114" t="str">
        <f>IF(ISNA(VLOOKUP(N302,[1]!INSTRUCTEUR[#Data],2,FALSE)),"",VLOOKUP(N302,[1]!INSTRUCTEUR[#Data],2,FALSE))</f>
        <v/>
      </c>
      <c r="X302" s="115">
        <f t="shared" si="44"/>
        <v>0</v>
      </c>
    </row>
    <row r="303" spans="3:24">
      <c r="C303" s="231"/>
      <c r="D303" s="232"/>
      <c r="E303" s="233"/>
      <c r="F303" s="234"/>
      <c r="G303" s="235"/>
      <c r="H303" s="236">
        <f t="shared" si="45"/>
        <v>0</v>
      </c>
      <c r="I303" s="237" t="str">
        <f>IF(ISNA(VLOOKUP(J303,[1]!AVION1[#Data],2,FALSE)),"",VLOOKUP(J303,[1]!AVION1[#Data],2,FALSE))</f>
        <v/>
      </c>
      <c r="J303" s="233"/>
      <c r="K303" s="235"/>
      <c r="L303" s="235"/>
      <c r="M303" s="238">
        <f t="shared" si="46"/>
        <v>0</v>
      </c>
      <c r="N303" s="239"/>
      <c r="O303" s="235"/>
      <c r="P303" s="235"/>
      <c r="Q303" s="240">
        <f t="shared" si="39"/>
        <v>0</v>
      </c>
      <c r="R303" s="241">
        <f t="shared" si="40"/>
        <v>0</v>
      </c>
      <c r="S303" s="240">
        <f t="shared" si="41"/>
        <v>0</v>
      </c>
      <c r="T303" s="241">
        <f t="shared" si="42"/>
        <v>0</v>
      </c>
      <c r="U303" s="241">
        <f t="shared" si="43"/>
        <v>0</v>
      </c>
      <c r="V303" s="114" t="str">
        <f>IF(ISNA(VLOOKUP(J303,[1]!AVION1[#Data],3,FALSE)),"",VLOOKUP(J303,[1]!AVION1[#Data],3,FALSE))</f>
        <v/>
      </c>
      <c r="W303" s="114" t="str">
        <f>IF(ISNA(VLOOKUP(N303,[1]!INSTRUCTEUR[#Data],2,FALSE)),"",VLOOKUP(N303,[1]!INSTRUCTEUR[#Data],2,FALSE))</f>
        <v/>
      </c>
      <c r="X303" s="115">
        <f t="shared" si="44"/>
        <v>0</v>
      </c>
    </row>
    <row r="304" spans="3:24">
      <c r="C304" s="231"/>
      <c r="D304" s="232"/>
      <c r="E304" s="233"/>
      <c r="F304" s="234"/>
      <c r="G304" s="235"/>
      <c r="H304" s="236">
        <f t="shared" si="45"/>
        <v>0</v>
      </c>
      <c r="I304" s="237" t="str">
        <f>IF(ISNA(VLOOKUP(J304,[1]!AVION1[#Data],2,FALSE)),"",VLOOKUP(J304,[1]!AVION1[#Data],2,FALSE))</f>
        <v/>
      </c>
      <c r="J304" s="233"/>
      <c r="K304" s="235"/>
      <c r="L304" s="235"/>
      <c r="M304" s="238">
        <f t="shared" si="46"/>
        <v>0</v>
      </c>
      <c r="N304" s="239"/>
      <c r="O304" s="235"/>
      <c r="P304" s="235"/>
      <c r="Q304" s="240">
        <f t="shared" si="39"/>
        <v>0</v>
      </c>
      <c r="R304" s="241">
        <f t="shared" si="40"/>
        <v>0</v>
      </c>
      <c r="S304" s="240">
        <f t="shared" si="41"/>
        <v>0</v>
      </c>
      <c r="T304" s="241">
        <f t="shared" si="42"/>
        <v>0</v>
      </c>
      <c r="U304" s="241">
        <f t="shared" si="43"/>
        <v>0</v>
      </c>
      <c r="V304" s="114" t="str">
        <f>IF(ISNA(VLOOKUP(J304,[1]!AVION1[#Data],3,FALSE)),"",VLOOKUP(J304,[1]!AVION1[#Data],3,FALSE))</f>
        <v/>
      </c>
      <c r="W304" s="114" t="str">
        <f>IF(ISNA(VLOOKUP(N304,[1]!INSTRUCTEUR[#Data],2,FALSE)),"",VLOOKUP(N304,[1]!INSTRUCTEUR[#Data],2,FALSE))</f>
        <v/>
      </c>
      <c r="X304" s="115">
        <f t="shared" si="44"/>
        <v>0</v>
      </c>
    </row>
    <row r="305" spans="3:24">
      <c r="C305" s="231"/>
      <c r="D305" s="232"/>
      <c r="E305" s="233"/>
      <c r="F305" s="234"/>
      <c r="G305" s="235"/>
      <c r="H305" s="236">
        <f t="shared" si="45"/>
        <v>0</v>
      </c>
      <c r="I305" s="237" t="str">
        <f>IF(ISNA(VLOOKUP(J305,[1]!AVION1[#Data],2,FALSE)),"",VLOOKUP(J305,[1]!AVION1[#Data],2,FALSE))</f>
        <v/>
      </c>
      <c r="J305" s="233"/>
      <c r="K305" s="235"/>
      <c r="L305" s="235"/>
      <c r="M305" s="238">
        <f t="shared" si="46"/>
        <v>0</v>
      </c>
      <c r="N305" s="239"/>
      <c r="O305" s="235"/>
      <c r="P305" s="235"/>
      <c r="Q305" s="240">
        <f t="shared" si="39"/>
        <v>0</v>
      </c>
      <c r="R305" s="241">
        <f t="shared" si="40"/>
        <v>0</v>
      </c>
      <c r="S305" s="240">
        <f t="shared" si="41"/>
        <v>0</v>
      </c>
      <c r="T305" s="241">
        <f t="shared" si="42"/>
        <v>0</v>
      </c>
      <c r="U305" s="241">
        <f t="shared" si="43"/>
        <v>0</v>
      </c>
      <c r="V305" s="114" t="str">
        <f>IF(ISNA(VLOOKUP(J305,[1]!AVION1[#Data],3,FALSE)),"",VLOOKUP(J305,[1]!AVION1[#Data],3,FALSE))</f>
        <v/>
      </c>
      <c r="W305" s="114" t="str">
        <f>IF(ISNA(VLOOKUP(N305,[1]!INSTRUCTEUR[#Data],2,FALSE)),"",VLOOKUP(N305,[1]!INSTRUCTEUR[#Data],2,FALSE))</f>
        <v/>
      </c>
      <c r="X305" s="115">
        <f t="shared" si="44"/>
        <v>0</v>
      </c>
    </row>
    <row r="306" spans="3:24">
      <c r="C306" s="231"/>
      <c r="D306" s="232"/>
      <c r="E306" s="233"/>
      <c r="F306" s="234"/>
      <c r="G306" s="235"/>
      <c r="H306" s="236">
        <f t="shared" si="45"/>
        <v>0</v>
      </c>
      <c r="I306" s="237" t="str">
        <f>IF(ISNA(VLOOKUP(J306,[1]!AVION1[#Data],2,FALSE)),"",VLOOKUP(J306,[1]!AVION1[#Data],2,FALSE))</f>
        <v/>
      </c>
      <c r="J306" s="233"/>
      <c r="K306" s="235"/>
      <c r="L306" s="235"/>
      <c r="M306" s="238">
        <f t="shared" si="46"/>
        <v>0</v>
      </c>
      <c r="N306" s="239"/>
      <c r="O306" s="235"/>
      <c r="P306" s="235"/>
      <c r="Q306" s="240">
        <f t="shared" si="39"/>
        <v>0</v>
      </c>
      <c r="R306" s="241">
        <f t="shared" si="40"/>
        <v>0</v>
      </c>
      <c r="S306" s="240">
        <f t="shared" si="41"/>
        <v>0</v>
      </c>
      <c r="T306" s="241">
        <f t="shared" si="42"/>
        <v>0</v>
      </c>
      <c r="U306" s="241">
        <f t="shared" si="43"/>
        <v>0</v>
      </c>
      <c r="V306" s="114" t="str">
        <f>IF(ISNA(VLOOKUP(J306,[1]!AVION1[#Data],3,FALSE)),"",VLOOKUP(J306,[1]!AVION1[#Data],3,FALSE))</f>
        <v/>
      </c>
      <c r="W306" s="114" t="str">
        <f>IF(ISNA(VLOOKUP(N306,[1]!INSTRUCTEUR[#Data],2,FALSE)),"",VLOOKUP(N306,[1]!INSTRUCTEUR[#Data],2,FALSE))</f>
        <v/>
      </c>
      <c r="X306" s="115">
        <f t="shared" si="44"/>
        <v>0</v>
      </c>
    </row>
    <row r="307" spans="3:24">
      <c r="C307" s="231"/>
      <c r="D307" s="232"/>
      <c r="E307" s="233"/>
      <c r="F307" s="234"/>
      <c r="G307" s="235"/>
      <c r="H307" s="236">
        <f t="shared" si="45"/>
        <v>0</v>
      </c>
      <c r="I307" s="237" t="str">
        <f>IF(ISNA(VLOOKUP(J307,[1]!AVION1[#Data],2,FALSE)),"",VLOOKUP(J307,[1]!AVION1[#Data],2,FALSE))</f>
        <v/>
      </c>
      <c r="J307" s="233"/>
      <c r="K307" s="235"/>
      <c r="L307" s="235"/>
      <c r="M307" s="238">
        <f t="shared" si="46"/>
        <v>0</v>
      </c>
      <c r="N307" s="239"/>
      <c r="O307" s="235"/>
      <c r="P307" s="235"/>
      <c r="Q307" s="240">
        <f t="shared" si="39"/>
        <v>0</v>
      </c>
      <c r="R307" s="241">
        <f t="shared" si="40"/>
        <v>0</v>
      </c>
      <c r="S307" s="240">
        <f t="shared" si="41"/>
        <v>0</v>
      </c>
      <c r="T307" s="241">
        <f t="shared" si="42"/>
        <v>0</v>
      </c>
      <c r="U307" s="241">
        <f t="shared" si="43"/>
        <v>0</v>
      </c>
      <c r="V307" s="114" t="str">
        <f>IF(ISNA(VLOOKUP(J307,[1]!AVION1[#Data],3,FALSE)),"",VLOOKUP(J307,[1]!AVION1[#Data],3,FALSE))</f>
        <v/>
      </c>
      <c r="W307" s="114" t="str">
        <f>IF(ISNA(VLOOKUP(N307,[1]!INSTRUCTEUR[#Data],2,FALSE)),"",VLOOKUP(N307,[1]!INSTRUCTEUR[#Data],2,FALSE))</f>
        <v/>
      </c>
      <c r="X307" s="115">
        <f t="shared" si="44"/>
        <v>0</v>
      </c>
    </row>
    <row r="308" spans="3:24">
      <c r="C308" s="231"/>
      <c r="D308" s="232"/>
      <c r="E308" s="233"/>
      <c r="F308" s="234"/>
      <c r="G308" s="235"/>
      <c r="H308" s="236">
        <f t="shared" si="45"/>
        <v>0</v>
      </c>
      <c r="I308" s="237" t="str">
        <f>IF(ISNA(VLOOKUP(J308,[1]!AVION1[#Data],2,FALSE)),"",VLOOKUP(J308,[1]!AVION1[#Data],2,FALSE))</f>
        <v/>
      </c>
      <c r="J308" s="233"/>
      <c r="K308" s="235"/>
      <c r="L308" s="235"/>
      <c r="M308" s="238">
        <f t="shared" si="46"/>
        <v>0</v>
      </c>
      <c r="N308" s="239"/>
      <c r="O308" s="235"/>
      <c r="P308" s="235"/>
      <c r="Q308" s="240">
        <f t="shared" si="39"/>
        <v>0</v>
      </c>
      <c r="R308" s="241">
        <f t="shared" si="40"/>
        <v>0</v>
      </c>
      <c r="S308" s="240">
        <f t="shared" si="41"/>
        <v>0</v>
      </c>
      <c r="T308" s="241">
        <f t="shared" si="42"/>
        <v>0</v>
      </c>
      <c r="U308" s="241">
        <f t="shared" si="43"/>
        <v>0</v>
      </c>
      <c r="V308" s="114" t="str">
        <f>IF(ISNA(VLOOKUP(J308,[1]!AVION1[#Data],3,FALSE)),"",VLOOKUP(J308,[1]!AVION1[#Data],3,FALSE))</f>
        <v/>
      </c>
      <c r="W308" s="114" t="str">
        <f>IF(ISNA(VLOOKUP(N308,[1]!INSTRUCTEUR[#Data],2,FALSE)),"",VLOOKUP(N308,[1]!INSTRUCTEUR[#Data],2,FALSE))</f>
        <v/>
      </c>
      <c r="X308" s="115">
        <f t="shared" si="44"/>
        <v>0</v>
      </c>
    </row>
    <row r="309" spans="3:24">
      <c r="C309" s="231"/>
      <c r="D309" s="232"/>
      <c r="E309" s="233"/>
      <c r="F309" s="234"/>
      <c r="G309" s="235"/>
      <c r="H309" s="236">
        <f t="shared" si="45"/>
        <v>0</v>
      </c>
      <c r="I309" s="237" t="str">
        <f>IF(ISNA(VLOOKUP(J309,[1]!AVION1[#Data],2,FALSE)),"",VLOOKUP(J309,[1]!AVION1[#Data],2,FALSE))</f>
        <v/>
      </c>
      <c r="J309" s="233"/>
      <c r="K309" s="235"/>
      <c r="L309" s="235"/>
      <c r="M309" s="238">
        <f t="shared" si="46"/>
        <v>0</v>
      </c>
      <c r="N309" s="239"/>
      <c r="O309" s="235"/>
      <c r="P309" s="235"/>
      <c r="Q309" s="240">
        <f t="shared" si="39"/>
        <v>0</v>
      </c>
      <c r="R309" s="241">
        <f t="shared" si="40"/>
        <v>0</v>
      </c>
      <c r="S309" s="240">
        <f t="shared" si="41"/>
        <v>0</v>
      </c>
      <c r="T309" s="241">
        <f t="shared" si="42"/>
        <v>0</v>
      </c>
      <c r="U309" s="241">
        <f t="shared" si="43"/>
        <v>0</v>
      </c>
      <c r="V309" s="114" t="str">
        <f>IF(ISNA(VLOOKUP(J309,[1]!AVION1[#Data],3,FALSE)),"",VLOOKUP(J309,[1]!AVION1[#Data],3,FALSE))</f>
        <v/>
      </c>
      <c r="W309" s="114" t="str">
        <f>IF(ISNA(VLOOKUP(N309,[1]!INSTRUCTEUR[#Data],2,FALSE)),"",VLOOKUP(N309,[1]!INSTRUCTEUR[#Data],2,FALSE))</f>
        <v/>
      </c>
      <c r="X309" s="115">
        <f t="shared" si="44"/>
        <v>0</v>
      </c>
    </row>
    <row r="310" spans="3:24">
      <c r="C310" s="231"/>
      <c r="D310" s="232"/>
      <c r="E310" s="233"/>
      <c r="F310" s="234"/>
      <c r="G310" s="235"/>
      <c r="H310" s="236">
        <f t="shared" si="45"/>
        <v>0</v>
      </c>
      <c r="I310" s="237" t="str">
        <f>IF(ISNA(VLOOKUP(J310,[1]!AVION1[#Data],2,FALSE)),"",VLOOKUP(J310,[1]!AVION1[#Data],2,FALSE))</f>
        <v/>
      </c>
      <c r="J310" s="233"/>
      <c r="K310" s="235"/>
      <c r="L310" s="235"/>
      <c r="M310" s="238">
        <f t="shared" si="46"/>
        <v>0</v>
      </c>
      <c r="N310" s="239"/>
      <c r="O310" s="235"/>
      <c r="P310" s="235"/>
      <c r="Q310" s="240">
        <f t="shared" si="39"/>
        <v>0</v>
      </c>
      <c r="R310" s="241">
        <f t="shared" si="40"/>
        <v>0</v>
      </c>
      <c r="S310" s="240">
        <f t="shared" si="41"/>
        <v>0</v>
      </c>
      <c r="T310" s="241">
        <f t="shared" si="42"/>
        <v>0</v>
      </c>
      <c r="U310" s="241">
        <f t="shared" si="43"/>
        <v>0</v>
      </c>
      <c r="V310" s="114" t="str">
        <f>IF(ISNA(VLOOKUP(J310,[1]!AVION1[#Data],3,FALSE)),"",VLOOKUP(J310,[1]!AVION1[#Data],3,FALSE))</f>
        <v/>
      </c>
      <c r="W310" s="114" t="str">
        <f>IF(ISNA(VLOOKUP(N310,[1]!INSTRUCTEUR[#Data],2,FALSE)),"",VLOOKUP(N310,[1]!INSTRUCTEUR[#Data],2,FALSE))</f>
        <v/>
      </c>
      <c r="X310" s="115">
        <f t="shared" si="44"/>
        <v>0</v>
      </c>
    </row>
    <row r="311" spans="3:24">
      <c r="C311" s="231"/>
      <c r="D311" s="232"/>
      <c r="E311" s="233"/>
      <c r="F311" s="234"/>
      <c r="G311" s="235"/>
      <c r="H311" s="236">
        <f t="shared" si="45"/>
        <v>0</v>
      </c>
      <c r="I311" s="237" t="str">
        <f>IF(ISNA(VLOOKUP(J311,[1]!AVION1[#Data],2,FALSE)),"",VLOOKUP(J311,[1]!AVION1[#Data],2,FALSE))</f>
        <v/>
      </c>
      <c r="J311" s="233"/>
      <c r="K311" s="235"/>
      <c r="L311" s="235"/>
      <c r="M311" s="238">
        <f t="shared" si="46"/>
        <v>0</v>
      </c>
      <c r="N311" s="239"/>
      <c r="O311" s="235"/>
      <c r="P311" s="235"/>
      <c r="Q311" s="240">
        <f t="shared" si="39"/>
        <v>0</v>
      </c>
      <c r="R311" s="241">
        <f t="shared" si="40"/>
        <v>0</v>
      </c>
      <c r="S311" s="240">
        <f t="shared" si="41"/>
        <v>0</v>
      </c>
      <c r="T311" s="241">
        <f t="shared" si="42"/>
        <v>0</v>
      </c>
      <c r="U311" s="241">
        <f t="shared" si="43"/>
        <v>0</v>
      </c>
      <c r="V311" s="114" t="str">
        <f>IF(ISNA(VLOOKUP(J311,[1]!AVION1[#Data],3,FALSE)),"",VLOOKUP(J311,[1]!AVION1[#Data],3,FALSE))</f>
        <v/>
      </c>
      <c r="W311" s="114" t="str">
        <f>IF(ISNA(VLOOKUP(N311,[1]!INSTRUCTEUR[#Data],2,FALSE)),"",VLOOKUP(N311,[1]!INSTRUCTEUR[#Data],2,FALSE))</f>
        <v/>
      </c>
      <c r="X311" s="115">
        <f t="shared" si="44"/>
        <v>0</v>
      </c>
    </row>
    <row r="312" spans="3:24">
      <c r="C312" s="231"/>
      <c r="D312" s="232"/>
      <c r="E312" s="233"/>
      <c r="F312" s="234"/>
      <c r="G312" s="235"/>
      <c r="H312" s="236">
        <f t="shared" si="45"/>
        <v>0</v>
      </c>
      <c r="I312" s="237" t="str">
        <f>IF(ISNA(VLOOKUP(J312,[1]!AVION1[#Data],2,FALSE)),"",VLOOKUP(J312,[1]!AVION1[#Data],2,FALSE))</f>
        <v/>
      </c>
      <c r="J312" s="233"/>
      <c r="K312" s="235"/>
      <c r="L312" s="235"/>
      <c r="M312" s="238">
        <f t="shared" si="46"/>
        <v>0</v>
      </c>
      <c r="N312" s="239"/>
      <c r="O312" s="235"/>
      <c r="P312" s="235"/>
      <c r="Q312" s="240">
        <f t="shared" si="39"/>
        <v>0</v>
      </c>
      <c r="R312" s="241">
        <f t="shared" si="40"/>
        <v>0</v>
      </c>
      <c r="S312" s="240">
        <f t="shared" si="41"/>
        <v>0</v>
      </c>
      <c r="T312" s="241">
        <f t="shared" si="42"/>
        <v>0</v>
      </c>
      <c r="U312" s="241">
        <f t="shared" si="43"/>
        <v>0</v>
      </c>
      <c r="V312" s="114" t="str">
        <f>IF(ISNA(VLOOKUP(J312,[1]!AVION1[#Data],3,FALSE)),"",VLOOKUP(J312,[1]!AVION1[#Data],3,FALSE))</f>
        <v/>
      </c>
      <c r="W312" s="114" t="str">
        <f>IF(ISNA(VLOOKUP(N312,[1]!INSTRUCTEUR[#Data],2,FALSE)),"",VLOOKUP(N312,[1]!INSTRUCTEUR[#Data],2,FALSE))</f>
        <v/>
      </c>
      <c r="X312" s="115">
        <f t="shared" si="44"/>
        <v>0</v>
      </c>
    </row>
    <row r="313" spans="3:24">
      <c r="C313" s="231"/>
      <c r="D313" s="232"/>
      <c r="E313" s="233"/>
      <c r="F313" s="234"/>
      <c r="G313" s="235"/>
      <c r="H313" s="236">
        <f t="shared" si="45"/>
        <v>0</v>
      </c>
      <c r="I313" s="237" t="str">
        <f>IF(ISNA(VLOOKUP(J313,[1]!AVION1[#Data],2,FALSE)),"",VLOOKUP(J313,[1]!AVION1[#Data],2,FALSE))</f>
        <v/>
      </c>
      <c r="J313" s="233"/>
      <c r="K313" s="235"/>
      <c r="L313" s="235"/>
      <c r="M313" s="238">
        <f t="shared" si="46"/>
        <v>0</v>
      </c>
      <c r="N313" s="239"/>
      <c r="O313" s="235"/>
      <c r="P313" s="235"/>
      <c r="Q313" s="240">
        <f t="shared" si="39"/>
        <v>0</v>
      </c>
      <c r="R313" s="241">
        <f t="shared" si="40"/>
        <v>0</v>
      </c>
      <c r="S313" s="240">
        <f t="shared" si="41"/>
        <v>0</v>
      </c>
      <c r="T313" s="241">
        <f t="shared" si="42"/>
        <v>0</v>
      </c>
      <c r="U313" s="241">
        <f t="shared" si="43"/>
        <v>0</v>
      </c>
      <c r="V313" s="114" t="str">
        <f>IF(ISNA(VLOOKUP(J313,[1]!AVION1[#Data],3,FALSE)),"",VLOOKUP(J313,[1]!AVION1[#Data],3,FALSE))</f>
        <v/>
      </c>
      <c r="W313" s="114" t="str">
        <f>IF(ISNA(VLOOKUP(N313,[1]!INSTRUCTEUR[#Data],2,FALSE)),"",VLOOKUP(N313,[1]!INSTRUCTEUR[#Data],2,FALSE))</f>
        <v/>
      </c>
      <c r="X313" s="115">
        <f t="shared" si="44"/>
        <v>0</v>
      </c>
    </row>
    <row r="314" spans="3:24">
      <c r="C314" s="231"/>
      <c r="D314" s="232"/>
      <c r="E314" s="233"/>
      <c r="F314" s="234"/>
      <c r="G314" s="235"/>
      <c r="H314" s="236">
        <f t="shared" si="45"/>
        <v>0</v>
      </c>
      <c r="I314" s="237" t="str">
        <f>IF(ISNA(VLOOKUP(J314,[1]!AVION1[#Data],2,FALSE)),"",VLOOKUP(J314,[1]!AVION1[#Data],2,FALSE))</f>
        <v/>
      </c>
      <c r="J314" s="233"/>
      <c r="K314" s="235"/>
      <c r="L314" s="235"/>
      <c r="M314" s="238">
        <f t="shared" si="46"/>
        <v>0</v>
      </c>
      <c r="N314" s="239"/>
      <c r="O314" s="235"/>
      <c r="P314" s="235"/>
      <c r="Q314" s="240">
        <f t="shared" si="39"/>
        <v>0</v>
      </c>
      <c r="R314" s="241">
        <f t="shared" si="40"/>
        <v>0</v>
      </c>
      <c r="S314" s="240">
        <f t="shared" si="41"/>
        <v>0</v>
      </c>
      <c r="T314" s="241">
        <f t="shared" si="42"/>
        <v>0</v>
      </c>
      <c r="U314" s="241">
        <f t="shared" si="43"/>
        <v>0</v>
      </c>
      <c r="V314" s="114" t="str">
        <f>IF(ISNA(VLOOKUP(J314,[1]!AVION1[#Data],3,FALSE)),"",VLOOKUP(J314,[1]!AVION1[#Data],3,FALSE))</f>
        <v/>
      </c>
      <c r="W314" s="114" t="str">
        <f>IF(ISNA(VLOOKUP(N314,[1]!INSTRUCTEUR[#Data],2,FALSE)),"",VLOOKUP(N314,[1]!INSTRUCTEUR[#Data],2,FALSE))</f>
        <v/>
      </c>
      <c r="X314" s="115">
        <f t="shared" si="44"/>
        <v>0</v>
      </c>
    </row>
    <row r="315" spans="3:24">
      <c r="C315" s="231"/>
      <c r="D315" s="232"/>
      <c r="E315" s="233"/>
      <c r="F315" s="234"/>
      <c r="G315" s="235"/>
      <c r="H315" s="236">
        <f t="shared" si="45"/>
        <v>0</v>
      </c>
      <c r="I315" s="237" t="str">
        <f>IF(ISNA(VLOOKUP(J315,[1]!AVION1[#Data],2,FALSE)),"",VLOOKUP(J315,[1]!AVION1[#Data],2,FALSE))</f>
        <v/>
      </c>
      <c r="J315" s="233"/>
      <c r="K315" s="235"/>
      <c r="L315" s="235"/>
      <c r="M315" s="238">
        <f t="shared" si="46"/>
        <v>0</v>
      </c>
      <c r="N315" s="239"/>
      <c r="O315" s="235"/>
      <c r="P315" s="235"/>
      <c r="Q315" s="240">
        <f t="shared" si="39"/>
        <v>0</v>
      </c>
      <c r="R315" s="241">
        <f t="shared" si="40"/>
        <v>0</v>
      </c>
      <c r="S315" s="240">
        <f t="shared" si="41"/>
        <v>0</v>
      </c>
      <c r="T315" s="241">
        <f t="shared" si="42"/>
        <v>0</v>
      </c>
      <c r="U315" s="241">
        <f t="shared" si="43"/>
        <v>0</v>
      </c>
      <c r="V315" s="114" t="str">
        <f>IF(ISNA(VLOOKUP(J315,[1]!AVION1[#Data],3,FALSE)),"",VLOOKUP(J315,[1]!AVION1[#Data],3,FALSE))</f>
        <v/>
      </c>
      <c r="W315" s="114" t="str">
        <f>IF(ISNA(VLOOKUP(N315,[1]!INSTRUCTEUR[#Data],2,FALSE)),"",VLOOKUP(N315,[1]!INSTRUCTEUR[#Data],2,FALSE))</f>
        <v/>
      </c>
      <c r="X315" s="115">
        <f t="shared" si="44"/>
        <v>0</v>
      </c>
    </row>
    <row r="316" spans="3:24">
      <c r="C316" s="231"/>
      <c r="D316" s="232"/>
      <c r="E316" s="233"/>
      <c r="F316" s="234"/>
      <c r="G316" s="235"/>
      <c r="H316" s="236">
        <f t="shared" si="45"/>
        <v>0</v>
      </c>
      <c r="I316" s="237" t="str">
        <f>IF(ISNA(VLOOKUP(J316,[1]!AVION1[#Data],2,FALSE)),"",VLOOKUP(J316,[1]!AVION1[#Data],2,FALSE))</f>
        <v/>
      </c>
      <c r="J316" s="233"/>
      <c r="K316" s="235"/>
      <c r="L316" s="235"/>
      <c r="M316" s="238">
        <f t="shared" si="46"/>
        <v>0</v>
      </c>
      <c r="N316" s="239"/>
      <c r="O316" s="235"/>
      <c r="P316" s="235"/>
      <c r="Q316" s="240">
        <f t="shared" si="39"/>
        <v>0</v>
      </c>
      <c r="R316" s="241">
        <f t="shared" si="40"/>
        <v>0</v>
      </c>
      <c r="S316" s="240">
        <f t="shared" si="41"/>
        <v>0</v>
      </c>
      <c r="T316" s="241">
        <f t="shared" si="42"/>
        <v>0</v>
      </c>
      <c r="U316" s="241">
        <f t="shared" si="43"/>
        <v>0</v>
      </c>
      <c r="V316" s="114" t="str">
        <f>IF(ISNA(VLOOKUP(J316,[1]!AVION1[#Data],3,FALSE)),"",VLOOKUP(J316,[1]!AVION1[#Data],3,FALSE))</f>
        <v/>
      </c>
      <c r="W316" s="114" t="str">
        <f>IF(ISNA(VLOOKUP(N316,[1]!INSTRUCTEUR[#Data],2,FALSE)),"",VLOOKUP(N316,[1]!INSTRUCTEUR[#Data],2,FALSE))</f>
        <v/>
      </c>
      <c r="X316" s="115">
        <f t="shared" si="44"/>
        <v>0</v>
      </c>
    </row>
    <row r="317" spans="3:24">
      <c r="C317" s="231"/>
      <c r="D317" s="232"/>
      <c r="E317" s="233"/>
      <c r="F317" s="234"/>
      <c r="G317" s="235"/>
      <c r="H317" s="236">
        <f t="shared" si="45"/>
        <v>0</v>
      </c>
      <c r="I317" s="237" t="str">
        <f>IF(ISNA(VLOOKUP(J317,[1]!AVION1[#Data],2,FALSE)),"",VLOOKUP(J317,[1]!AVION1[#Data],2,FALSE))</f>
        <v/>
      </c>
      <c r="J317" s="233"/>
      <c r="K317" s="235"/>
      <c r="L317" s="235"/>
      <c r="M317" s="238">
        <f t="shared" si="46"/>
        <v>0</v>
      </c>
      <c r="N317" s="239"/>
      <c r="O317" s="235"/>
      <c r="P317" s="235"/>
      <c r="Q317" s="240">
        <f t="shared" si="39"/>
        <v>0</v>
      </c>
      <c r="R317" s="241">
        <f t="shared" si="40"/>
        <v>0</v>
      </c>
      <c r="S317" s="240">
        <f t="shared" si="41"/>
        <v>0</v>
      </c>
      <c r="T317" s="241">
        <f t="shared" si="42"/>
        <v>0</v>
      </c>
      <c r="U317" s="241">
        <f t="shared" si="43"/>
        <v>0</v>
      </c>
      <c r="V317" s="114" t="str">
        <f>IF(ISNA(VLOOKUP(J317,[1]!AVION1[#Data],3,FALSE)),"",VLOOKUP(J317,[1]!AVION1[#Data],3,FALSE))</f>
        <v/>
      </c>
      <c r="W317" s="114" t="str">
        <f>IF(ISNA(VLOOKUP(N317,[1]!INSTRUCTEUR[#Data],2,FALSE)),"",VLOOKUP(N317,[1]!INSTRUCTEUR[#Data],2,FALSE))</f>
        <v/>
      </c>
      <c r="X317" s="115">
        <f t="shared" si="44"/>
        <v>0</v>
      </c>
    </row>
    <row r="318" spans="3:24">
      <c r="C318" s="231"/>
      <c r="D318" s="232"/>
      <c r="E318" s="233"/>
      <c r="F318" s="234"/>
      <c r="G318" s="235"/>
      <c r="H318" s="236">
        <f t="shared" si="45"/>
        <v>0</v>
      </c>
      <c r="I318" s="237" t="str">
        <f>IF(ISNA(VLOOKUP(J318,[1]!AVION1[#Data],2,FALSE)),"",VLOOKUP(J318,[1]!AVION1[#Data],2,FALSE))</f>
        <v/>
      </c>
      <c r="J318" s="233"/>
      <c r="K318" s="235"/>
      <c r="L318" s="235"/>
      <c r="M318" s="238">
        <f t="shared" si="46"/>
        <v>0</v>
      </c>
      <c r="N318" s="239"/>
      <c r="O318" s="235"/>
      <c r="P318" s="235"/>
      <c r="Q318" s="240">
        <f t="shared" si="39"/>
        <v>0</v>
      </c>
      <c r="R318" s="241">
        <f t="shared" si="40"/>
        <v>0</v>
      </c>
      <c r="S318" s="240">
        <f t="shared" si="41"/>
        <v>0</v>
      </c>
      <c r="T318" s="241">
        <f t="shared" si="42"/>
        <v>0</v>
      </c>
      <c r="U318" s="241">
        <f t="shared" si="43"/>
        <v>0</v>
      </c>
      <c r="V318" s="114" t="str">
        <f>IF(ISNA(VLOOKUP(J318,[1]!AVION1[#Data],3,FALSE)),"",VLOOKUP(J318,[1]!AVION1[#Data],3,FALSE))</f>
        <v/>
      </c>
      <c r="W318" s="114" t="str">
        <f>IF(ISNA(VLOOKUP(N318,[1]!INSTRUCTEUR[#Data],2,FALSE)),"",VLOOKUP(N318,[1]!INSTRUCTEUR[#Data],2,FALSE))</f>
        <v/>
      </c>
      <c r="X318" s="115">
        <f t="shared" si="44"/>
        <v>0</v>
      </c>
    </row>
    <row r="319" spans="3:24">
      <c r="C319" s="231"/>
      <c r="D319" s="232"/>
      <c r="E319" s="233"/>
      <c r="F319" s="234"/>
      <c r="G319" s="235"/>
      <c r="H319" s="236">
        <f t="shared" si="45"/>
        <v>0</v>
      </c>
      <c r="I319" s="237" t="str">
        <f>IF(ISNA(VLOOKUP(J319,[1]!AVION1[#Data],2,FALSE)),"",VLOOKUP(J319,[1]!AVION1[#Data],2,FALSE))</f>
        <v/>
      </c>
      <c r="J319" s="233"/>
      <c r="K319" s="235"/>
      <c r="L319" s="235"/>
      <c r="M319" s="238">
        <f t="shared" si="46"/>
        <v>0</v>
      </c>
      <c r="N319" s="239"/>
      <c r="O319" s="235"/>
      <c r="P319" s="235"/>
      <c r="Q319" s="240">
        <f t="shared" si="39"/>
        <v>0</v>
      </c>
      <c r="R319" s="241">
        <f t="shared" si="40"/>
        <v>0</v>
      </c>
      <c r="S319" s="240">
        <f t="shared" si="41"/>
        <v>0</v>
      </c>
      <c r="T319" s="241">
        <f t="shared" si="42"/>
        <v>0</v>
      </c>
      <c r="U319" s="241">
        <f t="shared" si="43"/>
        <v>0</v>
      </c>
      <c r="V319" s="114" t="str">
        <f>IF(ISNA(VLOOKUP(J319,[1]!AVION1[#Data],3,FALSE)),"",VLOOKUP(J319,[1]!AVION1[#Data],3,FALSE))</f>
        <v/>
      </c>
      <c r="W319" s="114" t="str">
        <f>IF(ISNA(VLOOKUP(N319,[1]!INSTRUCTEUR[#Data],2,FALSE)),"",VLOOKUP(N319,[1]!INSTRUCTEUR[#Data],2,FALSE))</f>
        <v/>
      </c>
      <c r="X319" s="115">
        <f t="shared" si="44"/>
        <v>0</v>
      </c>
    </row>
    <row r="320" spans="3:24">
      <c r="C320" s="231"/>
      <c r="D320" s="232"/>
      <c r="E320" s="233"/>
      <c r="F320" s="234"/>
      <c r="G320" s="235"/>
      <c r="H320" s="236">
        <f t="shared" si="45"/>
        <v>0</v>
      </c>
      <c r="I320" s="237" t="str">
        <f>IF(ISNA(VLOOKUP(J320,[1]!AVION1[#Data],2,FALSE)),"",VLOOKUP(J320,[1]!AVION1[#Data],2,FALSE))</f>
        <v/>
      </c>
      <c r="J320" s="233"/>
      <c r="K320" s="235"/>
      <c r="L320" s="235"/>
      <c r="M320" s="238">
        <f t="shared" si="46"/>
        <v>0</v>
      </c>
      <c r="N320" s="239"/>
      <c r="O320" s="235"/>
      <c r="P320" s="235"/>
      <c r="Q320" s="240">
        <f t="shared" si="39"/>
        <v>0</v>
      </c>
      <c r="R320" s="241">
        <f t="shared" si="40"/>
        <v>0</v>
      </c>
      <c r="S320" s="240">
        <f t="shared" si="41"/>
        <v>0</v>
      </c>
      <c r="T320" s="241">
        <f t="shared" si="42"/>
        <v>0</v>
      </c>
      <c r="U320" s="241">
        <f t="shared" si="43"/>
        <v>0</v>
      </c>
      <c r="V320" s="114" t="str">
        <f>IF(ISNA(VLOOKUP(J320,[1]!AVION1[#Data],3,FALSE)),"",VLOOKUP(J320,[1]!AVION1[#Data],3,FALSE))</f>
        <v/>
      </c>
      <c r="W320" s="114" t="str">
        <f>IF(ISNA(VLOOKUP(N320,[1]!INSTRUCTEUR[#Data],2,FALSE)),"",VLOOKUP(N320,[1]!INSTRUCTEUR[#Data],2,FALSE))</f>
        <v/>
      </c>
      <c r="X320" s="115">
        <f t="shared" si="44"/>
        <v>0</v>
      </c>
    </row>
    <row r="321" spans="3:24">
      <c r="C321" s="231"/>
      <c r="D321" s="232"/>
      <c r="E321" s="233"/>
      <c r="F321" s="234"/>
      <c r="G321" s="235"/>
      <c r="H321" s="236">
        <f t="shared" si="45"/>
        <v>0</v>
      </c>
      <c r="I321" s="237" t="str">
        <f>IF(ISNA(VLOOKUP(J321,[1]!AVION1[#Data],2,FALSE)),"",VLOOKUP(J321,[1]!AVION1[#Data],2,FALSE))</f>
        <v/>
      </c>
      <c r="J321" s="233"/>
      <c r="K321" s="235"/>
      <c r="L321" s="235"/>
      <c r="M321" s="238">
        <f t="shared" si="46"/>
        <v>0</v>
      </c>
      <c r="N321" s="239"/>
      <c r="O321" s="235"/>
      <c r="P321" s="235"/>
      <c r="Q321" s="240">
        <f t="shared" si="39"/>
        <v>0</v>
      </c>
      <c r="R321" s="241">
        <f t="shared" si="40"/>
        <v>0</v>
      </c>
      <c r="S321" s="240">
        <f t="shared" si="41"/>
        <v>0</v>
      </c>
      <c r="T321" s="241">
        <f t="shared" si="42"/>
        <v>0</v>
      </c>
      <c r="U321" s="241">
        <f t="shared" si="43"/>
        <v>0</v>
      </c>
      <c r="V321" s="114" t="str">
        <f>IF(ISNA(VLOOKUP(J321,[1]!AVION1[#Data],3,FALSE)),"",VLOOKUP(J321,[1]!AVION1[#Data],3,FALSE))</f>
        <v/>
      </c>
      <c r="W321" s="114" t="str">
        <f>IF(ISNA(VLOOKUP(N321,[1]!INSTRUCTEUR[#Data],2,FALSE)),"",VLOOKUP(N321,[1]!INSTRUCTEUR[#Data],2,FALSE))</f>
        <v/>
      </c>
      <c r="X321" s="115">
        <f t="shared" si="44"/>
        <v>0</v>
      </c>
    </row>
    <row r="322" spans="3:24">
      <c r="C322" s="231"/>
      <c r="D322" s="232"/>
      <c r="E322" s="233"/>
      <c r="F322" s="234"/>
      <c r="G322" s="235"/>
      <c r="H322" s="236">
        <f t="shared" si="45"/>
        <v>0</v>
      </c>
      <c r="I322" s="237" t="str">
        <f>IF(ISNA(VLOOKUP(J322,[1]!AVION1[#Data],2,FALSE)),"",VLOOKUP(J322,[1]!AVION1[#Data],2,FALSE))</f>
        <v/>
      </c>
      <c r="J322" s="233"/>
      <c r="K322" s="235"/>
      <c r="L322" s="235"/>
      <c r="M322" s="238">
        <f t="shared" si="46"/>
        <v>0</v>
      </c>
      <c r="N322" s="239"/>
      <c r="O322" s="235"/>
      <c r="P322" s="235"/>
      <c r="Q322" s="240">
        <f t="shared" si="39"/>
        <v>0</v>
      </c>
      <c r="R322" s="241">
        <f t="shared" si="40"/>
        <v>0</v>
      </c>
      <c r="S322" s="240">
        <f t="shared" si="41"/>
        <v>0</v>
      </c>
      <c r="T322" s="241">
        <f t="shared" si="42"/>
        <v>0</v>
      </c>
      <c r="U322" s="241">
        <f t="shared" si="43"/>
        <v>0</v>
      </c>
      <c r="V322" s="114" t="str">
        <f>IF(ISNA(VLOOKUP(J322,[1]!AVION1[#Data],3,FALSE)),"",VLOOKUP(J322,[1]!AVION1[#Data],3,FALSE))</f>
        <v/>
      </c>
      <c r="W322" s="114" t="str">
        <f>IF(ISNA(VLOOKUP(N322,[1]!INSTRUCTEUR[#Data],2,FALSE)),"",VLOOKUP(N322,[1]!INSTRUCTEUR[#Data],2,FALSE))</f>
        <v/>
      </c>
      <c r="X322" s="115">
        <f t="shared" si="44"/>
        <v>0</v>
      </c>
    </row>
    <row r="323" spans="3:24">
      <c r="C323" s="231"/>
      <c r="D323" s="232"/>
      <c r="E323" s="233"/>
      <c r="F323" s="234"/>
      <c r="G323" s="235"/>
      <c r="H323" s="236">
        <f t="shared" si="45"/>
        <v>0</v>
      </c>
      <c r="I323" s="237" t="str">
        <f>IF(ISNA(VLOOKUP(J323,[1]!AVION1[#Data],2,FALSE)),"",VLOOKUP(J323,[1]!AVION1[#Data],2,FALSE))</f>
        <v/>
      </c>
      <c r="J323" s="233"/>
      <c r="K323" s="235"/>
      <c r="L323" s="235"/>
      <c r="M323" s="238">
        <f t="shared" si="46"/>
        <v>0</v>
      </c>
      <c r="N323" s="239"/>
      <c r="O323" s="235"/>
      <c r="P323" s="235"/>
      <c r="Q323" s="240">
        <f t="shared" si="39"/>
        <v>0</v>
      </c>
      <c r="R323" s="241">
        <f t="shared" si="40"/>
        <v>0</v>
      </c>
      <c r="S323" s="240">
        <f t="shared" si="41"/>
        <v>0</v>
      </c>
      <c r="T323" s="241">
        <f t="shared" si="42"/>
        <v>0</v>
      </c>
      <c r="U323" s="241">
        <f t="shared" si="43"/>
        <v>0</v>
      </c>
      <c r="V323" s="114" t="str">
        <f>IF(ISNA(VLOOKUP(J323,[1]!AVION1[#Data],3,FALSE)),"",VLOOKUP(J323,[1]!AVION1[#Data],3,FALSE))</f>
        <v/>
      </c>
      <c r="W323" s="114" t="str">
        <f>IF(ISNA(VLOOKUP(N323,[1]!INSTRUCTEUR[#Data],2,FALSE)),"",VLOOKUP(N323,[1]!INSTRUCTEUR[#Data],2,FALSE))</f>
        <v/>
      </c>
      <c r="X323" s="115">
        <f t="shared" si="44"/>
        <v>0</v>
      </c>
    </row>
    <row r="324" spans="3:24">
      <c r="C324" s="231"/>
      <c r="D324" s="232"/>
      <c r="E324" s="233"/>
      <c r="F324" s="234"/>
      <c r="G324" s="235"/>
      <c r="H324" s="236">
        <f t="shared" si="45"/>
        <v>0</v>
      </c>
      <c r="I324" s="237" t="str">
        <f>IF(ISNA(VLOOKUP(J324,[1]!AVION1[#Data],2,FALSE)),"",VLOOKUP(J324,[1]!AVION1[#Data],2,FALSE))</f>
        <v/>
      </c>
      <c r="J324" s="233"/>
      <c r="K324" s="235"/>
      <c r="L324" s="235"/>
      <c r="M324" s="238">
        <f t="shared" si="46"/>
        <v>0</v>
      </c>
      <c r="N324" s="239"/>
      <c r="O324" s="235"/>
      <c r="P324" s="235"/>
      <c r="Q324" s="240">
        <f t="shared" si="39"/>
        <v>0</v>
      </c>
      <c r="R324" s="241">
        <f t="shared" si="40"/>
        <v>0</v>
      </c>
      <c r="S324" s="240">
        <f t="shared" si="41"/>
        <v>0</v>
      </c>
      <c r="T324" s="241">
        <f t="shared" si="42"/>
        <v>0</v>
      </c>
      <c r="U324" s="241">
        <f t="shared" si="43"/>
        <v>0</v>
      </c>
      <c r="V324" s="114" t="str">
        <f>IF(ISNA(VLOOKUP(J324,[1]!AVION1[#Data],3,FALSE)),"",VLOOKUP(J324,[1]!AVION1[#Data],3,FALSE))</f>
        <v/>
      </c>
      <c r="W324" s="114" t="str">
        <f>IF(ISNA(VLOOKUP(N324,[1]!INSTRUCTEUR[#Data],2,FALSE)),"",VLOOKUP(N324,[1]!INSTRUCTEUR[#Data],2,FALSE))</f>
        <v/>
      </c>
      <c r="X324" s="115">
        <f t="shared" si="44"/>
        <v>0</v>
      </c>
    </row>
    <row r="325" spans="3:24">
      <c r="C325" s="231"/>
      <c r="D325" s="232"/>
      <c r="E325" s="233"/>
      <c r="F325" s="234"/>
      <c r="G325" s="235"/>
      <c r="H325" s="236">
        <f t="shared" si="45"/>
        <v>0</v>
      </c>
      <c r="I325" s="237" t="str">
        <f>IF(ISNA(VLOOKUP(J325,[1]!AVION1[#Data],2,FALSE)),"",VLOOKUP(J325,[1]!AVION1[#Data],2,FALSE))</f>
        <v/>
      </c>
      <c r="J325" s="233"/>
      <c r="K325" s="235"/>
      <c r="L325" s="235"/>
      <c r="M325" s="238">
        <f t="shared" si="46"/>
        <v>0</v>
      </c>
      <c r="N325" s="239"/>
      <c r="O325" s="235"/>
      <c r="P325" s="235"/>
      <c r="Q325" s="240">
        <f t="shared" si="39"/>
        <v>0</v>
      </c>
      <c r="R325" s="241">
        <f t="shared" si="40"/>
        <v>0</v>
      </c>
      <c r="S325" s="240">
        <f t="shared" si="41"/>
        <v>0</v>
      </c>
      <c r="T325" s="241">
        <f t="shared" si="42"/>
        <v>0</v>
      </c>
      <c r="U325" s="241">
        <f t="shared" si="43"/>
        <v>0</v>
      </c>
      <c r="V325" s="114" t="str">
        <f>IF(ISNA(VLOOKUP(J325,[1]!AVION1[#Data],3,FALSE)),"",VLOOKUP(J325,[1]!AVION1[#Data],3,FALSE))</f>
        <v/>
      </c>
      <c r="W325" s="114" t="str">
        <f>IF(ISNA(VLOOKUP(N325,[1]!INSTRUCTEUR[#Data],2,FALSE)),"",VLOOKUP(N325,[1]!INSTRUCTEUR[#Data],2,FALSE))</f>
        <v/>
      </c>
      <c r="X325" s="115">
        <f t="shared" si="44"/>
        <v>0</v>
      </c>
    </row>
    <row r="326" spans="3:24">
      <c r="C326" s="231"/>
      <c r="D326" s="232"/>
      <c r="E326" s="233"/>
      <c r="F326" s="234"/>
      <c r="G326" s="235"/>
      <c r="H326" s="236">
        <f t="shared" si="45"/>
        <v>0</v>
      </c>
      <c r="I326" s="237" t="str">
        <f>IF(ISNA(VLOOKUP(J326,[1]!AVION1[#Data],2,FALSE)),"",VLOOKUP(J326,[1]!AVION1[#Data],2,FALSE))</f>
        <v/>
      </c>
      <c r="J326" s="233"/>
      <c r="K326" s="235"/>
      <c r="L326" s="235"/>
      <c r="M326" s="238">
        <f t="shared" si="46"/>
        <v>0</v>
      </c>
      <c r="N326" s="239"/>
      <c r="O326" s="235"/>
      <c r="P326" s="235"/>
      <c r="Q326" s="240">
        <f t="shared" si="39"/>
        <v>0</v>
      </c>
      <c r="R326" s="241">
        <f t="shared" si="40"/>
        <v>0</v>
      </c>
      <c r="S326" s="240">
        <f t="shared" si="41"/>
        <v>0</v>
      </c>
      <c r="T326" s="241">
        <f t="shared" si="42"/>
        <v>0</v>
      </c>
      <c r="U326" s="241">
        <f t="shared" si="43"/>
        <v>0</v>
      </c>
      <c r="V326" s="114" t="str">
        <f>IF(ISNA(VLOOKUP(J326,[1]!AVION1[#Data],3,FALSE)),"",VLOOKUP(J326,[1]!AVION1[#Data],3,FALSE))</f>
        <v/>
      </c>
      <c r="W326" s="114" t="str">
        <f>IF(ISNA(VLOOKUP(N326,[1]!INSTRUCTEUR[#Data],2,FALSE)),"",VLOOKUP(N326,[1]!INSTRUCTEUR[#Data],2,FALSE))</f>
        <v/>
      </c>
      <c r="X326" s="115">
        <f t="shared" si="44"/>
        <v>0</v>
      </c>
    </row>
    <row r="327" spans="3:24">
      <c r="C327" s="231"/>
      <c r="D327" s="232"/>
      <c r="E327" s="233"/>
      <c r="F327" s="234"/>
      <c r="G327" s="235"/>
      <c r="H327" s="236">
        <f t="shared" si="45"/>
        <v>0</v>
      </c>
      <c r="I327" s="237" t="str">
        <f>IF(ISNA(VLOOKUP(J327,[1]!AVION1[#Data],2,FALSE)),"",VLOOKUP(J327,[1]!AVION1[#Data],2,FALSE))</f>
        <v/>
      </c>
      <c r="J327" s="233"/>
      <c r="K327" s="235"/>
      <c r="L327" s="235"/>
      <c r="M327" s="238">
        <f t="shared" si="46"/>
        <v>0</v>
      </c>
      <c r="N327" s="239"/>
      <c r="O327" s="235"/>
      <c r="P327" s="235"/>
      <c r="Q327" s="240">
        <f t="shared" si="39"/>
        <v>0</v>
      </c>
      <c r="R327" s="241">
        <f t="shared" si="40"/>
        <v>0</v>
      </c>
      <c r="S327" s="240">
        <f t="shared" si="41"/>
        <v>0</v>
      </c>
      <c r="T327" s="241">
        <f t="shared" si="42"/>
        <v>0</v>
      </c>
      <c r="U327" s="241">
        <f t="shared" si="43"/>
        <v>0</v>
      </c>
      <c r="V327" s="114" t="str">
        <f>IF(ISNA(VLOOKUP(J327,[1]!AVION1[#Data],3,FALSE)),"",VLOOKUP(J327,[1]!AVION1[#Data],3,FALSE))</f>
        <v/>
      </c>
      <c r="W327" s="114" t="str">
        <f>IF(ISNA(VLOOKUP(N327,[1]!INSTRUCTEUR[#Data],2,FALSE)),"",VLOOKUP(N327,[1]!INSTRUCTEUR[#Data],2,FALSE))</f>
        <v/>
      </c>
      <c r="X327" s="115">
        <f t="shared" si="44"/>
        <v>0</v>
      </c>
    </row>
    <row r="328" spans="3:24">
      <c r="C328" s="231"/>
      <c r="D328" s="232"/>
      <c r="E328" s="233"/>
      <c r="F328" s="234"/>
      <c r="G328" s="235"/>
      <c r="H328" s="236">
        <f t="shared" si="45"/>
        <v>0</v>
      </c>
      <c r="I328" s="237" t="str">
        <f>IF(ISNA(VLOOKUP(J328,[1]!AVION1[#Data],2,FALSE)),"",VLOOKUP(J328,[1]!AVION1[#Data],2,FALSE))</f>
        <v/>
      </c>
      <c r="J328" s="233"/>
      <c r="K328" s="235"/>
      <c r="L328" s="235"/>
      <c r="M328" s="238">
        <f t="shared" si="46"/>
        <v>0</v>
      </c>
      <c r="N328" s="239"/>
      <c r="O328" s="235"/>
      <c r="P328" s="235"/>
      <c r="Q328" s="240">
        <f t="shared" si="39"/>
        <v>0</v>
      </c>
      <c r="R328" s="241">
        <f t="shared" si="40"/>
        <v>0</v>
      </c>
      <c r="S328" s="240">
        <f t="shared" si="41"/>
        <v>0</v>
      </c>
      <c r="T328" s="241">
        <f t="shared" si="42"/>
        <v>0</v>
      </c>
      <c r="U328" s="241">
        <f t="shared" si="43"/>
        <v>0</v>
      </c>
      <c r="V328" s="114" t="str">
        <f>IF(ISNA(VLOOKUP(J328,[1]!AVION1[#Data],3,FALSE)),"",VLOOKUP(J328,[1]!AVION1[#Data],3,FALSE))</f>
        <v/>
      </c>
      <c r="W328" s="114" t="str">
        <f>IF(ISNA(VLOOKUP(N328,[1]!INSTRUCTEUR[#Data],2,FALSE)),"",VLOOKUP(N328,[1]!INSTRUCTEUR[#Data],2,FALSE))</f>
        <v/>
      </c>
      <c r="X328" s="115">
        <f t="shared" si="44"/>
        <v>0</v>
      </c>
    </row>
    <row r="329" spans="3:24">
      <c r="C329" s="231"/>
      <c r="D329" s="232"/>
      <c r="E329" s="233"/>
      <c r="F329" s="234"/>
      <c r="G329" s="235"/>
      <c r="H329" s="236">
        <f t="shared" si="45"/>
        <v>0</v>
      </c>
      <c r="I329" s="237" t="str">
        <f>IF(ISNA(VLOOKUP(J329,[1]!AVION1[#Data],2,FALSE)),"",VLOOKUP(J329,[1]!AVION1[#Data],2,FALSE))</f>
        <v/>
      </c>
      <c r="J329" s="233"/>
      <c r="K329" s="235"/>
      <c r="L329" s="235"/>
      <c r="M329" s="238">
        <f t="shared" si="46"/>
        <v>0</v>
      </c>
      <c r="N329" s="239"/>
      <c r="O329" s="235"/>
      <c r="P329" s="235"/>
      <c r="Q329" s="240">
        <f t="shared" si="39"/>
        <v>0</v>
      </c>
      <c r="R329" s="241">
        <f t="shared" si="40"/>
        <v>0</v>
      </c>
      <c r="S329" s="240">
        <f t="shared" si="41"/>
        <v>0</v>
      </c>
      <c r="T329" s="241">
        <f t="shared" si="42"/>
        <v>0</v>
      </c>
      <c r="U329" s="241">
        <f t="shared" si="43"/>
        <v>0</v>
      </c>
      <c r="V329" s="114" t="str">
        <f>IF(ISNA(VLOOKUP(J329,[1]!AVION1[#Data],3,FALSE)),"",VLOOKUP(J329,[1]!AVION1[#Data],3,FALSE))</f>
        <v/>
      </c>
      <c r="W329" s="114" t="str">
        <f>IF(ISNA(VLOOKUP(N329,[1]!INSTRUCTEUR[#Data],2,FALSE)),"",VLOOKUP(N329,[1]!INSTRUCTEUR[#Data],2,FALSE))</f>
        <v/>
      </c>
      <c r="X329" s="115">
        <f t="shared" si="44"/>
        <v>0</v>
      </c>
    </row>
    <row r="330" spans="3:24">
      <c r="C330" s="231"/>
      <c r="D330" s="232"/>
      <c r="E330" s="233"/>
      <c r="F330" s="234"/>
      <c r="G330" s="235"/>
      <c r="H330" s="236">
        <f t="shared" si="45"/>
        <v>0</v>
      </c>
      <c r="I330" s="237" t="str">
        <f>IF(ISNA(VLOOKUP(J330,[1]!AVION1[#Data],2,FALSE)),"",VLOOKUP(J330,[1]!AVION1[#Data],2,FALSE))</f>
        <v/>
      </c>
      <c r="J330" s="233"/>
      <c r="K330" s="235"/>
      <c r="L330" s="235"/>
      <c r="M330" s="238">
        <f t="shared" si="46"/>
        <v>0</v>
      </c>
      <c r="N330" s="239"/>
      <c r="O330" s="235"/>
      <c r="P330" s="235"/>
      <c r="Q330" s="240">
        <f t="shared" ref="Q330:Q354" si="47">IFERROR(X330*V330,0)</f>
        <v>0</v>
      </c>
      <c r="R330" s="241">
        <f t="shared" ref="R330:R354" si="48">IFERROR(W330*X330,0)</f>
        <v>0</v>
      </c>
      <c r="S330" s="240">
        <f t="shared" ref="S330:S354" si="49">R330+Q330</f>
        <v>0</v>
      </c>
      <c r="T330" s="241">
        <f t="shared" ref="T330:T354" si="50">IF(N330="PENDERS Bernard",X330,0)</f>
        <v>0</v>
      </c>
      <c r="U330" s="241">
        <f t="shared" ref="U330:U354" si="51">IF(N330="PENDERS Bernard",0,X330)</f>
        <v>0</v>
      </c>
      <c r="V330" s="114" t="str">
        <f>IF(ISNA(VLOOKUP(J330,[1]!AVION1[#Data],3,FALSE)),"",VLOOKUP(J330,[1]!AVION1[#Data],3,FALSE))</f>
        <v/>
      </c>
      <c r="W330" s="114" t="str">
        <f>IF(ISNA(VLOOKUP(N330,[1]!INSTRUCTEUR[#Data],2,FALSE)),"",VLOOKUP(N330,[1]!INSTRUCTEUR[#Data],2,FALSE))</f>
        <v/>
      </c>
      <c r="X330" s="115">
        <f t="shared" ref="X330:X354" si="52">(HOUR(M330)*3600+MINUTE(M330)*60+SECOND(M330))/60</f>
        <v>0</v>
      </c>
    </row>
    <row r="331" spans="3:24">
      <c r="C331" s="231"/>
      <c r="D331" s="232"/>
      <c r="E331" s="233"/>
      <c r="F331" s="234"/>
      <c r="G331" s="235"/>
      <c r="H331" s="236">
        <f t="shared" si="45"/>
        <v>0</v>
      </c>
      <c r="I331" s="237" t="str">
        <f>IF(ISNA(VLOOKUP(J331,[1]!AVION1[#Data],2,FALSE)),"",VLOOKUP(J331,[1]!AVION1[#Data],2,FALSE))</f>
        <v/>
      </c>
      <c r="J331" s="233"/>
      <c r="K331" s="235"/>
      <c r="L331" s="235"/>
      <c r="M331" s="238">
        <f t="shared" si="46"/>
        <v>0</v>
      </c>
      <c r="N331" s="239"/>
      <c r="O331" s="235"/>
      <c r="P331" s="235"/>
      <c r="Q331" s="240">
        <f t="shared" si="47"/>
        <v>0</v>
      </c>
      <c r="R331" s="241">
        <f t="shared" si="48"/>
        <v>0</v>
      </c>
      <c r="S331" s="240">
        <f t="shared" si="49"/>
        <v>0</v>
      </c>
      <c r="T331" s="241">
        <f t="shared" si="50"/>
        <v>0</v>
      </c>
      <c r="U331" s="241">
        <f t="shared" si="51"/>
        <v>0</v>
      </c>
      <c r="V331" s="114" t="str">
        <f>IF(ISNA(VLOOKUP(J331,[1]!AVION1[#Data],3,FALSE)),"",VLOOKUP(J331,[1]!AVION1[#Data],3,FALSE))</f>
        <v/>
      </c>
      <c r="W331" s="114" t="str">
        <f>IF(ISNA(VLOOKUP(N331,[1]!INSTRUCTEUR[#Data],2,FALSE)),"",VLOOKUP(N331,[1]!INSTRUCTEUR[#Data],2,FALSE))</f>
        <v/>
      </c>
      <c r="X331" s="115">
        <f t="shared" si="52"/>
        <v>0</v>
      </c>
    </row>
    <row r="332" spans="3:24">
      <c r="C332" s="231"/>
      <c r="D332" s="232"/>
      <c r="E332" s="233"/>
      <c r="F332" s="234"/>
      <c r="G332" s="235"/>
      <c r="H332" s="236">
        <f t="shared" si="45"/>
        <v>0</v>
      </c>
      <c r="I332" s="237" t="str">
        <f>IF(ISNA(VLOOKUP(J332,[1]!AVION1[#Data],2,FALSE)),"",VLOOKUP(J332,[1]!AVION1[#Data],2,FALSE))</f>
        <v/>
      </c>
      <c r="J332" s="233"/>
      <c r="K332" s="235"/>
      <c r="L332" s="235"/>
      <c r="M332" s="238">
        <f t="shared" si="46"/>
        <v>0</v>
      </c>
      <c r="N332" s="239"/>
      <c r="O332" s="235"/>
      <c r="P332" s="235"/>
      <c r="Q332" s="240">
        <f t="shared" si="47"/>
        <v>0</v>
      </c>
      <c r="R332" s="241">
        <f t="shared" si="48"/>
        <v>0</v>
      </c>
      <c r="S332" s="240">
        <f t="shared" si="49"/>
        <v>0</v>
      </c>
      <c r="T332" s="241">
        <f t="shared" si="50"/>
        <v>0</v>
      </c>
      <c r="U332" s="241">
        <f t="shared" si="51"/>
        <v>0</v>
      </c>
      <c r="V332" s="114" t="str">
        <f>IF(ISNA(VLOOKUP(J332,[1]!AVION1[#Data],3,FALSE)),"",VLOOKUP(J332,[1]!AVION1[#Data],3,FALSE))</f>
        <v/>
      </c>
      <c r="W332" s="114" t="str">
        <f>IF(ISNA(VLOOKUP(N332,[1]!INSTRUCTEUR[#Data],2,FALSE)),"",VLOOKUP(N332,[1]!INSTRUCTEUR[#Data],2,FALSE))</f>
        <v/>
      </c>
      <c r="X332" s="115">
        <f t="shared" si="52"/>
        <v>0</v>
      </c>
    </row>
    <row r="333" spans="3:24">
      <c r="C333" s="231"/>
      <c r="D333" s="232"/>
      <c r="E333" s="233"/>
      <c r="F333" s="234"/>
      <c r="G333" s="235"/>
      <c r="H333" s="236">
        <f t="shared" si="45"/>
        <v>0</v>
      </c>
      <c r="I333" s="237" t="str">
        <f>IF(ISNA(VLOOKUP(J333,[1]!AVION1[#Data],2,FALSE)),"",VLOOKUP(J333,[1]!AVION1[#Data],2,FALSE))</f>
        <v/>
      </c>
      <c r="J333" s="233"/>
      <c r="K333" s="235"/>
      <c r="L333" s="235"/>
      <c r="M333" s="238">
        <f t="shared" si="46"/>
        <v>0</v>
      </c>
      <c r="N333" s="239"/>
      <c r="O333" s="235"/>
      <c r="P333" s="235"/>
      <c r="Q333" s="240">
        <f t="shared" si="47"/>
        <v>0</v>
      </c>
      <c r="R333" s="241">
        <f t="shared" si="48"/>
        <v>0</v>
      </c>
      <c r="S333" s="240">
        <f t="shared" si="49"/>
        <v>0</v>
      </c>
      <c r="T333" s="241">
        <f t="shared" si="50"/>
        <v>0</v>
      </c>
      <c r="U333" s="241">
        <f t="shared" si="51"/>
        <v>0</v>
      </c>
      <c r="V333" s="114" t="str">
        <f>IF(ISNA(VLOOKUP(J333,[1]!AVION1[#Data],3,FALSE)),"",VLOOKUP(J333,[1]!AVION1[#Data],3,FALSE))</f>
        <v/>
      </c>
      <c r="W333" s="114" t="str">
        <f>IF(ISNA(VLOOKUP(N333,[1]!INSTRUCTEUR[#Data],2,FALSE)),"",VLOOKUP(N333,[1]!INSTRUCTEUR[#Data],2,FALSE))</f>
        <v/>
      </c>
      <c r="X333" s="115">
        <f t="shared" si="52"/>
        <v>0</v>
      </c>
    </row>
    <row r="334" spans="3:24">
      <c r="C334" s="231"/>
      <c r="D334" s="232"/>
      <c r="E334" s="233"/>
      <c r="F334" s="234"/>
      <c r="G334" s="235"/>
      <c r="H334" s="236">
        <f t="shared" si="45"/>
        <v>0</v>
      </c>
      <c r="I334" s="237" t="str">
        <f>IF(ISNA(VLOOKUP(J334,[1]!AVION1[#Data],2,FALSE)),"",VLOOKUP(J334,[1]!AVION1[#Data],2,FALSE))</f>
        <v/>
      </c>
      <c r="J334" s="233"/>
      <c r="K334" s="235"/>
      <c r="L334" s="235"/>
      <c r="M334" s="238">
        <f t="shared" si="46"/>
        <v>0</v>
      </c>
      <c r="N334" s="239"/>
      <c r="O334" s="235"/>
      <c r="P334" s="235"/>
      <c r="Q334" s="240">
        <f t="shared" si="47"/>
        <v>0</v>
      </c>
      <c r="R334" s="241">
        <f t="shared" si="48"/>
        <v>0</v>
      </c>
      <c r="S334" s="240">
        <f t="shared" si="49"/>
        <v>0</v>
      </c>
      <c r="T334" s="241">
        <f t="shared" si="50"/>
        <v>0</v>
      </c>
      <c r="U334" s="241">
        <f t="shared" si="51"/>
        <v>0</v>
      </c>
      <c r="V334" s="114" t="str">
        <f>IF(ISNA(VLOOKUP(J334,[1]!AVION1[#Data],3,FALSE)),"",VLOOKUP(J334,[1]!AVION1[#Data],3,FALSE))</f>
        <v/>
      </c>
      <c r="W334" s="114" t="str">
        <f>IF(ISNA(VLOOKUP(N334,[1]!INSTRUCTEUR[#Data],2,FALSE)),"",VLOOKUP(N334,[1]!INSTRUCTEUR[#Data],2,FALSE))</f>
        <v/>
      </c>
      <c r="X334" s="115">
        <f t="shared" si="52"/>
        <v>0</v>
      </c>
    </row>
    <row r="335" spans="3:24">
      <c r="C335" s="231"/>
      <c r="D335" s="232"/>
      <c r="E335" s="233"/>
      <c r="F335" s="234"/>
      <c r="G335" s="235"/>
      <c r="H335" s="236">
        <f t="shared" si="45"/>
        <v>0</v>
      </c>
      <c r="I335" s="237" t="str">
        <f>IF(ISNA(VLOOKUP(J335,[1]!AVION1[#Data],2,FALSE)),"",VLOOKUP(J335,[1]!AVION1[#Data],2,FALSE))</f>
        <v/>
      </c>
      <c r="J335" s="233"/>
      <c r="K335" s="235"/>
      <c r="L335" s="235"/>
      <c r="M335" s="238">
        <f t="shared" si="46"/>
        <v>0</v>
      </c>
      <c r="N335" s="239"/>
      <c r="O335" s="235"/>
      <c r="P335" s="235"/>
      <c r="Q335" s="240">
        <f t="shared" si="47"/>
        <v>0</v>
      </c>
      <c r="R335" s="241">
        <f t="shared" si="48"/>
        <v>0</v>
      </c>
      <c r="S335" s="240">
        <f t="shared" si="49"/>
        <v>0</v>
      </c>
      <c r="T335" s="241">
        <f t="shared" si="50"/>
        <v>0</v>
      </c>
      <c r="U335" s="241">
        <f t="shared" si="51"/>
        <v>0</v>
      </c>
      <c r="V335" s="114" t="str">
        <f>IF(ISNA(VLOOKUP(J335,[1]!AVION1[#Data],3,FALSE)),"",VLOOKUP(J335,[1]!AVION1[#Data],3,FALSE))</f>
        <v/>
      </c>
      <c r="W335" s="114" t="str">
        <f>IF(ISNA(VLOOKUP(N335,[1]!INSTRUCTEUR[#Data],2,FALSE)),"",VLOOKUP(N335,[1]!INSTRUCTEUR[#Data],2,FALSE))</f>
        <v/>
      </c>
      <c r="X335" s="115">
        <f t="shared" si="52"/>
        <v>0</v>
      </c>
    </row>
    <row r="336" spans="3:24">
      <c r="C336" s="231"/>
      <c r="D336" s="232"/>
      <c r="E336" s="233"/>
      <c r="F336" s="234"/>
      <c r="G336" s="235"/>
      <c r="H336" s="236">
        <f t="shared" si="45"/>
        <v>0</v>
      </c>
      <c r="I336" s="237" t="str">
        <f>IF(ISNA(VLOOKUP(J336,[1]!AVION1[#Data],2,FALSE)),"",VLOOKUP(J336,[1]!AVION1[#Data],2,FALSE))</f>
        <v/>
      </c>
      <c r="J336" s="233"/>
      <c r="K336" s="235"/>
      <c r="L336" s="235"/>
      <c r="M336" s="238">
        <f t="shared" si="46"/>
        <v>0</v>
      </c>
      <c r="N336" s="239"/>
      <c r="O336" s="235"/>
      <c r="P336" s="235"/>
      <c r="Q336" s="240">
        <f t="shared" si="47"/>
        <v>0</v>
      </c>
      <c r="R336" s="241">
        <f t="shared" si="48"/>
        <v>0</v>
      </c>
      <c r="S336" s="240">
        <f t="shared" si="49"/>
        <v>0</v>
      </c>
      <c r="T336" s="241">
        <f t="shared" si="50"/>
        <v>0</v>
      </c>
      <c r="U336" s="241">
        <f t="shared" si="51"/>
        <v>0</v>
      </c>
      <c r="V336" s="114" t="str">
        <f>IF(ISNA(VLOOKUP(J336,[1]!AVION1[#Data],3,FALSE)),"",VLOOKUP(J336,[1]!AVION1[#Data],3,FALSE))</f>
        <v/>
      </c>
      <c r="W336" s="114" t="str">
        <f>IF(ISNA(VLOOKUP(N336,[1]!INSTRUCTEUR[#Data],2,FALSE)),"",VLOOKUP(N336,[1]!INSTRUCTEUR[#Data],2,FALSE))</f>
        <v/>
      </c>
      <c r="X336" s="115">
        <f t="shared" si="52"/>
        <v>0</v>
      </c>
    </row>
    <row r="337" spans="3:24">
      <c r="C337" s="231"/>
      <c r="D337" s="232"/>
      <c r="E337" s="233"/>
      <c r="F337" s="234"/>
      <c r="G337" s="235"/>
      <c r="H337" s="236">
        <f t="shared" si="45"/>
        <v>0</v>
      </c>
      <c r="I337" s="237" t="str">
        <f>IF(ISNA(VLOOKUP(J337,[1]!AVION1[#Data],2,FALSE)),"",VLOOKUP(J337,[1]!AVION1[#Data],2,FALSE))</f>
        <v/>
      </c>
      <c r="J337" s="233"/>
      <c r="K337" s="235"/>
      <c r="L337" s="235"/>
      <c r="M337" s="238">
        <f t="shared" si="46"/>
        <v>0</v>
      </c>
      <c r="N337" s="239"/>
      <c r="O337" s="235"/>
      <c r="P337" s="235"/>
      <c r="Q337" s="240">
        <f t="shared" si="47"/>
        <v>0</v>
      </c>
      <c r="R337" s="241">
        <f t="shared" si="48"/>
        <v>0</v>
      </c>
      <c r="S337" s="240">
        <f t="shared" si="49"/>
        <v>0</v>
      </c>
      <c r="T337" s="241">
        <f t="shared" si="50"/>
        <v>0</v>
      </c>
      <c r="U337" s="241">
        <f t="shared" si="51"/>
        <v>0</v>
      </c>
      <c r="V337" s="114" t="str">
        <f>IF(ISNA(VLOOKUP(J337,[1]!AVION1[#Data],3,FALSE)),"",VLOOKUP(J337,[1]!AVION1[#Data],3,FALSE))</f>
        <v/>
      </c>
      <c r="W337" s="114" t="str">
        <f>IF(ISNA(VLOOKUP(N337,[1]!INSTRUCTEUR[#Data],2,FALSE)),"",VLOOKUP(N337,[1]!INSTRUCTEUR[#Data],2,FALSE))</f>
        <v/>
      </c>
      <c r="X337" s="115">
        <f t="shared" si="52"/>
        <v>0</v>
      </c>
    </row>
    <row r="338" spans="3:24">
      <c r="C338" s="231"/>
      <c r="D338" s="232"/>
      <c r="E338" s="233"/>
      <c r="F338" s="234"/>
      <c r="G338" s="235"/>
      <c r="H338" s="236">
        <f t="shared" si="45"/>
        <v>0</v>
      </c>
      <c r="I338" s="237" t="str">
        <f>IF(ISNA(VLOOKUP(J338,[1]!AVION1[#Data],2,FALSE)),"",VLOOKUP(J338,[1]!AVION1[#Data],2,FALSE))</f>
        <v/>
      </c>
      <c r="J338" s="233"/>
      <c r="K338" s="235"/>
      <c r="L338" s="235"/>
      <c r="M338" s="238">
        <f t="shared" si="46"/>
        <v>0</v>
      </c>
      <c r="N338" s="239"/>
      <c r="O338" s="235"/>
      <c r="P338" s="235"/>
      <c r="Q338" s="240">
        <f t="shared" si="47"/>
        <v>0</v>
      </c>
      <c r="R338" s="241">
        <f t="shared" si="48"/>
        <v>0</v>
      </c>
      <c r="S338" s="240">
        <f t="shared" si="49"/>
        <v>0</v>
      </c>
      <c r="T338" s="241">
        <f t="shared" si="50"/>
        <v>0</v>
      </c>
      <c r="U338" s="241">
        <f t="shared" si="51"/>
        <v>0</v>
      </c>
      <c r="V338" s="114" t="str">
        <f>IF(ISNA(VLOOKUP(J338,[1]!AVION1[#Data],3,FALSE)),"",VLOOKUP(J338,[1]!AVION1[#Data],3,FALSE))</f>
        <v/>
      </c>
      <c r="W338" s="114" t="str">
        <f>IF(ISNA(VLOOKUP(N338,[1]!INSTRUCTEUR[#Data],2,FALSE)),"",VLOOKUP(N338,[1]!INSTRUCTEUR[#Data],2,FALSE))</f>
        <v/>
      </c>
      <c r="X338" s="115">
        <f t="shared" si="52"/>
        <v>0</v>
      </c>
    </row>
    <row r="339" spans="3:24">
      <c r="C339" s="231"/>
      <c r="D339" s="232"/>
      <c r="E339" s="233"/>
      <c r="F339" s="234"/>
      <c r="G339" s="235"/>
      <c r="H339" s="236">
        <f t="shared" si="45"/>
        <v>0</v>
      </c>
      <c r="I339" s="237" t="str">
        <f>IF(ISNA(VLOOKUP(J339,[1]!AVION1[#Data],2,FALSE)),"",VLOOKUP(J339,[1]!AVION1[#Data],2,FALSE))</f>
        <v/>
      </c>
      <c r="J339" s="233"/>
      <c r="K339" s="235"/>
      <c r="L339" s="235"/>
      <c r="M339" s="238">
        <f t="shared" si="46"/>
        <v>0</v>
      </c>
      <c r="N339" s="239"/>
      <c r="O339" s="235"/>
      <c r="P339" s="235"/>
      <c r="Q339" s="240">
        <f t="shared" si="47"/>
        <v>0</v>
      </c>
      <c r="R339" s="241">
        <f t="shared" si="48"/>
        <v>0</v>
      </c>
      <c r="S339" s="240">
        <f t="shared" si="49"/>
        <v>0</v>
      </c>
      <c r="T339" s="241">
        <f t="shared" si="50"/>
        <v>0</v>
      </c>
      <c r="U339" s="241">
        <f t="shared" si="51"/>
        <v>0</v>
      </c>
      <c r="V339" s="114" t="str">
        <f>IF(ISNA(VLOOKUP(J339,[1]!AVION1[#Data],3,FALSE)),"",VLOOKUP(J339,[1]!AVION1[#Data],3,FALSE))</f>
        <v/>
      </c>
      <c r="W339" s="114" t="str">
        <f>IF(ISNA(VLOOKUP(N339,[1]!INSTRUCTEUR[#Data],2,FALSE)),"",VLOOKUP(N339,[1]!INSTRUCTEUR[#Data],2,FALSE))</f>
        <v/>
      </c>
      <c r="X339" s="115">
        <f t="shared" si="52"/>
        <v>0</v>
      </c>
    </row>
    <row r="340" spans="3:24">
      <c r="C340" s="231"/>
      <c r="D340" s="232"/>
      <c r="E340" s="233"/>
      <c r="F340" s="234"/>
      <c r="G340" s="235"/>
      <c r="H340" s="236">
        <f t="shared" si="45"/>
        <v>0</v>
      </c>
      <c r="I340" s="237" t="str">
        <f>IF(ISNA(VLOOKUP(J340,[1]!AVION1[#Data],2,FALSE)),"",VLOOKUP(J340,[1]!AVION1[#Data],2,FALSE))</f>
        <v/>
      </c>
      <c r="J340" s="233"/>
      <c r="K340" s="235"/>
      <c r="L340" s="235"/>
      <c r="M340" s="238">
        <f t="shared" si="46"/>
        <v>0</v>
      </c>
      <c r="N340" s="239"/>
      <c r="O340" s="235"/>
      <c r="P340" s="235"/>
      <c r="Q340" s="240">
        <f t="shared" si="47"/>
        <v>0</v>
      </c>
      <c r="R340" s="241">
        <f t="shared" si="48"/>
        <v>0</v>
      </c>
      <c r="S340" s="240">
        <f t="shared" si="49"/>
        <v>0</v>
      </c>
      <c r="T340" s="241">
        <f t="shared" si="50"/>
        <v>0</v>
      </c>
      <c r="U340" s="241">
        <f t="shared" si="51"/>
        <v>0</v>
      </c>
      <c r="V340" s="114" t="str">
        <f>IF(ISNA(VLOOKUP(J340,[1]!AVION1[#Data],3,FALSE)),"",VLOOKUP(J340,[1]!AVION1[#Data],3,FALSE))</f>
        <v/>
      </c>
      <c r="W340" s="114" t="str">
        <f>IF(ISNA(VLOOKUP(N340,[1]!INSTRUCTEUR[#Data],2,FALSE)),"",VLOOKUP(N340,[1]!INSTRUCTEUR[#Data],2,FALSE))</f>
        <v/>
      </c>
      <c r="X340" s="115">
        <f t="shared" si="52"/>
        <v>0</v>
      </c>
    </row>
    <row r="341" spans="3:24">
      <c r="C341" s="231"/>
      <c r="D341" s="232"/>
      <c r="E341" s="233"/>
      <c r="F341" s="234"/>
      <c r="G341" s="235"/>
      <c r="H341" s="236">
        <f t="shared" si="45"/>
        <v>0</v>
      </c>
      <c r="I341" s="237" t="str">
        <f>IF(ISNA(VLOOKUP(J341,[1]!AVION1[#Data],2,FALSE)),"",VLOOKUP(J341,[1]!AVION1[#Data],2,FALSE))</f>
        <v/>
      </c>
      <c r="J341" s="233"/>
      <c r="K341" s="235"/>
      <c r="L341" s="235"/>
      <c r="M341" s="238">
        <f t="shared" si="46"/>
        <v>0</v>
      </c>
      <c r="N341" s="239"/>
      <c r="O341" s="235"/>
      <c r="P341" s="235"/>
      <c r="Q341" s="240">
        <f t="shared" si="47"/>
        <v>0</v>
      </c>
      <c r="R341" s="241">
        <f t="shared" si="48"/>
        <v>0</v>
      </c>
      <c r="S341" s="240">
        <f t="shared" si="49"/>
        <v>0</v>
      </c>
      <c r="T341" s="241">
        <f t="shared" si="50"/>
        <v>0</v>
      </c>
      <c r="U341" s="241">
        <f t="shared" si="51"/>
        <v>0</v>
      </c>
      <c r="V341" s="114" t="str">
        <f>IF(ISNA(VLOOKUP(J341,[1]!AVION1[#Data],3,FALSE)),"",VLOOKUP(J341,[1]!AVION1[#Data],3,FALSE))</f>
        <v/>
      </c>
      <c r="W341" s="114" t="str">
        <f>IF(ISNA(VLOOKUP(N341,[1]!INSTRUCTEUR[#Data],2,FALSE)),"",VLOOKUP(N341,[1]!INSTRUCTEUR[#Data],2,FALSE))</f>
        <v/>
      </c>
      <c r="X341" s="115">
        <f t="shared" si="52"/>
        <v>0</v>
      </c>
    </row>
    <row r="342" spans="3:24">
      <c r="C342" s="231"/>
      <c r="D342" s="232"/>
      <c r="E342" s="233"/>
      <c r="F342" s="234"/>
      <c r="G342" s="235"/>
      <c r="H342" s="236">
        <f t="shared" si="45"/>
        <v>0</v>
      </c>
      <c r="I342" s="237" t="str">
        <f>IF(ISNA(VLOOKUP(J342,[1]!AVION1[#Data],2,FALSE)),"",VLOOKUP(J342,[1]!AVION1[#Data],2,FALSE))</f>
        <v/>
      </c>
      <c r="J342" s="233"/>
      <c r="K342" s="235"/>
      <c r="L342" s="235"/>
      <c r="M342" s="238">
        <f t="shared" si="46"/>
        <v>0</v>
      </c>
      <c r="N342" s="239"/>
      <c r="O342" s="235"/>
      <c r="P342" s="235"/>
      <c r="Q342" s="240">
        <f t="shared" si="47"/>
        <v>0</v>
      </c>
      <c r="R342" s="241">
        <f t="shared" si="48"/>
        <v>0</v>
      </c>
      <c r="S342" s="240">
        <f t="shared" si="49"/>
        <v>0</v>
      </c>
      <c r="T342" s="241">
        <f t="shared" si="50"/>
        <v>0</v>
      </c>
      <c r="U342" s="241">
        <f t="shared" si="51"/>
        <v>0</v>
      </c>
      <c r="V342" s="114" t="str">
        <f>IF(ISNA(VLOOKUP(J342,[1]!AVION1[#Data],3,FALSE)),"",VLOOKUP(J342,[1]!AVION1[#Data],3,FALSE))</f>
        <v/>
      </c>
      <c r="W342" s="114" t="str">
        <f>IF(ISNA(VLOOKUP(N342,[1]!INSTRUCTEUR[#Data],2,FALSE)),"",VLOOKUP(N342,[1]!INSTRUCTEUR[#Data],2,FALSE))</f>
        <v/>
      </c>
      <c r="X342" s="115">
        <f t="shared" si="52"/>
        <v>0</v>
      </c>
    </row>
    <row r="343" spans="3:24">
      <c r="C343" s="231"/>
      <c r="D343" s="232"/>
      <c r="E343" s="233"/>
      <c r="F343" s="234"/>
      <c r="G343" s="235"/>
      <c r="H343" s="236">
        <f t="shared" si="45"/>
        <v>0</v>
      </c>
      <c r="I343" s="237" t="str">
        <f>IF(ISNA(VLOOKUP(J343,[1]!AVION1[#Data],2,FALSE)),"",VLOOKUP(J343,[1]!AVION1[#Data],2,FALSE))</f>
        <v/>
      </c>
      <c r="J343" s="233"/>
      <c r="K343" s="235"/>
      <c r="L343" s="235"/>
      <c r="M343" s="238">
        <f t="shared" si="46"/>
        <v>0</v>
      </c>
      <c r="N343" s="239"/>
      <c r="O343" s="235"/>
      <c r="P343" s="235"/>
      <c r="Q343" s="240">
        <f t="shared" si="47"/>
        <v>0</v>
      </c>
      <c r="R343" s="241">
        <f t="shared" si="48"/>
        <v>0</v>
      </c>
      <c r="S343" s="240">
        <f t="shared" si="49"/>
        <v>0</v>
      </c>
      <c r="T343" s="241">
        <f t="shared" si="50"/>
        <v>0</v>
      </c>
      <c r="U343" s="241">
        <f t="shared" si="51"/>
        <v>0</v>
      </c>
      <c r="V343" s="114" t="str">
        <f>IF(ISNA(VLOOKUP(J343,[1]!AVION1[#Data],3,FALSE)),"",VLOOKUP(J343,[1]!AVION1[#Data],3,FALSE))</f>
        <v/>
      </c>
      <c r="W343" s="114" t="str">
        <f>IF(ISNA(VLOOKUP(N343,[1]!INSTRUCTEUR[#Data],2,FALSE)),"",VLOOKUP(N343,[1]!INSTRUCTEUR[#Data],2,FALSE))</f>
        <v/>
      </c>
      <c r="X343" s="115">
        <f t="shared" si="52"/>
        <v>0</v>
      </c>
    </row>
    <row r="344" spans="3:24">
      <c r="C344" s="231"/>
      <c r="D344" s="232"/>
      <c r="E344" s="233"/>
      <c r="F344" s="234"/>
      <c r="G344" s="235"/>
      <c r="H344" s="236">
        <f t="shared" si="45"/>
        <v>0</v>
      </c>
      <c r="I344" s="237" t="str">
        <f>IF(ISNA(VLOOKUP(J344,[1]!AVION1[#Data],2,FALSE)),"",VLOOKUP(J344,[1]!AVION1[#Data],2,FALSE))</f>
        <v/>
      </c>
      <c r="J344" s="233"/>
      <c r="K344" s="235"/>
      <c r="L344" s="235"/>
      <c r="M344" s="238">
        <f t="shared" si="46"/>
        <v>0</v>
      </c>
      <c r="N344" s="239"/>
      <c r="O344" s="235"/>
      <c r="P344" s="235"/>
      <c r="Q344" s="240">
        <f t="shared" si="47"/>
        <v>0</v>
      </c>
      <c r="R344" s="241">
        <f t="shared" si="48"/>
        <v>0</v>
      </c>
      <c r="S344" s="240">
        <f t="shared" si="49"/>
        <v>0</v>
      </c>
      <c r="T344" s="241">
        <f t="shared" si="50"/>
        <v>0</v>
      </c>
      <c r="U344" s="241">
        <f t="shared" si="51"/>
        <v>0</v>
      </c>
      <c r="V344" s="114" t="str">
        <f>IF(ISNA(VLOOKUP(J344,[1]!AVION1[#Data],3,FALSE)),"",VLOOKUP(J344,[1]!AVION1[#Data],3,FALSE))</f>
        <v/>
      </c>
      <c r="W344" s="114" t="str">
        <f>IF(ISNA(VLOOKUP(N344,[1]!INSTRUCTEUR[#Data],2,FALSE)),"",VLOOKUP(N344,[1]!INSTRUCTEUR[#Data],2,FALSE))</f>
        <v/>
      </c>
      <c r="X344" s="115">
        <f t="shared" si="52"/>
        <v>0</v>
      </c>
    </row>
    <row r="345" spans="3:24">
      <c r="C345" s="231"/>
      <c r="D345" s="232"/>
      <c r="E345" s="233"/>
      <c r="F345" s="234"/>
      <c r="G345" s="235"/>
      <c r="H345" s="236">
        <f t="shared" si="45"/>
        <v>0</v>
      </c>
      <c r="I345" s="237" t="str">
        <f>IF(ISNA(VLOOKUP(J345,[1]!AVION1[#Data],2,FALSE)),"",VLOOKUP(J345,[1]!AVION1[#Data],2,FALSE))</f>
        <v/>
      </c>
      <c r="J345" s="233"/>
      <c r="K345" s="235"/>
      <c r="L345" s="235"/>
      <c r="M345" s="238">
        <f t="shared" si="46"/>
        <v>0</v>
      </c>
      <c r="N345" s="239"/>
      <c r="O345" s="235"/>
      <c r="P345" s="235"/>
      <c r="Q345" s="240">
        <f t="shared" si="47"/>
        <v>0</v>
      </c>
      <c r="R345" s="241">
        <f t="shared" si="48"/>
        <v>0</v>
      </c>
      <c r="S345" s="240">
        <f t="shared" si="49"/>
        <v>0</v>
      </c>
      <c r="T345" s="241">
        <f t="shared" si="50"/>
        <v>0</v>
      </c>
      <c r="U345" s="241">
        <f t="shared" si="51"/>
        <v>0</v>
      </c>
      <c r="V345" s="114" t="str">
        <f>IF(ISNA(VLOOKUP(J345,[1]!AVION1[#Data],3,FALSE)),"",VLOOKUP(J345,[1]!AVION1[#Data],3,FALSE))</f>
        <v/>
      </c>
      <c r="W345" s="114" t="str">
        <f>IF(ISNA(VLOOKUP(N345,[1]!INSTRUCTEUR[#Data],2,FALSE)),"",VLOOKUP(N345,[1]!INSTRUCTEUR[#Data],2,FALSE))</f>
        <v/>
      </c>
      <c r="X345" s="115">
        <f t="shared" si="52"/>
        <v>0</v>
      </c>
    </row>
    <row r="346" spans="3:24">
      <c r="C346" s="231"/>
      <c r="D346" s="232"/>
      <c r="E346" s="233"/>
      <c r="F346" s="234"/>
      <c r="G346" s="235"/>
      <c r="H346" s="236">
        <f t="shared" si="45"/>
        <v>0</v>
      </c>
      <c r="I346" s="237" t="str">
        <f>IF(ISNA(VLOOKUP(J346,[1]!AVION1[#Data],2,FALSE)),"",VLOOKUP(J346,[1]!AVION1[#Data],2,FALSE))</f>
        <v/>
      </c>
      <c r="J346" s="233"/>
      <c r="K346" s="235"/>
      <c r="L346" s="235"/>
      <c r="M346" s="238">
        <f t="shared" si="46"/>
        <v>0</v>
      </c>
      <c r="N346" s="239"/>
      <c r="O346" s="235"/>
      <c r="P346" s="235"/>
      <c r="Q346" s="240">
        <f t="shared" si="47"/>
        <v>0</v>
      </c>
      <c r="R346" s="241">
        <f t="shared" si="48"/>
        <v>0</v>
      </c>
      <c r="S346" s="240">
        <f t="shared" si="49"/>
        <v>0</v>
      </c>
      <c r="T346" s="241">
        <f t="shared" si="50"/>
        <v>0</v>
      </c>
      <c r="U346" s="241">
        <f t="shared" si="51"/>
        <v>0</v>
      </c>
      <c r="V346" s="114" t="str">
        <f>IF(ISNA(VLOOKUP(J346,[1]!AVION1[#Data],3,FALSE)),"",VLOOKUP(J346,[1]!AVION1[#Data],3,FALSE))</f>
        <v/>
      </c>
      <c r="W346" s="114" t="str">
        <f>IF(ISNA(VLOOKUP(N346,[1]!INSTRUCTEUR[#Data],2,FALSE)),"",VLOOKUP(N346,[1]!INSTRUCTEUR[#Data],2,FALSE))</f>
        <v/>
      </c>
      <c r="X346" s="115">
        <f t="shared" si="52"/>
        <v>0</v>
      </c>
    </row>
    <row r="347" spans="3:24">
      <c r="C347" s="231"/>
      <c r="D347" s="232"/>
      <c r="E347" s="233"/>
      <c r="F347" s="234"/>
      <c r="G347" s="235"/>
      <c r="H347" s="236">
        <f t="shared" si="45"/>
        <v>0</v>
      </c>
      <c r="I347" s="237" t="str">
        <f>IF(ISNA(VLOOKUP(J347,[1]!AVION1[#Data],2,FALSE)),"",VLOOKUP(J347,[1]!AVION1[#Data],2,FALSE))</f>
        <v/>
      </c>
      <c r="J347" s="233"/>
      <c r="K347" s="235"/>
      <c r="L347" s="235"/>
      <c r="M347" s="238">
        <f t="shared" si="46"/>
        <v>0</v>
      </c>
      <c r="N347" s="239"/>
      <c r="O347" s="235"/>
      <c r="P347" s="235"/>
      <c r="Q347" s="240">
        <f t="shared" si="47"/>
        <v>0</v>
      </c>
      <c r="R347" s="241">
        <f t="shared" si="48"/>
        <v>0</v>
      </c>
      <c r="S347" s="240">
        <f t="shared" si="49"/>
        <v>0</v>
      </c>
      <c r="T347" s="241">
        <f t="shared" si="50"/>
        <v>0</v>
      </c>
      <c r="U347" s="241">
        <f t="shared" si="51"/>
        <v>0</v>
      </c>
      <c r="V347" s="114" t="str">
        <f>IF(ISNA(VLOOKUP(J347,[1]!AVION1[#Data],3,FALSE)),"",VLOOKUP(J347,[1]!AVION1[#Data],3,FALSE))</f>
        <v/>
      </c>
      <c r="W347" s="114" t="str">
        <f>IF(ISNA(VLOOKUP(N347,[1]!INSTRUCTEUR[#Data],2,FALSE)),"",VLOOKUP(N347,[1]!INSTRUCTEUR[#Data],2,FALSE))</f>
        <v/>
      </c>
      <c r="X347" s="115">
        <f t="shared" si="52"/>
        <v>0</v>
      </c>
    </row>
    <row r="348" spans="3:24">
      <c r="C348" s="231"/>
      <c r="D348" s="232"/>
      <c r="E348" s="233"/>
      <c r="F348" s="234"/>
      <c r="G348" s="235"/>
      <c r="H348" s="236">
        <f t="shared" si="45"/>
        <v>0</v>
      </c>
      <c r="I348" s="237" t="str">
        <f>IF(ISNA(VLOOKUP(J348,[1]!AVION1[#Data],2,FALSE)),"",VLOOKUP(J348,[1]!AVION1[#Data],2,FALSE))</f>
        <v/>
      </c>
      <c r="J348" s="233"/>
      <c r="K348" s="235"/>
      <c r="L348" s="235"/>
      <c r="M348" s="238">
        <f t="shared" si="46"/>
        <v>0</v>
      </c>
      <c r="N348" s="239"/>
      <c r="O348" s="235"/>
      <c r="P348" s="235"/>
      <c r="Q348" s="240">
        <f t="shared" si="47"/>
        <v>0</v>
      </c>
      <c r="R348" s="241">
        <f t="shared" si="48"/>
        <v>0</v>
      </c>
      <c r="S348" s="240">
        <f t="shared" si="49"/>
        <v>0</v>
      </c>
      <c r="T348" s="241">
        <f t="shared" si="50"/>
        <v>0</v>
      </c>
      <c r="U348" s="241">
        <f t="shared" si="51"/>
        <v>0</v>
      </c>
      <c r="V348" s="114" t="str">
        <f>IF(ISNA(VLOOKUP(J348,[1]!AVION1[#Data],3,FALSE)),"",VLOOKUP(J348,[1]!AVION1[#Data],3,FALSE))</f>
        <v/>
      </c>
      <c r="W348" s="114" t="str">
        <f>IF(ISNA(VLOOKUP(N348,[1]!INSTRUCTEUR[#Data],2,FALSE)),"",VLOOKUP(N348,[1]!INSTRUCTEUR[#Data],2,FALSE))</f>
        <v/>
      </c>
      <c r="X348" s="115">
        <f t="shared" si="52"/>
        <v>0</v>
      </c>
    </row>
    <row r="349" spans="3:24">
      <c r="C349" s="231"/>
      <c r="D349" s="232"/>
      <c r="E349" s="233"/>
      <c r="F349" s="234"/>
      <c r="G349" s="235"/>
      <c r="H349" s="236">
        <f t="shared" si="45"/>
        <v>0</v>
      </c>
      <c r="I349" s="237" t="str">
        <f>IF(ISNA(VLOOKUP(J349,[1]!AVION1[#Data],2,FALSE)),"",VLOOKUP(J349,[1]!AVION1[#Data],2,FALSE))</f>
        <v/>
      </c>
      <c r="J349" s="233"/>
      <c r="K349" s="235"/>
      <c r="L349" s="235"/>
      <c r="M349" s="238">
        <f t="shared" si="46"/>
        <v>0</v>
      </c>
      <c r="N349" s="239"/>
      <c r="O349" s="235"/>
      <c r="P349" s="235"/>
      <c r="Q349" s="240">
        <f t="shared" si="47"/>
        <v>0</v>
      </c>
      <c r="R349" s="241">
        <f t="shared" si="48"/>
        <v>0</v>
      </c>
      <c r="S349" s="240">
        <f t="shared" si="49"/>
        <v>0</v>
      </c>
      <c r="T349" s="241">
        <f t="shared" si="50"/>
        <v>0</v>
      </c>
      <c r="U349" s="241">
        <f t="shared" si="51"/>
        <v>0</v>
      </c>
      <c r="V349" s="114" t="str">
        <f>IF(ISNA(VLOOKUP(J349,[1]!AVION1[#Data],3,FALSE)),"",VLOOKUP(J349,[1]!AVION1[#Data],3,FALSE))</f>
        <v/>
      </c>
      <c r="W349" s="114" t="str">
        <f>IF(ISNA(VLOOKUP(N349,[1]!INSTRUCTEUR[#Data],2,FALSE)),"",VLOOKUP(N349,[1]!INSTRUCTEUR[#Data],2,FALSE))</f>
        <v/>
      </c>
      <c r="X349" s="115">
        <f t="shared" si="52"/>
        <v>0</v>
      </c>
    </row>
    <row r="350" spans="3:24">
      <c r="C350" s="231"/>
      <c r="D350" s="232"/>
      <c r="E350" s="233"/>
      <c r="F350" s="234"/>
      <c r="G350" s="235"/>
      <c r="H350" s="236">
        <f t="shared" si="45"/>
        <v>0</v>
      </c>
      <c r="I350" s="237" t="str">
        <f>IF(ISNA(VLOOKUP(J350,[1]!AVION1[#Data],2,FALSE)),"",VLOOKUP(J350,[1]!AVION1[#Data],2,FALSE))</f>
        <v/>
      </c>
      <c r="J350" s="233"/>
      <c r="K350" s="235"/>
      <c r="L350" s="235"/>
      <c r="M350" s="238">
        <f t="shared" si="46"/>
        <v>0</v>
      </c>
      <c r="N350" s="239"/>
      <c r="O350" s="235"/>
      <c r="P350" s="235"/>
      <c r="Q350" s="240">
        <f t="shared" si="47"/>
        <v>0</v>
      </c>
      <c r="R350" s="241">
        <f t="shared" si="48"/>
        <v>0</v>
      </c>
      <c r="S350" s="240">
        <f t="shared" si="49"/>
        <v>0</v>
      </c>
      <c r="T350" s="241">
        <f t="shared" si="50"/>
        <v>0</v>
      </c>
      <c r="U350" s="241">
        <f t="shared" si="51"/>
        <v>0</v>
      </c>
      <c r="V350" s="114" t="str">
        <f>IF(ISNA(VLOOKUP(J350,[1]!AVION1[#Data],3,FALSE)),"",VLOOKUP(J350,[1]!AVION1[#Data],3,FALSE))</f>
        <v/>
      </c>
      <c r="W350" s="114" t="str">
        <f>IF(ISNA(VLOOKUP(N350,[1]!INSTRUCTEUR[#Data],2,FALSE)),"",VLOOKUP(N350,[1]!INSTRUCTEUR[#Data],2,FALSE))</f>
        <v/>
      </c>
      <c r="X350" s="115">
        <f t="shared" si="52"/>
        <v>0</v>
      </c>
    </row>
    <row r="351" spans="3:24">
      <c r="C351" s="231"/>
      <c r="D351" s="232"/>
      <c r="E351" s="233"/>
      <c r="F351" s="234"/>
      <c r="G351" s="235"/>
      <c r="H351" s="236">
        <f t="shared" si="45"/>
        <v>0</v>
      </c>
      <c r="I351" s="237" t="str">
        <f>IF(ISNA(VLOOKUP(J351,[1]!AVION1[#Data],2,FALSE)),"",VLOOKUP(J351,[1]!AVION1[#Data],2,FALSE))</f>
        <v/>
      </c>
      <c r="J351" s="233"/>
      <c r="K351" s="235"/>
      <c r="L351" s="235"/>
      <c r="M351" s="238">
        <f t="shared" si="46"/>
        <v>0</v>
      </c>
      <c r="N351" s="239"/>
      <c r="O351" s="235"/>
      <c r="P351" s="235"/>
      <c r="Q351" s="240">
        <f t="shared" si="47"/>
        <v>0</v>
      </c>
      <c r="R351" s="241">
        <f t="shared" si="48"/>
        <v>0</v>
      </c>
      <c r="S351" s="240">
        <f t="shared" si="49"/>
        <v>0</v>
      </c>
      <c r="T351" s="241">
        <f t="shared" si="50"/>
        <v>0</v>
      </c>
      <c r="U351" s="241">
        <f t="shared" si="51"/>
        <v>0</v>
      </c>
      <c r="V351" s="114" t="str">
        <f>IF(ISNA(VLOOKUP(J351,[1]!AVION1[#Data],3,FALSE)),"",VLOOKUP(J351,[1]!AVION1[#Data],3,FALSE))</f>
        <v/>
      </c>
      <c r="W351" s="114" t="str">
        <f>IF(ISNA(VLOOKUP(N351,[1]!INSTRUCTEUR[#Data],2,FALSE)),"",VLOOKUP(N351,[1]!INSTRUCTEUR[#Data],2,FALSE))</f>
        <v/>
      </c>
      <c r="X351" s="115">
        <f t="shared" si="52"/>
        <v>0</v>
      </c>
    </row>
    <row r="352" spans="3:24">
      <c r="C352" s="231"/>
      <c r="D352" s="232"/>
      <c r="E352" s="233"/>
      <c r="F352" s="234"/>
      <c r="G352" s="235"/>
      <c r="H352" s="236">
        <f t="shared" si="45"/>
        <v>0</v>
      </c>
      <c r="I352" s="237" t="str">
        <f>IF(ISNA(VLOOKUP(J352,[1]!AVION1[#Data],2,FALSE)),"",VLOOKUP(J352,[1]!AVION1[#Data],2,FALSE))</f>
        <v/>
      </c>
      <c r="J352" s="233"/>
      <c r="K352" s="235"/>
      <c r="L352" s="235"/>
      <c r="M352" s="238">
        <f t="shared" si="46"/>
        <v>0</v>
      </c>
      <c r="N352" s="239"/>
      <c r="O352" s="235"/>
      <c r="P352" s="235"/>
      <c r="Q352" s="240">
        <f t="shared" si="47"/>
        <v>0</v>
      </c>
      <c r="R352" s="241">
        <f t="shared" si="48"/>
        <v>0</v>
      </c>
      <c r="S352" s="240">
        <f t="shared" si="49"/>
        <v>0</v>
      </c>
      <c r="T352" s="241">
        <f t="shared" si="50"/>
        <v>0</v>
      </c>
      <c r="U352" s="241">
        <f t="shared" si="51"/>
        <v>0</v>
      </c>
      <c r="V352" s="114" t="str">
        <f>IF(ISNA(VLOOKUP(J352,[1]!AVION1[#Data],3,FALSE)),"",VLOOKUP(J352,[1]!AVION1[#Data],3,FALSE))</f>
        <v/>
      </c>
      <c r="W352" s="114" t="str">
        <f>IF(ISNA(VLOOKUP(N352,[1]!INSTRUCTEUR[#Data],2,FALSE)),"",VLOOKUP(N352,[1]!INSTRUCTEUR[#Data],2,FALSE))</f>
        <v/>
      </c>
      <c r="X352" s="115">
        <f t="shared" si="52"/>
        <v>0</v>
      </c>
    </row>
    <row r="353" spans="2:24">
      <c r="C353" s="231"/>
      <c r="D353" s="232"/>
      <c r="E353" s="233"/>
      <c r="F353" s="234"/>
      <c r="G353" s="235"/>
      <c r="H353" s="236">
        <f t="shared" si="45"/>
        <v>0</v>
      </c>
      <c r="I353" s="237" t="str">
        <f>IF(ISNA(VLOOKUP(J353,[1]!AVION1[#Data],2,FALSE)),"",VLOOKUP(J353,[1]!AVION1[#Data],2,FALSE))</f>
        <v/>
      </c>
      <c r="J353" s="233"/>
      <c r="K353" s="235"/>
      <c r="L353" s="235"/>
      <c r="M353" s="238">
        <f t="shared" si="46"/>
        <v>0</v>
      </c>
      <c r="N353" s="239"/>
      <c r="O353" s="235"/>
      <c r="P353" s="235"/>
      <c r="Q353" s="240">
        <f t="shared" si="47"/>
        <v>0</v>
      </c>
      <c r="R353" s="241">
        <f t="shared" si="48"/>
        <v>0</v>
      </c>
      <c r="S353" s="240">
        <f t="shared" si="49"/>
        <v>0</v>
      </c>
      <c r="T353" s="241">
        <f t="shared" si="50"/>
        <v>0</v>
      </c>
      <c r="U353" s="241">
        <f t="shared" si="51"/>
        <v>0</v>
      </c>
      <c r="V353" s="114" t="str">
        <f>IF(ISNA(VLOOKUP(J353,[1]!AVION1[#Data],3,FALSE)),"",VLOOKUP(J353,[1]!AVION1[#Data],3,FALSE))</f>
        <v/>
      </c>
      <c r="W353" s="114" t="str">
        <f>IF(ISNA(VLOOKUP(N353,[1]!INSTRUCTEUR[#Data],2,FALSE)),"",VLOOKUP(N353,[1]!INSTRUCTEUR[#Data],2,FALSE))</f>
        <v/>
      </c>
      <c r="X353" s="115">
        <f t="shared" si="52"/>
        <v>0</v>
      </c>
    </row>
    <row r="354" spans="2:24">
      <c r="C354" s="231"/>
      <c r="D354" s="232"/>
      <c r="E354" s="233"/>
      <c r="F354" s="234"/>
      <c r="G354" s="235"/>
      <c r="H354" s="236">
        <f t="shared" si="45"/>
        <v>0</v>
      </c>
      <c r="I354" s="237" t="str">
        <f>IF(ISNA(VLOOKUP(J354,[1]!AVION1[#Data],2,FALSE)),"",VLOOKUP(J354,[1]!AVION1[#Data],2,FALSE))</f>
        <v/>
      </c>
      <c r="J354" s="233"/>
      <c r="K354" s="235"/>
      <c r="L354" s="235"/>
      <c r="M354" s="238">
        <f t="shared" si="46"/>
        <v>0</v>
      </c>
      <c r="N354" s="239"/>
      <c r="O354" s="235"/>
      <c r="P354" s="235"/>
      <c r="Q354" s="240">
        <f t="shared" si="47"/>
        <v>0</v>
      </c>
      <c r="R354" s="241">
        <f t="shared" si="48"/>
        <v>0</v>
      </c>
      <c r="S354" s="240">
        <f t="shared" si="49"/>
        <v>0</v>
      </c>
      <c r="T354" s="241">
        <f t="shared" si="50"/>
        <v>0</v>
      </c>
      <c r="U354" s="241">
        <f t="shared" si="51"/>
        <v>0</v>
      </c>
      <c r="V354" s="114" t="str">
        <f>IF(ISNA(VLOOKUP(J354,[1]!AVION1[#Data],3,FALSE)),"",VLOOKUP(J354,[1]!AVION1[#Data],3,FALSE))</f>
        <v/>
      </c>
      <c r="W354" s="114" t="str">
        <f>IF(ISNA(VLOOKUP(N354,[1]!INSTRUCTEUR[#Data],2,FALSE)),"",VLOOKUP(N354,[1]!INSTRUCTEUR[#Data],2,FALSE))</f>
        <v/>
      </c>
      <c r="X354" s="115">
        <f t="shared" si="52"/>
        <v>0</v>
      </c>
    </row>
    <row r="355" spans="2:24">
      <c r="C355" s="231"/>
      <c r="D355" s="232"/>
      <c r="E355" s="233"/>
      <c r="F355" s="234"/>
      <c r="G355" s="235"/>
      <c r="H355" s="236"/>
      <c r="I355" s="237"/>
      <c r="J355" s="233"/>
      <c r="K355" s="235"/>
      <c r="L355" s="235"/>
      <c r="M355" s="238"/>
      <c r="N355" s="239"/>
      <c r="O355" s="235"/>
      <c r="P355" s="235"/>
      <c r="Q355" s="240"/>
      <c r="R355" s="242"/>
      <c r="S355" s="240">
        <f>S28+S29+S30+S31</f>
        <v>305.77000000000004</v>
      </c>
      <c r="T355" s="241"/>
      <c r="U355" s="241"/>
      <c r="V355" s="114"/>
      <c r="W355" s="114"/>
      <c r="X355" s="115"/>
    </row>
    <row r="356" spans="2:24">
      <c r="B356" s="72"/>
      <c r="C356"/>
      <c r="D356" s="243"/>
      <c r="E356"/>
      <c r="I356" s="243"/>
      <c r="J356"/>
      <c r="M356" s="243"/>
      <c r="N356"/>
    </row>
    <row r="357" spans="2:24">
      <c r="B357" s="72"/>
      <c r="C357"/>
      <c r="D357" s="243"/>
      <c r="E357"/>
      <c r="I357" s="243"/>
      <c r="J357"/>
      <c r="M357" s="243"/>
      <c r="N357"/>
    </row>
  </sheetData>
  <mergeCells count="23">
    <mergeCell ref="A131:A148"/>
    <mergeCell ref="A5:A22"/>
    <mergeCell ref="A26:A43"/>
    <mergeCell ref="A47:A64"/>
    <mergeCell ref="A68:A85"/>
    <mergeCell ref="A89:A106"/>
    <mergeCell ref="A110:A127"/>
    <mergeCell ref="O2:P2"/>
    <mergeCell ref="Q2:Q3"/>
    <mergeCell ref="R2:R3"/>
    <mergeCell ref="S2:S3"/>
    <mergeCell ref="T2:T3"/>
    <mergeCell ref="U2:U3"/>
    <mergeCell ref="E1:F1"/>
    <mergeCell ref="G1:H1"/>
    <mergeCell ref="I1:J1"/>
    <mergeCell ref="K1:L1"/>
    <mergeCell ref="O1:P1"/>
    <mergeCell ref="C2:C3"/>
    <mergeCell ref="E2:F2"/>
    <mergeCell ref="G2:H2"/>
    <mergeCell ref="I2:J2"/>
    <mergeCell ref="N2:N3"/>
  </mergeCells>
  <dataValidations count="6">
    <dataValidation showInputMessage="1" showErrorMessage="1" promptTitle="AVION" prompt="saisir l'avion utilisé." sqref="J23:J25"/>
    <dataValidation type="list" allowBlank="1" showInputMessage="1" showErrorMessage="1" sqref="G5:G354">
      <formula1>$N$16:$N$56</formula1>
    </dataValidation>
    <dataValidation type="list" allowBlank="1" showInputMessage="1" showErrorMessage="1" sqref="E68:E85 E152:E354 E131:E148 E110:E127 E89:E106">
      <formula1>$M$16:$M$47</formula1>
    </dataValidation>
    <dataValidation type="list" allowBlank="1" showInputMessage="1" showErrorMessage="1" sqref="G68:G85 G152:G354 G131:G148 G110:G127 G89:G106">
      <formula1>$M$15:$M$48</formula1>
    </dataValidation>
    <dataValidation type="list" allowBlank="1" showInputMessage="1" showErrorMessage="1" sqref="N176:N354">
      <formula1>$H$3:$H$7</formula1>
    </dataValidation>
    <dataValidation type="list" allowBlank="1" showInputMessage="1" showErrorMessage="1" sqref="E36:E41">
      <formula1>$O$15:$O$51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rgb="FF7030A0"/>
  </sheetPr>
  <dimension ref="A1:M1647"/>
  <sheetViews>
    <sheetView workbookViewId="0">
      <pane ySplit="3" topLeftCell="A76" activePane="bottomLeft" state="frozen"/>
      <selection pane="bottomLeft"/>
    </sheetView>
  </sheetViews>
  <sheetFormatPr baseColWidth="10" defaultColWidth="10.77734375" defaultRowHeight="14.4"/>
  <cols>
    <col min="2" max="2" width="3.109375" bestFit="1" customWidth="1"/>
    <col min="3" max="3" width="11.6640625" bestFit="1" customWidth="1"/>
    <col min="6" max="6" width="16.109375" customWidth="1"/>
    <col min="7" max="7" width="17" customWidth="1"/>
    <col min="8" max="8" width="16.44140625" bestFit="1" customWidth="1"/>
    <col min="12" max="12" width="10.77734375" customWidth="1"/>
    <col min="13" max="13" width="12.77734375" bestFit="1" customWidth="1"/>
  </cols>
  <sheetData>
    <row r="1" spans="1:13" ht="15" thickBot="1">
      <c r="C1" s="245" t="s">
        <v>20</v>
      </c>
      <c r="D1" s="77" t="s">
        <v>21</v>
      </c>
      <c r="E1" s="78" t="s">
        <v>24</v>
      </c>
      <c r="F1" s="79"/>
      <c r="G1" s="80" t="s">
        <v>8</v>
      </c>
      <c r="H1" s="81" t="s">
        <v>26</v>
      </c>
      <c r="I1" s="78" t="s">
        <v>7</v>
      </c>
      <c r="J1" s="79"/>
      <c r="K1" s="82" t="s">
        <v>30</v>
      </c>
      <c r="L1" s="82" t="s">
        <v>31</v>
      </c>
    </row>
    <row r="2" spans="1:13">
      <c r="C2" s="246"/>
      <c r="D2" s="80" t="s">
        <v>32</v>
      </c>
      <c r="E2" s="80" t="s">
        <v>35</v>
      </c>
      <c r="F2" s="247" t="s">
        <v>36</v>
      </c>
      <c r="G2" s="248" t="s">
        <v>39</v>
      </c>
      <c r="H2" s="249"/>
      <c r="I2" s="80" t="s">
        <v>40</v>
      </c>
      <c r="J2" s="80" t="s">
        <v>41</v>
      </c>
      <c r="K2" s="250"/>
      <c r="L2" s="250"/>
    </row>
    <row r="3" spans="1:13" ht="15" thickBot="1">
      <c r="C3" s="251" t="s">
        <v>42</v>
      </c>
      <c r="D3" s="252" t="s">
        <v>43</v>
      </c>
      <c r="E3" s="252" t="s">
        <v>35</v>
      </c>
      <c r="F3" s="253" t="s">
        <v>36</v>
      </c>
      <c r="G3" s="254" t="s">
        <v>39</v>
      </c>
      <c r="H3" s="255" t="s">
        <v>26</v>
      </c>
      <c r="I3" s="252" t="s">
        <v>40</v>
      </c>
      <c r="J3" s="252" t="s">
        <v>41</v>
      </c>
      <c r="K3" s="252" t="s">
        <v>30</v>
      </c>
      <c r="L3" s="252" t="s">
        <v>31</v>
      </c>
      <c r="M3" s="256" t="s">
        <v>76</v>
      </c>
    </row>
    <row r="4" spans="1:13">
      <c r="A4" s="257">
        <v>1</v>
      </c>
      <c r="B4">
        <v>1</v>
      </c>
      <c r="C4" s="258">
        <f>Tableau11[[#This Row],[DATE2]]</f>
        <v>34182</v>
      </c>
      <c r="D4" s="259">
        <v>34182</v>
      </c>
      <c r="E4" s="260" t="s">
        <v>67</v>
      </c>
      <c r="F4" s="261" t="s">
        <v>56</v>
      </c>
      <c r="G4" s="262">
        <v>3.0555555555555555E-2</v>
      </c>
      <c r="H4" s="261" t="s">
        <v>77</v>
      </c>
      <c r="I4" s="263">
        <v>4</v>
      </c>
      <c r="J4" s="263"/>
      <c r="K4" s="262">
        <f t="shared" ref="K4:K79" si="0">IF(H4="PENDERS Bernard",G4,0)</f>
        <v>0</v>
      </c>
      <c r="L4" s="264">
        <f t="shared" ref="L4:L67" si="1">IF(H4="PENDERS Bernard",0,G4)</f>
        <v>3.0555555555555555E-2</v>
      </c>
      <c r="M4" s="265"/>
    </row>
    <row r="5" spans="1:13">
      <c r="A5" s="266"/>
      <c r="B5">
        <f>B4+1</f>
        <v>2</v>
      </c>
      <c r="C5" s="267">
        <f>Tableau11[[#This Row],[DATE2]]</f>
        <v>34184</v>
      </c>
      <c r="D5" s="268">
        <v>34184</v>
      </c>
      <c r="E5" s="269" t="s">
        <v>67</v>
      </c>
      <c r="F5" s="270" t="s">
        <v>56</v>
      </c>
      <c r="G5" s="271">
        <v>3.2638888888888891E-2</v>
      </c>
      <c r="H5" s="269" t="s">
        <v>77</v>
      </c>
      <c r="I5" s="269">
        <v>4</v>
      </c>
      <c r="J5" s="269"/>
      <c r="K5" s="271">
        <f t="shared" si="0"/>
        <v>0</v>
      </c>
      <c r="L5" s="272">
        <f t="shared" si="1"/>
        <v>3.2638888888888891E-2</v>
      </c>
      <c r="M5" s="269"/>
    </row>
    <row r="6" spans="1:13">
      <c r="A6" s="266"/>
      <c r="B6">
        <f t="shared" ref="B6:B17" si="2">B5+1</f>
        <v>3</v>
      </c>
      <c r="C6" s="267">
        <f>Tableau11[[#This Row],[DATE2]]</f>
        <v>34186</v>
      </c>
      <c r="D6" s="268">
        <v>34186</v>
      </c>
      <c r="E6" s="269" t="s">
        <v>67</v>
      </c>
      <c r="F6" s="270" t="s">
        <v>78</v>
      </c>
      <c r="G6" s="271">
        <v>2.5694444444444447E-2</v>
      </c>
      <c r="H6" s="269" t="s">
        <v>77</v>
      </c>
      <c r="I6" s="269">
        <v>3</v>
      </c>
      <c r="J6" s="269"/>
      <c r="K6" s="271">
        <f t="shared" si="0"/>
        <v>0</v>
      </c>
      <c r="L6" s="272">
        <f t="shared" si="1"/>
        <v>2.5694444444444447E-2</v>
      </c>
      <c r="M6" s="269"/>
    </row>
    <row r="7" spans="1:13">
      <c r="A7" s="266"/>
      <c r="B7">
        <f t="shared" si="2"/>
        <v>4</v>
      </c>
      <c r="C7" s="267">
        <f>Tableau11[[#This Row],[DATE2]]</f>
        <v>34188</v>
      </c>
      <c r="D7" s="268">
        <v>34188</v>
      </c>
      <c r="E7" s="269" t="s">
        <v>67</v>
      </c>
      <c r="F7" s="270" t="s">
        <v>56</v>
      </c>
      <c r="G7" s="271">
        <v>3.1944444444444449E-2</v>
      </c>
      <c r="H7" s="269" t="s">
        <v>77</v>
      </c>
      <c r="I7" s="269">
        <v>4</v>
      </c>
      <c r="J7" s="269"/>
      <c r="K7" s="271">
        <f t="shared" si="0"/>
        <v>0</v>
      </c>
      <c r="L7" s="272">
        <f t="shared" si="1"/>
        <v>3.1944444444444449E-2</v>
      </c>
      <c r="M7" s="269"/>
    </row>
    <row r="8" spans="1:13">
      <c r="A8" s="266"/>
      <c r="B8">
        <f t="shared" si="2"/>
        <v>5</v>
      </c>
      <c r="C8" s="267">
        <f>Tableau11[[#This Row],[DATE2]]</f>
        <v>34196</v>
      </c>
      <c r="D8" s="268">
        <v>34196</v>
      </c>
      <c r="E8" s="269" t="s">
        <v>67</v>
      </c>
      <c r="F8" s="270" t="s">
        <v>79</v>
      </c>
      <c r="G8" s="271">
        <v>3.6805555555555557E-2</v>
      </c>
      <c r="H8" s="269" t="s">
        <v>77</v>
      </c>
      <c r="I8" s="269">
        <v>5</v>
      </c>
      <c r="J8" s="269"/>
      <c r="K8" s="271">
        <f t="shared" si="0"/>
        <v>0</v>
      </c>
      <c r="L8" s="272">
        <f t="shared" si="1"/>
        <v>3.6805555555555557E-2</v>
      </c>
      <c r="M8" s="269"/>
    </row>
    <row r="9" spans="1:13">
      <c r="A9" s="266"/>
      <c r="B9">
        <f t="shared" si="2"/>
        <v>6</v>
      </c>
      <c r="C9" s="267">
        <f>Tableau11[[#This Row],[DATE2]]</f>
        <v>34203</v>
      </c>
      <c r="D9" s="268">
        <v>34203</v>
      </c>
      <c r="E9" s="269" t="s">
        <v>67</v>
      </c>
      <c r="F9" s="270" t="s">
        <v>56</v>
      </c>
      <c r="G9" s="271">
        <v>2.4999999999999998E-2</v>
      </c>
      <c r="H9" s="269" t="s">
        <v>80</v>
      </c>
      <c r="I9" s="269">
        <v>3</v>
      </c>
      <c r="J9" s="269"/>
      <c r="K9" s="271">
        <f t="shared" si="0"/>
        <v>0</v>
      </c>
      <c r="L9" s="272">
        <f t="shared" si="1"/>
        <v>2.4999999999999998E-2</v>
      </c>
      <c r="M9" s="269"/>
    </row>
    <row r="10" spans="1:13">
      <c r="A10" s="266"/>
      <c r="B10">
        <f t="shared" si="2"/>
        <v>7</v>
      </c>
      <c r="C10" s="267">
        <f>Tableau11[[#This Row],[DATE2]]</f>
        <v>34210</v>
      </c>
      <c r="D10" s="268">
        <v>34210</v>
      </c>
      <c r="E10" s="269" t="s">
        <v>67</v>
      </c>
      <c r="F10" s="270" t="s">
        <v>56</v>
      </c>
      <c r="G10" s="271">
        <v>3.6111111111111115E-2</v>
      </c>
      <c r="H10" s="269" t="s">
        <v>77</v>
      </c>
      <c r="I10" s="269">
        <v>4</v>
      </c>
      <c r="J10" s="269"/>
      <c r="K10" s="271">
        <f t="shared" si="0"/>
        <v>0</v>
      </c>
      <c r="L10" s="272">
        <f t="shared" si="1"/>
        <v>3.6111111111111115E-2</v>
      </c>
      <c r="M10" s="269"/>
    </row>
    <row r="11" spans="1:13">
      <c r="A11" s="266"/>
      <c r="B11">
        <f t="shared" si="2"/>
        <v>8</v>
      </c>
      <c r="C11" s="267">
        <f>Tableau11[[#This Row],[DATE2]]</f>
        <v>34217</v>
      </c>
      <c r="D11" s="268">
        <v>34217</v>
      </c>
      <c r="E11" s="269" t="s">
        <v>67</v>
      </c>
      <c r="F11" s="270" t="s">
        <v>79</v>
      </c>
      <c r="G11" s="271">
        <v>3.7499999999999999E-2</v>
      </c>
      <c r="H11" s="269" t="s">
        <v>77</v>
      </c>
      <c r="I11" s="269">
        <v>4</v>
      </c>
      <c r="J11" s="269"/>
      <c r="K11" s="271">
        <f t="shared" si="0"/>
        <v>0</v>
      </c>
      <c r="L11" s="272">
        <f t="shared" si="1"/>
        <v>3.7499999999999999E-2</v>
      </c>
      <c r="M11" s="269"/>
    </row>
    <row r="12" spans="1:13">
      <c r="A12" s="266"/>
      <c r="B12">
        <f t="shared" si="2"/>
        <v>9</v>
      </c>
      <c r="C12" s="267">
        <f>Tableau11[[#This Row],[DATE2]]</f>
        <v>34223</v>
      </c>
      <c r="D12" s="268">
        <v>34223</v>
      </c>
      <c r="E12" s="269" t="s">
        <v>67</v>
      </c>
      <c r="F12" s="270" t="s">
        <v>79</v>
      </c>
      <c r="G12" s="271">
        <v>4.027777777777778E-2</v>
      </c>
      <c r="H12" s="269" t="s">
        <v>77</v>
      </c>
      <c r="I12" s="269">
        <v>4</v>
      </c>
      <c r="J12" s="269"/>
      <c r="K12" s="271">
        <f t="shared" si="0"/>
        <v>0</v>
      </c>
      <c r="L12" s="272">
        <f t="shared" si="1"/>
        <v>4.027777777777778E-2</v>
      </c>
      <c r="M12" s="269"/>
    </row>
    <row r="13" spans="1:13">
      <c r="A13" s="266"/>
      <c r="B13">
        <f t="shared" si="2"/>
        <v>10</v>
      </c>
      <c r="C13" s="267">
        <f>Tableau11[[#This Row],[DATE2]]</f>
        <v>34231</v>
      </c>
      <c r="D13" s="268">
        <v>34231</v>
      </c>
      <c r="E13" s="269" t="s">
        <v>67</v>
      </c>
      <c r="F13" s="270" t="s">
        <v>56</v>
      </c>
      <c r="G13" s="271">
        <v>3.4027777777777775E-2</v>
      </c>
      <c r="H13" s="269" t="s">
        <v>77</v>
      </c>
      <c r="I13" s="269">
        <v>3</v>
      </c>
      <c r="J13" s="269"/>
      <c r="K13" s="271">
        <f t="shared" si="0"/>
        <v>0</v>
      </c>
      <c r="L13" s="272">
        <f t="shared" si="1"/>
        <v>3.4027777777777775E-2</v>
      </c>
      <c r="M13" s="269"/>
    </row>
    <row r="14" spans="1:13">
      <c r="A14" s="266"/>
      <c r="B14">
        <f t="shared" si="2"/>
        <v>11</v>
      </c>
      <c r="C14" s="267">
        <f>Tableau11[[#This Row],[DATE2]]</f>
        <v>34238</v>
      </c>
      <c r="D14" s="268">
        <v>34238</v>
      </c>
      <c r="E14" s="269" t="s">
        <v>67</v>
      </c>
      <c r="F14" s="270" t="s">
        <v>79</v>
      </c>
      <c r="G14" s="271">
        <v>3.3333333333333333E-2</v>
      </c>
      <c r="H14" s="269" t="s">
        <v>77</v>
      </c>
      <c r="I14" s="269">
        <v>3</v>
      </c>
      <c r="J14" s="269"/>
      <c r="K14" s="271">
        <f t="shared" si="0"/>
        <v>0</v>
      </c>
      <c r="L14" s="272">
        <f t="shared" si="1"/>
        <v>3.3333333333333333E-2</v>
      </c>
      <c r="M14" s="269"/>
    </row>
    <row r="15" spans="1:13">
      <c r="A15" s="266"/>
      <c r="B15">
        <f t="shared" si="2"/>
        <v>12</v>
      </c>
      <c r="C15" s="267">
        <f>Tableau11[[#This Row],[DATE2]]</f>
        <v>34244</v>
      </c>
      <c r="D15" s="268">
        <v>34244</v>
      </c>
      <c r="E15" s="269" t="s">
        <v>67</v>
      </c>
      <c r="F15" s="270" t="s">
        <v>79</v>
      </c>
      <c r="G15" s="271">
        <v>3.1944444444444449E-2</v>
      </c>
      <c r="H15" s="269" t="s">
        <v>77</v>
      </c>
      <c r="I15" s="269">
        <v>3</v>
      </c>
      <c r="J15" s="269"/>
      <c r="K15" s="271">
        <f t="shared" si="0"/>
        <v>0</v>
      </c>
      <c r="L15" s="272">
        <f t="shared" si="1"/>
        <v>3.1944444444444449E-2</v>
      </c>
      <c r="M15" s="269"/>
    </row>
    <row r="16" spans="1:13">
      <c r="A16" s="266"/>
      <c r="B16">
        <f t="shared" si="2"/>
        <v>13</v>
      </c>
      <c r="C16" s="267">
        <f>Tableau11[[#This Row],[DATE2]]</f>
        <v>34252</v>
      </c>
      <c r="D16" s="268">
        <v>34252</v>
      </c>
      <c r="E16" s="269" t="s">
        <v>67</v>
      </c>
      <c r="F16" s="270" t="s">
        <v>56</v>
      </c>
      <c r="G16" s="271">
        <v>3.4722222222222224E-2</v>
      </c>
      <c r="H16" s="269" t="s">
        <v>77</v>
      </c>
      <c r="I16" s="269">
        <v>3</v>
      </c>
      <c r="J16" s="269"/>
      <c r="K16" s="271">
        <f t="shared" si="0"/>
        <v>0</v>
      </c>
      <c r="L16" s="272">
        <f t="shared" si="1"/>
        <v>3.4722222222222224E-2</v>
      </c>
      <c r="M16" s="269"/>
    </row>
    <row r="17" spans="1:13" s="279" customFormat="1" ht="15" thickBot="1">
      <c r="A17" s="266"/>
      <c r="B17">
        <f t="shared" si="2"/>
        <v>14</v>
      </c>
      <c r="C17" s="273">
        <f>Tableau11[[#This Row],[DATE2]]</f>
        <v>34259</v>
      </c>
      <c r="D17" s="274">
        <v>34259</v>
      </c>
      <c r="E17" s="275" t="s">
        <v>67</v>
      </c>
      <c r="F17" s="276" t="s">
        <v>79</v>
      </c>
      <c r="G17" s="271">
        <v>3.4722222222222224E-2</v>
      </c>
      <c r="H17" s="275" t="s">
        <v>77</v>
      </c>
      <c r="I17" s="269">
        <v>3</v>
      </c>
      <c r="J17" s="269"/>
      <c r="K17" s="277">
        <f t="shared" si="0"/>
        <v>0</v>
      </c>
      <c r="L17" s="278">
        <f t="shared" si="1"/>
        <v>3.4722222222222224E-2</v>
      </c>
      <c r="M17" s="275"/>
    </row>
    <row r="18" spans="1:13">
      <c r="A18" s="266"/>
      <c r="C18" s="280"/>
      <c r="D18" s="281"/>
      <c r="E18" s="282"/>
      <c r="F18" s="283" t="s">
        <v>81</v>
      </c>
      <c r="G18" s="284">
        <f>SUM(G4:G17)</f>
        <v>0.46527777777777779</v>
      </c>
      <c r="H18" s="282"/>
      <c r="I18" s="285">
        <f>SUM(I4:I17)</f>
        <v>50</v>
      </c>
      <c r="J18" s="286"/>
      <c r="K18" s="287">
        <f>SUM(K4:K17)</f>
        <v>0</v>
      </c>
      <c r="L18" s="288">
        <f>SUM(L4:L17)</f>
        <v>0.46527777777777779</v>
      </c>
      <c r="M18" s="282"/>
    </row>
    <row r="19" spans="1:13">
      <c r="A19" s="266"/>
      <c r="C19" s="280"/>
      <c r="D19" s="281"/>
      <c r="E19" s="282"/>
      <c r="F19" s="289" t="s">
        <v>82</v>
      </c>
      <c r="G19" s="290">
        <v>0</v>
      </c>
      <c r="H19" s="282"/>
      <c r="I19" s="291">
        <v>0</v>
      </c>
      <c r="J19" s="292"/>
      <c r="K19" s="293">
        <v>0</v>
      </c>
      <c r="L19" s="294">
        <v>0</v>
      </c>
      <c r="M19" s="282"/>
    </row>
    <row r="20" spans="1:13" ht="15" thickBot="1">
      <c r="A20" s="295"/>
      <c r="C20" s="296"/>
      <c r="D20" s="297"/>
      <c r="E20" s="298"/>
      <c r="F20" s="299" t="s">
        <v>83</v>
      </c>
      <c r="G20" s="300">
        <f>G19+G18</f>
        <v>0.46527777777777779</v>
      </c>
      <c r="H20" s="298"/>
      <c r="I20" s="301">
        <f>I19+I18</f>
        <v>50</v>
      </c>
      <c r="J20" s="302"/>
      <c r="K20" s="303">
        <f>SUM(K18:K19)</f>
        <v>0</v>
      </c>
      <c r="L20" s="304">
        <f>L18+L19</f>
        <v>0.46527777777777779</v>
      </c>
      <c r="M20" s="298"/>
    </row>
    <row r="21" spans="1:13">
      <c r="A21" s="257">
        <f>A4+1</f>
        <v>2</v>
      </c>
      <c r="B21">
        <v>1</v>
      </c>
      <c r="C21" s="305">
        <f>Tableau11[[#This Row],[DATE2]]</f>
        <v>34272</v>
      </c>
      <c r="D21" s="306">
        <v>34272</v>
      </c>
      <c r="E21" s="307" t="s">
        <v>67</v>
      </c>
      <c r="F21" s="308" t="s">
        <v>56</v>
      </c>
      <c r="G21" s="309">
        <v>2.9861111111111113E-2</v>
      </c>
      <c r="H21" s="307" t="s">
        <v>77</v>
      </c>
      <c r="I21" s="307">
        <v>3</v>
      </c>
      <c r="J21" s="307"/>
      <c r="K21" s="309">
        <f t="shared" si="0"/>
        <v>0</v>
      </c>
      <c r="L21" s="310">
        <f t="shared" si="1"/>
        <v>2.9861111111111113E-2</v>
      </c>
      <c r="M21" s="307"/>
    </row>
    <row r="22" spans="1:13">
      <c r="A22" s="266"/>
      <c r="B22">
        <f>B21+1</f>
        <v>2</v>
      </c>
      <c r="C22" s="305">
        <f>Tableau11[[#This Row],[DATE2]]</f>
        <v>34286</v>
      </c>
      <c r="D22" s="306">
        <v>34286</v>
      </c>
      <c r="E22" s="307" t="s">
        <v>67</v>
      </c>
      <c r="F22" s="270" t="s">
        <v>78</v>
      </c>
      <c r="G22" s="309">
        <v>2.9861111111111113E-2</v>
      </c>
      <c r="H22" s="307" t="s">
        <v>77</v>
      </c>
      <c r="I22" s="307">
        <v>6</v>
      </c>
      <c r="J22" s="307"/>
      <c r="K22" s="309">
        <f t="shared" si="0"/>
        <v>0</v>
      </c>
      <c r="L22" s="310">
        <f t="shared" si="1"/>
        <v>2.9861111111111113E-2</v>
      </c>
      <c r="M22" s="307"/>
    </row>
    <row r="23" spans="1:13">
      <c r="A23" s="266"/>
      <c r="B23">
        <f t="shared" ref="B23:B34" si="3">B22+1</f>
        <v>3</v>
      </c>
      <c r="C23" s="305">
        <f>Tableau11[[#This Row],[DATE2]]</f>
        <v>34293</v>
      </c>
      <c r="D23" s="306">
        <v>34293</v>
      </c>
      <c r="E23" s="307" t="s">
        <v>67</v>
      </c>
      <c r="F23" s="270" t="s">
        <v>56</v>
      </c>
      <c r="G23" s="309">
        <v>1.4583333333333332E-2</v>
      </c>
      <c r="H23" s="307" t="s">
        <v>77</v>
      </c>
      <c r="I23" s="307">
        <v>2</v>
      </c>
      <c r="J23" s="307"/>
      <c r="K23" s="309">
        <f t="shared" si="0"/>
        <v>0</v>
      </c>
      <c r="L23" s="310">
        <f t="shared" si="1"/>
        <v>1.4583333333333332E-2</v>
      </c>
      <c r="M23" s="307"/>
    </row>
    <row r="24" spans="1:13">
      <c r="A24" s="266"/>
      <c r="B24">
        <f t="shared" si="3"/>
        <v>4</v>
      </c>
      <c r="C24" s="305">
        <f>Tableau11[[#This Row],[DATE2]]</f>
        <v>34293</v>
      </c>
      <c r="D24" s="306">
        <v>34293</v>
      </c>
      <c r="E24" s="307" t="s">
        <v>67</v>
      </c>
      <c r="F24" s="270" t="s">
        <v>56</v>
      </c>
      <c r="G24" s="309">
        <v>1.4583333333333332E-2</v>
      </c>
      <c r="H24" s="307" t="s">
        <v>55</v>
      </c>
      <c r="I24" s="307">
        <v>3</v>
      </c>
      <c r="J24" s="307"/>
      <c r="K24" s="309">
        <f t="shared" si="0"/>
        <v>1.4583333333333332E-2</v>
      </c>
      <c r="L24" s="310">
        <f t="shared" si="1"/>
        <v>0</v>
      </c>
      <c r="M24" s="307"/>
    </row>
    <row r="25" spans="1:13">
      <c r="A25" s="266"/>
      <c r="B25">
        <f t="shared" si="3"/>
        <v>5</v>
      </c>
      <c r="C25" s="305">
        <f>Tableau11[[#This Row],[DATE2]]</f>
        <v>34301</v>
      </c>
      <c r="D25" s="306">
        <v>34301</v>
      </c>
      <c r="E25" s="307" t="s">
        <v>67</v>
      </c>
      <c r="F25" s="270" t="s">
        <v>78</v>
      </c>
      <c r="G25" s="309">
        <v>9.7222222222222224E-3</v>
      </c>
      <c r="H25" s="307" t="s">
        <v>77</v>
      </c>
      <c r="I25" s="307">
        <v>2</v>
      </c>
      <c r="J25" s="307"/>
      <c r="K25" s="309">
        <f t="shared" si="0"/>
        <v>0</v>
      </c>
      <c r="L25" s="310">
        <f t="shared" si="1"/>
        <v>9.7222222222222224E-3</v>
      </c>
      <c r="M25" s="307"/>
    </row>
    <row r="26" spans="1:13">
      <c r="A26" s="266"/>
      <c r="B26">
        <f t="shared" si="3"/>
        <v>6</v>
      </c>
      <c r="C26" s="305">
        <f>Tableau11[[#This Row],[DATE2]]</f>
        <v>34342</v>
      </c>
      <c r="D26" s="306">
        <v>34342</v>
      </c>
      <c r="E26" s="307" t="s">
        <v>67</v>
      </c>
      <c r="F26" s="270" t="s">
        <v>56</v>
      </c>
      <c r="G26" s="309">
        <v>3.3333333333333333E-2</v>
      </c>
      <c r="H26" s="307" t="s">
        <v>77</v>
      </c>
      <c r="I26" s="307">
        <v>6</v>
      </c>
      <c r="J26" s="307"/>
      <c r="K26" s="309">
        <f t="shared" si="0"/>
        <v>0</v>
      </c>
      <c r="L26" s="310">
        <f t="shared" si="1"/>
        <v>3.3333333333333333E-2</v>
      </c>
      <c r="M26" s="307"/>
    </row>
    <row r="27" spans="1:13">
      <c r="A27" s="266"/>
      <c r="B27">
        <f t="shared" si="3"/>
        <v>7</v>
      </c>
      <c r="C27" s="305">
        <f>Tableau11[[#This Row],[DATE2]]</f>
        <v>34343</v>
      </c>
      <c r="D27" s="306">
        <v>34343</v>
      </c>
      <c r="E27" s="307" t="s">
        <v>67</v>
      </c>
      <c r="F27" s="270" t="s">
        <v>56</v>
      </c>
      <c r="G27" s="309">
        <v>9.0277777777777787E-3</v>
      </c>
      <c r="H27" s="307" t="s">
        <v>77</v>
      </c>
      <c r="I27" s="307">
        <v>1</v>
      </c>
      <c r="J27" s="307"/>
      <c r="K27" s="309">
        <f t="shared" si="0"/>
        <v>0</v>
      </c>
      <c r="L27" s="310">
        <f t="shared" si="1"/>
        <v>9.0277777777777787E-3</v>
      </c>
      <c r="M27" s="307"/>
    </row>
    <row r="28" spans="1:13">
      <c r="A28" s="266"/>
      <c r="B28">
        <f t="shared" si="3"/>
        <v>8</v>
      </c>
      <c r="C28" s="305">
        <f>Tableau11[[#This Row],[DATE2]]</f>
        <v>34385</v>
      </c>
      <c r="D28" s="306">
        <v>34385</v>
      </c>
      <c r="E28" s="307" t="s">
        <v>67</v>
      </c>
      <c r="F28" s="270" t="s">
        <v>56</v>
      </c>
      <c r="G28" s="309">
        <v>1.1805555555555555E-2</v>
      </c>
      <c r="H28" s="307" t="s">
        <v>77</v>
      </c>
      <c r="I28" s="307"/>
      <c r="J28" s="307"/>
      <c r="K28" s="309">
        <f t="shared" si="0"/>
        <v>0</v>
      </c>
      <c r="L28" s="310">
        <f t="shared" si="1"/>
        <v>1.1805555555555555E-2</v>
      </c>
      <c r="M28" s="307"/>
    </row>
    <row r="29" spans="1:13">
      <c r="A29" s="266"/>
      <c r="B29">
        <f t="shared" si="3"/>
        <v>9</v>
      </c>
      <c r="C29" s="305">
        <f>Tableau11[[#This Row],[DATE2]]</f>
        <v>34385</v>
      </c>
      <c r="D29" s="306">
        <v>34385</v>
      </c>
      <c r="E29" s="307" t="s">
        <v>67</v>
      </c>
      <c r="F29" s="270" t="s">
        <v>56</v>
      </c>
      <c r="G29" s="309">
        <v>2.5694444444444447E-2</v>
      </c>
      <c r="H29" s="307" t="s">
        <v>55</v>
      </c>
      <c r="I29" s="307">
        <v>6</v>
      </c>
      <c r="J29" s="307"/>
      <c r="K29" s="309">
        <f t="shared" si="0"/>
        <v>2.5694444444444447E-2</v>
      </c>
      <c r="L29" s="310">
        <f t="shared" si="1"/>
        <v>0</v>
      </c>
      <c r="M29" s="307"/>
    </row>
    <row r="30" spans="1:13">
      <c r="A30" s="266"/>
      <c r="B30">
        <f t="shared" si="3"/>
        <v>10</v>
      </c>
      <c r="C30" s="305">
        <f>Tableau11[[#This Row],[DATE2]]</f>
        <v>34391</v>
      </c>
      <c r="D30" s="306">
        <v>34391</v>
      </c>
      <c r="E30" s="307" t="s">
        <v>84</v>
      </c>
      <c r="F30" s="270" t="s">
        <v>79</v>
      </c>
      <c r="G30" s="309">
        <v>2.4305555555555556E-2</v>
      </c>
      <c r="H30" s="307" t="s">
        <v>77</v>
      </c>
      <c r="I30" s="307">
        <v>5</v>
      </c>
      <c r="J30" s="307"/>
      <c r="K30" s="309">
        <f t="shared" si="0"/>
        <v>0</v>
      </c>
      <c r="L30" s="310">
        <f t="shared" si="1"/>
        <v>2.4305555555555556E-2</v>
      </c>
      <c r="M30" s="307"/>
    </row>
    <row r="31" spans="1:13">
      <c r="A31" s="266"/>
      <c r="B31">
        <f t="shared" si="3"/>
        <v>11</v>
      </c>
      <c r="C31" s="305">
        <f>Tableau11[[#This Row],[DATE2]]</f>
        <v>34392</v>
      </c>
      <c r="D31" s="306">
        <v>34392</v>
      </c>
      <c r="E31" s="307" t="s">
        <v>67</v>
      </c>
      <c r="F31" s="270" t="s">
        <v>56</v>
      </c>
      <c r="G31" s="309">
        <v>1.1805555555555555E-2</v>
      </c>
      <c r="H31" s="307" t="s">
        <v>77</v>
      </c>
      <c r="I31" s="307">
        <v>3</v>
      </c>
      <c r="J31" s="307"/>
      <c r="K31" s="309">
        <f t="shared" si="0"/>
        <v>0</v>
      </c>
      <c r="L31" s="310">
        <f t="shared" si="1"/>
        <v>1.1805555555555555E-2</v>
      </c>
      <c r="M31" s="307"/>
    </row>
    <row r="32" spans="1:13">
      <c r="A32" s="266"/>
      <c r="B32">
        <f t="shared" si="3"/>
        <v>12</v>
      </c>
      <c r="C32" s="305">
        <f>Tableau11[[#This Row],[DATE2]]</f>
        <v>34398</v>
      </c>
      <c r="D32" s="306">
        <v>34398</v>
      </c>
      <c r="E32" s="307" t="s">
        <v>67</v>
      </c>
      <c r="F32" s="270" t="s">
        <v>78</v>
      </c>
      <c r="G32" s="309">
        <v>2.5694444444444447E-2</v>
      </c>
      <c r="H32" s="307" t="s">
        <v>77</v>
      </c>
      <c r="I32" s="307">
        <v>3</v>
      </c>
      <c r="J32" s="307"/>
      <c r="K32" s="309">
        <f t="shared" si="0"/>
        <v>0</v>
      </c>
      <c r="L32" s="310">
        <f t="shared" si="1"/>
        <v>2.5694444444444447E-2</v>
      </c>
      <c r="M32" s="307"/>
    </row>
    <row r="33" spans="1:13">
      <c r="A33" s="266"/>
      <c r="B33">
        <f t="shared" si="3"/>
        <v>13</v>
      </c>
      <c r="C33" s="305">
        <f>Tableau11[[#This Row],[DATE2]]</f>
        <v>34420</v>
      </c>
      <c r="D33" s="306">
        <v>34420</v>
      </c>
      <c r="E33" s="307" t="s">
        <v>67</v>
      </c>
      <c r="F33" s="270" t="s">
        <v>56</v>
      </c>
      <c r="G33" s="309">
        <v>1.3888888888888888E-2</v>
      </c>
      <c r="H33" s="307" t="s">
        <v>77</v>
      </c>
      <c r="I33" s="307">
        <v>2</v>
      </c>
      <c r="J33" s="307"/>
      <c r="K33" s="309">
        <f t="shared" si="0"/>
        <v>0</v>
      </c>
      <c r="L33" s="310">
        <f t="shared" si="1"/>
        <v>1.3888888888888888E-2</v>
      </c>
      <c r="M33" s="307"/>
    </row>
    <row r="34" spans="1:13" ht="15" thickBot="1">
      <c r="A34" s="266"/>
      <c r="B34">
        <f t="shared" si="3"/>
        <v>14</v>
      </c>
      <c r="C34" s="305">
        <f>Tableau11[[#This Row],[DATE2]]</f>
        <v>34420</v>
      </c>
      <c r="D34" s="306">
        <v>34420</v>
      </c>
      <c r="E34" s="307" t="s">
        <v>67</v>
      </c>
      <c r="F34" s="270" t="s">
        <v>56</v>
      </c>
      <c r="G34" s="309">
        <v>2.9861111111111113E-2</v>
      </c>
      <c r="H34" s="307" t="s">
        <v>55</v>
      </c>
      <c r="I34" s="307">
        <v>7</v>
      </c>
      <c r="J34" s="307"/>
      <c r="K34" s="309">
        <f t="shared" si="0"/>
        <v>2.9861111111111113E-2</v>
      </c>
      <c r="L34" s="310">
        <f t="shared" si="1"/>
        <v>0</v>
      </c>
      <c r="M34" s="307"/>
    </row>
    <row r="35" spans="1:13">
      <c r="A35" s="266"/>
      <c r="C35" s="280"/>
      <c r="D35" s="281"/>
      <c r="E35" s="282"/>
      <c r="F35" s="283" t="s">
        <v>81</v>
      </c>
      <c r="G35" s="311">
        <f>SUM(G21:G34)</f>
        <v>0.28402777777777777</v>
      </c>
      <c r="H35" s="282"/>
      <c r="I35" s="285">
        <f>SUM(I21:I34)</f>
        <v>49</v>
      </c>
      <c r="J35" s="286"/>
      <c r="K35" s="312">
        <f>SUM(K21:K34)</f>
        <v>7.013888888888889E-2</v>
      </c>
      <c r="L35" s="313">
        <f>SUM(L21:L34)</f>
        <v>0.21388888888888888</v>
      </c>
      <c r="M35" s="282"/>
    </row>
    <row r="36" spans="1:13">
      <c r="A36" s="266"/>
      <c r="C36" s="280"/>
      <c r="D36" s="281"/>
      <c r="E36" s="282"/>
      <c r="F36" s="289" t="s">
        <v>82</v>
      </c>
      <c r="G36" s="314">
        <f>G20</f>
        <v>0.46527777777777779</v>
      </c>
      <c r="H36" s="282"/>
      <c r="I36" s="291">
        <f>I20</f>
        <v>50</v>
      </c>
      <c r="J36" s="292"/>
      <c r="K36" s="315">
        <f>K20</f>
        <v>0</v>
      </c>
      <c r="L36" s="316">
        <f>L20</f>
        <v>0.46527777777777779</v>
      </c>
      <c r="M36" s="282"/>
    </row>
    <row r="37" spans="1:13" ht="15" thickBot="1">
      <c r="A37" s="295"/>
      <c r="C37" s="296"/>
      <c r="D37" s="297"/>
      <c r="E37" s="298"/>
      <c r="F37" s="299" t="s">
        <v>83</v>
      </c>
      <c r="G37" s="317">
        <f>G36+G35</f>
        <v>0.74930555555555556</v>
      </c>
      <c r="H37" s="298"/>
      <c r="I37" s="301">
        <f>I36+I35</f>
        <v>99</v>
      </c>
      <c r="J37" s="302"/>
      <c r="K37" s="318">
        <f>SUM(K35:K36)</f>
        <v>7.013888888888889E-2</v>
      </c>
      <c r="L37" s="319">
        <f>L35+L36</f>
        <v>0.6791666666666667</v>
      </c>
      <c r="M37" s="298"/>
    </row>
    <row r="38" spans="1:13" ht="15" customHeight="1">
      <c r="A38" s="257">
        <f t="shared" ref="A38" si="4">A21+1</f>
        <v>3</v>
      </c>
      <c r="B38">
        <v>1</v>
      </c>
      <c r="C38" s="258">
        <f>Tableau11[[#This Row],[DATE2]]</f>
        <v>34434</v>
      </c>
      <c r="D38" s="320">
        <v>34434</v>
      </c>
      <c r="E38" s="265" t="s">
        <v>67</v>
      </c>
      <c r="F38" s="265" t="s">
        <v>56</v>
      </c>
      <c r="G38" s="321">
        <v>1.2499999999999999E-2</v>
      </c>
      <c r="H38" s="265" t="s">
        <v>77</v>
      </c>
      <c r="I38" s="265">
        <v>1</v>
      </c>
      <c r="J38" s="265"/>
      <c r="K38" s="321">
        <f t="shared" si="0"/>
        <v>0</v>
      </c>
      <c r="L38" s="264">
        <f t="shared" si="1"/>
        <v>1.2499999999999999E-2</v>
      </c>
      <c r="M38" s="265"/>
    </row>
    <row r="39" spans="1:13" ht="15" customHeight="1">
      <c r="A39" s="266"/>
      <c r="B39">
        <f>B38+1</f>
        <v>2</v>
      </c>
      <c r="C39" s="267">
        <f>Tableau11[[#This Row],[DATE2]]</f>
        <v>34434</v>
      </c>
      <c r="D39" s="268">
        <v>34434</v>
      </c>
      <c r="E39" s="269" t="s">
        <v>67</v>
      </c>
      <c r="F39" s="269" t="s">
        <v>56</v>
      </c>
      <c r="G39" s="271">
        <v>2.7083333333333334E-2</v>
      </c>
      <c r="H39" s="269" t="s">
        <v>55</v>
      </c>
      <c r="I39" s="269">
        <v>7</v>
      </c>
      <c r="J39" s="269"/>
      <c r="K39" s="271">
        <f t="shared" si="0"/>
        <v>2.7083333333333334E-2</v>
      </c>
      <c r="L39" s="272">
        <f t="shared" si="1"/>
        <v>0</v>
      </c>
      <c r="M39" s="269"/>
    </row>
    <row r="40" spans="1:13" ht="15" customHeight="1">
      <c r="A40" s="266"/>
      <c r="B40">
        <f t="shared" ref="B40:B51" si="5">B39+1</f>
        <v>3</v>
      </c>
      <c r="C40" s="267">
        <f>Tableau11[[#This Row],[DATE2]]</f>
        <v>34440</v>
      </c>
      <c r="D40" s="268">
        <v>34440</v>
      </c>
      <c r="E40" s="269" t="s">
        <v>67</v>
      </c>
      <c r="F40" s="269" t="s">
        <v>56</v>
      </c>
      <c r="G40" s="271">
        <v>1.5972222222222224E-2</v>
      </c>
      <c r="H40" s="269" t="s">
        <v>77</v>
      </c>
      <c r="I40" s="269">
        <v>2</v>
      </c>
      <c r="J40" s="269"/>
      <c r="K40" s="271">
        <f t="shared" si="0"/>
        <v>0</v>
      </c>
      <c r="L40" s="272">
        <f t="shared" si="1"/>
        <v>1.5972222222222224E-2</v>
      </c>
      <c r="M40" s="269"/>
    </row>
    <row r="41" spans="1:13" ht="15" customHeight="1">
      <c r="A41" s="266"/>
      <c r="B41">
        <f t="shared" si="5"/>
        <v>4</v>
      </c>
      <c r="C41" s="267">
        <f>Tableau11[[#This Row],[DATE2]]</f>
        <v>34440</v>
      </c>
      <c r="D41" s="268">
        <v>34440</v>
      </c>
      <c r="E41" s="269" t="s">
        <v>67</v>
      </c>
      <c r="F41" s="269" t="s">
        <v>56</v>
      </c>
      <c r="G41" s="271">
        <v>2.4999999999999998E-2</v>
      </c>
      <c r="H41" s="269" t="s">
        <v>55</v>
      </c>
      <c r="I41" s="269">
        <v>7</v>
      </c>
      <c r="J41" s="269"/>
      <c r="K41" s="271">
        <f t="shared" si="0"/>
        <v>2.4999999999999998E-2</v>
      </c>
      <c r="L41" s="272">
        <f t="shared" si="1"/>
        <v>0</v>
      </c>
      <c r="M41" s="269"/>
    </row>
    <row r="42" spans="1:13" ht="15" customHeight="1">
      <c r="A42" s="266"/>
      <c r="B42">
        <f t="shared" si="5"/>
        <v>5</v>
      </c>
      <c r="C42" s="267">
        <f>Tableau11[[#This Row],[DATE2]]</f>
        <v>34447</v>
      </c>
      <c r="D42" s="268">
        <v>34447</v>
      </c>
      <c r="E42" s="269" t="s">
        <v>67</v>
      </c>
      <c r="F42" s="269" t="s">
        <v>56</v>
      </c>
      <c r="G42" s="271">
        <v>2.6388888888888889E-2</v>
      </c>
      <c r="H42" s="269" t="s">
        <v>77</v>
      </c>
      <c r="I42" s="269">
        <v>2</v>
      </c>
      <c r="J42" s="269"/>
      <c r="K42" s="271">
        <f t="shared" si="0"/>
        <v>0</v>
      </c>
      <c r="L42" s="272">
        <f t="shared" si="1"/>
        <v>2.6388888888888889E-2</v>
      </c>
      <c r="M42" s="269"/>
    </row>
    <row r="43" spans="1:13" ht="15" customHeight="1">
      <c r="A43" s="266"/>
      <c r="B43">
        <f t="shared" si="5"/>
        <v>6</v>
      </c>
      <c r="C43" s="267">
        <f>Tableau11[[#This Row],[DATE2]]</f>
        <v>34448</v>
      </c>
      <c r="D43" s="268">
        <v>34448</v>
      </c>
      <c r="E43" s="269" t="s">
        <v>67</v>
      </c>
      <c r="F43" s="269" t="s">
        <v>56</v>
      </c>
      <c r="G43" s="271">
        <v>1.0416666666666666E-2</v>
      </c>
      <c r="H43" s="269" t="s">
        <v>77</v>
      </c>
      <c r="I43" s="269">
        <v>2</v>
      </c>
      <c r="J43" s="269"/>
      <c r="K43" s="271">
        <f t="shared" si="0"/>
        <v>0</v>
      </c>
      <c r="L43" s="272">
        <f t="shared" si="1"/>
        <v>1.0416666666666666E-2</v>
      </c>
      <c r="M43" s="269"/>
    </row>
    <row r="44" spans="1:13" ht="15" customHeight="1">
      <c r="A44" s="266"/>
      <c r="B44">
        <f t="shared" si="5"/>
        <v>7</v>
      </c>
      <c r="C44" s="267">
        <f>Tableau11[[#This Row],[DATE2]]</f>
        <v>34448</v>
      </c>
      <c r="D44" s="268">
        <v>34448</v>
      </c>
      <c r="E44" s="269" t="s">
        <v>67</v>
      </c>
      <c r="F44" s="269" t="s">
        <v>56</v>
      </c>
      <c r="G44" s="271">
        <v>1.7361111111111112E-2</v>
      </c>
      <c r="H44" s="269" t="s">
        <v>55</v>
      </c>
      <c r="I44" s="269">
        <v>1</v>
      </c>
      <c r="J44" s="269"/>
      <c r="K44" s="271">
        <f t="shared" si="0"/>
        <v>1.7361111111111112E-2</v>
      </c>
      <c r="L44" s="272">
        <f t="shared" si="1"/>
        <v>0</v>
      </c>
      <c r="M44" s="269"/>
    </row>
    <row r="45" spans="1:13" ht="15" customHeight="1">
      <c r="A45" s="266"/>
      <c r="B45">
        <f t="shared" si="5"/>
        <v>8</v>
      </c>
      <c r="C45" s="267">
        <f>Tableau11[[#This Row],[DATE2]]</f>
        <v>34454</v>
      </c>
      <c r="D45" s="268">
        <v>34454</v>
      </c>
      <c r="E45" s="269" t="s">
        <v>67</v>
      </c>
      <c r="F45" s="269" t="s">
        <v>56</v>
      </c>
      <c r="G45" s="271">
        <v>2.7777777777777776E-2</v>
      </c>
      <c r="H45" s="269" t="s">
        <v>77</v>
      </c>
      <c r="I45" s="269">
        <v>1</v>
      </c>
      <c r="J45" s="269"/>
      <c r="K45" s="271">
        <f t="shared" si="0"/>
        <v>0</v>
      </c>
      <c r="L45" s="272">
        <f t="shared" si="1"/>
        <v>2.7777777777777776E-2</v>
      </c>
      <c r="M45" s="269"/>
    </row>
    <row r="46" spans="1:13" ht="15" customHeight="1">
      <c r="A46" s="266"/>
      <c r="B46">
        <f t="shared" si="5"/>
        <v>9</v>
      </c>
      <c r="C46" s="322">
        <f>Tableau11[[#This Row],[DATE2]]</f>
        <v>34454</v>
      </c>
      <c r="D46" s="323">
        <v>34454</v>
      </c>
      <c r="E46" s="324" t="s">
        <v>67</v>
      </c>
      <c r="F46" s="324" t="s">
        <v>56</v>
      </c>
      <c r="G46" s="179">
        <v>1.0416666666666666E-2</v>
      </c>
      <c r="H46" s="324" t="s">
        <v>55</v>
      </c>
      <c r="I46" s="324">
        <v>1</v>
      </c>
      <c r="J46" s="324"/>
      <c r="K46" s="179">
        <f t="shared" si="0"/>
        <v>1.0416666666666666E-2</v>
      </c>
      <c r="L46" s="325">
        <f t="shared" si="1"/>
        <v>0</v>
      </c>
      <c r="M46" s="324"/>
    </row>
    <row r="47" spans="1:13" ht="15" customHeight="1">
      <c r="A47" s="266"/>
      <c r="B47">
        <f t="shared" si="5"/>
        <v>10</v>
      </c>
      <c r="C47" s="322">
        <f>Tableau11[[#This Row],[DATE2]]</f>
        <v>34468</v>
      </c>
      <c r="D47" s="323">
        <v>34468</v>
      </c>
      <c r="E47" s="324" t="s">
        <v>67</v>
      </c>
      <c r="F47" s="324" t="s">
        <v>78</v>
      </c>
      <c r="G47" s="179">
        <v>3.1944444444444449E-2</v>
      </c>
      <c r="H47" s="324" t="s">
        <v>77</v>
      </c>
      <c r="I47" s="324">
        <v>1</v>
      </c>
      <c r="J47" s="324"/>
      <c r="K47" s="179">
        <f t="shared" si="0"/>
        <v>0</v>
      </c>
      <c r="L47" s="325">
        <f t="shared" si="1"/>
        <v>3.1944444444444449E-2</v>
      </c>
      <c r="M47" s="324" t="s">
        <v>85</v>
      </c>
    </row>
    <row r="48" spans="1:13" ht="15" customHeight="1">
      <c r="A48" s="266"/>
      <c r="B48">
        <f t="shared" si="5"/>
        <v>11</v>
      </c>
      <c r="C48" s="322">
        <f>Tableau11[[#This Row],[DATE2]]</f>
        <v>34468</v>
      </c>
      <c r="D48" s="323">
        <v>34468</v>
      </c>
      <c r="E48" s="324" t="s">
        <v>67</v>
      </c>
      <c r="F48" s="324" t="s">
        <v>78</v>
      </c>
      <c r="G48" s="179">
        <v>8.3333333333333332E-3</v>
      </c>
      <c r="H48" s="324" t="s">
        <v>55</v>
      </c>
      <c r="I48" s="324">
        <v>1</v>
      </c>
      <c r="J48" s="324"/>
      <c r="K48" s="179">
        <f t="shared" si="0"/>
        <v>8.3333333333333332E-3</v>
      </c>
      <c r="L48" s="325">
        <f t="shared" si="1"/>
        <v>0</v>
      </c>
      <c r="M48" s="324" t="s">
        <v>85</v>
      </c>
    </row>
    <row r="49" spans="1:13" ht="15" customHeight="1">
      <c r="A49" s="266"/>
      <c r="B49">
        <f t="shared" si="5"/>
        <v>12</v>
      </c>
      <c r="C49" s="322">
        <f>Tableau11[[#This Row],[DATE2]]</f>
        <v>34475</v>
      </c>
      <c r="D49" s="323">
        <v>34475</v>
      </c>
      <c r="E49" s="324" t="s">
        <v>67</v>
      </c>
      <c r="F49" s="324" t="s">
        <v>56</v>
      </c>
      <c r="G49" s="179">
        <v>2.013888888888889E-2</v>
      </c>
      <c r="H49" s="324" t="s">
        <v>80</v>
      </c>
      <c r="I49" s="324">
        <v>1</v>
      </c>
      <c r="J49" s="324"/>
      <c r="K49" s="179">
        <f t="shared" si="0"/>
        <v>0</v>
      </c>
      <c r="L49" s="325">
        <f t="shared" si="1"/>
        <v>2.013888888888889E-2</v>
      </c>
      <c r="M49" s="324"/>
    </row>
    <row r="50" spans="1:13" ht="15" customHeight="1">
      <c r="A50" s="266"/>
      <c r="B50">
        <f t="shared" si="5"/>
        <v>13</v>
      </c>
      <c r="C50" s="322">
        <f>Tableau11[[#This Row],[DATE2]]</f>
        <v>34482</v>
      </c>
      <c r="D50" s="323">
        <v>34482</v>
      </c>
      <c r="E50" s="324" t="s">
        <v>67</v>
      </c>
      <c r="F50" s="324" t="s">
        <v>56</v>
      </c>
      <c r="G50" s="179">
        <v>2.7777777777777776E-2</v>
      </c>
      <c r="H50" s="324" t="s">
        <v>77</v>
      </c>
      <c r="I50" s="324">
        <v>2</v>
      </c>
      <c r="J50" s="324"/>
      <c r="K50" s="179">
        <f t="shared" si="0"/>
        <v>0</v>
      </c>
      <c r="L50" s="325">
        <f t="shared" si="1"/>
        <v>2.7777777777777776E-2</v>
      </c>
      <c r="M50" s="324"/>
    </row>
    <row r="51" spans="1:13" ht="15" customHeight="1" thickBot="1">
      <c r="A51" s="266"/>
      <c r="B51">
        <f t="shared" si="5"/>
        <v>14</v>
      </c>
      <c r="C51" s="273">
        <f>Tableau11[[#This Row],[DATE2]]</f>
        <v>34482</v>
      </c>
      <c r="D51" s="274">
        <v>34482</v>
      </c>
      <c r="E51" s="275" t="s">
        <v>67</v>
      </c>
      <c r="F51" s="275" t="s">
        <v>78</v>
      </c>
      <c r="G51" s="277">
        <v>1.8055555555555557E-2</v>
      </c>
      <c r="H51" s="275" t="s">
        <v>55</v>
      </c>
      <c r="I51" s="275">
        <v>3</v>
      </c>
      <c r="J51" s="275"/>
      <c r="K51" s="277">
        <f>IF(H51="PENDERS Bernard",G51,0)</f>
        <v>1.8055555555555557E-2</v>
      </c>
      <c r="L51" s="278">
        <f>IF(H51="PENDERS Bernard",0,G51)</f>
        <v>0</v>
      </c>
      <c r="M51" s="275"/>
    </row>
    <row r="52" spans="1:13" ht="15" customHeight="1">
      <c r="A52" s="266"/>
      <c r="C52" s="280"/>
      <c r="D52" s="281"/>
      <c r="E52" s="282"/>
      <c r="F52" s="283" t="s">
        <v>81</v>
      </c>
      <c r="G52" s="326">
        <f>SUM(G38:G51)</f>
        <v>0.27916666666666662</v>
      </c>
      <c r="H52" s="282"/>
      <c r="I52" s="327">
        <f>SUM(I38:I51)</f>
        <v>32</v>
      </c>
      <c r="J52" s="328"/>
      <c r="K52" s="329">
        <f>SUM(K38:K51)</f>
        <v>0.10625000000000001</v>
      </c>
      <c r="L52" s="330">
        <f>SUM(L38:L51)</f>
        <v>0.17291666666666666</v>
      </c>
      <c r="M52" s="282"/>
    </row>
    <row r="53" spans="1:13" ht="15" customHeight="1">
      <c r="A53" s="266"/>
      <c r="C53" s="280"/>
      <c r="D53" s="281"/>
      <c r="E53" s="282"/>
      <c r="F53" s="289" t="s">
        <v>82</v>
      </c>
      <c r="G53" s="314">
        <f>G37</f>
        <v>0.74930555555555556</v>
      </c>
      <c r="H53" s="282"/>
      <c r="I53" s="291">
        <f>I37</f>
        <v>99</v>
      </c>
      <c r="J53" s="292"/>
      <c r="K53" s="315">
        <f>K37</f>
        <v>7.013888888888889E-2</v>
      </c>
      <c r="L53" s="316">
        <f>L37</f>
        <v>0.6791666666666667</v>
      </c>
      <c r="M53" s="282"/>
    </row>
    <row r="54" spans="1:13" ht="15" customHeight="1" thickBot="1">
      <c r="A54" s="295"/>
      <c r="C54" s="296"/>
      <c r="D54" s="297"/>
      <c r="E54" s="298"/>
      <c r="F54" s="299" t="s">
        <v>83</v>
      </c>
      <c r="G54" s="317">
        <f>G52+G53</f>
        <v>1.0284722222222222</v>
      </c>
      <c r="H54" s="298"/>
      <c r="I54" s="301">
        <f>I53+I52</f>
        <v>131</v>
      </c>
      <c r="J54" s="302"/>
      <c r="K54" s="318">
        <f>SUM(K52:K53)</f>
        <v>0.1763888888888889</v>
      </c>
      <c r="L54" s="319">
        <f>L52+L53</f>
        <v>0.8520833333333333</v>
      </c>
      <c r="M54" s="298"/>
    </row>
    <row r="55" spans="1:13" ht="15" customHeight="1">
      <c r="A55" s="257">
        <f t="shared" ref="A55" si="6">A38+1</f>
        <v>4</v>
      </c>
      <c r="B55">
        <v>1</v>
      </c>
      <c r="C55" s="305">
        <f>Tableau11[[#This Row],[DATE2]]</f>
        <v>34496</v>
      </c>
      <c r="D55" s="306">
        <v>34496</v>
      </c>
      <c r="E55" s="307" t="s">
        <v>67</v>
      </c>
      <c r="F55" s="307" t="s">
        <v>56</v>
      </c>
      <c r="G55" s="309">
        <v>1.1111111111111112E-2</v>
      </c>
      <c r="H55" s="307" t="s">
        <v>77</v>
      </c>
      <c r="I55" s="307">
        <v>2</v>
      </c>
      <c r="J55" s="307"/>
      <c r="K55" s="309">
        <f t="shared" si="0"/>
        <v>0</v>
      </c>
      <c r="L55" s="310">
        <f t="shared" si="1"/>
        <v>1.1111111111111112E-2</v>
      </c>
      <c r="M55" s="307"/>
    </row>
    <row r="56" spans="1:13" ht="15" customHeight="1">
      <c r="A56" s="266"/>
      <c r="B56">
        <f>B55+1</f>
        <v>2</v>
      </c>
      <c r="C56" s="305">
        <f>Tableau11[[#This Row],[DATE2]]</f>
        <v>34496</v>
      </c>
      <c r="D56" s="306">
        <v>34496</v>
      </c>
      <c r="E56" s="307" t="s">
        <v>67</v>
      </c>
      <c r="F56" s="307" t="s">
        <v>56</v>
      </c>
      <c r="G56" s="309">
        <v>2.4999999999999998E-2</v>
      </c>
      <c r="H56" s="307" t="s">
        <v>55</v>
      </c>
      <c r="I56" s="307">
        <v>2</v>
      </c>
      <c r="J56" s="307"/>
      <c r="K56" s="309">
        <f t="shared" si="0"/>
        <v>2.4999999999999998E-2</v>
      </c>
      <c r="L56" s="310">
        <f t="shared" si="1"/>
        <v>0</v>
      </c>
      <c r="M56" s="307"/>
    </row>
    <row r="57" spans="1:13" ht="16.05" customHeight="1">
      <c r="A57" s="266"/>
      <c r="B57">
        <f t="shared" ref="B57:B68" si="7">B56+1</f>
        <v>3</v>
      </c>
      <c r="C57" s="305">
        <f>Tableau11[[#This Row],[DATE2]]</f>
        <v>34497</v>
      </c>
      <c r="D57" s="306">
        <v>34497</v>
      </c>
      <c r="E57" s="307" t="s">
        <v>86</v>
      </c>
      <c r="F57" s="307" t="s">
        <v>87</v>
      </c>
      <c r="G57" s="309">
        <v>1.0416666666666666E-2</v>
      </c>
      <c r="H57" s="307" t="s">
        <v>77</v>
      </c>
      <c r="I57" s="307">
        <v>1</v>
      </c>
      <c r="J57" s="307"/>
      <c r="K57" s="309">
        <f t="shared" si="0"/>
        <v>0</v>
      </c>
      <c r="L57" s="310">
        <f t="shared" si="1"/>
        <v>1.0416666666666666E-2</v>
      </c>
      <c r="M57" s="307"/>
    </row>
    <row r="58" spans="1:13" ht="15" customHeight="1">
      <c r="A58" s="266"/>
      <c r="B58">
        <f t="shared" si="7"/>
        <v>4</v>
      </c>
      <c r="C58" s="305">
        <f>Tableau11[[#This Row],[DATE2]]</f>
        <v>34497</v>
      </c>
      <c r="D58" s="306">
        <v>34497</v>
      </c>
      <c r="E58" s="307" t="s">
        <v>86</v>
      </c>
      <c r="F58" s="307" t="s">
        <v>87</v>
      </c>
      <c r="G58" s="309">
        <v>1.3194444444444444E-2</v>
      </c>
      <c r="H58" s="307" t="s">
        <v>77</v>
      </c>
      <c r="I58" s="307">
        <v>1</v>
      </c>
      <c r="J58" s="307"/>
      <c r="K58" s="309">
        <f t="shared" si="0"/>
        <v>0</v>
      </c>
      <c r="L58" s="310">
        <f t="shared" si="1"/>
        <v>1.3194444444444444E-2</v>
      </c>
      <c r="M58" s="307"/>
    </row>
    <row r="59" spans="1:13" ht="15" customHeight="1">
      <c r="A59" s="266"/>
      <c r="B59">
        <f t="shared" si="7"/>
        <v>5</v>
      </c>
      <c r="C59" s="305">
        <f>Tableau11[[#This Row],[DATE2]]</f>
        <v>34503</v>
      </c>
      <c r="D59" s="306">
        <v>34503</v>
      </c>
      <c r="E59" s="307" t="s">
        <v>67</v>
      </c>
      <c r="F59" s="307" t="s">
        <v>56</v>
      </c>
      <c r="G59" s="309">
        <v>3.6111111111111115E-2</v>
      </c>
      <c r="H59" s="307" t="s">
        <v>77</v>
      </c>
      <c r="I59" s="307">
        <v>1</v>
      </c>
      <c r="J59" s="307"/>
      <c r="K59" s="309">
        <f t="shared" si="0"/>
        <v>0</v>
      </c>
      <c r="L59" s="310">
        <f t="shared" si="1"/>
        <v>3.6111111111111115E-2</v>
      </c>
      <c r="M59" s="307" t="s">
        <v>66</v>
      </c>
    </row>
    <row r="60" spans="1:13" ht="15" customHeight="1">
      <c r="A60" s="266"/>
      <c r="B60">
        <f t="shared" si="7"/>
        <v>6</v>
      </c>
      <c r="C60" s="305">
        <f>Tableau11[[#This Row],[DATE2]]</f>
        <v>34503</v>
      </c>
      <c r="D60" s="306">
        <v>34503</v>
      </c>
      <c r="E60" s="307" t="s">
        <v>67</v>
      </c>
      <c r="F60" s="307" t="s">
        <v>56</v>
      </c>
      <c r="G60" s="309">
        <v>3.9583333333333331E-2</v>
      </c>
      <c r="H60" s="307" t="s">
        <v>77</v>
      </c>
      <c r="I60" s="307">
        <v>1</v>
      </c>
      <c r="J60" s="307"/>
      <c r="K60" s="309">
        <f t="shared" si="0"/>
        <v>0</v>
      </c>
      <c r="L60" s="310">
        <f t="shared" si="1"/>
        <v>3.9583333333333331E-2</v>
      </c>
      <c r="M60" s="307" t="s">
        <v>52</v>
      </c>
    </row>
    <row r="61" spans="1:13" ht="15" customHeight="1">
      <c r="A61" s="266"/>
      <c r="B61">
        <f t="shared" si="7"/>
        <v>7</v>
      </c>
      <c r="C61" s="305">
        <f>Tableau11[[#This Row],[DATE2]]</f>
        <v>34510</v>
      </c>
      <c r="D61" s="306">
        <v>34510</v>
      </c>
      <c r="E61" s="307" t="s">
        <v>69</v>
      </c>
      <c r="F61" s="307" t="s">
        <v>88</v>
      </c>
      <c r="G61" s="331">
        <v>3.3333333333333333E-2</v>
      </c>
      <c r="H61" s="307" t="s">
        <v>77</v>
      </c>
      <c r="I61" s="307">
        <v>1</v>
      </c>
      <c r="J61" s="307"/>
      <c r="K61" s="309">
        <f t="shared" si="0"/>
        <v>0</v>
      </c>
      <c r="L61" s="310">
        <f t="shared" si="1"/>
        <v>3.3333333333333333E-2</v>
      </c>
      <c r="M61" s="307"/>
    </row>
    <row r="62" spans="1:13" ht="15" customHeight="1">
      <c r="A62" s="266"/>
      <c r="B62">
        <f t="shared" si="7"/>
        <v>8</v>
      </c>
      <c r="C62" s="305">
        <f>Tableau11[[#This Row],[DATE2]]</f>
        <v>34510</v>
      </c>
      <c r="D62" s="306">
        <v>34510</v>
      </c>
      <c r="E62" s="307" t="s">
        <v>69</v>
      </c>
      <c r="F62" s="307" t="s">
        <v>88</v>
      </c>
      <c r="G62" s="331">
        <v>1.6666666666666666E-2</v>
      </c>
      <c r="H62" s="307" t="s">
        <v>55</v>
      </c>
      <c r="I62" s="307">
        <v>2</v>
      </c>
      <c r="J62" s="307"/>
      <c r="K62" s="309">
        <f t="shared" si="0"/>
        <v>1.6666666666666666E-2</v>
      </c>
      <c r="L62" s="310">
        <f t="shared" si="1"/>
        <v>0</v>
      </c>
      <c r="M62" s="307"/>
    </row>
    <row r="63" spans="1:13" ht="15" customHeight="1">
      <c r="A63" s="266"/>
      <c r="B63">
        <f t="shared" si="7"/>
        <v>9</v>
      </c>
      <c r="C63" s="305">
        <f>Tableau11[[#This Row],[DATE2]]</f>
        <v>34519</v>
      </c>
      <c r="D63" s="306">
        <v>34519</v>
      </c>
      <c r="E63" s="307" t="s">
        <v>67</v>
      </c>
      <c r="F63" s="307" t="s">
        <v>56</v>
      </c>
      <c r="G63" s="331">
        <v>2.7083333333333334E-2</v>
      </c>
      <c r="H63" s="307" t="s">
        <v>77</v>
      </c>
      <c r="I63" s="307">
        <v>1</v>
      </c>
      <c r="J63" s="307"/>
      <c r="K63" s="309">
        <f t="shared" si="0"/>
        <v>0</v>
      </c>
      <c r="L63" s="310">
        <f t="shared" si="1"/>
        <v>2.7083333333333334E-2</v>
      </c>
      <c r="M63" s="307" t="s">
        <v>63</v>
      </c>
    </row>
    <row r="64" spans="1:13" ht="15" customHeight="1">
      <c r="A64" s="266"/>
      <c r="B64">
        <f t="shared" si="7"/>
        <v>10</v>
      </c>
      <c r="C64" s="305">
        <f>Tableau11[[#This Row],[DATE2]]</f>
        <v>34519</v>
      </c>
      <c r="D64" s="306">
        <v>34519</v>
      </c>
      <c r="E64" s="307" t="s">
        <v>67</v>
      </c>
      <c r="F64" s="307" t="s">
        <v>56</v>
      </c>
      <c r="G64" s="331">
        <v>2.9861111111111113E-2</v>
      </c>
      <c r="H64" s="307" t="s">
        <v>77</v>
      </c>
      <c r="I64" s="307">
        <v>1</v>
      </c>
      <c r="J64" s="307"/>
      <c r="K64" s="309">
        <f t="shared" si="0"/>
        <v>0</v>
      </c>
      <c r="L64" s="310">
        <f t="shared" si="1"/>
        <v>2.9861111111111113E-2</v>
      </c>
      <c r="M64" s="307" t="s">
        <v>66</v>
      </c>
    </row>
    <row r="65" spans="1:13" ht="15" customHeight="1">
      <c r="A65" s="266"/>
      <c r="B65">
        <f t="shared" si="7"/>
        <v>11</v>
      </c>
      <c r="C65" s="305">
        <f>Tableau11[[#This Row],[DATE2]]</f>
        <v>34519</v>
      </c>
      <c r="D65" s="306">
        <v>34519</v>
      </c>
      <c r="E65" s="307" t="s">
        <v>67</v>
      </c>
      <c r="F65" s="307" t="s">
        <v>56</v>
      </c>
      <c r="G65" s="331">
        <v>2.4305555555555556E-2</v>
      </c>
      <c r="H65" s="307" t="s">
        <v>77</v>
      </c>
      <c r="I65" s="307">
        <v>1</v>
      </c>
      <c r="J65" s="307"/>
      <c r="K65" s="309">
        <f t="shared" si="0"/>
        <v>0</v>
      </c>
      <c r="L65" s="310">
        <f t="shared" si="1"/>
        <v>2.4305555555555556E-2</v>
      </c>
      <c r="M65" s="307" t="s">
        <v>52</v>
      </c>
    </row>
    <row r="66" spans="1:13" ht="15" customHeight="1">
      <c r="A66" s="266"/>
      <c r="B66">
        <f t="shared" si="7"/>
        <v>12</v>
      </c>
      <c r="C66" s="305">
        <f>Tableau11[[#This Row],[DATE2]]</f>
        <v>34522</v>
      </c>
      <c r="D66" s="306">
        <v>34522</v>
      </c>
      <c r="E66" s="307" t="s">
        <v>69</v>
      </c>
      <c r="F66" s="307" t="s">
        <v>88</v>
      </c>
      <c r="G66" s="331">
        <v>2.9166666666666664E-2</v>
      </c>
      <c r="H66" s="307" t="s">
        <v>77</v>
      </c>
      <c r="I66" s="307">
        <v>1</v>
      </c>
      <c r="J66" s="307"/>
      <c r="K66" s="309">
        <f t="shared" si="0"/>
        <v>0</v>
      </c>
      <c r="L66" s="310">
        <f t="shared" si="1"/>
        <v>2.9166666666666664E-2</v>
      </c>
      <c r="M66" s="307" t="s">
        <v>59</v>
      </c>
    </row>
    <row r="67" spans="1:13" ht="15" customHeight="1">
      <c r="A67" s="266"/>
      <c r="B67">
        <f t="shared" si="7"/>
        <v>13</v>
      </c>
      <c r="C67" s="305">
        <f>Tableau11[[#This Row],[DATE2]]</f>
        <v>34522</v>
      </c>
      <c r="D67" s="306">
        <v>34522</v>
      </c>
      <c r="E67" s="307" t="s">
        <v>69</v>
      </c>
      <c r="F67" s="307" t="s">
        <v>88</v>
      </c>
      <c r="G67" s="331">
        <v>1.2499999999999999E-2</v>
      </c>
      <c r="H67" s="307" t="s">
        <v>77</v>
      </c>
      <c r="I67" s="307">
        <v>1</v>
      </c>
      <c r="J67" s="307"/>
      <c r="K67" s="309">
        <f t="shared" si="0"/>
        <v>0</v>
      </c>
      <c r="L67" s="310">
        <f t="shared" si="1"/>
        <v>1.2499999999999999E-2</v>
      </c>
      <c r="M67" s="307" t="s">
        <v>63</v>
      </c>
    </row>
    <row r="68" spans="1:13" ht="18" customHeight="1">
      <c r="A68" s="266"/>
      <c r="B68">
        <f t="shared" si="7"/>
        <v>14</v>
      </c>
      <c r="C68" s="305">
        <f>Tableau11[[#This Row],[DATE2]]</f>
        <v>34522</v>
      </c>
      <c r="D68" s="306">
        <v>34522</v>
      </c>
      <c r="E68" s="307" t="s">
        <v>69</v>
      </c>
      <c r="F68" s="307" t="s">
        <v>88</v>
      </c>
      <c r="G68" s="331">
        <v>2.9166666666666664E-2</v>
      </c>
      <c r="H68" s="307" t="s">
        <v>77</v>
      </c>
      <c r="I68" s="307">
        <v>1</v>
      </c>
      <c r="J68" s="307"/>
      <c r="K68" s="309">
        <f t="shared" si="0"/>
        <v>0</v>
      </c>
      <c r="L68" s="310">
        <f t="shared" ref="L68:L131" si="8">IF(H68="PENDERS Bernard",0,G68)</f>
        <v>2.9166666666666664E-2</v>
      </c>
      <c r="M68" s="307"/>
    </row>
    <row r="69" spans="1:13" ht="15" customHeight="1">
      <c r="A69" s="266"/>
      <c r="C69" s="280"/>
      <c r="D69" s="281"/>
      <c r="E69" s="282"/>
      <c r="F69" s="283" t="s">
        <v>81</v>
      </c>
      <c r="G69" s="326">
        <f>SUM(G55:G68)</f>
        <v>0.33750000000000002</v>
      </c>
      <c r="H69" s="282"/>
      <c r="I69" s="327">
        <f>SUM(I55:I68)</f>
        <v>17</v>
      </c>
      <c r="J69" s="328"/>
      <c r="K69" s="329">
        <f>SUM(K55:K68)</f>
        <v>4.1666666666666664E-2</v>
      </c>
      <c r="L69" s="330">
        <f>SUM(L55:L68)</f>
        <v>0.29583333333333334</v>
      </c>
      <c r="M69" s="282"/>
    </row>
    <row r="70" spans="1:13" ht="15" customHeight="1">
      <c r="A70" s="266"/>
      <c r="C70" s="280"/>
      <c r="D70" s="281"/>
      <c r="E70" s="282"/>
      <c r="F70" s="289" t="s">
        <v>82</v>
      </c>
      <c r="G70" s="314">
        <f>G54</f>
        <v>1.0284722222222222</v>
      </c>
      <c r="H70" s="282"/>
      <c r="I70" s="291">
        <f>I54</f>
        <v>131</v>
      </c>
      <c r="J70" s="292"/>
      <c r="K70" s="315">
        <f>K54</f>
        <v>0.1763888888888889</v>
      </c>
      <c r="L70" s="316">
        <f>L54</f>
        <v>0.8520833333333333</v>
      </c>
      <c r="M70" s="282"/>
    </row>
    <row r="71" spans="1:13" ht="16.05" customHeight="1" thickBot="1">
      <c r="A71" s="295"/>
      <c r="C71" s="296"/>
      <c r="D71" s="297"/>
      <c r="E71" s="298"/>
      <c r="F71" s="299" t="s">
        <v>83</v>
      </c>
      <c r="G71" s="317">
        <f>G69+G70</f>
        <v>1.3659722222222221</v>
      </c>
      <c r="H71" s="298"/>
      <c r="I71" s="301">
        <f>I70+I69</f>
        <v>148</v>
      </c>
      <c r="J71" s="302"/>
      <c r="K71" s="318">
        <f>SUM(K69:K70)</f>
        <v>0.21805555555555556</v>
      </c>
      <c r="L71" s="319">
        <f>L69+L70</f>
        <v>1.1479166666666667</v>
      </c>
      <c r="M71" s="298"/>
    </row>
    <row r="72" spans="1:13" ht="15" customHeight="1">
      <c r="A72" s="257">
        <f t="shared" ref="A72" si="9">A55+1</f>
        <v>5</v>
      </c>
      <c r="B72">
        <v>1</v>
      </c>
      <c r="C72" s="258">
        <f>Tableau11[[#This Row],[DATE2]]</f>
        <v>34540</v>
      </c>
      <c r="D72" s="320">
        <v>34540</v>
      </c>
      <c r="E72" s="265" t="s">
        <v>67</v>
      </c>
      <c r="F72" s="265" t="s">
        <v>56</v>
      </c>
      <c r="G72" s="332">
        <v>1.5277777777777777E-2</v>
      </c>
      <c r="H72" s="265" t="s">
        <v>77</v>
      </c>
      <c r="I72" s="265">
        <v>1</v>
      </c>
      <c r="J72" s="265"/>
      <c r="K72" s="321">
        <f t="shared" si="0"/>
        <v>0</v>
      </c>
      <c r="L72" s="264">
        <f t="shared" si="8"/>
        <v>1.5277777777777777E-2</v>
      </c>
      <c r="M72" s="265"/>
    </row>
    <row r="73" spans="1:13" ht="15" customHeight="1">
      <c r="A73" s="266"/>
      <c r="B73">
        <f>B72+1</f>
        <v>2</v>
      </c>
      <c r="C73" s="267">
        <f>Tableau11[[#This Row],[DATE2]]</f>
        <v>34540</v>
      </c>
      <c r="D73" s="268">
        <v>34540</v>
      </c>
      <c r="E73" s="269" t="s">
        <v>67</v>
      </c>
      <c r="F73" s="269" t="s">
        <v>56</v>
      </c>
      <c r="G73" s="333">
        <v>8.3333333333333332E-3</v>
      </c>
      <c r="H73" s="269" t="s">
        <v>55</v>
      </c>
      <c r="I73" s="269">
        <v>2</v>
      </c>
      <c r="J73" s="269"/>
      <c r="K73" s="271">
        <f t="shared" si="0"/>
        <v>8.3333333333333332E-3</v>
      </c>
      <c r="L73" s="272">
        <f t="shared" si="8"/>
        <v>0</v>
      </c>
      <c r="M73" s="269"/>
    </row>
    <row r="74" spans="1:13" ht="15" customHeight="1">
      <c r="A74" s="266"/>
      <c r="B74">
        <f t="shared" ref="B74:B85" si="10">B73+1</f>
        <v>3</v>
      </c>
      <c r="C74" s="267">
        <f>Tableau11[[#This Row],[DATE2]]</f>
        <v>34540</v>
      </c>
      <c r="D74" s="268">
        <v>34540</v>
      </c>
      <c r="E74" s="269" t="s">
        <v>67</v>
      </c>
      <c r="F74" s="269" t="s">
        <v>78</v>
      </c>
      <c r="G74" s="333">
        <v>1.0416666666666666E-2</v>
      </c>
      <c r="H74" s="269" t="s">
        <v>55</v>
      </c>
      <c r="I74" s="269">
        <v>2</v>
      </c>
      <c r="J74" s="269"/>
      <c r="K74" s="271">
        <f t="shared" si="0"/>
        <v>1.0416666666666666E-2</v>
      </c>
      <c r="L74" s="272">
        <f t="shared" si="8"/>
        <v>0</v>
      </c>
      <c r="M74" s="269"/>
    </row>
    <row r="75" spans="1:13" ht="15" customHeight="1">
      <c r="A75" s="266"/>
      <c r="B75">
        <f t="shared" si="10"/>
        <v>4</v>
      </c>
      <c r="C75" s="267">
        <f>Tableau11[[#This Row],[DATE2]]</f>
        <v>34543</v>
      </c>
      <c r="D75" s="268">
        <v>34543</v>
      </c>
      <c r="E75" s="269" t="s">
        <v>67</v>
      </c>
      <c r="F75" s="269" t="s">
        <v>78</v>
      </c>
      <c r="G75" s="333">
        <v>3.7499999999999999E-2</v>
      </c>
      <c r="H75" s="269" t="s">
        <v>55</v>
      </c>
      <c r="I75" s="269">
        <v>1</v>
      </c>
      <c r="J75" s="269"/>
      <c r="K75" s="271">
        <f t="shared" si="0"/>
        <v>3.7499999999999999E-2</v>
      </c>
      <c r="L75" s="272">
        <f t="shared" si="8"/>
        <v>0</v>
      </c>
      <c r="M75" s="269"/>
    </row>
    <row r="76" spans="1:13" ht="15" customHeight="1">
      <c r="A76" s="266"/>
      <c r="B76">
        <f t="shared" si="10"/>
        <v>5</v>
      </c>
      <c r="C76" s="267">
        <f>Tableau11[[#This Row],[DATE2]]</f>
        <v>34545</v>
      </c>
      <c r="D76" s="268">
        <v>34545</v>
      </c>
      <c r="E76" s="269" t="s">
        <v>67</v>
      </c>
      <c r="F76" s="269" t="s">
        <v>78</v>
      </c>
      <c r="G76" s="333">
        <v>3.9583333333333331E-2</v>
      </c>
      <c r="H76" s="269" t="s">
        <v>77</v>
      </c>
      <c r="I76" s="269">
        <v>1</v>
      </c>
      <c r="J76" s="269"/>
      <c r="K76" s="271">
        <f t="shared" si="0"/>
        <v>0</v>
      </c>
      <c r="L76" s="272">
        <f t="shared" si="8"/>
        <v>3.9583333333333331E-2</v>
      </c>
      <c r="M76" s="269"/>
    </row>
    <row r="77" spans="1:13" ht="15" customHeight="1">
      <c r="A77" s="266"/>
      <c r="B77">
        <f t="shared" si="10"/>
        <v>6</v>
      </c>
      <c r="C77" s="267">
        <f>Tableau11[[#This Row],[DATE2]]</f>
        <v>34545</v>
      </c>
      <c r="D77" s="268">
        <v>34545</v>
      </c>
      <c r="E77" s="269" t="s">
        <v>67</v>
      </c>
      <c r="F77" s="269" t="s">
        <v>78</v>
      </c>
      <c r="G77" s="333">
        <v>5.0694444444444438E-2</v>
      </c>
      <c r="H77" s="269" t="s">
        <v>55</v>
      </c>
      <c r="I77" s="269">
        <v>1</v>
      </c>
      <c r="J77" s="269"/>
      <c r="K77" s="271">
        <f t="shared" si="0"/>
        <v>5.0694444444444438E-2</v>
      </c>
      <c r="L77" s="272">
        <f t="shared" si="8"/>
        <v>0</v>
      </c>
      <c r="M77" s="269"/>
    </row>
    <row r="78" spans="1:13" ht="15" customHeight="1">
      <c r="A78" s="266"/>
      <c r="B78">
        <f t="shared" si="10"/>
        <v>7</v>
      </c>
      <c r="C78" s="267">
        <f>Tableau11[[#This Row],[DATE2]]</f>
        <v>34561</v>
      </c>
      <c r="D78" s="268">
        <v>34561</v>
      </c>
      <c r="E78" s="269" t="s">
        <v>67</v>
      </c>
      <c r="F78" s="269" t="s">
        <v>56</v>
      </c>
      <c r="G78" s="333">
        <v>3.125E-2</v>
      </c>
      <c r="H78" s="269" t="s">
        <v>55</v>
      </c>
      <c r="I78" s="269">
        <v>1</v>
      </c>
      <c r="J78" s="269"/>
      <c r="K78" s="271">
        <f t="shared" si="0"/>
        <v>3.125E-2</v>
      </c>
      <c r="L78" s="272">
        <f t="shared" si="8"/>
        <v>0</v>
      </c>
      <c r="M78" s="269" t="s">
        <v>66</v>
      </c>
    </row>
    <row r="79" spans="1:13" ht="15" customHeight="1">
      <c r="A79" s="266"/>
      <c r="B79">
        <f t="shared" si="10"/>
        <v>8</v>
      </c>
      <c r="C79" s="267">
        <f>Tableau11[[#This Row],[DATE2]]</f>
        <v>34561</v>
      </c>
      <c r="D79" s="268">
        <v>34561</v>
      </c>
      <c r="E79" s="269" t="s">
        <v>67</v>
      </c>
      <c r="F79" s="269" t="s">
        <v>56</v>
      </c>
      <c r="G79" s="333">
        <v>3.7499999999999999E-2</v>
      </c>
      <c r="H79" s="269" t="s">
        <v>55</v>
      </c>
      <c r="I79" s="269">
        <v>1</v>
      </c>
      <c r="J79" s="269"/>
      <c r="K79" s="271">
        <f t="shared" si="0"/>
        <v>3.7499999999999999E-2</v>
      </c>
      <c r="L79" s="272">
        <f t="shared" si="8"/>
        <v>0</v>
      </c>
      <c r="M79" s="269" t="s">
        <v>52</v>
      </c>
    </row>
    <row r="80" spans="1:13" ht="15" customHeight="1">
      <c r="A80" s="266"/>
      <c r="B80">
        <f t="shared" si="10"/>
        <v>9</v>
      </c>
      <c r="C80" s="267">
        <f>Tableau11[[#This Row],[DATE2]]</f>
        <v>34561</v>
      </c>
      <c r="D80" s="268">
        <v>34561</v>
      </c>
      <c r="E80" s="269" t="s">
        <v>89</v>
      </c>
      <c r="F80" s="269" t="s">
        <v>90</v>
      </c>
      <c r="G80" s="333">
        <v>1.1111111111111112E-2</v>
      </c>
      <c r="H80" s="269" t="s">
        <v>77</v>
      </c>
      <c r="I80" s="269">
        <v>1</v>
      </c>
      <c r="J80" s="269"/>
      <c r="K80" s="271">
        <f t="shared" ref="K80:K157" si="11">IF(H80="PENDERS Bernard",G80,0)</f>
        <v>0</v>
      </c>
      <c r="L80" s="272">
        <f t="shared" si="8"/>
        <v>1.1111111111111112E-2</v>
      </c>
      <c r="M80" s="269"/>
    </row>
    <row r="81" spans="1:13" ht="15" customHeight="1">
      <c r="A81" s="266"/>
      <c r="B81">
        <f t="shared" si="10"/>
        <v>10</v>
      </c>
      <c r="C81" s="267">
        <f>Tableau11[[#This Row],[DATE2]]</f>
        <v>34567</v>
      </c>
      <c r="D81" s="268">
        <v>34567</v>
      </c>
      <c r="E81" s="269" t="s">
        <v>67</v>
      </c>
      <c r="F81" s="269" t="s">
        <v>56</v>
      </c>
      <c r="G81" s="333">
        <v>2.7777777777777776E-2</v>
      </c>
      <c r="H81" s="269" t="s">
        <v>55</v>
      </c>
      <c r="I81" s="269">
        <v>1</v>
      </c>
      <c r="J81" s="269"/>
      <c r="K81" s="271">
        <f t="shared" si="11"/>
        <v>2.7777777777777776E-2</v>
      </c>
      <c r="L81" s="272">
        <f t="shared" si="8"/>
        <v>0</v>
      </c>
      <c r="M81" s="269" t="s">
        <v>63</v>
      </c>
    </row>
    <row r="82" spans="1:13" ht="15" customHeight="1">
      <c r="A82" s="266"/>
      <c r="B82">
        <f t="shared" si="10"/>
        <v>11</v>
      </c>
      <c r="C82" s="267">
        <f>Tableau11[[#This Row],[DATE2]]</f>
        <v>34567</v>
      </c>
      <c r="D82" s="268">
        <v>34567</v>
      </c>
      <c r="E82" s="269" t="s">
        <v>67</v>
      </c>
      <c r="F82" s="269" t="s">
        <v>56</v>
      </c>
      <c r="G82" s="333">
        <v>3.888888888888889E-2</v>
      </c>
      <c r="H82" s="269" t="s">
        <v>55</v>
      </c>
      <c r="I82" s="269">
        <v>1</v>
      </c>
      <c r="J82" s="269"/>
      <c r="K82" s="271">
        <f t="shared" si="11"/>
        <v>3.888888888888889E-2</v>
      </c>
      <c r="L82" s="272">
        <f t="shared" si="8"/>
        <v>0</v>
      </c>
      <c r="M82" s="269" t="s">
        <v>59</v>
      </c>
    </row>
    <row r="83" spans="1:13" ht="15" customHeight="1">
      <c r="A83" s="266"/>
      <c r="B83">
        <f t="shared" si="10"/>
        <v>12</v>
      </c>
      <c r="C83" s="267">
        <f>Tableau11[[#This Row],[DATE2]]</f>
        <v>34567</v>
      </c>
      <c r="D83" s="268">
        <v>34567</v>
      </c>
      <c r="E83" s="269" t="s">
        <v>67</v>
      </c>
      <c r="F83" s="269" t="s">
        <v>56</v>
      </c>
      <c r="G83" s="333">
        <v>2.4999999999999998E-2</v>
      </c>
      <c r="H83" s="269" t="s">
        <v>55</v>
      </c>
      <c r="I83" s="269">
        <v>1</v>
      </c>
      <c r="J83" s="269"/>
      <c r="K83" s="271">
        <f t="shared" si="11"/>
        <v>2.4999999999999998E-2</v>
      </c>
      <c r="L83" s="272">
        <f t="shared" si="8"/>
        <v>0</v>
      </c>
      <c r="M83" s="269" t="s">
        <v>52</v>
      </c>
    </row>
    <row r="84" spans="1:13" ht="15" customHeight="1">
      <c r="A84" s="266"/>
      <c r="B84">
        <f t="shared" si="10"/>
        <v>13</v>
      </c>
      <c r="C84" s="267">
        <f>Tableau11[[#This Row],[DATE2]]</f>
        <v>34574</v>
      </c>
      <c r="D84" s="268">
        <v>34574</v>
      </c>
      <c r="E84" s="269" t="s">
        <v>86</v>
      </c>
      <c r="F84" s="269" t="s">
        <v>91</v>
      </c>
      <c r="G84" s="333">
        <v>2.5694444444444447E-2</v>
      </c>
      <c r="H84" s="269" t="s">
        <v>77</v>
      </c>
      <c r="I84" s="269">
        <v>1</v>
      </c>
      <c r="J84" s="269"/>
      <c r="K84" s="271">
        <f t="shared" si="11"/>
        <v>0</v>
      </c>
      <c r="L84" s="272">
        <f t="shared" si="8"/>
        <v>2.5694444444444447E-2</v>
      </c>
      <c r="M84" s="269"/>
    </row>
    <row r="85" spans="1:13" ht="16.05" customHeight="1" thickBot="1">
      <c r="A85" s="266"/>
      <c r="B85">
        <f t="shared" si="10"/>
        <v>14</v>
      </c>
      <c r="C85" s="273">
        <f>Tableau11[[#This Row],[DATE2]]</f>
        <v>34580</v>
      </c>
      <c r="D85" s="274">
        <v>34580</v>
      </c>
      <c r="E85" s="275" t="s">
        <v>67</v>
      </c>
      <c r="F85" s="275" t="s">
        <v>79</v>
      </c>
      <c r="G85" s="334">
        <v>1.8055555555555557E-2</v>
      </c>
      <c r="H85" s="275" t="s">
        <v>77</v>
      </c>
      <c r="I85" s="275">
        <v>1</v>
      </c>
      <c r="J85" s="275"/>
      <c r="K85" s="277">
        <f t="shared" si="11"/>
        <v>0</v>
      </c>
      <c r="L85" s="278">
        <f t="shared" si="8"/>
        <v>1.8055555555555557E-2</v>
      </c>
      <c r="M85" s="275"/>
    </row>
    <row r="86" spans="1:13" ht="15" customHeight="1">
      <c r="A86" s="266"/>
      <c r="C86" s="280"/>
      <c r="D86" s="281"/>
      <c r="E86" s="282"/>
      <c r="F86" s="283" t="s">
        <v>81</v>
      </c>
      <c r="G86" s="326">
        <f>SUM(G72:G85)</f>
        <v>0.37708333333333338</v>
      </c>
      <c r="H86" s="282"/>
      <c r="I86" s="327">
        <f>SUM(I72:I85)</f>
        <v>16</v>
      </c>
      <c r="J86" s="328"/>
      <c r="K86" s="329">
        <f>SUM(K72:K85)</f>
        <v>0.2673611111111111</v>
      </c>
      <c r="L86" s="330">
        <f>SUM(L72:L85)</f>
        <v>0.10972222222222223</v>
      </c>
      <c r="M86" s="282"/>
    </row>
    <row r="87" spans="1:13" ht="15" customHeight="1">
      <c r="A87" s="266"/>
      <c r="C87" s="280"/>
      <c r="D87" s="281"/>
      <c r="E87" s="282"/>
      <c r="F87" s="289" t="s">
        <v>82</v>
      </c>
      <c r="G87" s="314">
        <f>G71</f>
        <v>1.3659722222222221</v>
      </c>
      <c r="H87" s="282"/>
      <c r="I87" s="291">
        <f>I71</f>
        <v>148</v>
      </c>
      <c r="J87" s="292"/>
      <c r="K87" s="315">
        <f>K71</f>
        <v>0.21805555555555556</v>
      </c>
      <c r="L87" s="316">
        <f>L71</f>
        <v>1.1479166666666667</v>
      </c>
      <c r="M87" s="282"/>
    </row>
    <row r="88" spans="1:13" ht="16.05" customHeight="1" thickBot="1">
      <c r="A88" s="295"/>
      <c r="C88" s="296"/>
      <c r="D88" s="297"/>
      <c r="E88" s="298"/>
      <c r="F88" s="299" t="s">
        <v>83</v>
      </c>
      <c r="G88" s="317">
        <f>G86+G87</f>
        <v>1.7430555555555556</v>
      </c>
      <c r="H88" s="298"/>
      <c r="I88" s="301">
        <f>I87+I86</f>
        <v>164</v>
      </c>
      <c r="J88" s="302"/>
      <c r="K88" s="318">
        <f>SUM(K86:K87)</f>
        <v>0.48541666666666666</v>
      </c>
      <c r="L88" s="319">
        <f>L86+L87</f>
        <v>1.257638888888889</v>
      </c>
      <c r="M88" s="298"/>
    </row>
    <row r="89" spans="1:13" ht="15" customHeight="1">
      <c r="A89" s="257">
        <f t="shared" ref="A89" si="12">A72+1</f>
        <v>6</v>
      </c>
      <c r="B89">
        <v>1</v>
      </c>
      <c r="C89" s="258">
        <f>Tableau11[[#This Row],[DATE2]]</f>
        <v>34580</v>
      </c>
      <c r="D89" s="320">
        <v>34580</v>
      </c>
      <c r="E89" s="265" t="s">
        <v>67</v>
      </c>
      <c r="F89" s="265" t="s">
        <v>79</v>
      </c>
      <c r="G89" s="332">
        <v>1.2499999999999999E-2</v>
      </c>
      <c r="H89" s="265" t="s">
        <v>55</v>
      </c>
      <c r="I89" s="265">
        <v>1</v>
      </c>
      <c r="J89" s="265"/>
      <c r="K89" s="321">
        <f t="shared" si="11"/>
        <v>1.2499999999999999E-2</v>
      </c>
      <c r="L89" s="264">
        <f t="shared" si="8"/>
        <v>0</v>
      </c>
      <c r="M89" s="265"/>
    </row>
    <row r="90" spans="1:13" ht="15" customHeight="1">
      <c r="A90" s="266"/>
      <c r="B90">
        <f>B89+1</f>
        <v>2</v>
      </c>
      <c r="C90" s="267">
        <f>Tableau11[[#This Row],[DATE2]]</f>
        <v>34587</v>
      </c>
      <c r="D90" s="268">
        <v>34587</v>
      </c>
      <c r="E90" s="269" t="s">
        <v>67</v>
      </c>
      <c r="F90" s="269" t="s">
        <v>56</v>
      </c>
      <c r="G90" s="333">
        <v>1.8055555555555557E-2</v>
      </c>
      <c r="H90" s="269" t="s">
        <v>77</v>
      </c>
      <c r="I90" s="269">
        <v>1</v>
      </c>
      <c r="J90" s="269"/>
      <c r="K90" s="271">
        <f t="shared" si="11"/>
        <v>0</v>
      </c>
      <c r="L90" s="272">
        <f t="shared" si="8"/>
        <v>1.8055555555555557E-2</v>
      </c>
      <c r="M90" s="269"/>
    </row>
    <row r="91" spans="1:13" ht="15" customHeight="1">
      <c r="A91" s="266"/>
      <c r="B91">
        <f t="shared" ref="B91:B102" si="13">B90+1</f>
        <v>3</v>
      </c>
      <c r="C91" s="267">
        <f>Tableau11[[#This Row],[DATE2]]</f>
        <v>34588</v>
      </c>
      <c r="D91" s="268">
        <v>34588</v>
      </c>
      <c r="E91" s="269" t="s">
        <v>67</v>
      </c>
      <c r="F91" s="269" t="s">
        <v>78</v>
      </c>
      <c r="G91" s="333">
        <v>2.361111111111111E-2</v>
      </c>
      <c r="H91" s="269" t="s">
        <v>55</v>
      </c>
      <c r="I91" s="269">
        <v>2</v>
      </c>
      <c r="J91" s="269"/>
      <c r="K91" s="271">
        <f t="shared" si="11"/>
        <v>2.361111111111111E-2</v>
      </c>
      <c r="L91" s="272">
        <f t="shared" si="8"/>
        <v>0</v>
      </c>
      <c r="M91" s="269"/>
    </row>
    <row r="92" spans="1:13" ht="15" customHeight="1">
      <c r="A92" s="266"/>
      <c r="B92">
        <f t="shared" si="13"/>
        <v>4</v>
      </c>
      <c r="C92" s="267">
        <f>Tableau11[[#This Row],[DATE2]]</f>
        <v>34594</v>
      </c>
      <c r="D92" s="268">
        <v>34594</v>
      </c>
      <c r="E92" s="269" t="s">
        <v>67</v>
      </c>
      <c r="F92" s="269" t="s">
        <v>79</v>
      </c>
      <c r="G92" s="333">
        <v>1.1805555555555555E-2</v>
      </c>
      <c r="H92" s="269" t="s">
        <v>77</v>
      </c>
      <c r="I92" s="269">
        <v>1</v>
      </c>
      <c r="J92" s="269"/>
      <c r="K92" s="271">
        <f t="shared" si="11"/>
        <v>0</v>
      </c>
      <c r="L92" s="272">
        <f t="shared" si="8"/>
        <v>1.1805555555555555E-2</v>
      </c>
      <c r="M92" s="269"/>
    </row>
    <row r="93" spans="1:13" ht="15" customHeight="1">
      <c r="A93" s="266"/>
      <c r="B93">
        <f t="shared" si="13"/>
        <v>5</v>
      </c>
      <c r="C93" s="267">
        <f>Tableau11[[#This Row],[DATE2]]</f>
        <v>34594</v>
      </c>
      <c r="D93" s="268">
        <v>34594</v>
      </c>
      <c r="E93" s="269" t="s">
        <v>67</v>
      </c>
      <c r="F93" s="269" t="s">
        <v>79</v>
      </c>
      <c r="G93" s="333">
        <v>2.5694444444444447E-2</v>
      </c>
      <c r="H93" s="269" t="s">
        <v>55</v>
      </c>
      <c r="I93" s="269">
        <v>2</v>
      </c>
      <c r="J93" s="269"/>
      <c r="K93" s="271">
        <f t="shared" si="11"/>
        <v>2.5694444444444447E-2</v>
      </c>
      <c r="L93" s="272">
        <f t="shared" si="8"/>
        <v>0</v>
      </c>
      <c r="M93" s="269"/>
    </row>
    <row r="94" spans="1:13" ht="15" customHeight="1">
      <c r="A94" s="266"/>
      <c r="B94">
        <f t="shared" si="13"/>
        <v>6</v>
      </c>
      <c r="C94" s="267">
        <f>Tableau11[[#This Row],[DATE2]]</f>
        <v>34601</v>
      </c>
      <c r="D94" s="268">
        <v>34601</v>
      </c>
      <c r="E94" s="269" t="s">
        <v>67</v>
      </c>
      <c r="F94" s="269" t="s">
        <v>56</v>
      </c>
      <c r="G94" s="333">
        <v>3.7499999999999999E-2</v>
      </c>
      <c r="H94" s="269" t="s">
        <v>77</v>
      </c>
      <c r="I94" s="269">
        <v>1</v>
      </c>
      <c r="J94" s="269"/>
      <c r="K94" s="271">
        <f t="shared" si="11"/>
        <v>0</v>
      </c>
      <c r="L94" s="272">
        <f t="shared" si="8"/>
        <v>3.7499999999999999E-2</v>
      </c>
      <c r="M94" s="269" t="s">
        <v>92</v>
      </c>
    </row>
    <row r="95" spans="1:13" ht="15" customHeight="1">
      <c r="A95" s="266"/>
      <c r="B95">
        <f t="shared" si="13"/>
        <v>7</v>
      </c>
      <c r="C95" s="267">
        <f>Tableau11[[#This Row],[DATE2]]</f>
        <v>34601</v>
      </c>
      <c r="D95" s="268">
        <v>34601</v>
      </c>
      <c r="E95" s="269" t="s">
        <v>67</v>
      </c>
      <c r="F95" s="269" t="s">
        <v>56</v>
      </c>
      <c r="G95" s="333">
        <v>3.2638888888888891E-2</v>
      </c>
      <c r="H95" s="269" t="s">
        <v>77</v>
      </c>
      <c r="I95" s="269">
        <v>1</v>
      </c>
      <c r="J95" s="269"/>
      <c r="K95" s="271">
        <f t="shared" si="11"/>
        <v>0</v>
      </c>
      <c r="L95" s="272">
        <f t="shared" si="8"/>
        <v>3.2638888888888891E-2</v>
      </c>
      <c r="M95" s="269" t="s">
        <v>52</v>
      </c>
    </row>
    <row r="96" spans="1:13" ht="15" customHeight="1">
      <c r="A96" s="266"/>
      <c r="B96">
        <f t="shared" si="13"/>
        <v>8</v>
      </c>
      <c r="C96" s="267">
        <f>Tableau11[[#This Row],[DATE2]]</f>
        <v>34601</v>
      </c>
      <c r="D96" s="268">
        <v>34601</v>
      </c>
      <c r="E96" s="269" t="s">
        <v>67</v>
      </c>
      <c r="F96" s="269" t="s">
        <v>78</v>
      </c>
      <c r="G96" s="333">
        <v>9.7222222222222224E-3</v>
      </c>
      <c r="H96" s="269" t="s">
        <v>55</v>
      </c>
      <c r="I96" s="269">
        <v>1</v>
      </c>
      <c r="J96" s="269"/>
      <c r="K96" s="271">
        <f t="shared" si="11"/>
        <v>9.7222222222222224E-3</v>
      </c>
      <c r="L96" s="272">
        <f t="shared" si="8"/>
        <v>0</v>
      </c>
      <c r="M96" s="269"/>
    </row>
    <row r="97" spans="1:13" ht="15" customHeight="1">
      <c r="A97" s="266"/>
      <c r="B97">
        <f t="shared" si="13"/>
        <v>9</v>
      </c>
      <c r="C97" s="267">
        <f>Tableau11[[#This Row],[DATE2]]</f>
        <v>34608</v>
      </c>
      <c r="D97" s="268">
        <v>34608</v>
      </c>
      <c r="E97" s="269" t="s">
        <v>67</v>
      </c>
      <c r="F97" s="269" t="s">
        <v>78</v>
      </c>
      <c r="G97" s="333">
        <v>1.1111111111111112E-2</v>
      </c>
      <c r="H97" s="269" t="s">
        <v>77</v>
      </c>
      <c r="I97" s="269">
        <v>1</v>
      </c>
      <c r="J97" s="269"/>
      <c r="K97" s="271">
        <f t="shared" si="11"/>
        <v>0</v>
      </c>
      <c r="L97" s="272">
        <f t="shared" si="8"/>
        <v>1.1111111111111112E-2</v>
      </c>
      <c r="M97" s="269"/>
    </row>
    <row r="98" spans="1:13" ht="15" customHeight="1">
      <c r="A98" s="266"/>
      <c r="B98">
        <f t="shared" si="13"/>
        <v>10</v>
      </c>
      <c r="C98" s="267">
        <f>Tableau11[[#This Row],[DATE2]]</f>
        <v>34608</v>
      </c>
      <c r="D98" s="268">
        <v>34608</v>
      </c>
      <c r="E98" s="269" t="s">
        <v>67</v>
      </c>
      <c r="F98" s="269" t="s">
        <v>78</v>
      </c>
      <c r="G98" s="333">
        <v>2.013888888888889E-2</v>
      </c>
      <c r="H98" s="269" t="s">
        <v>55</v>
      </c>
      <c r="I98" s="269">
        <v>2</v>
      </c>
      <c r="J98" s="269"/>
      <c r="K98" s="271">
        <f t="shared" si="11"/>
        <v>2.013888888888889E-2</v>
      </c>
      <c r="L98" s="272">
        <f t="shared" si="8"/>
        <v>0</v>
      </c>
      <c r="M98" s="269"/>
    </row>
    <row r="99" spans="1:13" ht="15" customHeight="1">
      <c r="A99" s="266"/>
      <c r="B99">
        <f t="shared" si="13"/>
        <v>11</v>
      </c>
      <c r="C99" s="267">
        <f>Tableau11[[#This Row],[DATE2]]</f>
        <v>34616</v>
      </c>
      <c r="D99" s="268">
        <v>34616</v>
      </c>
      <c r="E99" s="269" t="s">
        <v>67</v>
      </c>
      <c r="F99" s="269" t="s">
        <v>78</v>
      </c>
      <c r="G99" s="333">
        <v>2.0833333333333332E-2</v>
      </c>
      <c r="H99" s="269" t="s">
        <v>55</v>
      </c>
      <c r="I99" s="269">
        <v>3</v>
      </c>
      <c r="J99" s="269"/>
      <c r="K99" s="271">
        <f t="shared" si="11"/>
        <v>2.0833333333333332E-2</v>
      </c>
      <c r="L99" s="272">
        <f t="shared" si="8"/>
        <v>0</v>
      </c>
      <c r="M99" s="269"/>
    </row>
    <row r="100" spans="1:13" ht="15" customHeight="1">
      <c r="A100" s="266"/>
      <c r="B100">
        <f t="shared" si="13"/>
        <v>12</v>
      </c>
      <c r="C100" s="267">
        <f>Tableau11[[#This Row],[DATE2]]</f>
        <v>34621</v>
      </c>
      <c r="D100" s="268">
        <v>34621</v>
      </c>
      <c r="E100" s="269" t="s">
        <v>67</v>
      </c>
      <c r="F100" s="269" t="s">
        <v>56</v>
      </c>
      <c r="G100" s="333">
        <v>3.2638888888888891E-2</v>
      </c>
      <c r="H100" s="269" t="s">
        <v>55</v>
      </c>
      <c r="I100" s="269">
        <v>4</v>
      </c>
      <c r="J100" s="269"/>
      <c r="K100" s="271">
        <f t="shared" si="11"/>
        <v>3.2638888888888891E-2</v>
      </c>
      <c r="L100" s="272">
        <f t="shared" si="8"/>
        <v>0</v>
      </c>
      <c r="M100" s="269"/>
    </row>
    <row r="101" spans="1:13" ht="15" customHeight="1">
      <c r="A101" s="266"/>
      <c r="B101">
        <f t="shared" si="13"/>
        <v>13</v>
      </c>
      <c r="C101" s="267">
        <f>Tableau11[[#This Row],[DATE2]]</f>
        <v>34622</v>
      </c>
      <c r="D101" s="268">
        <v>34622</v>
      </c>
      <c r="E101" s="269" t="s">
        <v>67</v>
      </c>
      <c r="F101" s="269" t="s">
        <v>56</v>
      </c>
      <c r="G101" s="333">
        <v>4.9305555555555554E-2</v>
      </c>
      <c r="H101" s="269" t="s">
        <v>77</v>
      </c>
      <c r="I101" s="269">
        <v>2</v>
      </c>
      <c r="J101" s="269"/>
      <c r="K101" s="271">
        <f t="shared" si="11"/>
        <v>0</v>
      </c>
      <c r="L101" s="272">
        <f t="shared" si="8"/>
        <v>4.9305555555555554E-2</v>
      </c>
      <c r="M101" s="269" t="s">
        <v>93</v>
      </c>
    </row>
    <row r="102" spans="1:13" ht="16.05" customHeight="1" thickBot="1">
      <c r="A102" s="266"/>
      <c r="B102">
        <f t="shared" si="13"/>
        <v>14</v>
      </c>
      <c r="C102" s="273">
        <f>Tableau11[[#This Row],[DATE2]]</f>
        <v>34622</v>
      </c>
      <c r="D102" s="274">
        <v>34622</v>
      </c>
      <c r="E102" s="275" t="s">
        <v>67</v>
      </c>
      <c r="F102" s="275" t="s">
        <v>79</v>
      </c>
      <c r="G102" s="334">
        <v>1.3888888888888888E-2</v>
      </c>
      <c r="H102" s="275" t="s">
        <v>55</v>
      </c>
      <c r="I102" s="275">
        <v>1</v>
      </c>
      <c r="J102" s="275"/>
      <c r="K102" s="277">
        <f t="shared" si="11"/>
        <v>1.3888888888888888E-2</v>
      </c>
      <c r="L102" s="278">
        <f t="shared" si="8"/>
        <v>0</v>
      </c>
      <c r="M102" s="275"/>
    </row>
    <row r="103" spans="1:13" ht="15" customHeight="1">
      <c r="A103" s="266"/>
      <c r="C103" s="280"/>
      <c r="D103" s="281"/>
      <c r="E103" s="282"/>
      <c r="F103" s="283" t="s">
        <v>81</v>
      </c>
      <c r="G103" s="326">
        <f>SUM(G89:G102)</f>
        <v>0.31944444444444448</v>
      </c>
      <c r="H103" s="282"/>
      <c r="I103" s="327">
        <f>SUM(I89:I102)</f>
        <v>23</v>
      </c>
      <c r="J103" s="328"/>
      <c r="K103" s="329">
        <f>SUM(K89:K102)</f>
        <v>0.15902777777777777</v>
      </c>
      <c r="L103" s="330">
        <f>SUM(L89:L102)</f>
        <v>0.16041666666666668</v>
      </c>
      <c r="M103" s="282"/>
    </row>
    <row r="104" spans="1:13" ht="15" customHeight="1">
      <c r="A104" s="266"/>
      <c r="C104" s="280"/>
      <c r="D104" s="281"/>
      <c r="E104" s="282"/>
      <c r="F104" s="289" t="s">
        <v>82</v>
      </c>
      <c r="G104" s="314">
        <f>G88</f>
        <v>1.7430555555555556</v>
      </c>
      <c r="H104" s="282"/>
      <c r="I104" s="291">
        <f>I88</f>
        <v>164</v>
      </c>
      <c r="J104" s="292"/>
      <c r="K104" s="315">
        <f>K88</f>
        <v>0.48541666666666666</v>
      </c>
      <c r="L104" s="316">
        <f>L88</f>
        <v>1.257638888888889</v>
      </c>
      <c r="M104" s="282"/>
    </row>
    <row r="105" spans="1:13" ht="16.05" customHeight="1" thickBot="1">
      <c r="A105" s="295"/>
      <c r="C105" s="296"/>
      <c r="D105" s="297"/>
      <c r="E105" s="298"/>
      <c r="F105" s="299" t="s">
        <v>83</v>
      </c>
      <c r="G105" s="317">
        <f>G103+G104</f>
        <v>2.0625</v>
      </c>
      <c r="H105" s="298"/>
      <c r="I105" s="301">
        <f>I104+I103</f>
        <v>187</v>
      </c>
      <c r="J105" s="302"/>
      <c r="K105" s="318">
        <f>SUM(K103:K104)</f>
        <v>0.64444444444444438</v>
      </c>
      <c r="L105" s="319">
        <f>L103+L104</f>
        <v>1.4180555555555556</v>
      </c>
      <c r="M105" s="298"/>
    </row>
    <row r="106" spans="1:13" ht="15" customHeight="1">
      <c r="A106" s="257">
        <f t="shared" ref="A106" si="14">A89+1</f>
        <v>7</v>
      </c>
      <c r="B106">
        <v>1</v>
      </c>
      <c r="C106" s="258">
        <f>Tableau11[[#This Row],[DATE2]]</f>
        <v>34627</v>
      </c>
      <c r="D106" s="320">
        <v>34627</v>
      </c>
      <c r="E106" s="265" t="s">
        <v>67</v>
      </c>
      <c r="F106" s="265" t="s">
        <v>56</v>
      </c>
      <c r="G106" s="332">
        <v>3.3333333333333333E-2</v>
      </c>
      <c r="H106" s="265" t="s">
        <v>80</v>
      </c>
      <c r="I106" s="265">
        <v>2</v>
      </c>
      <c r="J106" s="265"/>
      <c r="K106" s="321">
        <f t="shared" si="11"/>
        <v>0</v>
      </c>
      <c r="L106" s="264">
        <f t="shared" si="8"/>
        <v>3.3333333333333333E-2</v>
      </c>
      <c r="M106" s="265" t="s">
        <v>93</v>
      </c>
    </row>
    <row r="107" spans="1:13" ht="15" customHeight="1">
      <c r="A107" s="266"/>
      <c r="B107">
        <f>B106+1</f>
        <v>2</v>
      </c>
      <c r="C107" s="267">
        <f>Tableau11[[#This Row],[DATE2]]</f>
        <v>34628</v>
      </c>
      <c r="D107" s="268">
        <v>34628</v>
      </c>
      <c r="E107" s="269" t="s">
        <v>67</v>
      </c>
      <c r="F107" s="269" t="s">
        <v>78</v>
      </c>
      <c r="G107" s="333">
        <v>2.0833333333333332E-2</v>
      </c>
      <c r="H107" s="269" t="s">
        <v>80</v>
      </c>
      <c r="I107" s="269">
        <v>1</v>
      </c>
      <c r="J107" s="269"/>
      <c r="K107" s="271">
        <f t="shared" si="11"/>
        <v>0</v>
      </c>
      <c r="L107" s="272">
        <f t="shared" si="8"/>
        <v>2.0833333333333332E-2</v>
      </c>
      <c r="M107" s="269" t="s">
        <v>93</v>
      </c>
    </row>
    <row r="108" spans="1:13" ht="15" customHeight="1">
      <c r="A108" s="266"/>
      <c r="B108">
        <f t="shared" ref="B108:B119" si="15">B107+1</f>
        <v>3</v>
      </c>
      <c r="C108" s="267">
        <f>Tableau11[[#This Row],[DATE2]]</f>
        <v>34628</v>
      </c>
      <c r="D108" s="268">
        <v>34628</v>
      </c>
      <c r="E108" s="269" t="s">
        <v>67</v>
      </c>
      <c r="F108" s="269" t="s">
        <v>78</v>
      </c>
      <c r="G108" s="333">
        <v>1.7361111111111112E-2</v>
      </c>
      <c r="H108" s="269" t="s">
        <v>55</v>
      </c>
      <c r="I108" s="269">
        <v>1</v>
      </c>
      <c r="J108" s="269"/>
      <c r="K108" s="271">
        <f t="shared" si="11"/>
        <v>1.7361111111111112E-2</v>
      </c>
      <c r="L108" s="272">
        <f t="shared" si="8"/>
        <v>0</v>
      </c>
      <c r="M108" s="269"/>
    </row>
    <row r="109" spans="1:13" ht="15" customHeight="1">
      <c r="A109" s="266"/>
      <c r="B109">
        <f t="shared" si="15"/>
        <v>4</v>
      </c>
      <c r="C109" s="267">
        <f>Tableau11[[#This Row],[DATE2]]</f>
        <v>34642</v>
      </c>
      <c r="D109" s="268">
        <v>34642</v>
      </c>
      <c r="E109" s="269" t="s">
        <v>67</v>
      </c>
      <c r="F109" s="269" t="s">
        <v>78</v>
      </c>
      <c r="G109" s="333">
        <v>1.7361111111111112E-2</v>
      </c>
      <c r="H109" s="269" t="s">
        <v>55</v>
      </c>
      <c r="I109" s="269">
        <v>1</v>
      </c>
      <c r="J109" s="269"/>
      <c r="K109" s="271">
        <f t="shared" si="11"/>
        <v>1.7361111111111112E-2</v>
      </c>
      <c r="L109" s="272">
        <f t="shared" si="8"/>
        <v>0</v>
      </c>
      <c r="M109" s="269" t="s">
        <v>94</v>
      </c>
    </row>
    <row r="110" spans="1:13" ht="15" customHeight="1">
      <c r="A110" s="266"/>
      <c r="B110">
        <f t="shared" si="15"/>
        <v>5</v>
      </c>
      <c r="C110" s="267">
        <f>Tableau11[[#This Row],[DATE2]]</f>
        <v>34642</v>
      </c>
      <c r="D110" s="268">
        <v>34642</v>
      </c>
      <c r="E110" s="269" t="s">
        <v>67</v>
      </c>
      <c r="F110" s="269" t="s">
        <v>78</v>
      </c>
      <c r="G110" s="333">
        <v>4.1666666666666664E-2</v>
      </c>
      <c r="H110" s="269" t="s">
        <v>55</v>
      </c>
      <c r="I110" s="269">
        <v>2</v>
      </c>
      <c r="J110" s="269"/>
      <c r="K110" s="271">
        <f t="shared" si="11"/>
        <v>4.1666666666666664E-2</v>
      </c>
      <c r="L110" s="272">
        <f t="shared" si="8"/>
        <v>0</v>
      </c>
      <c r="M110" s="269" t="s">
        <v>94</v>
      </c>
    </row>
    <row r="111" spans="1:13" ht="15" customHeight="1">
      <c r="A111" s="266"/>
      <c r="B111">
        <f t="shared" si="15"/>
        <v>6</v>
      </c>
      <c r="C111" s="267">
        <f>Tableau11[[#This Row],[DATE2]]</f>
        <v>34650</v>
      </c>
      <c r="D111" s="268">
        <v>34650</v>
      </c>
      <c r="E111" s="269" t="s">
        <v>86</v>
      </c>
      <c r="F111" s="269" t="s">
        <v>95</v>
      </c>
      <c r="G111" s="333">
        <v>1.7361111111111112E-2</v>
      </c>
      <c r="H111" s="269" t="s">
        <v>80</v>
      </c>
      <c r="I111" s="269">
        <v>1</v>
      </c>
      <c r="J111" s="269"/>
      <c r="K111" s="271">
        <f t="shared" si="11"/>
        <v>0</v>
      </c>
      <c r="L111" s="272">
        <f t="shared" si="8"/>
        <v>1.7361111111111112E-2</v>
      </c>
      <c r="M111" s="269"/>
    </row>
    <row r="112" spans="1:13" ht="15" customHeight="1">
      <c r="A112" s="266"/>
      <c r="B112">
        <f t="shared" si="15"/>
        <v>7</v>
      </c>
      <c r="C112" s="267">
        <f>Tableau11[[#This Row],[DATE2]]</f>
        <v>34663</v>
      </c>
      <c r="D112" s="268">
        <v>34663</v>
      </c>
      <c r="E112" s="269" t="s">
        <v>69</v>
      </c>
      <c r="F112" s="269" t="s">
        <v>88</v>
      </c>
      <c r="G112" s="333">
        <v>2.9166666666666664E-2</v>
      </c>
      <c r="H112" s="269" t="s">
        <v>80</v>
      </c>
      <c r="I112" s="269">
        <v>1</v>
      </c>
      <c r="J112" s="269"/>
      <c r="K112" s="271">
        <f t="shared" si="11"/>
        <v>0</v>
      </c>
      <c r="L112" s="272">
        <f t="shared" si="8"/>
        <v>2.9166666666666664E-2</v>
      </c>
      <c r="M112" s="269" t="s">
        <v>96</v>
      </c>
    </row>
    <row r="113" spans="1:13" ht="15" customHeight="1">
      <c r="A113" s="266"/>
      <c r="B113">
        <f t="shared" si="15"/>
        <v>8</v>
      </c>
      <c r="C113" s="267">
        <f>Tableau11[[#This Row],[DATE2]]</f>
        <v>34663</v>
      </c>
      <c r="D113" s="268">
        <v>34663</v>
      </c>
      <c r="E113" s="269" t="s">
        <v>69</v>
      </c>
      <c r="F113" s="269" t="s">
        <v>88</v>
      </c>
      <c r="G113" s="333">
        <v>3.7499999999999999E-2</v>
      </c>
      <c r="H113" s="269" t="s">
        <v>80</v>
      </c>
      <c r="I113" s="269">
        <v>2</v>
      </c>
      <c r="J113" s="269"/>
      <c r="K113" s="271">
        <f t="shared" si="11"/>
        <v>0</v>
      </c>
      <c r="L113" s="272">
        <f t="shared" si="8"/>
        <v>3.7499999999999999E-2</v>
      </c>
      <c r="M113" s="269" t="s">
        <v>52</v>
      </c>
    </row>
    <row r="114" spans="1:13" ht="15" customHeight="1">
      <c r="A114" s="266"/>
      <c r="B114">
        <f t="shared" si="15"/>
        <v>9</v>
      </c>
      <c r="C114" s="267">
        <f>Tableau11[[#This Row],[DATE2]]</f>
        <v>34663</v>
      </c>
      <c r="D114" s="268">
        <v>34663</v>
      </c>
      <c r="E114" s="269" t="s">
        <v>67</v>
      </c>
      <c r="F114" s="269" t="s">
        <v>78</v>
      </c>
      <c r="G114" s="333">
        <v>2.0833333333333332E-2</v>
      </c>
      <c r="H114" s="269" t="s">
        <v>80</v>
      </c>
      <c r="I114" s="269">
        <v>1</v>
      </c>
      <c r="J114" s="269"/>
      <c r="K114" s="271">
        <f t="shared" si="11"/>
        <v>0</v>
      </c>
      <c r="L114" s="272">
        <f t="shared" si="8"/>
        <v>2.0833333333333332E-2</v>
      </c>
      <c r="M114" s="269" t="s">
        <v>93</v>
      </c>
    </row>
    <row r="115" spans="1:13" ht="15" customHeight="1">
      <c r="A115" s="266"/>
      <c r="B115">
        <f t="shared" si="15"/>
        <v>10</v>
      </c>
      <c r="C115" s="267">
        <f>Tableau11[[#This Row],[DATE2]]</f>
        <v>34682</v>
      </c>
      <c r="D115" s="268">
        <v>34682</v>
      </c>
      <c r="E115" s="269" t="s">
        <v>69</v>
      </c>
      <c r="F115" s="269" t="s">
        <v>88</v>
      </c>
      <c r="G115" s="333">
        <v>2.9166666666666664E-2</v>
      </c>
      <c r="H115" s="269" t="s">
        <v>80</v>
      </c>
      <c r="I115" s="269">
        <v>2</v>
      </c>
      <c r="J115" s="269"/>
      <c r="K115" s="271">
        <f t="shared" si="11"/>
        <v>0</v>
      </c>
      <c r="L115" s="272">
        <f t="shared" si="8"/>
        <v>2.9166666666666664E-2</v>
      </c>
      <c r="M115" s="269" t="s">
        <v>93</v>
      </c>
    </row>
    <row r="116" spans="1:13" ht="15" customHeight="1">
      <c r="A116" s="266"/>
      <c r="B116">
        <f t="shared" si="15"/>
        <v>11</v>
      </c>
      <c r="C116" s="267">
        <f>Tableau11[[#This Row],[DATE2]]</f>
        <v>34682</v>
      </c>
      <c r="D116" s="268">
        <v>34682</v>
      </c>
      <c r="E116" s="269" t="s">
        <v>69</v>
      </c>
      <c r="F116" s="269" t="s">
        <v>88</v>
      </c>
      <c r="G116" s="333">
        <v>2.0833333333333332E-2</v>
      </c>
      <c r="H116" s="269" t="s">
        <v>55</v>
      </c>
      <c r="I116" s="269">
        <v>4</v>
      </c>
      <c r="J116" s="269"/>
      <c r="K116" s="271">
        <f t="shared" si="11"/>
        <v>2.0833333333333332E-2</v>
      </c>
      <c r="L116" s="272">
        <f t="shared" si="8"/>
        <v>0</v>
      </c>
      <c r="M116" s="269"/>
    </row>
    <row r="117" spans="1:13" ht="15" customHeight="1">
      <c r="A117" s="266"/>
      <c r="B117">
        <f t="shared" si="15"/>
        <v>12</v>
      </c>
      <c r="C117" s="267">
        <f>Tableau11[[#This Row],[DATE2]]</f>
        <v>34684</v>
      </c>
      <c r="D117" s="268">
        <v>34684</v>
      </c>
      <c r="E117" s="269" t="s">
        <v>86</v>
      </c>
      <c r="F117" s="269" t="s">
        <v>95</v>
      </c>
      <c r="G117" s="333">
        <v>3.6111111111111115E-2</v>
      </c>
      <c r="H117" s="269" t="s">
        <v>80</v>
      </c>
      <c r="I117" s="269">
        <v>2</v>
      </c>
      <c r="J117" s="269"/>
      <c r="K117" s="271">
        <f t="shared" si="11"/>
        <v>0</v>
      </c>
      <c r="L117" s="272">
        <f t="shared" si="8"/>
        <v>3.6111111111111115E-2</v>
      </c>
      <c r="M117" s="269" t="s">
        <v>97</v>
      </c>
    </row>
    <row r="118" spans="1:13" ht="15" customHeight="1">
      <c r="A118" s="266"/>
      <c r="B118">
        <f t="shared" si="15"/>
        <v>13</v>
      </c>
      <c r="C118" s="267">
        <f>Tableau11[[#This Row],[DATE2]]</f>
        <v>34688</v>
      </c>
      <c r="D118" s="268">
        <v>34688</v>
      </c>
      <c r="E118" s="269" t="s">
        <v>69</v>
      </c>
      <c r="F118" s="269" t="s">
        <v>88</v>
      </c>
      <c r="G118" s="333">
        <v>2.9166666666666664E-2</v>
      </c>
      <c r="H118" s="269" t="s">
        <v>80</v>
      </c>
      <c r="I118" s="269">
        <v>2</v>
      </c>
      <c r="J118" s="269"/>
      <c r="K118" s="271">
        <f t="shared" si="11"/>
        <v>0</v>
      </c>
      <c r="L118" s="272">
        <f t="shared" si="8"/>
        <v>2.9166666666666664E-2</v>
      </c>
      <c r="M118" s="269" t="s">
        <v>98</v>
      </c>
    </row>
    <row r="119" spans="1:13" ht="16.05" customHeight="1" thickBot="1">
      <c r="A119" s="266"/>
      <c r="B119">
        <f t="shared" si="15"/>
        <v>14</v>
      </c>
      <c r="C119" s="273">
        <f>Tableau11[[#This Row],[DATE2]]</f>
        <v>34688</v>
      </c>
      <c r="D119" s="274">
        <v>34688</v>
      </c>
      <c r="E119" s="275" t="s">
        <v>69</v>
      </c>
      <c r="F119" s="275" t="s">
        <v>88</v>
      </c>
      <c r="G119" s="334">
        <v>1.6666666666666666E-2</v>
      </c>
      <c r="H119" s="275" t="s">
        <v>55</v>
      </c>
      <c r="I119" s="275">
        <v>2</v>
      </c>
      <c r="J119" s="275"/>
      <c r="K119" s="277">
        <f t="shared" si="11"/>
        <v>1.6666666666666666E-2</v>
      </c>
      <c r="L119" s="278">
        <f t="shared" si="8"/>
        <v>0</v>
      </c>
      <c r="M119" s="275"/>
    </row>
    <row r="120" spans="1:13" ht="15" customHeight="1">
      <c r="A120" s="266"/>
      <c r="C120" s="280"/>
      <c r="D120" s="281"/>
      <c r="E120" s="282"/>
      <c r="F120" s="283" t="s">
        <v>81</v>
      </c>
      <c r="G120" s="326">
        <f>SUM(G106:G119)</f>
        <v>0.36736111111111108</v>
      </c>
      <c r="H120" s="282"/>
      <c r="I120" s="327">
        <f>SUM(I106:I119)</f>
        <v>24</v>
      </c>
      <c r="J120" s="328"/>
      <c r="K120" s="329">
        <f>SUM(K106:K119)</f>
        <v>0.11388888888888889</v>
      </c>
      <c r="L120" s="330">
        <f>SUM(L106:L119)</f>
        <v>0.25347222222222221</v>
      </c>
      <c r="M120" s="282"/>
    </row>
    <row r="121" spans="1:13" ht="15" customHeight="1">
      <c r="A121" s="266"/>
      <c r="C121" s="280"/>
      <c r="D121" s="281"/>
      <c r="E121" s="282"/>
      <c r="F121" s="289" t="s">
        <v>82</v>
      </c>
      <c r="G121" s="314">
        <f>G105</f>
        <v>2.0625</v>
      </c>
      <c r="H121" s="282"/>
      <c r="I121" s="291">
        <f>I105</f>
        <v>187</v>
      </c>
      <c r="J121" s="292"/>
      <c r="K121" s="315">
        <f>K105</f>
        <v>0.64444444444444438</v>
      </c>
      <c r="L121" s="316">
        <f>L105</f>
        <v>1.4180555555555556</v>
      </c>
      <c r="M121" s="282"/>
    </row>
    <row r="122" spans="1:13" ht="16.05" customHeight="1" thickBot="1">
      <c r="A122" s="295"/>
      <c r="C122" s="296"/>
      <c r="D122" s="297"/>
      <c r="E122" s="298"/>
      <c r="F122" s="299" t="s">
        <v>83</v>
      </c>
      <c r="G122" s="317">
        <f>G120+G121</f>
        <v>2.4298611111111112</v>
      </c>
      <c r="H122" s="298"/>
      <c r="I122" s="301">
        <f>I121+I120</f>
        <v>211</v>
      </c>
      <c r="J122" s="302"/>
      <c r="K122" s="318">
        <f>SUM(K120:K121)</f>
        <v>0.7583333333333333</v>
      </c>
      <c r="L122" s="319">
        <f>L120+L121</f>
        <v>1.6715277777777779</v>
      </c>
      <c r="M122" s="298"/>
    </row>
    <row r="123" spans="1:13" ht="15" customHeight="1">
      <c r="A123" s="257">
        <f t="shared" ref="A123" si="16">A106+1</f>
        <v>8</v>
      </c>
      <c r="B123">
        <v>1</v>
      </c>
      <c r="C123" s="258">
        <f>Tableau11[[#This Row],[DATE2]]</f>
        <v>34735</v>
      </c>
      <c r="D123" s="320">
        <v>34735</v>
      </c>
      <c r="E123" s="265" t="s">
        <v>67</v>
      </c>
      <c r="F123" s="265" t="s">
        <v>56</v>
      </c>
      <c r="G123" s="332">
        <v>1.8749999999999999E-2</v>
      </c>
      <c r="H123" s="265" t="s">
        <v>77</v>
      </c>
      <c r="I123" s="265">
        <v>1</v>
      </c>
      <c r="J123" s="265"/>
      <c r="K123" s="321">
        <f t="shared" si="11"/>
        <v>0</v>
      </c>
      <c r="L123" s="264">
        <f t="shared" si="8"/>
        <v>1.8749999999999999E-2</v>
      </c>
      <c r="M123" s="265"/>
    </row>
    <row r="124" spans="1:13" ht="15" customHeight="1">
      <c r="A124" s="266"/>
      <c r="B124">
        <f>B123+1</f>
        <v>2</v>
      </c>
      <c r="C124" s="267">
        <f>Tableau11[[#This Row],[DATE2]]</f>
        <v>34735</v>
      </c>
      <c r="D124" s="268">
        <v>34735</v>
      </c>
      <c r="E124" s="269" t="s">
        <v>67</v>
      </c>
      <c r="F124" s="269" t="s">
        <v>56</v>
      </c>
      <c r="G124" s="333">
        <v>2.013888888888889E-2</v>
      </c>
      <c r="H124" s="269" t="s">
        <v>55</v>
      </c>
      <c r="I124" s="269">
        <v>1</v>
      </c>
      <c r="J124" s="269"/>
      <c r="K124" s="271">
        <f t="shared" si="11"/>
        <v>2.013888888888889E-2</v>
      </c>
      <c r="L124" s="272">
        <f t="shared" si="8"/>
        <v>0</v>
      </c>
      <c r="M124" s="269"/>
    </row>
    <row r="125" spans="1:13" ht="15" customHeight="1">
      <c r="A125" s="266"/>
      <c r="B125">
        <f t="shared" ref="B125:B136" si="17">B124+1</f>
        <v>3</v>
      </c>
      <c r="C125" s="267">
        <f>Tableau11[[#This Row],[DATE2]]</f>
        <v>34741</v>
      </c>
      <c r="D125" s="268">
        <v>34741</v>
      </c>
      <c r="E125" s="269" t="s">
        <v>86</v>
      </c>
      <c r="F125" s="269" t="s">
        <v>95</v>
      </c>
      <c r="G125" s="333">
        <v>1.7361111111111112E-2</v>
      </c>
      <c r="H125" s="269" t="s">
        <v>80</v>
      </c>
      <c r="I125" s="269">
        <v>1</v>
      </c>
      <c r="J125" s="269"/>
      <c r="K125" s="271">
        <f t="shared" si="11"/>
        <v>0</v>
      </c>
      <c r="L125" s="272">
        <f t="shared" si="8"/>
        <v>1.7361111111111112E-2</v>
      </c>
      <c r="M125" s="269" t="s">
        <v>99</v>
      </c>
    </row>
    <row r="126" spans="1:13" ht="15" customHeight="1">
      <c r="A126" s="266"/>
      <c r="B126">
        <f t="shared" si="17"/>
        <v>4</v>
      </c>
      <c r="C126" s="267">
        <f>Tableau11[[#This Row],[DATE2]]</f>
        <v>34752</v>
      </c>
      <c r="D126" s="268">
        <v>34752</v>
      </c>
      <c r="E126" s="269" t="s">
        <v>86</v>
      </c>
      <c r="F126" s="269" t="s">
        <v>95</v>
      </c>
      <c r="G126" s="333">
        <v>3.8194444444444441E-2</v>
      </c>
      <c r="H126" s="269" t="s">
        <v>80</v>
      </c>
      <c r="I126" s="269">
        <v>1</v>
      </c>
      <c r="J126" s="269"/>
      <c r="K126" s="271">
        <f t="shared" si="11"/>
        <v>0</v>
      </c>
      <c r="L126" s="272">
        <f t="shared" si="8"/>
        <v>3.8194444444444441E-2</v>
      </c>
      <c r="M126" s="269" t="s">
        <v>97</v>
      </c>
    </row>
    <row r="127" spans="1:13" ht="15" customHeight="1">
      <c r="A127" s="266"/>
      <c r="B127">
        <f t="shared" si="17"/>
        <v>5</v>
      </c>
      <c r="C127" s="267">
        <f>Tableau11[[#This Row],[DATE2]]</f>
        <v>34756</v>
      </c>
      <c r="D127" s="268">
        <v>34756</v>
      </c>
      <c r="E127" s="269" t="s">
        <v>69</v>
      </c>
      <c r="F127" s="269" t="s">
        <v>88</v>
      </c>
      <c r="G127" s="333">
        <v>3.125E-2</v>
      </c>
      <c r="H127" s="269" t="s">
        <v>80</v>
      </c>
      <c r="I127" s="269">
        <v>1</v>
      </c>
      <c r="J127" s="269"/>
      <c r="K127" s="271">
        <f t="shared" si="11"/>
        <v>0</v>
      </c>
      <c r="L127" s="272">
        <f t="shared" si="8"/>
        <v>3.125E-2</v>
      </c>
      <c r="M127" s="269"/>
    </row>
    <row r="128" spans="1:13" ht="15" customHeight="1">
      <c r="A128" s="266"/>
      <c r="B128">
        <f t="shared" si="17"/>
        <v>6</v>
      </c>
      <c r="C128" s="267">
        <f>Tableau11[[#This Row],[DATE2]]</f>
        <v>34760</v>
      </c>
      <c r="D128" s="268">
        <v>34760</v>
      </c>
      <c r="E128" s="269" t="s">
        <v>69</v>
      </c>
      <c r="F128" s="269" t="s">
        <v>88</v>
      </c>
      <c r="G128" s="333">
        <v>2.7083333333333334E-2</v>
      </c>
      <c r="H128" s="269" t="s">
        <v>80</v>
      </c>
      <c r="I128" s="269">
        <v>1</v>
      </c>
      <c r="J128" s="269"/>
      <c r="K128" s="271">
        <f t="shared" si="11"/>
        <v>0</v>
      </c>
      <c r="L128" s="272">
        <f t="shared" si="8"/>
        <v>2.7083333333333334E-2</v>
      </c>
      <c r="M128" s="269"/>
    </row>
    <row r="129" spans="1:13" ht="15" customHeight="1">
      <c r="A129" s="266"/>
      <c r="B129">
        <f t="shared" si="17"/>
        <v>7</v>
      </c>
      <c r="C129" s="267">
        <f>Tableau11[[#This Row],[DATE2]]</f>
        <v>34763</v>
      </c>
      <c r="D129" s="268">
        <v>34763</v>
      </c>
      <c r="E129" s="269" t="s">
        <v>67</v>
      </c>
      <c r="F129" s="269" t="s">
        <v>78</v>
      </c>
      <c r="G129" s="333">
        <v>2.4305555555555556E-2</v>
      </c>
      <c r="H129" s="269" t="s">
        <v>55</v>
      </c>
      <c r="I129" s="269">
        <v>1</v>
      </c>
      <c r="J129" s="269"/>
      <c r="K129" s="271">
        <f t="shared" si="11"/>
        <v>2.4305555555555556E-2</v>
      </c>
      <c r="L129" s="272">
        <f t="shared" si="8"/>
        <v>0</v>
      </c>
      <c r="M129" s="269"/>
    </row>
    <row r="130" spans="1:13" ht="15" customHeight="1">
      <c r="A130" s="266"/>
      <c r="B130">
        <f t="shared" si="17"/>
        <v>8</v>
      </c>
      <c r="C130" s="267">
        <f>Tableau11[[#This Row],[DATE2]]</f>
        <v>34766</v>
      </c>
      <c r="D130" s="268">
        <v>34766</v>
      </c>
      <c r="E130" s="269" t="s">
        <v>86</v>
      </c>
      <c r="F130" s="269" t="s">
        <v>95</v>
      </c>
      <c r="G130" s="333">
        <v>3.8194444444444441E-2</v>
      </c>
      <c r="H130" s="269" t="s">
        <v>80</v>
      </c>
      <c r="I130" s="269">
        <v>1</v>
      </c>
      <c r="J130" s="269"/>
      <c r="K130" s="271">
        <f t="shared" si="11"/>
        <v>0</v>
      </c>
      <c r="L130" s="272">
        <f t="shared" si="8"/>
        <v>3.8194444444444441E-2</v>
      </c>
      <c r="M130" s="269" t="s">
        <v>100</v>
      </c>
    </row>
    <row r="131" spans="1:13" ht="15" customHeight="1">
      <c r="A131" s="266"/>
      <c r="B131">
        <f t="shared" si="17"/>
        <v>9</v>
      </c>
      <c r="C131" s="267">
        <f>Tableau11[[#This Row],[DATE2]]</f>
        <v>34767</v>
      </c>
      <c r="D131" s="268">
        <v>34767</v>
      </c>
      <c r="E131" s="269" t="s">
        <v>69</v>
      </c>
      <c r="F131" s="269" t="s">
        <v>88</v>
      </c>
      <c r="G131" s="333">
        <v>2.361111111111111E-2</v>
      </c>
      <c r="H131" s="269" t="s">
        <v>55</v>
      </c>
      <c r="I131" s="269">
        <v>2</v>
      </c>
      <c r="J131" s="269"/>
      <c r="K131" s="271">
        <f t="shared" si="11"/>
        <v>2.361111111111111E-2</v>
      </c>
      <c r="L131" s="272">
        <f t="shared" si="8"/>
        <v>0</v>
      </c>
      <c r="M131" s="269"/>
    </row>
    <row r="132" spans="1:13" ht="15" customHeight="1">
      <c r="A132" s="266"/>
      <c r="B132">
        <f t="shared" si="17"/>
        <v>10</v>
      </c>
      <c r="C132" s="267">
        <f>Tableau11[[#This Row],[DATE2]]</f>
        <v>34767</v>
      </c>
      <c r="D132" s="268">
        <v>34767</v>
      </c>
      <c r="E132" s="269" t="s">
        <v>69</v>
      </c>
      <c r="F132" s="269" t="s">
        <v>88</v>
      </c>
      <c r="G132" s="333">
        <v>3.4722222222222224E-2</v>
      </c>
      <c r="H132" s="269" t="s">
        <v>55</v>
      </c>
      <c r="I132" s="269">
        <v>1</v>
      </c>
      <c r="J132" s="269"/>
      <c r="K132" s="271">
        <f t="shared" si="11"/>
        <v>3.4722222222222224E-2</v>
      </c>
      <c r="L132" s="272">
        <f t="shared" ref="L132:L195" si="18">IF(H132="PENDERS Bernard",0,G132)</f>
        <v>0</v>
      </c>
      <c r="M132" s="269" t="s">
        <v>101</v>
      </c>
    </row>
    <row r="133" spans="1:13" ht="15" customHeight="1">
      <c r="A133" s="266"/>
      <c r="B133">
        <f t="shared" si="17"/>
        <v>11</v>
      </c>
      <c r="C133" s="267">
        <f>Tableau11[[#This Row],[DATE2]]</f>
        <v>34767</v>
      </c>
      <c r="D133" s="268">
        <v>34767</v>
      </c>
      <c r="E133" s="269" t="s">
        <v>69</v>
      </c>
      <c r="F133" s="269" t="s">
        <v>88</v>
      </c>
      <c r="G133" s="333">
        <v>2.0833333333333332E-2</v>
      </c>
      <c r="H133" s="269" t="s">
        <v>55</v>
      </c>
      <c r="I133" s="269">
        <v>1</v>
      </c>
      <c r="J133" s="269"/>
      <c r="K133" s="271">
        <f t="shared" si="11"/>
        <v>2.0833333333333332E-2</v>
      </c>
      <c r="L133" s="272">
        <f t="shared" si="18"/>
        <v>0</v>
      </c>
      <c r="M133" s="269" t="s">
        <v>52</v>
      </c>
    </row>
    <row r="134" spans="1:13" ht="15" customHeight="1">
      <c r="A134" s="266"/>
      <c r="B134">
        <f t="shared" si="17"/>
        <v>12</v>
      </c>
      <c r="C134" s="267">
        <f>Tableau11[[#This Row],[DATE2]]</f>
        <v>34770</v>
      </c>
      <c r="D134" s="268">
        <v>34770</v>
      </c>
      <c r="E134" s="269" t="s">
        <v>86</v>
      </c>
      <c r="F134" s="269" t="s">
        <v>91</v>
      </c>
      <c r="G134" s="333">
        <v>3.1944444444444449E-2</v>
      </c>
      <c r="H134" s="269" t="s">
        <v>77</v>
      </c>
      <c r="I134" s="269">
        <v>1</v>
      </c>
      <c r="J134" s="269"/>
      <c r="K134" s="271">
        <f t="shared" si="11"/>
        <v>0</v>
      </c>
      <c r="L134" s="272">
        <f t="shared" si="18"/>
        <v>3.1944444444444449E-2</v>
      </c>
      <c r="M134" s="269"/>
    </row>
    <row r="135" spans="1:13" ht="15" customHeight="1">
      <c r="A135" s="266"/>
      <c r="B135">
        <f t="shared" si="17"/>
        <v>13</v>
      </c>
      <c r="C135" s="267">
        <f>Tableau11[[#This Row],[DATE2]]</f>
        <v>34770</v>
      </c>
      <c r="D135" s="268">
        <v>34770</v>
      </c>
      <c r="E135" s="269" t="s">
        <v>86</v>
      </c>
      <c r="F135" s="269" t="s">
        <v>91</v>
      </c>
      <c r="G135" s="333">
        <v>1.9444444444444445E-2</v>
      </c>
      <c r="H135" s="269" t="s">
        <v>55</v>
      </c>
      <c r="I135" s="269">
        <v>1</v>
      </c>
      <c r="J135" s="269"/>
      <c r="K135" s="271">
        <f t="shared" si="11"/>
        <v>1.9444444444444445E-2</v>
      </c>
      <c r="L135" s="272">
        <f t="shared" si="18"/>
        <v>0</v>
      </c>
      <c r="M135" s="269"/>
    </row>
    <row r="136" spans="1:13" ht="16.05" customHeight="1" thickBot="1">
      <c r="A136" s="266"/>
      <c r="B136">
        <f t="shared" si="17"/>
        <v>14</v>
      </c>
      <c r="C136" s="273">
        <f>Tableau11[[#This Row],[DATE2]]</f>
        <v>34770</v>
      </c>
      <c r="D136" s="274">
        <v>34770</v>
      </c>
      <c r="E136" s="275" t="s">
        <v>86</v>
      </c>
      <c r="F136" s="275" t="s">
        <v>91</v>
      </c>
      <c r="G136" s="334">
        <v>1.8055555555555557E-2</v>
      </c>
      <c r="H136" s="275" t="s">
        <v>80</v>
      </c>
      <c r="I136" s="275">
        <v>1</v>
      </c>
      <c r="J136" s="275"/>
      <c r="K136" s="277">
        <f t="shared" si="11"/>
        <v>0</v>
      </c>
      <c r="L136" s="278">
        <f t="shared" si="18"/>
        <v>1.8055555555555557E-2</v>
      </c>
      <c r="M136" s="275"/>
    </row>
    <row r="137" spans="1:13" ht="15" customHeight="1">
      <c r="A137" s="266"/>
      <c r="C137" s="280"/>
      <c r="D137" s="281"/>
      <c r="E137" s="282"/>
      <c r="F137" s="283" t="s">
        <v>81</v>
      </c>
      <c r="G137" s="326">
        <f>SUM(G123:G136)</f>
        <v>0.36388888888888887</v>
      </c>
      <c r="H137" s="282"/>
      <c r="I137" s="327">
        <f>SUM(I123:I136)</f>
        <v>15</v>
      </c>
      <c r="J137" s="328"/>
      <c r="K137" s="329">
        <f>SUM(K123:K136)</f>
        <v>0.14305555555555555</v>
      </c>
      <c r="L137" s="330">
        <f>SUM(L123:L136)</f>
        <v>0.2208333333333333</v>
      </c>
      <c r="M137" s="282"/>
    </row>
    <row r="138" spans="1:13" ht="15" customHeight="1">
      <c r="A138" s="266"/>
      <c r="C138" s="280"/>
      <c r="D138" s="281"/>
      <c r="E138" s="282"/>
      <c r="F138" s="289" t="s">
        <v>82</v>
      </c>
      <c r="G138" s="314">
        <f>G122</f>
        <v>2.4298611111111112</v>
      </c>
      <c r="H138" s="282"/>
      <c r="I138" s="291">
        <f>I122</f>
        <v>211</v>
      </c>
      <c r="J138" s="292"/>
      <c r="K138" s="315">
        <f>K122</f>
        <v>0.7583333333333333</v>
      </c>
      <c r="L138" s="316">
        <f>L122</f>
        <v>1.6715277777777779</v>
      </c>
      <c r="M138" s="282"/>
    </row>
    <row r="139" spans="1:13" ht="16.05" customHeight="1" thickBot="1">
      <c r="A139" s="295"/>
      <c r="C139" s="296"/>
      <c r="D139" s="297"/>
      <c r="E139" s="298"/>
      <c r="F139" s="299" t="s">
        <v>83</v>
      </c>
      <c r="G139" s="317">
        <f>G137+G138</f>
        <v>2.7937500000000002</v>
      </c>
      <c r="H139" s="298"/>
      <c r="I139" s="301">
        <f>I138+I137</f>
        <v>226</v>
      </c>
      <c r="J139" s="302"/>
      <c r="K139" s="318">
        <f>SUM(K137:K138)</f>
        <v>0.9013888888888888</v>
      </c>
      <c r="L139" s="319">
        <f>L137+L138</f>
        <v>1.8923611111111112</v>
      </c>
      <c r="M139" s="298"/>
    </row>
    <row r="140" spans="1:13" ht="15" customHeight="1">
      <c r="A140" s="257">
        <f t="shared" ref="A140" si="19">A123+1</f>
        <v>9</v>
      </c>
      <c r="B140">
        <v>1</v>
      </c>
      <c r="C140" s="305">
        <f>Tableau11[[#This Row],[DATE2]]</f>
        <v>34774</v>
      </c>
      <c r="D140" s="306">
        <v>34774</v>
      </c>
      <c r="E140" s="307" t="s">
        <v>86</v>
      </c>
      <c r="F140" s="307" t="s">
        <v>95</v>
      </c>
      <c r="G140" s="331">
        <v>3.5416666666666666E-2</v>
      </c>
      <c r="H140" s="307" t="s">
        <v>80</v>
      </c>
      <c r="I140" s="307">
        <v>2</v>
      </c>
      <c r="J140" s="307"/>
      <c r="K140" s="309">
        <f t="shared" si="11"/>
        <v>0</v>
      </c>
      <c r="L140" s="310">
        <f t="shared" si="18"/>
        <v>3.5416666666666666E-2</v>
      </c>
      <c r="M140" s="307"/>
    </row>
    <row r="141" spans="1:13" ht="15" customHeight="1">
      <c r="A141" s="266"/>
      <c r="B141">
        <f>B140+1</f>
        <v>2</v>
      </c>
      <c r="C141" s="305">
        <f>Tableau11[[#This Row],[DATE2]]</f>
        <v>34781</v>
      </c>
      <c r="D141" s="306">
        <v>34781</v>
      </c>
      <c r="E141" s="307" t="s">
        <v>86</v>
      </c>
      <c r="F141" s="307" t="s">
        <v>95</v>
      </c>
      <c r="G141" s="331">
        <v>3.4027777777777775E-2</v>
      </c>
      <c r="H141" s="307" t="s">
        <v>80</v>
      </c>
      <c r="I141" s="307">
        <v>2</v>
      </c>
      <c r="J141" s="307"/>
      <c r="K141" s="309">
        <f t="shared" si="11"/>
        <v>0</v>
      </c>
      <c r="L141" s="310">
        <f t="shared" si="18"/>
        <v>3.4027777777777775E-2</v>
      </c>
      <c r="M141" s="307"/>
    </row>
    <row r="142" spans="1:13" ht="15" customHeight="1">
      <c r="A142" s="266"/>
      <c r="B142">
        <f t="shared" ref="B142:B153" si="20">B141+1</f>
        <v>3</v>
      </c>
      <c r="C142" s="305">
        <f>Tableau11[[#This Row],[DATE2]]</f>
        <v>34791</v>
      </c>
      <c r="D142" s="306">
        <v>34791</v>
      </c>
      <c r="E142" s="307" t="s">
        <v>67</v>
      </c>
      <c r="F142" s="307" t="s">
        <v>56</v>
      </c>
      <c r="G142" s="331">
        <v>2.2916666666666669E-2</v>
      </c>
      <c r="H142" s="307" t="s">
        <v>55</v>
      </c>
      <c r="I142" s="307">
        <v>1</v>
      </c>
      <c r="J142" s="307"/>
      <c r="K142" s="309">
        <f t="shared" si="11"/>
        <v>2.2916666666666669E-2</v>
      </c>
      <c r="L142" s="310">
        <f t="shared" si="18"/>
        <v>0</v>
      </c>
      <c r="M142" s="307"/>
    </row>
    <row r="143" spans="1:13" ht="15" customHeight="1">
      <c r="A143" s="266"/>
      <c r="B143">
        <f t="shared" si="20"/>
        <v>4</v>
      </c>
      <c r="C143" s="305">
        <f>Tableau11[[#This Row],[DATE2]]</f>
        <v>34793</v>
      </c>
      <c r="D143" s="306">
        <v>34793</v>
      </c>
      <c r="E143" s="307" t="s">
        <v>86</v>
      </c>
      <c r="F143" s="307" t="s">
        <v>95</v>
      </c>
      <c r="G143" s="331">
        <v>3.125E-2</v>
      </c>
      <c r="H143" s="307" t="s">
        <v>80</v>
      </c>
      <c r="I143" s="307">
        <v>1</v>
      </c>
      <c r="J143" s="307"/>
      <c r="K143" s="309">
        <f t="shared" si="11"/>
        <v>0</v>
      </c>
      <c r="L143" s="310">
        <f t="shared" si="18"/>
        <v>3.125E-2</v>
      </c>
      <c r="M143" s="307" t="s">
        <v>96</v>
      </c>
    </row>
    <row r="144" spans="1:13" ht="15" customHeight="1">
      <c r="A144" s="266"/>
      <c r="B144">
        <f t="shared" si="20"/>
        <v>5</v>
      </c>
      <c r="C144" s="305">
        <f>Tableau11[[#This Row],[DATE2]]</f>
        <v>34793</v>
      </c>
      <c r="D144" s="306">
        <v>34793</v>
      </c>
      <c r="E144" s="307" t="s">
        <v>86</v>
      </c>
      <c r="F144" s="307" t="s">
        <v>95</v>
      </c>
      <c r="G144" s="331">
        <v>4.0972222222222222E-2</v>
      </c>
      <c r="H144" s="307" t="s">
        <v>80</v>
      </c>
      <c r="I144" s="307">
        <v>1</v>
      </c>
      <c r="J144" s="307"/>
      <c r="K144" s="309">
        <f t="shared" si="11"/>
        <v>0</v>
      </c>
      <c r="L144" s="310">
        <f t="shared" si="18"/>
        <v>4.0972222222222222E-2</v>
      </c>
      <c r="M144" s="307" t="s">
        <v>52</v>
      </c>
    </row>
    <row r="145" spans="1:13" ht="15" customHeight="1">
      <c r="A145" s="266"/>
      <c r="B145">
        <f t="shared" si="20"/>
        <v>6</v>
      </c>
      <c r="C145" s="305">
        <f>Tableau11[[#This Row],[DATE2]]</f>
        <v>34811</v>
      </c>
      <c r="D145" s="306">
        <v>34811</v>
      </c>
      <c r="E145" s="307" t="s">
        <v>69</v>
      </c>
      <c r="F145" s="307" t="s">
        <v>88</v>
      </c>
      <c r="G145" s="331">
        <v>2.9166666666666664E-2</v>
      </c>
      <c r="H145" s="307" t="s">
        <v>55</v>
      </c>
      <c r="I145" s="307">
        <v>2</v>
      </c>
      <c r="J145" s="307"/>
      <c r="K145" s="309">
        <f t="shared" si="11"/>
        <v>2.9166666666666664E-2</v>
      </c>
      <c r="L145" s="310">
        <f t="shared" si="18"/>
        <v>0</v>
      </c>
      <c r="M145" s="307"/>
    </row>
    <row r="146" spans="1:13" ht="15" customHeight="1">
      <c r="A146" s="266"/>
      <c r="B146">
        <f t="shared" si="20"/>
        <v>7</v>
      </c>
      <c r="C146" s="305">
        <f>Tableau11[[#This Row],[DATE2]]</f>
        <v>34818</v>
      </c>
      <c r="D146" s="306">
        <v>34818</v>
      </c>
      <c r="E146" s="307" t="s">
        <v>67</v>
      </c>
      <c r="F146" s="307" t="s">
        <v>56</v>
      </c>
      <c r="G146" s="331">
        <v>1.8749999999999999E-2</v>
      </c>
      <c r="H146" s="307" t="s">
        <v>55</v>
      </c>
      <c r="I146" s="307">
        <v>1</v>
      </c>
      <c r="J146" s="307"/>
      <c r="K146" s="309">
        <f t="shared" si="11"/>
        <v>1.8749999999999999E-2</v>
      </c>
      <c r="L146" s="310">
        <f t="shared" si="18"/>
        <v>0</v>
      </c>
      <c r="M146" s="307"/>
    </row>
    <row r="147" spans="1:13" ht="15" customHeight="1">
      <c r="A147" s="266"/>
      <c r="B147">
        <f t="shared" si="20"/>
        <v>8</v>
      </c>
      <c r="C147" s="305">
        <f>Tableau11[[#This Row],[DATE2]]</f>
        <v>34820</v>
      </c>
      <c r="D147" s="306">
        <v>34820</v>
      </c>
      <c r="E147" s="307" t="s">
        <v>86</v>
      </c>
      <c r="F147" s="307" t="s">
        <v>91</v>
      </c>
      <c r="G147" s="331">
        <v>2.5694444444444447E-2</v>
      </c>
      <c r="H147" s="307" t="s">
        <v>55</v>
      </c>
      <c r="I147" s="307">
        <v>1</v>
      </c>
      <c r="J147" s="307"/>
      <c r="K147" s="309">
        <f t="shared" si="11"/>
        <v>2.5694444444444447E-2</v>
      </c>
      <c r="L147" s="310">
        <f t="shared" si="18"/>
        <v>0</v>
      </c>
      <c r="M147" s="307"/>
    </row>
    <row r="148" spans="1:13" ht="15" customHeight="1">
      <c r="A148" s="266"/>
      <c r="B148">
        <f t="shared" si="20"/>
        <v>9</v>
      </c>
      <c r="C148" s="305">
        <f>Tableau11[[#This Row],[DATE2]]</f>
        <v>34832</v>
      </c>
      <c r="D148" s="306">
        <v>34832</v>
      </c>
      <c r="E148" s="307" t="s">
        <v>86</v>
      </c>
      <c r="F148" s="307" t="s">
        <v>102</v>
      </c>
      <c r="G148" s="331">
        <v>2.6388888888888889E-2</v>
      </c>
      <c r="H148" s="307" t="s">
        <v>77</v>
      </c>
      <c r="I148" s="307">
        <v>1</v>
      </c>
      <c r="J148" s="307"/>
      <c r="K148" s="309">
        <f t="shared" si="11"/>
        <v>0</v>
      </c>
      <c r="L148" s="310">
        <f t="shared" si="18"/>
        <v>2.6388888888888889E-2</v>
      </c>
      <c r="M148" s="307"/>
    </row>
    <row r="149" spans="1:13" ht="15" customHeight="1">
      <c r="A149" s="266"/>
      <c r="B149">
        <f t="shared" si="20"/>
        <v>10</v>
      </c>
      <c r="C149" s="305">
        <f>Tableau11[[#This Row],[DATE2]]</f>
        <v>34839</v>
      </c>
      <c r="D149" s="306">
        <v>34839</v>
      </c>
      <c r="E149" s="307" t="s">
        <v>86</v>
      </c>
      <c r="F149" s="307" t="s">
        <v>102</v>
      </c>
      <c r="G149" s="331">
        <v>3.125E-2</v>
      </c>
      <c r="H149" s="307" t="s">
        <v>77</v>
      </c>
      <c r="I149" s="307">
        <v>2</v>
      </c>
      <c r="J149" s="307"/>
      <c r="K149" s="309">
        <f t="shared" si="11"/>
        <v>0</v>
      </c>
      <c r="L149" s="310">
        <f t="shared" si="18"/>
        <v>3.125E-2</v>
      </c>
      <c r="M149" s="307"/>
    </row>
    <row r="150" spans="1:13" ht="15" customHeight="1">
      <c r="A150" s="266"/>
      <c r="B150">
        <f t="shared" si="20"/>
        <v>11</v>
      </c>
      <c r="C150" s="305">
        <f>Tableau11[[#This Row],[DATE2]]</f>
        <v>34845</v>
      </c>
      <c r="D150" s="306">
        <v>34845</v>
      </c>
      <c r="E150" s="307" t="s">
        <v>86</v>
      </c>
      <c r="F150" s="307" t="s">
        <v>95</v>
      </c>
      <c r="G150" s="331">
        <v>4.027777777777778E-2</v>
      </c>
      <c r="H150" s="307" t="s">
        <v>80</v>
      </c>
      <c r="I150" s="307">
        <v>1</v>
      </c>
      <c r="J150" s="307"/>
      <c r="K150" s="309">
        <f t="shared" si="11"/>
        <v>0</v>
      </c>
      <c r="L150" s="310">
        <f t="shared" si="18"/>
        <v>4.027777777777778E-2</v>
      </c>
      <c r="M150" s="307" t="s">
        <v>103</v>
      </c>
    </row>
    <row r="151" spans="1:13" ht="15" customHeight="1">
      <c r="A151" s="266"/>
      <c r="B151">
        <f t="shared" si="20"/>
        <v>12</v>
      </c>
      <c r="C151" s="305">
        <f>Tableau11[[#This Row],[DATE2]]</f>
        <v>34846</v>
      </c>
      <c r="D151" s="306">
        <v>34846</v>
      </c>
      <c r="E151" s="307" t="s">
        <v>67</v>
      </c>
      <c r="F151" s="307" t="s">
        <v>56</v>
      </c>
      <c r="G151" s="331">
        <v>1.3194444444444444E-2</v>
      </c>
      <c r="H151" s="307" t="s">
        <v>55</v>
      </c>
      <c r="I151" s="307">
        <v>1</v>
      </c>
      <c r="J151" s="307"/>
      <c r="K151" s="309">
        <f t="shared" si="11"/>
        <v>1.3194444444444444E-2</v>
      </c>
      <c r="L151" s="310">
        <f t="shared" si="18"/>
        <v>0</v>
      </c>
      <c r="M151" s="307"/>
    </row>
    <row r="152" spans="1:13" ht="15" customHeight="1">
      <c r="A152" s="266"/>
      <c r="B152">
        <f t="shared" si="20"/>
        <v>13</v>
      </c>
      <c r="C152" s="305">
        <f>Tableau11[[#This Row],[DATE2]]</f>
        <v>34847</v>
      </c>
      <c r="D152" s="306">
        <v>34847</v>
      </c>
      <c r="E152" s="307" t="s">
        <v>86</v>
      </c>
      <c r="F152" s="307" t="s">
        <v>102</v>
      </c>
      <c r="G152" s="331">
        <v>2.7777777777777776E-2</v>
      </c>
      <c r="H152" s="307" t="s">
        <v>77</v>
      </c>
      <c r="I152" s="307">
        <v>1</v>
      </c>
      <c r="J152" s="307"/>
      <c r="K152" s="309">
        <f t="shared" si="11"/>
        <v>0</v>
      </c>
      <c r="L152" s="310">
        <f t="shared" si="18"/>
        <v>2.7777777777777776E-2</v>
      </c>
      <c r="M152" s="307"/>
    </row>
    <row r="153" spans="1:13" ht="15" customHeight="1" thickBot="1">
      <c r="A153" s="266"/>
      <c r="B153">
        <f t="shared" si="20"/>
        <v>14</v>
      </c>
      <c r="C153" s="305">
        <f>Tableau11[[#This Row],[DATE2]]</f>
        <v>34867</v>
      </c>
      <c r="D153" s="306">
        <v>34867</v>
      </c>
      <c r="E153" s="307" t="s">
        <v>67</v>
      </c>
      <c r="F153" s="307" t="s">
        <v>79</v>
      </c>
      <c r="G153" s="331">
        <v>4.027777777777778E-2</v>
      </c>
      <c r="H153" s="307" t="s">
        <v>55</v>
      </c>
      <c r="I153" s="307">
        <v>3</v>
      </c>
      <c r="J153" s="307"/>
      <c r="K153" s="309">
        <f t="shared" si="11"/>
        <v>4.027777777777778E-2</v>
      </c>
      <c r="L153" s="310">
        <f t="shared" si="18"/>
        <v>0</v>
      </c>
      <c r="M153" s="307"/>
    </row>
    <row r="154" spans="1:13" ht="15" customHeight="1">
      <c r="A154" s="266"/>
      <c r="C154" s="335"/>
      <c r="D154" s="336"/>
      <c r="E154" s="337"/>
      <c r="F154" s="338" t="s">
        <v>81</v>
      </c>
      <c r="G154" s="311">
        <f>SUM(G140:G153)</f>
        <v>0.41736111111111118</v>
      </c>
      <c r="H154" s="337"/>
      <c r="I154" s="285">
        <f>SUM(I140:I153)</f>
        <v>20</v>
      </c>
      <c r="J154" s="286"/>
      <c r="K154" s="312">
        <f>SUM(K140:K153)</f>
        <v>0.15</v>
      </c>
      <c r="L154" s="313">
        <f>SUM(L140:L153)</f>
        <v>0.2673611111111111</v>
      </c>
      <c r="M154" s="339"/>
    </row>
    <row r="155" spans="1:13" ht="15" customHeight="1">
      <c r="A155" s="266"/>
      <c r="C155" s="280"/>
      <c r="D155" s="281"/>
      <c r="E155" s="282"/>
      <c r="F155" s="289" t="s">
        <v>82</v>
      </c>
      <c r="G155" s="314">
        <f>G139</f>
        <v>2.7937500000000002</v>
      </c>
      <c r="H155" s="282"/>
      <c r="I155" s="291">
        <f>I139</f>
        <v>226</v>
      </c>
      <c r="J155" s="292"/>
      <c r="K155" s="315">
        <f>K139</f>
        <v>0.9013888888888888</v>
      </c>
      <c r="L155" s="316">
        <f>L139</f>
        <v>1.8923611111111112</v>
      </c>
      <c r="M155" s="340"/>
    </row>
    <row r="156" spans="1:13" ht="16.05" customHeight="1" thickBot="1">
      <c r="A156" s="295"/>
      <c r="C156" s="296"/>
      <c r="D156" s="297"/>
      <c r="E156" s="298"/>
      <c r="F156" s="299" t="s">
        <v>83</v>
      </c>
      <c r="G156" s="317">
        <f>G154+G155</f>
        <v>3.2111111111111112</v>
      </c>
      <c r="H156" s="298"/>
      <c r="I156" s="301">
        <f>I155+I154</f>
        <v>246</v>
      </c>
      <c r="J156" s="302"/>
      <c r="K156" s="318">
        <f>SUM(K154:K155)</f>
        <v>1.0513888888888887</v>
      </c>
      <c r="L156" s="319">
        <f>L154+L155</f>
        <v>2.1597222222222223</v>
      </c>
      <c r="M156" s="341"/>
    </row>
    <row r="157" spans="1:13" ht="15" customHeight="1">
      <c r="A157" s="257">
        <f t="shared" ref="A157" si="21">A140+1</f>
        <v>10</v>
      </c>
      <c r="B157">
        <v>1</v>
      </c>
      <c r="C157" s="305">
        <f>Tableau11[[#This Row],[DATE2]]</f>
        <v>34868</v>
      </c>
      <c r="D157" s="306">
        <v>34868</v>
      </c>
      <c r="E157" s="307" t="s">
        <v>86</v>
      </c>
      <c r="F157" s="307" t="s">
        <v>95</v>
      </c>
      <c r="G157" s="331">
        <v>3.6111111111111115E-2</v>
      </c>
      <c r="H157" s="307" t="s">
        <v>55</v>
      </c>
      <c r="I157" s="307">
        <v>1</v>
      </c>
      <c r="J157" s="307"/>
      <c r="K157" s="309">
        <f t="shared" si="11"/>
        <v>3.6111111111111115E-2</v>
      </c>
      <c r="L157" s="310">
        <f t="shared" si="18"/>
        <v>0</v>
      </c>
      <c r="M157" s="307" t="s">
        <v>104</v>
      </c>
    </row>
    <row r="158" spans="1:13" ht="15" customHeight="1">
      <c r="A158" s="266"/>
      <c r="B158">
        <f>B157+1</f>
        <v>2</v>
      </c>
      <c r="C158" s="305">
        <f>Tableau11[[#This Row],[DATE2]]</f>
        <v>34888</v>
      </c>
      <c r="D158" s="306">
        <v>34888</v>
      </c>
      <c r="E158" s="307" t="s">
        <v>86</v>
      </c>
      <c r="F158" s="307" t="s">
        <v>102</v>
      </c>
      <c r="G158" s="331">
        <v>4.7916666666666663E-2</v>
      </c>
      <c r="H158" s="307" t="s">
        <v>55</v>
      </c>
      <c r="I158" s="307">
        <v>1</v>
      </c>
      <c r="J158" s="307"/>
      <c r="K158" s="309">
        <f t="shared" ref="K158:K234" si="22">IF(H158="PENDERS Bernard",G158,0)</f>
        <v>4.7916666666666663E-2</v>
      </c>
      <c r="L158" s="310">
        <f t="shared" si="18"/>
        <v>0</v>
      </c>
      <c r="M158" s="307" t="s">
        <v>105</v>
      </c>
    </row>
    <row r="159" spans="1:13" ht="15" customHeight="1">
      <c r="A159" s="266"/>
      <c r="B159">
        <f t="shared" ref="B159:B170" si="23">B158+1</f>
        <v>3</v>
      </c>
      <c r="C159" s="305">
        <f>Tableau11[[#This Row],[DATE2]]</f>
        <v>34895</v>
      </c>
      <c r="D159" s="306">
        <v>34895</v>
      </c>
      <c r="E159" s="307" t="s">
        <v>86</v>
      </c>
      <c r="F159" s="307" t="s">
        <v>95</v>
      </c>
      <c r="G159" s="331">
        <v>5.8333333333333327E-2</v>
      </c>
      <c r="H159" s="307" t="s">
        <v>55</v>
      </c>
      <c r="I159" s="307">
        <v>1</v>
      </c>
      <c r="J159" s="307"/>
      <c r="K159" s="309">
        <f t="shared" si="22"/>
        <v>5.8333333333333327E-2</v>
      </c>
      <c r="L159" s="310">
        <f t="shared" si="18"/>
        <v>0</v>
      </c>
      <c r="M159" s="307" t="s">
        <v>106</v>
      </c>
    </row>
    <row r="160" spans="1:13" ht="15" customHeight="1">
      <c r="A160" s="266"/>
      <c r="B160">
        <f t="shared" si="23"/>
        <v>4</v>
      </c>
      <c r="C160" s="305">
        <f>Tableau11[[#This Row],[DATE2]]</f>
        <v>34905</v>
      </c>
      <c r="D160" s="306">
        <v>34905</v>
      </c>
      <c r="E160" s="307" t="s">
        <v>86</v>
      </c>
      <c r="F160" s="307" t="s">
        <v>95</v>
      </c>
      <c r="G160" s="331">
        <v>8.0555555555555561E-2</v>
      </c>
      <c r="H160" s="307" t="s">
        <v>55</v>
      </c>
      <c r="I160" s="307">
        <v>1</v>
      </c>
      <c r="J160" s="307"/>
      <c r="K160" s="309">
        <f t="shared" si="22"/>
        <v>8.0555555555555561E-2</v>
      </c>
      <c r="L160" s="310">
        <f t="shared" si="18"/>
        <v>0</v>
      </c>
      <c r="M160" s="307" t="s">
        <v>107</v>
      </c>
    </row>
    <row r="161" spans="1:13" ht="15" customHeight="1">
      <c r="A161" s="266"/>
      <c r="B161">
        <f t="shared" si="23"/>
        <v>5</v>
      </c>
      <c r="C161" s="305">
        <f>Tableau11[[#This Row],[DATE2]]</f>
        <v>34923</v>
      </c>
      <c r="D161" s="306">
        <v>34923</v>
      </c>
      <c r="E161" s="307" t="s">
        <v>86</v>
      </c>
      <c r="F161" s="307" t="s">
        <v>87</v>
      </c>
      <c r="G161" s="331">
        <v>3.6111111111111115E-2</v>
      </c>
      <c r="H161" s="307" t="s">
        <v>55</v>
      </c>
      <c r="I161" s="307">
        <v>1</v>
      </c>
      <c r="J161" s="307"/>
      <c r="K161" s="309">
        <f t="shared" si="22"/>
        <v>3.6111111111111115E-2</v>
      </c>
      <c r="L161" s="310">
        <f t="shared" si="18"/>
        <v>0</v>
      </c>
      <c r="M161" s="307" t="s">
        <v>108</v>
      </c>
    </row>
    <row r="162" spans="1:13" ht="15" customHeight="1">
      <c r="A162" s="266"/>
      <c r="B162">
        <f t="shared" si="23"/>
        <v>6</v>
      </c>
      <c r="C162" s="305">
        <f>Tableau11[[#This Row],[DATE2]]</f>
        <v>34951</v>
      </c>
      <c r="D162" s="306">
        <v>34951</v>
      </c>
      <c r="E162" s="307" t="s">
        <v>86</v>
      </c>
      <c r="F162" s="307" t="s">
        <v>87</v>
      </c>
      <c r="G162" s="331">
        <v>4.3055555555555562E-2</v>
      </c>
      <c r="H162" s="307" t="s">
        <v>55</v>
      </c>
      <c r="I162" s="307">
        <v>1</v>
      </c>
      <c r="J162" s="307"/>
      <c r="K162" s="309">
        <f t="shared" si="22"/>
        <v>4.3055555555555562E-2</v>
      </c>
      <c r="L162" s="310">
        <f t="shared" si="18"/>
        <v>0</v>
      </c>
      <c r="M162" s="307" t="s">
        <v>109</v>
      </c>
    </row>
    <row r="163" spans="1:13" ht="15" customHeight="1">
      <c r="A163" s="266"/>
      <c r="B163">
        <f t="shared" si="23"/>
        <v>7</v>
      </c>
      <c r="C163" s="305">
        <f>Tableau11[[#This Row],[DATE2]]</f>
        <v>34958</v>
      </c>
      <c r="D163" s="306">
        <v>34958</v>
      </c>
      <c r="E163" s="307" t="s">
        <v>86</v>
      </c>
      <c r="F163" s="307" t="s">
        <v>91</v>
      </c>
      <c r="G163" s="331">
        <v>1.5972222222222224E-2</v>
      </c>
      <c r="H163" s="307" t="s">
        <v>55</v>
      </c>
      <c r="I163" s="307">
        <v>1</v>
      </c>
      <c r="J163" s="307"/>
      <c r="K163" s="309">
        <f t="shared" si="22"/>
        <v>1.5972222222222224E-2</v>
      </c>
      <c r="L163" s="310">
        <f t="shared" si="18"/>
        <v>0</v>
      </c>
      <c r="M163" s="307" t="s">
        <v>110</v>
      </c>
    </row>
    <row r="164" spans="1:13" ht="15" customHeight="1">
      <c r="A164" s="266"/>
      <c r="B164">
        <f t="shared" si="23"/>
        <v>8</v>
      </c>
      <c r="C164" s="305">
        <f>Tableau11[[#This Row],[DATE2]]</f>
        <v>34958</v>
      </c>
      <c r="D164" s="306">
        <v>34958</v>
      </c>
      <c r="E164" s="307" t="s">
        <v>86</v>
      </c>
      <c r="F164" s="307" t="s">
        <v>91</v>
      </c>
      <c r="G164" s="331">
        <v>1.8055555555555557E-2</v>
      </c>
      <c r="H164" s="307" t="s">
        <v>55</v>
      </c>
      <c r="I164" s="307">
        <v>1</v>
      </c>
      <c r="J164" s="307"/>
      <c r="K164" s="309">
        <f t="shared" si="22"/>
        <v>1.8055555555555557E-2</v>
      </c>
      <c r="L164" s="310">
        <f t="shared" si="18"/>
        <v>0</v>
      </c>
      <c r="M164" s="307" t="s">
        <v>111</v>
      </c>
    </row>
    <row r="165" spans="1:13" ht="15" customHeight="1">
      <c r="A165" s="266"/>
      <c r="B165">
        <f t="shared" si="23"/>
        <v>9</v>
      </c>
      <c r="C165" s="305">
        <f>Tableau11[[#This Row],[DATE2]]</f>
        <v>34958</v>
      </c>
      <c r="D165" s="306">
        <v>34958</v>
      </c>
      <c r="E165" s="307" t="s">
        <v>86</v>
      </c>
      <c r="F165" s="307" t="s">
        <v>91</v>
      </c>
      <c r="G165" s="331">
        <v>1.8055555555555557E-2</v>
      </c>
      <c r="H165" s="307" t="s">
        <v>55</v>
      </c>
      <c r="I165" s="307">
        <v>1</v>
      </c>
      <c r="J165" s="307"/>
      <c r="K165" s="309">
        <f t="shared" si="22"/>
        <v>1.8055555555555557E-2</v>
      </c>
      <c r="L165" s="310">
        <f t="shared" si="18"/>
        <v>0</v>
      </c>
      <c r="M165" s="307" t="s">
        <v>110</v>
      </c>
    </row>
    <row r="166" spans="1:13" ht="15" customHeight="1">
      <c r="A166" s="266"/>
      <c r="B166">
        <f t="shared" si="23"/>
        <v>10</v>
      </c>
      <c r="C166" s="305">
        <f>Tableau11[[#This Row],[DATE2]]</f>
        <v>34958</v>
      </c>
      <c r="D166" s="306">
        <v>34958</v>
      </c>
      <c r="E166" s="307" t="s">
        <v>86</v>
      </c>
      <c r="F166" s="307" t="s">
        <v>91</v>
      </c>
      <c r="G166" s="331">
        <v>2.0833333333333332E-2</v>
      </c>
      <c r="H166" s="307" t="s">
        <v>55</v>
      </c>
      <c r="I166" s="307">
        <v>1</v>
      </c>
      <c r="J166" s="307"/>
      <c r="K166" s="309">
        <f t="shared" si="22"/>
        <v>2.0833333333333332E-2</v>
      </c>
      <c r="L166" s="310">
        <f t="shared" si="18"/>
        <v>0</v>
      </c>
      <c r="M166" s="307" t="s">
        <v>111</v>
      </c>
    </row>
    <row r="167" spans="1:13" ht="15" customHeight="1">
      <c r="A167" s="266"/>
      <c r="B167">
        <f t="shared" si="23"/>
        <v>11</v>
      </c>
      <c r="C167" s="305">
        <f>Tableau11[[#This Row],[DATE2]]</f>
        <v>34963</v>
      </c>
      <c r="D167" s="306">
        <v>34963</v>
      </c>
      <c r="E167" s="307" t="s">
        <v>86</v>
      </c>
      <c r="F167" s="307" t="s">
        <v>87</v>
      </c>
      <c r="G167" s="331">
        <v>2.4999999999999998E-2</v>
      </c>
      <c r="H167" s="307" t="s">
        <v>55</v>
      </c>
      <c r="I167" s="307">
        <v>1</v>
      </c>
      <c r="J167" s="307"/>
      <c r="K167" s="309">
        <f t="shared" si="22"/>
        <v>2.4999999999999998E-2</v>
      </c>
      <c r="L167" s="310">
        <f t="shared" si="18"/>
        <v>0</v>
      </c>
      <c r="M167" s="307" t="s">
        <v>104</v>
      </c>
    </row>
    <row r="168" spans="1:13" ht="15" customHeight="1">
      <c r="A168" s="266"/>
      <c r="B168">
        <f t="shared" si="23"/>
        <v>12</v>
      </c>
      <c r="C168" s="305">
        <f>Tableau11[[#This Row],[DATE2]]</f>
        <v>34970</v>
      </c>
      <c r="D168" s="306">
        <v>34970</v>
      </c>
      <c r="E168" s="307" t="s">
        <v>86</v>
      </c>
      <c r="F168" s="307" t="s">
        <v>87</v>
      </c>
      <c r="G168" s="331">
        <v>3.1944444444444449E-2</v>
      </c>
      <c r="H168" s="307" t="s">
        <v>55</v>
      </c>
      <c r="I168" s="307">
        <v>1</v>
      </c>
      <c r="J168" s="307"/>
      <c r="K168" s="309">
        <f t="shared" si="22"/>
        <v>3.1944444444444449E-2</v>
      </c>
      <c r="L168" s="310">
        <f t="shared" si="18"/>
        <v>0</v>
      </c>
      <c r="M168" s="307" t="s">
        <v>112</v>
      </c>
    </row>
    <row r="169" spans="1:13" ht="15" customHeight="1">
      <c r="A169" s="266"/>
      <c r="B169">
        <f t="shared" si="23"/>
        <v>13</v>
      </c>
      <c r="C169" s="305">
        <f>Tableau11[[#This Row],[DATE2]]</f>
        <v>34970</v>
      </c>
      <c r="D169" s="306">
        <v>34970</v>
      </c>
      <c r="E169" s="307" t="s">
        <v>86</v>
      </c>
      <c r="F169" s="307" t="s">
        <v>87</v>
      </c>
      <c r="G169" s="331">
        <v>3.9583333333333331E-2</v>
      </c>
      <c r="H169" s="307" t="s">
        <v>55</v>
      </c>
      <c r="I169" s="307">
        <v>1</v>
      </c>
      <c r="J169" s="307"/>
      <c r="K169" s="309">
        <f t="shared" si="22"/>
        <v>3.9583333333333331E-2</v>
      </c>
      <c r="L169" s="310">
        <f t="shared" si="18"/>
        <v>0</v>
      </c>
      <c r="M169" s="307" t="s">
        <v>113</v>
      </c>
    </row>
    <row r="170" spans="1:13" ht="15" customHeight="1" thickBot="1">
      <c r="A170" s="266"/>
      <c r="B170">
        <f t="shared" si="23"/>
        <v>14</v>
      </c>
      <c r="C170" s="305">
        <f>Tableau11[[#This Row],[DATE2]]</f>
        <v>34991</v>
      </c>
      <c r="D170" s="306">
        <v>34991</v>
      </c>
      <c r="E170" s="307" t="s">
        <v>86</v>
      </c>
      <c r="F170" s="307" t="s">
        <v>87</v>
      </c>
      <c r="G170" s="331">
        <v>3.6111111111111115E-2</v>
      </c>
      <c r="H170" s="307" t="s">
        <v>55</v>
      </c>
      <c r="I170" s="307">
        <v>1</v>
      </c>
      <c r="J170" s="307"/>
      <c r="K170" s="309">
        <f t="shared" si="22"/>
        <v>3.6111111111111115E-2</v>
      </c>
      <c r="L170" s="310">
        <f t="shared" si="18"/>
        <v>0</v>
      </c>
      <c r="M170" s="307"/>
    </row>
    <row r="171" spans="1:13" ht="15" customHeight="1">
      <c r="A171" s="266"/>
      <c r="C171" s="335"/>
      <c r="D171" s="336"/>
      <c r="E171" s="337"/>
      <c r="F171" s="338" t="s">
        <v>81</v>
      </c>
      <c r="G171" s="311">
        <f>SUM(G157:G170)</f>
        <v>0.50763888888888886</v>
      </c>
      <c r="H171" s="337"/>
      <c r="I171" s="285">
        <f>SUM(I157:I170)</f>
        <v>14</v>
      </c>
      <c r="J171" s="286"/>
      <c r="K171" s="312">
        <f>SUM(K157:K170)</f>
        <v>0.50763888888888886</v>
      </c>
      <c r="L171" s="313">
        <f>SUM(L157:L170)</f>
        <v>0</v>
      </c>
      <c r="M171" s="339"/>
    </row>
    <row r="172" spans="1:13" ht="15" customHeight="1">
      <c r="A172" s="266"/>
      <c r="C172" s="280"/>
      <c r="D172" s="281"/>
      <c r="E172" s="282"/>
      <c r="F172" s="289" t="s">
        <v>82</v>
      </c>
      <c r="G172" s="314">
        <f>G156</f>
        <v>3.2111111111111112</v>
      </c>
      <c r="H172" s="282"/>
      <c r="I172" s="291">
        <f>I156</f>
        <v>246</v>
      </c>
      <c r="J172" s="292"/>
      <c r="K172" s="315">
        <f>K156</f>
        <v>1.0513888888888887</v>
      </c>
      <c r="L172" s="316">
        <f>L156</f>
        <v>2.1597222222222223</v>
      </c>
      <c r="M172" s="340"/>
    </row>
    <row r="173" spans="1:13" ht="16.05" customHeight="1" thickBot="1">
      <c r="A173" s="295"/>
      <c r="C173" s="296"/>
      <c r="D173" s="297"/>
      <c r="E173" s="298"/>
      <c r="F173" s="299" t="s">
        <v>83</v>
      </c>
      <c r="G173" s="317">
        <f>G171+G172</f>
        <v>3.71875</v>
      </c>
      <c r="H173" s="298"/>
      <c r="I173" s="301">
        <f>I172+I171</f>
        <v>260</v>
      </c>
      <c r="J173" s="302"/>
      <c r="K173" s="318">
        <f>SUM(K171:K172)</f>
        <v>1.5590277777777777</v>
      </c>
      <c r="L173" s="319">
        <f>L171+L172</f>
        <v>2.1597222222222223</v>
      </c>
      <c r="M173" s="341"/>
    </row>
    <row r="174" spans="1:13" ht="15" customHeight="1">
      <c r="A174" s="257">
        <f t="shared" ref="A174" si="24">A157+1</f>
        <v>11</v>
      </c>
      <c r="B174">
        <v>1</v>
      </c>
      <c r="C174" s="305">
        <f>Tableau11[[#This Row],[DATE2]]</f>
        <v>34991</v>
      </c>
      <c r="D174" s="306">
        <v>34991</v>
      </c>
      <c r="E174" s="307" t="s">
        <v>86</v>
      </c>
      <c r="F174" s="307" t="s">
        <v>87</v>
      </c>
      <c r="G174" s="331">
        <v>3.7499999999999999E-2</v>
      </c>
      <c r="H174" s="307" t="s">
        <v>55</v>
      </c>
      <c r="I174" s="307">
        <v>1</v>
      </c>
      <c r="J174" s="307"/>
      <c r="K174" s="309">
        <f t="shared" si="22"/>
        <v>3.7499999999999999E-2</v>
      </c>
      <c r="L174" s="310">
        <f t="shared" si="18"/>
        <v>0</v>
      </c>
      <c r="M174" s="307" t="s">
        <v>113</v>
      </c>
    </row>
    <row r="175" spans="1:13" ht="15" customHeight="1">
      <c r="A175" s="266"/>
      <c r="B175">
        <f>B174+1</f>
        <v>2</v>
      </c>
      <c r="C175" s="305">
        <f>Tableau11[[#This Row],[DATE2]]</f>
        <v>35006</v>
      </c>
      <c r="D175" s="306">
        <v>35006</v>
      </c>
      <c r="E175" s="307" t="s">
        <v>69</v>
      </c>
      <c r="F175" s="307" t="s">
        <v>88</v>
      </c>
      <c r="G175" s="331">
        <v>4.5833333333333337E-2</v>
      </c>
      <c r="H175" s="307" t="s">
        <v>55</v>
      </c>
      <c r="I175" s="307">
        <v>1</v>
      </c>
      <c r="J175" s="307"/>
      <c r="K175" s="309">
        <f t="shared" si="22"/>
        <v>4.5833333333333337E-2</v>
      </c>
      <c r="L175" s="310">
        <f t="shared" si="18"/>
        <v>0</v>
      </c>
      <c r="M175" s="307" t="s">
        <v>111</v>
      </c>
    </row>
    <row r="176" spans="1:13" ht="15" customHeight="1">
      <c r="A176" s="266"/>
      <c r="B176">
        <f t="shared" ref="B176:B187" si="25">B175+1</f>
        <v>3</v>
      </c>
      <c r="C176" s="305">
        <f>Tableau11[[#This Row],[DATE2]]</f>
        <v>35042</v>
      </c>
      <c r="D176" s="306">
        <v>35042</v>
      </c>
      <c r="E176" s="307" t="s">
        <v>86</v>
      </c>
      <c r="F176" s="307" t="s">
        <v>87</v>
      </c>
      <c r="G176" s="331">
        <v>4.2361111111111106E-2</v>
      </c>
      <c r="H176" s="307" t="s">
        <v>55</v>
      </c>
      <c r="I176" s="307">
        <v>1</v>
      </c>
      <c r="J176" s="307"/>
      <c r="K176" s="309">
        <f t="shared" si="22"/>
        <v>4.2361111111111106E-2</v>
      </c>
      <c r="L176" s="310">
        <f t="shared" si="18"/>
        <v>0</v>
      </c>
      <c r="M176" s="307" t="s">
        <v>114</v>
      </c>
    </row>
    <row r="177" spans="1:13" ht="15" customHeight="1">
      <c r="A177" s="266"/>
      <c r="B177">
        <f t="shared" si="25"/>
        <v>4</v>
      </c>
      <c r="C177" s="305">
        <f>Tableau11[[#This Row],[DATE2]]</f>
        <v>35042</v>
      </c>
      <c r="D177" s="306">
        <v>35042</v>
      </c>
      <c r="E177" s="307" t="s">
        <v>86</v>
      </c>
      <c r="F177" s="307" t="s">
        <v>87</v>
      </c>
      <c r="G177" s="331">
        <v>9.0277777777777787E-3</v>
      </c>
      <c r="H177" s="307" t="s">
        <v>55</v>
      </c>
      <c r="I177" s="307">
        <v>1</v>
      </c>
      <c r="J177" s="307"/>
      <c r="K177" s="309">
        <f t="shared" si="22"/>
        <v>9.0277777777777787E-3</v>
      </c>
      <c r="L177" s="310">
        <f t="shared" si="18"/>
        <v>0</v>
      </c>
      <c r="M177" s="307" t="s">
        <v>115</v>
      </c>
    </row>
    <row r="178" spans="1:13" ht="15" customHeight="1">
      <c r="A178" s="266"/>
      <c r="B178">
        <f t="shared" si="25"/>
        <v>5</v>
      </c>
      <c r="C178" s="305">
        <f>Tableau11[[#This Row],[DATE2]]</f>
        <v>35086</v>
      </c>
      <c r="D178" s="306">
        <v>35086</v>
      </c>
      <c r="E178" s="307" t="s">
        <v>86</v>
      </c>
      <c r="F178" s="307" t="s">
        <v>102</v>
      </c>
      <c r="G178" s="331">
        <v>0.11597222222222221</v>
      </c>
      <c r="H178" s="307" t="s">
        <v>55</v>
      </c>
      <c r="I178" s="307">
        <v>1</v>
      </c>
      <c r="J178" s="307"/>
      <c r="K178" s="309">
        <f t="shared" si="22"/>
        <v>0.11597222222222221</v>
      </c>
      <c r="L178" s="310">
        <f t="shared" si="18"/>
        <v>0</v>
      </c>
      <c r="M178" s="307" t="s">
        <v>116</v>
      </c>
    </row>
    <row r="179" spans="1:13" ht="15" customHeight="1">
      <c r="A179" s="266"/>
      <c r="B179">
        <f t="shared" si="25"/>
        <v>6</v>
      </c>
      <c r="C179" s="305">
        <f>Tableau11[[#This Row],[DATE2]]</f>
        <v>35133</v>
      </c>
      <c r="D179" s="306">
        <v>35133</v>
      </c>
      <c r="E179" s="307" t="s">
        <v>69</v>
      </c>
      <c r="F179" s="307" t="s">
        <v>88</v>
      </c>
      <c r="G179" s="331">
        <v>1.6666666666666666E-2</v>
      </c>
      <c r="H179" s="307" t="s">
        <v>55</v>
      </c>
      <c r="I179" s="307">
        <v>1</v>
      </c>
      <c r="J179" s="307"/>
      <c r="K179" s="309">
        <f t="shared" si="22"/>
        <v>1.6666666666666666E-2</v>
      </c>
      <c r="L179" s="310">
        <f t="shared" si="18"/>
        <v>0</v>
      </c>
      <c r="M179" s="307" t="s">
        <v>110</v>
      </c>
    </row>
    <row r="180" spans="1:13" ht="15" customHeight="1">
      <c r="A180" s="266"/>
      <c r="B180">
        <f t="shared" si="25"/>
        <v>7</v>
      </c>
      <c r="C180" s="305">
        <f>Tableau11[[#This Row],[DATE2]]</f>
        <v>35140</v>
      </c>
      <c r="D180" s="306">
        <v>35140</v>
      </c>
      <c r="E180" s="307" t="s">
        <v>86</v>
      </c>
      <c r="F180" s="307" t="s">
        <v>117</v>
      </c>
      <c r="G180" s="331">
        <v>1.8749999999999999E-2</v>
      </c>
      <c r="H180" s="307" t="s">
        <v>55</v>
      </c>
      <c r="I180" s="307">
        <v>1</v>
      </c>
      <c r="J180" s="307"/>
      <c r="K180" s="309">
        <f t="shared" si="22"/>
        <v>1.8749999999999999E-2</v>
      </c>
      <c r="L180" s="310">
        <f t="shared" si="18"/>
        <v>0</v>
      </c>
      <c r="M180" s="307"/>
    </row>
    <row r="181" spans="1:13" ht="15" customHeight="1">
      <c r="A181" s="266"/>
      <c r="B181">
        <f t="shared" si="25"/>
        <v>8</v>
      </c>
      <c r="C181" s="305">
        <f>Tableau11[[#This Row],[DATE2]]</f>
        <v>35163</v>
      </c>
      <c r="D181" s="306">
        <v>35163</v>
      </c>
      <c r="E181" s="307" t="s">
        <v>86</v>
      </c>
      <c r="F181" s="307" t="s">
        <v>117</v>
      </c>
      <c r="G181" s="331">
        <v>2.4999999999999998E-2</v>
      </c>
      <c r="H181" s="307" t="s">
        <v>55</v>
      </c>
      <c r="I181" s="307">
        <v>1</v>
      </c>
      <c r="J181" s="307"/>
      <c r="K181" s="309">
        <f t="shared" si="22"/>
        <v>2.4999999999999998E-2</v>
      </c>
      <c r="L181" s="310">
        <f t="shared" si="18"/>
        <v>0</v>
      </c>
      <c r="M181" s="307"/>
    </row>
    <row r="182" spans="1:13" ht="15" customHeight="1">
      <c r="A182" s="266"/>
      <c r="B182">
        <f t="shared" si="25"/>
        <v>9</v>
      </c>
      <c r="C182" s="305">
        <f>Tableau11[[#This Row],[DATE2]]</f>
        <v>35211</v>
      </c>
      <c r="D182" s="306">
        <v>35211</v>
      </c>
      <c r="E182" s="307" t="s">
        <v>86</v>
      </c>
      <c r="F182" s="307" t="s">
        <v>91</v>
      </c>
      <c r="G182" s="331">
        <v>3.2638888888888891E-2</v>
      </c>
      <c r="H182" s="307" t="s">
        <v>55</v>
      </c>
      <c r="I182" s="307">
        <v>2</v>
      </c>
      <c r="J182" s="307"/>
      <c r="K182" s="309">
        <f t="shared" si="22"/>
        <v>3.2638888888888891E-2</v>
      </c>
      <c r="L182" s="310">
        <f t="shared" si="18"/>
        <v>0</v>
      </c>
      <c r="M182" s="307"/>
    </row>
    <row r="183" spans="1:13" ht="15" customHeight="1">
      <c r="A183" s="266"/>
      <c r="B183">
        <f t="shared" si="25"/>
        <v>10</v>
      </c>
      <c r="C183" s="305">
        <f>Tableau11[[#This Row],[DATE2]]</f>
        <v>35217</v>
      </c>
      <c r="D183" s="306">
        <v>35217</v>
      </c>
      <c r="E183" s="307" t="s">
        <v>86</v>
      </c>
      <c r="F183" s="307" t="s">
        <v>87</v>
      </c>
      <c r="G183" s="331">
        <v>2.0833333333333332E-2</v>
      </c>
      <c r="H183" s="307" t="s">
        <v>55</v>
      </c>
      <c r="I183" s="307">
        <v>1</v>
      </c>
      <c r="J183" s="307"/>
      <c r="K183" s="309">
        <f t="shared" si="22"/>
        <v>2.0833333333333332E-2</v>
      </c>
      <c r="L183" s="310">
        <f t="shared" si="18"/>
        <v>0</v>
      </c>
      <c r="M183" s="307" t="s">
        <v>110</v>
      </c>
    </row>
    <row r="184" spans="1:13" ht="15" customHeight="1">
      <c r="A184" s="266"/>
      <c r="B184">
        <f t="shared" si="25"/>
        <v>11</v>
      </c>
      <c r="C184" s="305">
        <f>Tableau11[[#This Row],[DATE2]]</f>
        <v>35217</v>
      </c>
      <c r="D184" s="306">
        <v>35217</v>
      </c>
      <c r="E184" s="307" t="s">
        <v>86</v>
      </c>
      <c r="F184" s="307" t="s">
        <v>87</v>
      </c>
      <c r="G184" s="331">
        <v>2.2916666666666669E-2</v>
      </c>
      <c r="H184" s="307" t="s">
        <v>55</v>
      </c>
      <c r="I184" s="307">
        <v>1</v>
      </c>
      <c r="J184" s="307"/>
      <c r="K184" s="309">
        <f t="shared" si="22"/>
        <v>2.2916666666666669E-2</v>
      </c>
      <c r="L184" s="310">
        <f t="shared" si="18"/>
        <v>0</v>
      </c>
      <c r="M184" s="307" t="s">
        <v>111</v>
      </c>
    </row>
    <row r="185" spans="1:13" ht="15" customHeight="1">
      <c r="A185" s="266"/>
      <c r="B185">
        <f t="shared" si="25"/>
        <v>12</v>
      </c>
      <c r="C185" s="305">
        <f>Tableau11[[#This Row],[DATE2]]</f>
        <v>35217</v>
      </c>
      <c r="D185" s="306">
        <v>35217</v>
      </c>
      <c r="E185" s="307" t="s">
        <v>86</v>
      </c>
      <c r="F185" s="307" t="s">
        <v>87</v>
      </c>
      <c r="G185" s="331">
        <v>1.5972222222222224E-2</v>
      </c>
      <c r="H185" s="307" t="s">
        <v>55</v>
      </c>
      <c r="I185" s="307">
        <v>1</v>
      </c>
      <c r="J185" s="307"/>
      <c r="K185" s="309">
        <f t="shared" si="22"/>
        <v>1.5972222222222224E-2</v>
      </c>
      <c r="L185" s="310">
        <f t="shared" si="18"/>
        <v>0</v>
      </c>
      <c r="M185" s="307" t="s">
        <v>110</v>
      </c>
    </row>
    <row r="186" spans="1:13" ht="15" customHeight="1">
      <c r="A186" s="266"/>
      <c r="B186">
        <f t="shared" si="25"/>
        <v>13</v>
      </c>
      <c r="C186" s="305">
        <f>Tableau11[[#This Row],[DATE2]]</f>
        <v>35224</v>
      </c>
      <c r="D186" s="306">
        <v>35224</v>
      </c>
      <c r="E186" s="307" t="s">
        <v>86</v>
      </c>
      <c r="F186" s="307" t="s">
        <v>87</v>
      </c>
      <c r="G186" s="331">
        <v>3.6805555555555557E-2</v>
      </c>
      <c r="H186" s="307" t="s">
        <v>55</v>
      </c>
      <c r="I186" s="307">
        <v>2</v>
      </c>
      <c r="J186" s="307"/>
      <c r="K186" s="309">
        <f t="shared" si="22"/>
        <v>3.6805555555555557E-2</v>
      </c>
      <c r="L186" s="310">
        <f t="shared" si="18"/>
        <v>0</v>
      </c>
      <c r="M186" s="307"/>
    </row>
    <row r="187" spans="1:13" ht="15" customHeight="1" thickBot="1">
      <c r="A187" s="266"/>
      <c r="B187">
        <f t="shared" si="25"/>
        <v>14</v>
      </c>
      <c r="C187" s="305">
        <f>Tableau11[[#This Row],[DATE2]]</f>
        <v>35231</v>
      </c>
      <c r="D187" s="306">
        <v>35231</v>
      </c>
      <c r="E187" s="307" t="s">
        <v>86</v>
      </c>
      <c r="F187" s="307" t="s">
        <v>102</v>
      </c>
      <c r="G187" s="331">
        <v>2.0833333333333332E-2</v>
      </c>
      <c r="H187" s="307" t="s">
        <v>55</v>
      </c>
      <c r="I187" s="307">
        <v>1</v>
      </c>
      <c r="J187" s="307"/>
      <c r="K187" s="309">
        <f t="shared" si="22"/>
        <v>2.0833333333333332E-2</v>
      </c>
      <c r="L187" s="310">
        <f t="shared" si="18"/>
        <v>0</v>
      </c>
      <c r="M187" s="307"/>
    </row>
    <row r="188" spans="1:13" ht="15" customHeight="1">
      <c r="A188" s="266"/>
      <c r="C188" s="335"/>
      <c r="D188" s="336"/>
      <c r="E188" s="337"/>
      <c r="F188" s="338" t="s">
        <v>81</v>
      </c>
      <c r="G188" s="311">
        <f>SUM(G174:G187)</f>
        <v>0.46111111111111103</v>
      </c>
      <c r="H188" s="337"/>
      <c r="I188" s="285">
        <f>SUM(I174:I187)</f>
        <v>16</v>
      </c>
      <c r="J188" s="286"/>
      <c r="K188" s="312">
        <f>SUM(K174:K187)</f>
        <v>0.46111111111111103</v>
      </c>
      <c r="L188" s="313">
        <f>SUM(L174:L187)</f>
        <v>0</v>
      </c>
      <c r="M188" s="339"/>
    </row>
    <row r="189" spans="1:13" ht="15" customHeight="1">
      <c r="A189" s="266"/>
      <c r="C189" s="280"/>
      <c r="D189" s="281"/>
      <c r="E189" s="282"/>
      <c r="F189" s="289" t="s">
        <v>82</v>
      </c>
      <c r="G189" s="314">
        <f>G173</f>
        <v>3.71875</v>
      </c>
      <c r="H189" s="282"/>
      <c r="I189" s="291">
        <f>I173</f>
        <v>260</v>
      </c>
      <c r="J189" s="292"/>
      <c r="K189" s="315">
        <f>K173</f>
        <v>1.5590277777777777</v>
      </c>
      <c r="L189" s="316">
        <f>L173</f>
        <v>2.1597222222222223</v>
      </c>
      <c r="M189" s="340"/>
    </row>
    <row r="190" spans="1:13" ht="16.05" customHeight="1" thickBot="1">
      <c r="A190" s="295"/>
      <c r="C190" s="296"/>
      <c r="D190" s="297"/>
      <c r="E190" s="298"/>
      <c r="F190" s="299" t="s">
        <v>83</v>
      </c>
      <c r="G190" s="317">
        <f>G188+G189</f>
        <v>4.1798611111111112</v>
      </c>
      <c r="H190" s="298"/>
      <c r="I190" s="301">
        <f>I189+I188</f>
        <v>276</v>
      </c>
      <c r="J190" s="302"/>
      <c r="K190" s="318">
        <f>SUM(K188:K189)</f>
        <v>2.0201388888888889</v>
      </c>
      <c r="L190" s="319">
        <f>L188+L189</f>
        <v>2.1597222222222223</v>
      </c>
      <c r="M190" s="341"/>
    </row>
    <row r="191" spans="1:13" ht="15" customHeight="1">
      <c r="A191" s="257">
        <f t="shared" ref="A191" si="26">A174+1</f>
        <v>12</v>
      </c>
      <c r="B191">
        <v>1</v>
      </c>
      <c r="C191" s="305">
        <f>Tableau11[[#This Row],[DATE2]]</f>
        <v>35231</v>
      </c>
      <c r="D191" s="306">
        <v>35231</v>
      </c>
      <c r="E191" s="307" t="s">
        <v>86</v>
      </c>
      <c r="F191" s="307" t="s">
        <v>102</v>
      </c>
      <c r="G191" s="331">
        <v>2.013888888888889E-2</v>
      </c>
      <c r="H191" s="307" t="s">
        <v>55</v>
      </c>
      <c r="I191" s="307">
        <v>1</v>
      </c>
      <c r="J191" s="307"/>
      <c r="K191" s="309">
        <f t="shared" si="22"/>
        <v>2.013888888888889E-2</v>
      </c>
      <c r="L191" s="310">
        <f t="shared" si="18"/>
        <v>0</v>
      </c>
      <c r="M191" s="307"/>
    </row>
    <row r="192" spans="1:13" ht="15" customHeight="1">
      <c r="A192" s="266"/>
      <c r="B192">
        <f>B191+1</f>
        <v>2</v>
      </c>
      <c r="C192" s="305">
        <f>Tableau11[[#This Row],[DATE2]]</f>
        <v>35232</v>
      </c>
      <c r="D192" s="306">
        <v>35232</v>
      </c>
      <c r="E192" s="307" t="s">
        <v>69</v>
      </c>
      <c r="F192" s="307" t="s">
        <v>88</v>
      </c>
      <c r="G192" s="331">
        <v>2.0833333333333332E-2</v>
      </c>
      <c r="H192" s="307" t="s">
        <v>55</v>
      </c>
      <c r="I192" s="307">
        <v>1</v>
      </c>
      <c r="J192" s="307"/>
      <c r="K192" s="309">
        <f t="shared" si="22"/>
        <v>2.0833333333333332E-2</v>
      </c>
      <c r="L192" s="310">
        <f t="shared" si="18"/>
        <v>0</v>
      </c>
      <c r="M192" s="307"/>
    </row>
    <row r="193" spans="1:13" ht="15" customHeight="1">
      <c r="A193" s="266"/>
      <c r="B193">
        <f t="shared" ref="B193:B204" si="27">B192+1</f>
        <v>3</v>
      </c>
      <c r="C193" s="305">
        <f>Tableau11[[#This Row],[DATE2]]</f>
        <v>35266</v>
      </c>
      <c r="D193" s="306">
        <v>35266</v>
      </c>
      <c r="E193" s="307" t="s">
        <v>86</v>
      </c>
      <c r="F193" s="307" t="s">
        <v>102</v>
      </c>
      <c r="G193" s="331">
        <v>3.0555555555555555E-2</v>
      </c>
      <c r="H193" s="307" t="s">
        <v>55</v>
      </c>
      <c r="I193" s="307">
        <v>1</v>
      </c>
      <c r="J193" s="307"/>
      <c r="K193" s="309">
        <f t="shared" si="22"/>
        <v>3.0555555555555555E-2</v>
      </c>
      <c r="L193" s="310">
        <f t="shared" si="18"/>
        <v>0</v>
      </c>
      <c r="M193" s="307" t="s">
        <v>118</v>
      </c>
    </row>
    <row r="194" spans="1:13" ht="15" customHeight="1">
      <c r="A194" s="266"/>
      <c r="B194">
        <f t="shared" si="27"/>
        <v>4</v>
      </c>
      <c r="C194" s="305">
        <f>Tableau11[[#This Row],[DATE2]]</f>
        <v>35266</v>
      </c>
      <c r="D194" s="306">
        <v>35266</v>
      </c>
      <c r="E194" s="307" t="s">
        <v>86</v>
      </c>
      <c r="F194" s="307" t="s">
        <v>102</v>
      </c>
      <c r="G194" s="331">
        <v>3.7499999999999999E-2</v>
      </c>
      <c r="H194" s="307" t="s">
        <v>55</v>
      </c>
      <c r="I194" s="307">
        <v>1</v>
      </c>
      <c r="J194" s="307"/>
      <c r="K194" s="309">
        <f t="shared" si="22"/>
        <v>3.7499999999999999E-2</v>
      </c>
      <c r="L194" s="310">
        <f t="shared" si="18"/>
        <v>0</v>
      </c>
      <c r="M194" s="307" t="s">
        <v>108</v>
      </c>
    </row>
    <row r="195" spans="1:13" ht="15" customHeight="1">
      <c r="A195" s="266"/>
      <c r="B195">
        <f t="shared" si="27"/>
        <v>5</v>
      </c>
      <c r="C195" s="305">
        <f>Tableau11[[#This Row],[DATE2]]</f>
        <v>35274</v>
      </c>
      <c r="D195" s="306">
        <v>35274</v>
      </c>
      <c r="E195" s="307" t="s">
        <v>86</v>
      </c>
      <c r="F195" s="307" t="s">
        <v>117</v>
      </c>
      <c r="G195" s="331">
        <v>3.4722222222222224E-2</v>
      </c>
      <c r="H195" s="307" t="s">
        <v>55</v>
      </c>
      <c r="I195" s="307">
        <v>1</v>
      </c>
      <c r="J195" s="307"/>
      <c r="K195" s="309">
        <f t="shared" si="22"/>
        <v>3.4722222222222224E-2</v>
      </c>
      <c r="L195" s="310">
        <f t="shared" si="18"/>
        <v>0</v>
      </c>
      <c r="M195" s="307" t="s">
        <v>110</v>
      </c>
    </row>
    <row r="196" spans="1:13" ht="15" customHeight="1">
      <c r="A196" s="266"/>
      <c r="B196">
        <f t="shared" si="27"/>
        <v>6</v>
      </c>
      <c r="C196" s="305">
        <f>Tableau11[[#This Row],[DATE2]]</f>
        <v>35277</v>
      </c>
      <c r="D196" s="306">
        <v>35277</v>
      </c>
      <c r="E196" s="307" t="s">
        <v>86</v>
      </c>
      <c r="F196" s="307" t="s">
        <v>117</v>
      </c>
      <c r="G196" s="331">
        <v>9.930555555555555E-2</v>
      </c>
      <c r="H196" s="307" t="s">
        <v>55</v>
      </c>
      <c r="I196" s="307">
        <v>1</v>
      </c>
      <c r="J196" s="307"/>
      <c r="K196" s="309">
        <f t="shared" si="22"/>
        <v>9.930555555555555E-2</v>
      </c>
      <c r="L196" s="310">
        <f t="shared" ref="L196:L238" si="28">IF(H196="PENDERS Bernard",0,G196)</f>
        <v>0</v>
      </c>
      <c r="M196" s="307" t="s">
        <v>119</v>
      </c>
    </row>
    <row r="197" spans="1:13" ht="15" customHeight="1">
      <c r="A197" s="266"/>
      <c r="B197">
        <f t="shared" si="27"/>
        <v>7</v>
      </c>
      <c r="C197" s="305">
        <f>Tableau11[[#This Row],[DATE2]]</f>
        <v>35278</v>
      </c>
      <c r="D197" s="306">
        <v>35278</v>
      </c>
      <c r="E197" s="307" t="s">
        <v>86</v>
      </c>
      <c r="F197" s="307" t="s">
        <v>117</v>
      </c>
      <c r="G197" s="331">
        <v>1.5972222222222224E-2</v>
      </c>
      <c r="H197" s="307" t="s">
        <v>55</v>
      </c>
      <c r="I197" s="307">
        <v>1</v>
      </c>
      <c r="J197" s="307"/>
      <c r="K197" s="309">
        <f t="shared" si="22"/>
        <v>1.5972222222222224E-2</v>
      </c>
      <c r="L197" s="310">
        <f t="shared" si="28"/>
        <v>0</v>
      </c>
      <c r="M197" s="307" t="s">
        <v>111</v>
      </c>
    </row>
    <row r="198" spans="1:13" ht="15" customHeight="1">
      <c r="A198" s="266"/>
      <c r="B198">
        <f t="shared" si="27"/>
        <v>8</v>
      </c>
      <c r="C198" s="305">
        <f>Tableau11[[#This Row],[DATE2]]</f>
        <v>35301</v>
      </c>
      <c r="D198" s="306">
        <v>35301</v>
      </c>
      <c r="E198" s="307" t="s">
        <v>86</v>
      </c>
      <c r="F198" s="307" t="s">
        <v>117</v>
      </c>
      <c r="G198" s="331">
        <v>6.1805555555555558E-2</v>
      </c>
      <c r="H198" s="307" t="s">
        <v>55</v>
      </c>
      <c r="I198" s="307">
        <v>1</v>
      </c>
      <c r="J198" s="307"/>
      <c r="K198" s="309">
        <f t="shared" si="22"/>
        <v>6.1805555555555558E-2</v>
      </c>
      <c r="L198" s="310">
        <f t="shared" si="28"/>
        <v>0</v>
      </c>
      <c r="M198" s="307" t="s">
        <v>120</v>
      </c>
    </row>
    <row r="199" spans="1:13" ht="15" customHeight="1">
      <c r="A199" s="266"/>
      <c r="B199">
        <f t="shared" si="27"/>
        <v>9</v>
      </c>
      <c r="C199" s="305">
        <f>Tableau11[[#This Row],[DATE2]]</f>
        <v>35308</v>
      </c>
      <c r="D199" s="306">
        <v>35308</v>
      </c>
      <c r="E199" s="307" t="s">
        <v>86</v>
      </c>
      <c r="F199" s="307" t="s">
        <v>117</v>
      </c>
      <c r="G199" s="331">
        <v>3.5416666666666666E-2</v>
      </c>
      <c r="H199" s="307" t="s">
        <v>55</v>
      </c>
      <c r="I199" s="307">
        <v>1</v>
      </c>
      <c r="J199" s="307"/>
      <c r="K199" s="309">
        <f t="shared" si="22"/>
        <v>3.5416666666666666E-2</v>
      </c>
      <c r="L199" s="310">
        <f t="shared" si="28"/>
        <v>0</v>
      </c>
      <c r="M199" s="307" t="s">
        <v>111</v>
      </c>
    </row>
    <row r="200" spans="1:13" ht="15" customHeight="1">
      <c r="A200" s="266"/>
      <c r="B200">
        <f t="shared" si="27"/>
        <v>10</v>
      </c>
      <c r="C200" s="305">
        <f>Tableau11[[#This Row],[DATE2]]</f>
        <v>35315</v>
      </c>
      <c r="D200" s="306">
        <v>35315</v>
      </c>
      <c r="E200" s="307" t="s">
        <v>86</v>
      </c>
      <c r="F200" s="307" t="s">
        <v>117</v>
      </c>
      <c r="G200" s="331">
        <v>2.0833333333333332E-2</v>
      </c>
      <c r="H200" s="307" t="s">
        <v>55</v>
      </c>
      <c r="I200" s="307">
        <v>1</v>
      </c>
      <c r="J200" s="307"/>
      <c r="K200" s="309">
        <f t="shared" si="22"/>
        <v>2.0833333333333332E-2</v>
      </c>
      <c r="L200" s="310">
        <f t="shared" si="28"/>
        <v>0</v>
      </c>
      <c r="M200" s="307"/>
    </row>
    <row r="201" spans="1:13" ht="15" customHeight="1">
      <c r="A201" s="266"/>
      <c r="B201">
        <f t="shared" si="27"/>
        <v>11</v>
      </c>
      <c r="C201" s="305">
        <f>Tableau11[[#This Row],[DATE2]]</f>
        <v>35351</v>
      </c>
      <c r="D201" s="306">
        <v>35351</v>
      </c>
      <c r="E201" s="307" t="s">
        <v>86</v>
      </c>
      <c r="F201" s="307" t="s">
        <v>91</v>
      </c>
      <c r="G201" s="331">
        <v>2.1527777777777781E-2</v>
      </c>
      <c r="H201" s="307" t="s">
        <v>55</v>
      </c>
      <c r="I201" s="307">
        <v>1</v>
      </c>
      <c r="J201" s="307"/>
      <c r="K201" s="309">
        <f t="shared" si="22"/>
        <v>2.1527777777777781E-2</v>
      </c>
      <c r="L201" s="310">
        <f t="shared" si="28"/>
        <v>0</v>
      </c>
      <c r="M201" s="307"/>
    </row>
    <row r="202" spans="1:13" ht="15" customHeight="1">
      <c r="A202" s="266"/>
      <c r="B202">
        <f t="shared" si="27"/>
        <v>12</v>
      </c>
      <c r="C202" s="305">
        <f>Tableau11[[#This Row],[DATE2]]</f>
        <v>35364</v>
      </c>
      <c r="D202" s="306">
        <v>35364</v>
      </c>
      <c r="E202" s="307" t="s">
        <v>86</v>
      </c>
      <c r="F202" s="307" t="s">
        <v>102</v>
      </c>
      <c r="G202" s="331">
        <v>2.5694444444444447E-2</v>
      </c>
      <c r="H202" s="307" t="s">
        <v>55</v>
      </c>
      <c r="I202" s="307">
        <v>1</v>
      </c>
      <c r="J202" s="307"/>
      <c r="K202" s="309">
        <f>IF(H202="PENDERS Bernard",G202,0)</f>
        <v>2.5694444444444447E-2</v>
      </c>
      <c r="L202" s="310">
        <v>0</v>
      </c>
      <c r="M202" s="307"/>
    </row>
    <row r="203" spans="1:13" ht="15" customHeight="1">
      <c r="A203" s="266"/>
      <c r="B203">
        <f t="shared" si="27"/>
        <v>13</v>
      </c>
      <c r="C203" s="305">
        <f>Tableau11[[#This Row],[DATE2]]</f>
        <v>35371</v>
      </c>
      <c r="D203" s="306">
        <v>35371</v>
      </c>
      <c r="E203" s="307" t="s">
        <v>121</v>
      </c>
      <c r="F203" s="307" t="s">
        <v>122</v>
      </c>
      <c r="G203" s="331">
        <v>1.8055555555555557E-2</v>
      </c>
      <c r="H203" s="307" t="s">
        <v>80</v>
      </c>
      <c r="I203" s="307">
        <v>1</v>
      </c>
      <c r="J203" s="307"/>
      <c r="K203" s="309">
        <f t="shared" si="22"/>
        <v>0</v>
      </c>
      <c r="L203" s="310">
        <f t="shared" ref="L203:L271" si="29">IF(H203="PENDERS Bernard",0,G203)</f>
        <v>1.8055555555555557E-2</v>
      </c>
      <c r="M203" s="307"/>
    </row>
    <row r="204" spans="1:13" ht="15" customHeight="1" thickBot="1">
      <c r="A204" s="266"/>
      <c r="B204">
        <f t="shared" si="27"/>
        <v>14</v>
      </c>
      <c r="C204" s="305">
        <f>Tableau11[[#This Row],[DATE2]]</f>
        <v>35378</v>
      </c>
      <c r="D204" s="306">
        <v>35378</v>
      </c>
      <c r="E204" s="307" t="s">
        <v>86</v>
      </c>
      <c r="F204" s="307" t="s">
        <v>87</v>
      </c>
      <c r="G204" s="331">
        <v>2.0833333333333332E-2</v>
      </c>
      <c r="H204" s="307" t="s">
        <v>55</v>
      </c>
      <c r="I204" s="307">
        <v>1</v>
      </c>
      <c r="J204" s="307"/>
      <c r="K204" s="309">
        <f t="shared" si="22"/>
        <v>2.0833333333333332E-2</v>
      </c>
      <c r="L204" s="310">
        <f t="shared" si="29"/>
        <v>0</v>
      </c>
      <c r="M204" s="307"/>
    </row>
    <row r="205" spans="1:13" ht="15" customHeight="1">
      <c r="A205" s="266"/>
      <c r="C205" s="335"/>
      <c r="D205" s="336"/>
      <c r="E205" s="337"/>
      <c r="F205" s="338" t="s">
        <v>81</v>
      </c>
      <c r="G205" s="311">
        <f>SUM(G191:G204)</f>
        <v>0.46319444444444435</v>
      </c>
      <c r="H205" s="337"/>
      <c r="I205" s="285">
        <f>SUM(I191:I204)</f>
        <v>14</v>
      </c>
      <c r="J205" s="286"/>
      <c r="K205" s="312">
        <f>SUM(K191:K204)</f>
        <v>0.44513888888888881</v>
      </c>
      <c r="L205" s="313">
        <f>SUM(L191:L204)</f>
        <v>1.8055555555555557E-2</v>
      </c>
      <c r="M205" s="339"/>
    </row>
    <row r="206" spans="1:13" ht="15" customHeight="1">
      <c r="A206" s="266"/>
      <c r="C206" s="280"/>
      <c r="D206" s="281"/>
      <c r="E206" s="282"/>
      <c r="F206" s="289" t="s">
        <v>82</v>
      </c>
      <c r="G206" s="314">
        <f>G190</f>
        <v>4.1798611111111112</v>
      </c>
      <c r="H206" s="282"/>
      <c r="I206" s="291">
        <f>I190</f>
        <v>276</v>
      </c>
      <c r="J206" s="292"/>
      <c r="K206" s="315">
        <f>K190</f>
        <v>2.0201388888888889</v>
      </c>
      <c r="L206" s="316">
        <f>L190</f>
        <v>2.1597222222222223</v>
      </c>
      <c r="M206" s="340"/>
    </row>
    <row r="207" spans="1:13" ht="16.05" customHeight="1" thickBot="1">
      <c r="A207" s="295"/>
      <c r="C207" s="296"/>
      <c r="D207" s="297"/>
      <c r="E207" s="298"/>
      <c r="F207" s="299" t="s">
        <v>83</v>
      </c>
      <c r="G207" s="317">
        <f>G205+G206</f>
        <v>4.6430555555555557</v>
      </c>
      <c r="H207" s="298"/>
      <c r="I207" s="301">
        <f>I206+I205</f>
        <v>290</v>
      </c>
      <c r="J207" s="302"/>
      <c r="K207" s="318">
        <f>SUM(K205:K206)</f>
        <v>2.4652777777777777</v>
      </c>
      <c r="L207" s="319">
        <f>L205+L206</f>
        <v>2.177777777777778</v>
      </c>
      <c r="M207" s="341"/>
    </row>
    <row r="208" spans="1:13" ht="15" customHeight="1">
      <c r="A208" s="257">
        <f t="shared" ref="A208" si="30">A191+1</f>
        <v>13</v>
      </c>
      <c r="B208">
        <v>1</v>
      </c>
      <c r="C208" s="305">
        <f>Tableau11[[#This Row],[DATE2]]</f>
        <v>35382</v>
      </c>
      <c r="D208" s="306">
        <v>35382</v>
      </c>
      <c r="E208" s="307" t="s">
        <v>121</v>
      </c>
      <c r="F208" s="307" t="s">
        <v>122</v>
      </c>
      <c r="G208" s="331">
        <v>3.1944444444444449E-2</v>
      </c>
      <c r="H208" s="307" t="s">
        <v>80</v>
      </c>
      <c r="I208" s="307">
        <v>1</v>
      </c>
      <c r="J208" s="307"/>
      <c r="K208" s="309">
        <f t="shared" si="22"/>
        <v>0</v>
      </c>
      <c r="L208" s="310">
        <f t="shared" si="29"/>
        <v>3.1944444444444449E-2</v>
      </c>
      <c r="M208" s="307"/>
    </row>
    <row r="209" spans="1:13" ht="15" customHeight="1">
      <c r="A209" s="266"/>
      <c r="B209">
        <f>B208+1</f>
        <v>2</v>
      </c>
      <c r="C209" s="305">
        <f>Tableau11[[#This Row],[DATE2]]</f>
        <v>35406</v>
      </c>
      <c r="D209" s="306">
        <v>35406</v>
      </c>
      <c r="E209" s="307" t="s">
        <v>121</v>
      </c>
      <c r="F209" s="307" t="s">
        <v>122</v>
      </c>
      <c r="G209" s="331">
        <v>1.9444444444444445E-2</v>
      </c>
      <c r="H209" s="307" t="s">
        <v>80</v>
      </c>
      <c r="I209" s="307">
        <v>1</v>
      </c>
      <c r="J209" s="307"/>
      <c r="K209" s="309">
        <f t="shared" si="22"/>
        <v>0</v>
      </c>
      <c r="L209" s="310">
        <f t="shared" si="29"/>
        <v>1.9444444444444445E-2</v>
      </c>
      <c r="M209" s="307"/>
    </row>
    <row r="210" spans="1:13" ht="15" customHeight="1">
      <c r="A210" s="266"/>
      <c r="B210">
        <f t="shared" ref="B210:B221" si="31">B209+1</f>
        <v>3</v>
      </c>
      <c r="C210" s="305">
        <f>Tableau11[[#This Row],[DATE2]]</f>
        <v>35406</v>
      </c>
      <c r="D210" s="306">
        <v>35406</v>
      </c>
      <c r="E210" s="307" t="s">
        <v>121</v>
      </c>
      <c r="F210" s="307" t="s">
        <v>122</v>
      </c>
      <c r="G210" s="331">
        <v>8.3333333333333332E-3</v>
      </c>
      <c r="H210" s="307" t="s">
        <v>55</v>
      </c>
      <c r="I210" s="307">
        <v>1</v>
      </c>
      <c r="J210" s="307"/>
      <c r="K210" s="309">
        <f t="shared" si="22"/>
        <v>8.3333333333333332E-3</v>
      </c>
      <c r="L210" s="310">
        <f t="shared" si="29"/>
        <v>0</v>
      </c>
      <c r="M210" s="307"/>
    </row>
    <row r="211" spans="1:13" ht="15" customHeight="1">
      <c r="A211" s="266"/>
      <c r="B211">
        <f t="shared" si="31"/>
        <v>4</v>
      </c>
      <c r="C211" s="305">
        <f>Tableau11[[#This Row],[DATE2]]</f>
        <v>35420</v>
      </c>
      <c r="D211" s="306">
        <v>35420</v>
      </c>
      <c r="E211" s="307" t="s">
        <v>121</v>
      </c>
      <c r="F211" s="307" t="s">
        <v>122</v>
      </c>
      <c r="G211" s="331">
        <v>1.4583333333333332E-2</v>
      </c>
      <c r="H211" s="307" t="s">
        <v>55</v>
      </c>
      <c r="I211" s="307">
        <v>1</v>
      </c>
      <c r="J211" s="307"/>
      <c r="K211" s="309">
        <f t="shared" si="22"/>
        <v>1.4583333333333332E-2</v>
      </c>
      <c r="L211" s="310">
        <f t="shared" si="29"/>
        <v>0</v>
      </c>
      <c r="M211" s="307"/>
    </row>
    <row r="212" spans="1:13" ht="15" customHeight="1">
      <c r="A212" s="266"/>
      <c r="B212">
        <f t="shared" si="31"/>
        <v>5</v>
      </c>
      <c r="C212" s="305">
        <f>Tableau11[[#This Row],[DATE2]]</f>
        <v>35421</v>
      </c>
      <c r="D212" s="306">
        <v>35421</v>
      </c>
      <c r="E212" s="307" t="s">
        <v>121</v>
      </c>
      <c r="F212" s="307" t="s">
        <v>122</v>
      </c>
      <c r="G212" s="331">
        <v>1.7361111111111112E-2</v>
      </c>
      <c r="H212" s="307" t="s">
        <v>55</v>
      </c>
      <c r="I212" s="307">
        <v>1</v>
      </c>
      <c r="J212" s="307"/>
      <c r="K212" s="309">
        <f t="shared" si="22"/>
        <v>1.7361111111111112E-2</v>
      </c>
      <c r="L212" s="310">
        <f t="shared" si="29"/>
        <v>0</v>
      </c>
      <c r="M212" s="307"/>
    </row>
    <row r="213" spans="1:13" ht="15" customHeight="1">
      <c r="A213" s="266"/>
      <c r="B213">
        <f t="shared" si="31"/>
        <v>6</v>
      </c>
      <c r="C213" s="305">
        <f>Tableau11[[#This Row],[DATE2]]</f>
        <v>35448</v>
      </c>
      <c r="D213" s="306">
        <v>35448</v>
      </c>
      <c r="E213" s="307" t="s">
        <v>121</v>
      </c>
      <c r="F213" s="307" t="s">
        <v>122</v>
      </c>
      <c r="G213" s="331">
        <v>1.2499999999999999E-2</v>
      </c>
      <c r="H213" s="307" t="s">
        <v>55</v>
      </c>
      <c r="I213" s="307">
        <v>1</v>
      </c>
      <c r="J213" s="307"/>
      <c r="K213" s="309">
        <f t="shared" si="22"/>
        <v>1.2499999999999999E-2</v>
      </c>
      <c r="L213" s="310">
        <f t="shared" si="29"/>
        <v>0</v>
      </c>
      <c r="M213" s="307"/>
    </row>
    <row r="214" spans="1:13" ht="15" customHeight="1">
      <c r="A214" s="266"/>
      <c r="B214">
        <f t="shared" si="31"/>
        <v>7</v>
      </c>
      <c r="C214" s="305">
        <f>Tableau11[[#This Row],[DATE2]]</f>
        <v>35451</v>
      </c>
      <c r="D214" s="306">
        <v>35451</v>
      </c>
      <c r="E214" s="307" t="s">
        <v>121</v>
      </c>
      <c r="F214" s="307" t="s">
        <v>122</v>
      </c>
      <c r="G214" s="331">
        <v>4.7916666666666663E-2</v>
      </c>
      <c r="H214" s="307" t="s">
        <v>55</v>
      </c>
      <c r="I214" s="307">
        <v>1</v>
      </c>
      <c r="J214" s="307"/>
      <c r="K214" s="309">
        <f t="shared" si="22"/>
        <v>4.7916666666666663E-2</v>
      </c>
      <c r="L214" s="310">
        <f t="shared" si="29"/>
        <v>0</v>
      </c>
      <c r="M214" s="307" t="s">
        <v>123</v>
      </c>
    </row>
    <row r="215" spans="1:13" ht="15" customHeight="1">
      <c r="A215" s="266"/>
      <c r="B215">
        <f t="shared" si="31"/>
        <v>8</v>
      </c>
      <c r="C215" s="305">
        <f>Tableau11[[#This Row],[DATE2]]</f>
        <v>35455</v>
      </c>
      <c r="D215" s="306">
        <v>35455</v>
      </c>
      <c r="E215" s="307" t="s">
        <v>121</v>
      </c>
      <c r="F215" s="307" t="s">
        <v>122</v>
      </c>
      <c r="G215" s="331">
        <v>2.013888888888889E-2</v>
      </c>
      <c r="H215" s="307" t="s">
        <v>55</v>
      </c>
      <c r="I215" s="307">
        <v>1</v>
      </c>
      <c r="J215" s="307"/>
      <c r="K215" s="309">
        <f t="shared" si="22"/>
        <v>2.013888888888889E-2</v>
      </c>
      <c r="L215" s="310">
        <f t="shared" si="29"/>
        <v>0</v>
      </c>
      <c r="M215" s="307"/>
    </row>
    <row r="216" spans="1:13" ht="15" customHeight="1">
      <c r="A216" s="266"/>
      <c r="B216">
        <f t="shared" si="31"/>
        <v>9</v>
      </c>
      <c r="C216" s="305">
        <f>Tableau11[[#This Row],[DATE2]]</f>
        <v>35462</v>
      </c>
      <c r="D216" s="306">
        <v>35462</v>
      </c>
      <c r="E216" s="307" t="s">
        <v>86</v>
      </c>
      <c r="F216" s="307" t="s">
        <v>87</v>
      </c>
      <c r="G216" s="331">
        <v>1.8055555555555557E-2</v>
      </c>
      <c r="H216" s="307" t="s">
        <v>55</v>
      </c>
      <c r="I216" s="307">
        <v>1</v>
      </c>
      <c r="J216" s="307"/>
      <c r="K216" s="309">
        <f t="shared" si="22"/>
        <v>1.8055555555555557E-2</v>
      </c>
      <c r="L216" s="310">
        <f t="shared" si="29"/>
        <v>0</v>
      </c>
      <c r="M216" s="307" t="s">
        <v>124</v>
      </c>
    </row>
    <row r="217" spans="1:13" ht="15" customHeight="1">
      <c r="A217" s="266"/>
      <c r="B217">
        <f t="shared" si="31"/>
        <v>10</v>
      </c>
      <c r="C217" s="305">
        <f>Tableau11[[#This Row],[DATE2]]</f>
        <v>35463</v>
      </c>
      <c r="D217" s="306">
        <v>35463</v>
      </c>
      <c r="E217" s="307" t="s">
        <v>121</v>
      </c>
      <c r="F217" s="307" t="s">
        <v>122</v>
      </c>
      <c r="G217" s="331">
        <v>2.0833333333333332E-2</v>
      </c>
      <c r="H217" s="307" t="s">
        <v>55</v>
      </c>
      <c r="I217" s="307">
        <v>1</v>
      </c>
      <c r="J217" s="307"/>
      <c r="K217" s="309">
        <f t="shared" si="22"/>
        <v>2.0833333333333332E-2</v>
      </c>
      <c r="L217" s="310">
        <f t="shared" si="29"/>
        <v>0</v>
      </c>
      <c r="M217" s="307"/>
    </row>
    <row r="218" spans="1:13" ht="15" customHeight="1">
      <c r="A218" s="266"/>
      <c r="B218">
        <f t="shared" si="31"/>
        <v>11</v>
      </c>
      <c r="C218" s="305">
        <f>Tableau11[[#This Row],[DATE2]]</f>
        <v>35476</v>
      </c>
      <c r="D218" s="306">
        <v>35476</v>
      </c>
      <c r="E218" s="307" t="s">
        <v>86</v>
      </c>
      <c r="F218" s="307" t="s">
        <v>102</v>
      </c>
      <c r="G218" s="331">
        <v>2.2916666666666669E-2</v>
      </c>
      <c r="H218" s="307" t="s">
        <v>55</v>
      </c>
      <c r="I218" s="307">
        <v>1</v>
      </c>
      <c r="J218" s="307"/>
      <c r="K218" s="309">
        <f t="shared" si="22"/>
        <v>2.2916666666666669E-2</v>
      </c>
      <c r="L218" s="310">
        <f t="shared" si="29"/>
        <v>0</v>
      </c>
      <c r="M218" s="307"/>
    </row>
    <row r="219" spans="1:13" ht="15" customHeight="1">
      <c r="A219" s="266"/>
      <c r="B219">
        <f t="shared" si="31"/>
        <v>12</v>
      </c>
      <c r="C219" s="305">
        <f>Tableau11[[#This Row],[DATE2]]</f>
        <v>35497</v>
      </c>
      <c r="D219" s="306">
        <v>35497</v>
      </c>
      <c r="E219" s="307" t="s">
        <v>86</v>
      </c>
      <c r="F219" s="307" t="s">
        <v>117</v>
      </c>
      <c r="G219" s="331">
        <v>1.8749999999999999E-2</v>
      </c>
      <c r="H219" s="307" t="s">
        <v>55</v>
      </c>
      <c r="I219" s="307">
        <v>1</v>
      </c>
      <c r="J219" s="307"/>
      <c r="K219" s="309">
        <f t="shared" si="22"/>
        <v>1.8749999999999999E-2</v>
      </c>
      <c r="L219" s="310">
        <f t="shared" si="29"/>
        <v>0</v>
      </c>
      <c r="M219" s="307"/>
    </row>
    <row r="220" spans="1:13" ht="15" customHeight="1">
      <c r="A220" s="266"/>
      <c r="B220">
        <f t="shared" si="31"/>
        <v>13</v>
      </c>
      <c r="C220" s="305">
        <f>Tableau11[[#This Row],[DATE2]]</f>
        <v>35553</v>
      </c>
      <c r="D220" s="306">
        <v>35553</v>
      </c>
      <c r="E220" s="307" t="s">
        <v>69</v>
      </c>
      <c r="F220" s="307" t="s">
        <v>88</v>
      </c>
      <c r="G220" s="331">
        <v>4.9999999999999996E-2</v>
      </c>
      <c r="H220" s="307" t="s">
        <v>55</v>
      </c>
      <c r="I220" s="307">
        <v>1</v>
      </c>
      <c r="J220" s="307"/>
      <c r="K220" s="309">
        <f t="shared" si="22"/>
        <v>4.9999999999999996E-2</v>
      </c>
      <c r="L220" s="310">
        <f t="shared" si="29"/>
        <v>0</v>
      </c>
      <c r="M220" s="307"/>
    </row>
    <row r="221" spans="1:13" ht="15" customHeight="1" thickBot="1">
      <c r="A221" s="266"/>
      <c r="B221">
        <f t="shared" si="31"/>
        <v>14</v>
      </c>
      <c r="C221" s="305">
        <f>Tableau11[[#This Row],[DATE2]]</f>
        <v>35560</v>
      </c>
      <c r="D221" s="306">
        <v>35560</v>
      </c>
      <c r="E221" s="307" t="s">
        <v>86</v>
      </c>
      <c r="F221" s="307" t="s">
        <v>117</v>
      </c>
      <c r="G221" s="331">
        <v>6.0416666666666667E-2</v>
      </c>
      <c r="H221" s="307" t="s">
        <v>55</v>
      </c>
      <c r="I221" s="307">
        <v>1</v>
      </c>
      <c r="J221" s="307"/>
      <c r="K221" s="309">
        <f t="shared" si="22"/>
        <v>6.0416666666666667E-2</v>
      </c>
      <c r="L221" s="310">
        <f t="shared" si="29"/>
        <v>0</v>
      </c>
      <c r="M221" s="307"/>
    </row>
    <row r="222" spans="1:13" ht="15" customHeight="1">
      <c r="A222" s="266"/>
      <c r="C222" s="335"/>
      <c r="D222" s="336"/>
      <c r="E222" s="337"/>
      <c r="F222" s="338" t="s">
        <v>81</v>
      </c>
      <c r="G222" s="311">
        <f>SUM(G208:G221)</f>
        <v>0.36319444444444449</v>
      </c>
      <c r="H222" s="337"/>
      <c r="I222" s="285">
        <f>SUM(I208:I221)</f>
        <v>14</v>
      </c>
      <c r="J222" s="286"/>
      <c r="K222" s="312">
        <f>SUM(K208:K221)</f>
        <v>0.31180555555555556</v>
      </c>
      <c r="L222" s="313">
        <f>SUM(L208:L221)</f>
        <v>5.1388888888888894E-2</v>
      </c>
      <c r="M222" s="339"/>
    </row>
    <row r="223" spans="1:13" ht="15" customHeight="1">
      <c r="A223" s="266"/>
      <c r="C223" s="280"/>
      <c r="D223" s="281"/>
      <c r="E223" s="282"/>
      <c r="F223" s="289" t="s">
        <v>82</v>
      </c>
      <c r="G223" s="314">
        <f>G207</f>
        <v>4.6430555555555557</v>
      </c>
      <c r="H223" s="282"/>
      <c r="I223" s="291">
        <f>I207</f>
        <v>290</v>
      </c>
      <c r="J223" s="292"/>
      <c r="K223" s="315">
        <f>K207</f>
        <v>2.4652777777777777</v>
      </c>
      <c r="L223" s="316">
        <f>L207</f>
        <v>2.177777777777778</v>
      </c>
      <c r="M223" s="340"/>
    </row>
    <row r="224" spans="1:13" ht="16.05" customHeight="1" thickBot="1">
      <c r="A224" s="295"/>
      <c r="C224" s="296"/>
      <c r="D224" s="297"/>
      <c r="E224" s="298"/>
      <c r="F224" s="299" t="s">
        <v>83</v>
      </c>
      <c r="G224" s="317">
        <f>G222+G223</f>
        <v>5.0062500000000005</v>
      </c>
      <c r="H224" s="298"/>
      <c r="I224" s="301">
        <f>I223+I222</f>
        <v>304</v>
      </c>
      <c r="J224" s="302"/>
      <c r="K224" s="318">
        <f>SUM(K222:K223)</f>
        <v>2.7770833333333331</v>
      </c>
      <c r="L224" s="319">
        <f>L222+L223</f>
        <v>2.229166666666667</v>
      </c>
      <c r="M224" s="341"/>
    </row>
    <row r="225" spans="1:13" ht="15" customHeight="1">
      <c r="A225" s="257">
        <f t="shared" ref="A225" si="32">A208+1</f>
        <v>14</v>
      </c>
      <c r="B225">
        <v>1</v>
      </c>
      <c r="C225" s="305">
        <f>Tableau11[[#This Row],[DATE2]]</f>
        <v>35574</v>
      </c>
      <c r="D225" s="306">
        <v>35574</v>
      </c>
      <c r="E225" s="307" t="s">
        <v>125</v>
      </c>
      <c r="F225" s="307" t="s">
        <v>126</v>
      </c>
      <c r="G225" s="331">
        <v>1.6666666666666666E-2</v>
      </c>
      <c r="H225" s="307" t="s">
        <v>55</v>
      </c>
      <c r="I225" s="307">
        <v>1</v>
      </c>
      <c r="J225" s="307"/>
      <c r="K225" s="309">
        <f t="shared" si="22"/>
        <v>1.6666666666666666E-2</v>
      </c>
      <c r="L225" s="310">
        <f t="shared" si="29"/>
        <v>0</v>
      </c>
      <c r="M225" s="307"/>
    </row>
    <row r="226" spans="1:13" ht="15" customHeight="1">
      <c r="A226" s="266"/>
      <c r="B226">
        <f>B225+1</f>
        <v>2</v>
      </c>
      <c r="C226" s="305">
        <f>Tableau11[[#This Row],[DATE2]]</f>
        <v>35602</v>
      </c>
      <c r="D226" s="306">
        <v>35602</v>
      </c>
      <c r="E226" s="307" t="s">
        <v>86</v>
      </c>
      <c r="F226" s="307" t="s">
        <v>117</v>
      </c>
      <c r="G226" s="331">
        <v>1.8055555555555557E-2</v>
      </c>
      <c r="H226" s="307" t="s">
        <v>55</v>
      </c>
      <c r="I226" s="307">
        <v>1</v>
      </c>
      <c r="J226" s="307"/>
      <c r="K226" s="309">
        <f t="shared" si="22"/>
        <v>1.8055555555555557E-2</v>
      </c>
      <c r="L226" s="310">
        <f t="shared" si="29"/>
        <v>0</v>
      </c>
      <c r="M226" s="307"/>
    </row>
    <row r="227" spans="1:13" ht="15" customHeight="1">
      <c r="A227" s="266"/>
      <c r="B227">
        <f t="shared" ref="B227:B238" si="33">B226+1</f>
        <v>3</v>
      </c>
      <c r="C227" s="305">
        <f>Tableau11[[#This Row],[DATE2]]</f>
        <v>35588</v>
      </c>
      <c r="D227" s="306">
        <v>35588</v>
      </c>
      <c r="E227" s="307" t="s">
        <v>121</v>
      </c>
      <c r="F227" s="307" t="s">
        <v>126</v>
      </c>
      <c r="G227" s="331">
        <v>2.0833333333333332E-2</v>
      </c>
      <c r="H227" s="307" t="s">
        <v>55</v>
      </c>
      <c r="I227" s="307">
        <v>1</v>
      </c>
      <c r="J227" s="307"/>
      <c r="K227" s="309">
        <f t="shared" si="22"/>
        <v>2.0833333333333332E-2</v>
      </c>
      <c r="L227" s="310">
        <f t="shared" si="29"/>
        <v>0</v>
      </c>
      <c r="M227" s="307" t="s">
        <v>110</v>
      </c>
    </row>
    <row r="228" spans="1:13" ht="15" customHeight="1">
      <c r="A228" s="266"/>
      <c r="B228">
        <f t="shared" si="33"/>
        <v>4</v>
      </c>
      <c r="C228" s="305">
        <f>Tableau11[[#This Row],[DATE2]]</f>
        <v>35588</v>
      </c>
      <c r="D228" s="306">
        <v>35588</v>
      </c>
      <c r="E228" s="307" t="s">
        <v>121</v>
      </c>
      <c r="F228" s="307" t="s">
        <v>126</v>
      </c>
      <c r="G228" s="331">
        <v>1.6666666666666666E-2</v>
      </c>
      <c r="H228" s="307" t="s">
        <v>55</v>
      </c>
      <c r="I228" s="307">
        <v>1</v>
      </c>
      <c r="J228" s="307"/>
      <c r="K228" s="309">
        <f t="shared" si="22"/>
        <v>1.6666666666666666E-2</v>
      </c>
      <c r="L228" s="310">
        <f t="shared" si="29"/>
        <v>0</v>
      </c>
      <c r="M228" s="307" t="s">
        <v>111</v>
      </c>
    </row>
    <row r="229" spans="1:13" ht="15" customHeight="1">
      <c r="A229" s="266"/>
      <c r="B229">
        <f t="shared" si="33"/>
        <v>5</v>
      </c>
      <c r="C229" s="305">
        <f>Tableau11[[#This Row],[DATE2]]</f>
        <v>35609</v>
      </c>
      <c r="D229" s="306">
        <v>35609</v>
      </c>
      <c r="E229" s="307" t="s">
        <v>86</v>
      </c>
      <c r="F229" s="307" t="s">
        <v>102</v>
      </c>
      <c r="G229" s="331">
        <v>3.1944444444444449E-2</v>
      </c>
      <c r="H229" s="307" t="s">
        <v>55</v>
      </c>
      <c r="I229" s="307">
        <v>1</v>
      </c>
      <c r="J229" s="307"/>
      <c r="K229" s="309">
        <f t="shared" si="22"/>
        <v>3.1944444444444449E-2</v>
      </c>
      <c r="L229" s="310">
        <f t="shared" si="29"/>
        <v>0</v>
      </c>
      <c r="M229" s="307"/>
    </row>
    <row r="230" spans="1:13" ht="15" customHeight="1">
      <c r="A230" s="266"/>
      <c r="B230">
        <f t="shared" si="33"/>
        <v>6</v>
      </c>
      <c r="C230" s="305">
        <f>Tableau11[[#This Row],[DATE2]]</f>
        <v>35622</v>
      </c>
      <c r="D230" s="306">
        <v>35622</v>
      </c>
      <c r="E230" s="307" t="s">
        <v>86</v>
      </c>
      <c r="F230" s="307" t="s">
        <v>102</v>
      </c>
      <c r="G230" s="331">
        <v>2.8472222222222222E-2</v>
      </c>
      <c r="H230" s="307" t="s">
        <v>55</v>
      </c>
      <c r="I230" s="307">
        <v>1</v>
      </c>
      <c r="J230" s="307"/>
      <c r="K230" s="309">
        <f t="shared" si="22"/>
        <v>2.8472222222222222E-2</v>
      </c>
      <c r="L230" s="310">
        <f t="shared" si="29"/>
        <v>0</v>
      </c>
      <c r="M230" s="307"/>
    </row>
    <row r="231" spans="1:13" ht="15" customHeight="1">
      <c r="A231" s="266"/>
      <c r="B231">
        <f t="shared" si="33"/>
        <v>7</v>
      </c>
      <c r="C231" s="305">
        <f>Tableau11[[#This Row],[DATE2]]</f>
        <v>35622</v>
      </c>
      <c r="D231" s="306">
        <v>35622</v>
      </c>
      <c r="E231" s="307" t="s">
        <v>86</v>
      </c>
      <c r="F231" s="307" t="s">
        <v>102</v>
      </c>
      <c r="G231" s="331">
        <v>2.013888888888889E-2</v>
      </c>
      <c r="H231" s="307" t="s">
        <v>55</v>
      </c>
      <c r="I231" s="307">
        <v>1</v>
      </c>
      <c r="J231" s="307"/>
      <c r="K231" s="309">
        <f t="shared" si="22"/>
        <v>2.013888888888889E-2</v>
      </c>
      <c r="L231" s="310">
        <f t="shared" si="29"/>
        <v>0</v>
      </c>
      <c r="M231" s="307" t="s">
        <v>111</v>
      </c>
    </row>
    <row r="232" spans="1:13" ht="15" customHeight="1">
      <c r="A232" s="266"/>
      <c r="B232">
        <f t="shared" si="33"/>
        <v>8</v>
      </c>
      <c r="C232" s="305">
        <f>Tableau11[[#This Row],[DATE2]]</f>
        <v>35665</v>
      </c>
      <c r="D232" s="306">
        <v>35665</v>
      </c>
      <c r="E232" s="307" t="s">
        <v>86</v>
      </c>
      <c r="F232" s="307" t="s">
        <v>102</v>
      </c>
      <c r="G232" s="331">
        <v>4.0972222222222222E-2</v>
      </c>
      <c r="H232" s="307" t="s">
        <v>55</v>
      </c>
      <c r="I232" s="307">
        <v>1</v>
      </c>
      <c r="J232" s="307"/>
      <c r="K232" s="309">
        <f t="shared" si="22"/>
        <v>4.0972222222222222E-2</v>
      </c>
      <c r="L232" s="310">
        <f t="shared" si="29"/>
        <v>0</v>
      </c>
      <c r="M232" s="307" t="s">
        <v>127</v>
      </c>
    </row>
    <row r="233" spans="1:13" ht="15" customHeight="1">
      <c r="A233" s="266"/>
      <c r="B233">
        <f t="shared" si="33"/>
        <v>9</v>
      </c>
      <c r="C233" s="305">
        <f>Tableau11[[#This Row],[DATE2]]</f>
        <v>35665</v>
      </c>
      <c r="D233" s="306">
        <v>35665</v>
      </c>
      <c r="E233" s="307" t="s">
        <v>86</v>
      </c>
      <c r="F233" s="307" t="s">
        <v>102</v>
      </c>
      <c r="G233" s="331">
        <v>3.125E-2</v>
      </c>
      <c r="H233" s="307" t="s">
        <v>55</v>
      </c>
      <c r="I233" s="307">
        <v>1</v>
      </c>
      <c r="J233" s="307"/>
      <c r="K233" s="309">
        <f t="shared" si="22"/>
        <v>3.125E-2</v>
      </c>
      <c r="L233" s="310">
        <f t="shared" si="29"/>
        <v>0</v>
      </c>
      <c r="M233" s="307" t="s">
        <v>108</v>
      </c>
    </row>
    <row r="234" spans="1:13" ht="15" customHeight="1">
      <c r="A234" s="266"/>
      <c r="B234">
        <f t="shared" si="33"/>
        <v>10</v>
      </c>
      <c r="C234" s="305">
        <f>Tableau11[[#This Row],[DATE2]]</f>
        <v>35679</v>
      </c>
      <c r="D234" s="306">
        <v>35679</v>
      </c>
      <c r="E234" s="307" t="s">
        <v>86</v>
      </c>
      <c r="F234" s="307" t="s">
        <v>117</v>
      </c>
      <c r="G234" s="331">
        <v>2.4999999999999998E-2</v>
      </c>
      <c r="H234" s="307" t="s">
        <v>55</v>
      </c>
      <c r="I234" s="307">
        <v>1</v>
      </c>
      <c r="J234" s="307"/>
      <c r="K234" s="309">
        <f t="shared" si="22"/>
        <v>2.4999999999999998E-2</v>
      </c>
      <c r="L234" s="310">
        <f t="shared" si="29"/>
        <v>0</v>
      </c>
      <c r="M234" s="307"/>
    </row>
    <row r="235" spans="1:13" ht="15" customHeight="1">
      <c r="A235" s="266"/>
      <c r="B235">
        <f t="shared" si="33"/>
        <v>11</v>
      </c>
      <c r="C235" s="305">
        <f>Tableau11[[#This Row],[DATE2]]</f>
        <v>35693</v>
      </c>
      <c r="D235" s="306">
        <v>35693</v>
      </c>
      <c r="E235" s="307" t="s">
        <v>86</v>
      </c>
      <c r="F235" s="307" t="s">
        <v>102</v>
      </c>
      <c r="G235" s="331">
        <v>4.3055555555555562E-2</v>
      </c>
      <c r="H235" s="307" t="s">
        <v>55</v>
      </c>
      <c r="I235" s="307">
        <v>1</v>
      </c>
      <c r="J235" s="307"/>
      <c r="K235" s="309">
        <f t="shared" ref="K235:K271" si="34">IF(H235="PENDERS Bernard",G235,0)</f>
        <v>4.3055555555555562E-2</v>
      </c>
      <c r="L235" s="310">
        <f t="shared" si="29"/>
        <v>0</v>
      </c>
      <c r="M235" s="307" t="s">
        <v>128</v>
      </c>
    </row>
    <row r="236" spans="1:13" ht="15" customHeight="1">
      <c r="A236" s="266"/>
      <c r="B236">
        <f t="shared" si="33"/>
        <v>12</v>
      </c>
      <c r="C236" s="305">
        <f>Tableau11[[#This Row],[DATE2]]</f>
        <v>35694</v>
      </c>
      <c r="D236" s="306">
        <v>35694</v>
      </c>
      <c r="E236" s="307" t="s">
        <v>86</v>
      </c>
      <c r="F236" s="307" t="s">
        <v>102</v>
      </c>
      <c r="G236" s="331">
        <v>2.5694444444444447E-2</v>
      </c>
      <c r="H236" s="307" t="s">
        <v>55</v>
      </c>
      <c r="I236" s="307">
        <v>1</v>
      </c>
      <c r="J236" s="307"/>
      <c r="K236" s="309">
        <f t="shared" si="34"/>
        <v>2.5694444444444447E-2</v>
      </c>
      <c r="L236" s="310">
        <f t="shared" si="29"/>
        <v>0</v>
      </c>
      <c r="M236" s="307"/>
    </row>
    <row r="237" spans="1:13" ht="15" customHeight="1">
      <c r="A237" s="266"/>
      <c r="B237">
        <f t="shared" si="33"/>
        <v>13</v>
      </c>
      <c r="C237" s="305">
        <f>Tableau11[[#This Row],[DATE2]]</f>
        <v>35707</v>
      </c>
      <c r="D237" s="306">
        <v>35707</v>
      </c>
      <c r="E237" s="307" t="s">
        <v>86</v>
      </c>
      <c r="F237" s="307" t="s">
        <v>102</v>
      </c>
      <c r="G237" s="331">
        <v>2.8472222222222222E-2</v>
      </c>
      <c r="H237" s="307" t="s">
        <v>55</v>
      </c>
      <c r="I237" s="307">
        <v>1</v>
      </c>
      <c r="J237" s="307"/>
      <c r="K237" s="309">
        <f t="shared" si="34"/>
        <v>2.8472222222222222E-2</v>
      </c>
      <c r="L237" s="310">
        <f t="shared" si="29"/>
        <v>0</v>
      </c>
      <c r="M237" s="307"/>
    </row>
    <row r="238" spans="1:13" ht="15" customHeight="1" thickBot="1">
      <c r="A238" s="266"/>
      <c r="B238">
        <f t="shared" si="33"/>
        <v>14</v>
      </c>
      <c r="C238" s="305">
        <f>Tableau11[[#This Row],[DATE2]]</f>
        <v>35735</v>
      </c>
      <c r="D238" s="306">
        <v>35735</v>
      </c>
      <c r="E238" s="307" t="s">
        <v>121</v>
      </c>
      <c r="F238" s="307" t="s">
        <v>126</v>
      </c>
      <c r="G238" s="331">
        <v>2.4305555555555556E-2</v>
      </c>
      <c r="H238" s="307" t="s">
        <v>55</v>
      </c>
      <c r="I238" s="307">
        <v>1</v>
      </c>
      <c r="J238" s="307"/>
      <c r="K238" s="309">
        <f t="shared" si="34"/>
        <v>2.4305555555555556E-2</v>
      </c>
      <c r="L238" s="310">
        <f t="shared" si="29"/>
        <v>0</v>
      </c>
      <c r="M238" s="307"/>
    </row>
    <row r="239" spans="1:13" ht="15" customHeight="1">
      <c r="A239" s="266"/>
      <c r="C239" s="335"/>
      <c r="D239" s="336"/>
      <c r="E239" s="337"/>
      <c r="F239" s="338" t="s">
        <v>81</v>
      </c>
      <c r="G239" s="311">
        <f>SUM(G225:G238)</f>
        <v>0.37152777777777785</v>
      </c>
      <c r="H239" s="337"/>
      <c r="I239" s="285">
        <f>SUM(I225:I238)</f>
        <v>14</v>
      </c>
      <c r="J239" s="286"/>
      <c r="K239" s="312">
        <f>SUM(K225:K238)</f>
        <v>0.37152777777777785</v>
      </c>
      <c r="L239" s="313">
        <f>SUM(L225:L238)</f>
        <v>0</v>
      </c>
      <c r="M239" s="339"/>
    </row>
    <row r="240" spans="1:13" ht="15" customHeight="1">
      <c r="A240" s="266"/>
      <c r="C240" s="280"/>
      <c r="D240" s="281"/>
      <c r="E240" s="282"/>
      <c r="F240" s="289" t="s">
        <v>82</v>
      </c>
      <c r="G240" s="314">
        <f>G224</f>
        <v>5.0062500000000005</v>
      </c>
      <c r="H240" s="282"/>
      <c r="I240" s="291">
        <f>I224</f>
        <v>304</v>
      </c>
      <c r="J240" s="292"/>
      <c r="K240" s="315">
        <f>K224</f>
        <v>2.7770833333333331</v>
      </c>
      <c r="L240" s="316">
        <f>L224</f>
        <v>2.229166666666667</v>
      </c>
      <c r="M240" s="340"/>
    </row>
    <row r="241" spans="1:13" ht="16.05" customHeight="1" thickBot="1">
      <c r="A241" s="295"/>
      <c r="C241" s="296"/>
      <c r="D241" s="297"/>
      <c r="E241" s="298"/>
      <c r="F241" s="299" t="s">
        <v>83</v>
      </c>
      <c r="G241" s="317">
        <f>G239+G240</f>
        <v>5.3777777777777782</v>
      </c>
      <c r="H241" s="298"/>
      <c r="I241" s="301">
        <f>I240+I239</f>
        <v>318</v>
      </c>
      <c r="J241" s="302"/>
      <c r="K241" s="318">
        <f>SUM(K239:K240)</f>
        <v>3.1486111111111108</v>
      </c>
      <c r="L241" s="319">
        <f>L239+L240</f>
        <v>2.229166666666667</v>
      </c>
      <c r="M241" s="341"/>
    </row>
    <row r="242" spans="1:13" ht="15" customHeight="1">
      <c r="A242" s="257">
        <f t="shared" ref="A242" si="35">A225+1</f>
        <v>15</v>
      </c>
      <c r="B242">
        <v>1</v>
      </c>
      <c r="C242" s="305">
        <f>Tableau11[[#This Row],[DATE2]]</f>
        <v>35771</v>
      </c>
      <c r="D242" s="306">
        <v>35771</v>
      </c>
      <c r="E242" s="307" t="s">
        <v>86</v>
      </c>
      <c r="F242" s="307" t="s">
        <v>102</v>
      </c>
      <c r="G242" s="331">
        <v>2.0833333333333332E-2</v>
      </c>
      <c r="H242" s="307" t="s">
        <v>55</v>
      </c>
      <c r="I242" s="307">
        <v>1</v>
      </c>
      <c r="J242" s="307"/>
      <c r="K242" s="309">
        <f t="shared" si="34"/>
        <v>2.0833333333333332E-2</v>
      </c>
      <c r="L242" s="310">
        <f t="shared" si="29"/>
        <v>0</v>
      </c>
      <c r="M242" s="307"/>
    </row>
    <row r="243" spans="1:13" ht="15" customHeight="1">
      <c r="A243" s="266"/>
      <c r="B243">
        <f>B242+1</f>
        <v>2</v>
      </c>
      <c r="C243" s="305">
        <f>Tableau11[[#This Row],[DATE2]]</f>
        <v>35784</v>
      </c>
      <c r="D243" s="306">
        <v>35784</v>
      </c>
      <c r="E243" s="307" t="s">
        <v>69</v>
      </c>
      <c r="F243" s="307" t="s">
        <v>88</v>
      </c>
      <c r="G243" s="331">
        <v>2.9166666666666664E-2</v>
      </c>
      <c r="H243" s="307" t="s">
        <v>55</v>
      </c>
      <c r="I243" s="307">
        <v>1</v>
      </c>
      <c r="J243" s="307"/>
      <c r="K243" s="309">
        <f t="shared" si="34"/>
        <v>2.9166666666666664E-2</v>
      </c>
      <c r="L243" s="310">
        <f t="shared" si="29"/>
        <v>0</v>
      </c>
      <c r="M243" s="307"/>
    </row>
    <row r="244" spans="1:13" ht="15" customHeight="1">
      <c r="A244" s="266"/>
      <c r="B244">
        <f t="shared" ref="B244:B255" si="36">B243+1</f>
        <v>3</v>
      </c>
      <c r="C244" s="305">
        <f>Tableau11[[#This Row],[DATE2]]</f>
        <v>35798</v>
      </c>
      <c r="D244" s="306">
        <v>35798</v>
      </c>
      <c r="E244" s="307" t="s">
        <v>86</v>
      </c>
      <c r="F244" s="307" t="s">
        <v>102</v>
      </c>
      <c r="G244" s="331">
        <v>2.2916666666666669E-2</v>
      </c>
      <c r="H244" s="307" t="s">
        <v>55</v>
      </c>
      <c r="I244" s="307">
        <v>1</v>
      </c>
      <c r="J244" s="307"/>
      <c r="K244" s="309">
        <f t="shared" si="34"/>
        <v>2.2916666666666669E-2</v>
      </c>
      <c r="L244" s="310">
        <f t="shared" si="29"/>
        <v>0</v>
      </c>
      <c r="M244" s="307" t="s">
        <v>63</v>
      </c>
    </row>
    <row r="245" spans="1:13" ht="15" customHeight="1">
      <c r="A245" s="266"/>
      <c r="B245">
        <f t="shared" si="36"/>
        <v>4</v>
      </c>
      <c r="C245" s="305">
        <f>Tableau11[[#This Row],[DATE2]]</f>
        <v>35798</v>
      </c>
      <c r="D245" s="306">
        <v>35798</v>
      </c>
      <c r="E245" s="307" t="s">
        <v>86</v>
      </c>
      <c r="F245" s="307" t="s">
        <v>102</v>
      </c>
      <c r="G245" s="331">
        <v>2.2916666666666669E-2</v>
      </c>
      <c r="H245" s="307" t="s">
        <v>55</v>
      </c>
      <c r="I245" s="307">
        <v>1</v>
      </c>
      <c r="J245" s="307"/>
      <c r="K245" s="309">
        <f t="shared" si="34"/>
        <v>2.2916666666666669E-2</v>
      </c>
      <c r="L245" s="310">
        <f t="shared" si="29"/>
        <v>0</v>
      </c>
      <c r="M245" s="307" t="s">
        <v>129</v>
      </c>
    </row>
    <row r="246" spans="1:13" ht="15" customHeight="1">
      <c r="A246" s="266"/>
      <c r="B246">
        <f t="shared" si="36"/>
        <v>5</v>
      </c>
      <c r="C246" s="305">
        <f>Tableau11[[#This Row],[DATE2]]</f>
        <v>35798</v>
      </c>
      <c r="D246" s="306">
        <v>35798</v>
      </c>
      <c r="E246" s="307" t="s">
        <v>67</v>
      </c>
      <c r="F246" s="307" t="s">
        <v>56</v>
      </c>
      <c r="G246" s="331">
        <v>1.3194444444444444E-2</v>
      </c>
      <c r="H246" s="307" t="s">
        <v>55</v>
      </c>
      <c r="I246" s="307">
        <v>1</v>
      </c>
      <c r="J246" s="307"/>
      <c r="K246" s="309">
        <f t="shared" si="34"/>
        <v>1.3194444444444444E-2</v>
      </c>
      <c r="L246" s="310">
        <f t="shared" si="29"/>
        <v>0</v>
      </c>
      <c r="M246" s="307" t="s">
        <v>130</v>
      </c>
    </row>
    <row r="247" spans="1:13" ht="15" customHeight="1">
      <c r="A247" s="266"/>
      <c r="B247">
        <f t="shared" si="36"/>
        <v>6</v>
      </c>
      <c r="C247" s="305">
        <f>Tableau11[[#This Row],[DATE2]]</f>
        <v>35924</v>
      </c>
      <c r="D247" s="306">
        <v>35924</v>
      </c>
      <c r="E247" s="307" t="s">
        <v>69</v>
      </c>
      <c r="F247" s="307" t="s">
        <v>53</v>
      </c>
      <c r="G247" s="331">
        <v>2.4999999999999998E-2</v>
      </c>
      <c r="H247" s="307" t="s">
        <v>55</v>
      </c>
      <c r="I247" s="307">
        <v>1</v>
      </c>
      <c r="J247" s="307"/>
      <c r="K247" s="309">
        <f t="shared" si="34"/>
        <v>2.4999999999999998E-2</v>
      </c>
      <c r="L247" s="310">
        <f t="shared" si="29"/>
        <v>0</v>
      </c>
      <c r="M247" s="307" t="s">
        <v>131</v>
      </c>
    </row>
    <row r="248" spans="1:13" ht="15" customHeight="1">
      <c r="A248" s="266"/>
      <c r="B248">
        <f t="shared" si="36"/>
        <v>7</v>
      </c>
      <c r="C248" s="305">
        <f>Tableau11[[#This Row],[DATE2]]</f>
        <v>35935</v>
      </c>
      <c r="D248" s="306">
        <v>35935</v>
      </c>
      <c r="E248" s="307" t="s">
        <v>86</v>
      </c>
      <c r="F248" s="307" t="s">
        <v>87</v>
      </c>
      <c r="G248" s="331">
        <v>3.4027777777777775E-2</v>
      </c>
      <c r="H248" s="307" t="s">
        <v>55</v>
      </c>
      <c r="I248" s="307">
        <v>1</v>
      </c>
      <c r="J248" s="307"/>
      <c r="K248" s="309">
        <f t="shared" si="34"/>
        <v>3.4027777777777775E-2</v>
      </c>
      <c r="L248" s="310">
        <f t="shared" si="29"/>
        <v>0</v>
      </c>
      <c r="M248" s="307" t="s">
        <v>113</v>
      </c>
    </row>
    <row r="249" spans="1:13" ht="15" customHeight="1">
      <c r="A249" s="266"/>
      <c r="B249">
        <f t="shared" si="36"/>
        <v>8</v>
      </c>
      <c r="C249" s="305">
        <f>Tableau11[[#This Row],[DATE2]]</f>
        <v>35952</v>
      </c>
      <c r="D249" s="306">
        <v>35952</v>
      </c>
      <c r="E249" s="307" t="s">
        <v>69</v>
      </c>
      <c r="F249" s="307" t="s">
        <v>88</v>
      </c>
      <c r="G249" s="331">
        <v>8.7500000000000008E-2</v>
      </c>
      <c r="H249" s="307" t="s">
        <v>55</v>
      </c>
      <c r="I249" s="307">
        <v>1</v>
      </c>
      <c r="J249" s="307"/>
      <c r="K249" s="309">
        <f t="shared" si="34"/>
        <v>8.7500000000000008E-2</v>
      </c>
      <c r="L249" s="310">
        <f t="shared" si="29"/>
        <v>0</v>
      </c>
      <c r="M249" s="307" t="s">
        <v>116</v>
      </c>
    </row>
    <row r="250" spans="1:13" ht="15" customHeight="1">
      <c r="A250" s="266"/>
      <c r="B250">
        <f t="shared" si="36"/>
        <v>9</v>
      </c>
      <c r="C250" s="305">
        <f>Tableau11[[#This Row],[DATE2]]</f>
        <v>35966</v>
      </c>
      <c r="D250" s="306">
        <v>35966</v>
      </c>
      <c r="E250" s="307" t="s">
        <v>86</v>
      </c>
      <c r="F250" s="307" t="s">
        <v>87</v>
      </c>
      <c r="G250" s="331">
        <v>2.361111111111111E-2</v>
      </c>
      <c r="H250" s="307" t="s">
        <v>55</v>
      </c>
      <c r="I250" s="307">
        <v>1</v>
      </c>
      <c r="J250" s="307"/>
      <c r="K250" s="309">
        <f t="shared" si="34"/>
        <v>2.361111111111111E-2</v>
      </c>
      <c r="L250" s="310">
        <f t="shared" si="29"/>
        <v>0</v>
      </c>
      <c r="M250" s="307" t="s">
        <v>110</v>
      </c>
    </row>
    <row r="251" spans="1:13" ht="15" customHeight="1">
      <c r="A251" s="266"/>
      <c r="B251">
        <f t="shared" si="36"/>
        <v>10</v>
      </c>
      <c r="C251" s="305">
        <f>Tableau11[[#This Row],[DATE2]]</f>
        <v>35966</v>
      </c>
      <c r="D251" s="306">
        <v>35966</v>
      </c>
      <c r="E251" s="307" t="s">
        <v>86</v>
      </c>
      <c r="F251" s="307" t="s">
        <v>87</v>
      </c>
      <c r="G251" s="331">
        <v>2.2222222222222223E-2</v>
      </c>
      <c r="H251" s="307" t="s">
        <v>55</v>
      </c>
      <c r="I251" s="307">
        <v>1</v>
      </c>
      <c r="J251" s="307"/>
      <c r="K251" s="309">
        <f t="shared" si="34"/>
        <v>2.2222222222222223E-2</v>
      </c>
      <c r="L251" s="310">
        <f t="shared" si="29"/>
        <v>0</v>
      </c>
      <c r="M251" s="307" t="s">
        <v>111</v>
      </c>
    </row>
    <row r="252" spans="1:13" ht="15" customHeight="1">
      <c r="A252" s="266"/>
      <c r="B252">
        <f t="shared" si="36"/>
        <v>11</v>
      </c>
      <c r="C252" s="305">
        <f>Tableau11[[#This Row],[DATE2]]</f>
        <v>36008</v>
      </c>
      <c r="D252" s="306">
        <v>36008</v>
      </c>
      <c r="E252" s="307" t="s">
        <v>86</v>
      </c>
      <c r="F252" s="307" t="s">
        <v>87</v>
      </c>
      <c r="G252" s="331">
        <v>6.9444444444444448E-2</v>
      </c>
      <c r="H252" s="307" t="s">
        <v>55</v>
      </c>
      <c r="I252" s="307">
        <v>1</v>
      </c>
      <c r="J252" s="307"/>
      <c r="K252" s="309">
        <f t="shared" si="34"/>
        <v>6.9444444444444448E-2</v>
      </c>
      <c r="L252" s="310">
        <f t="shared" si="29"/>
        <v>0</v>
      </c>
      <c r="M252" s="307" t="s">
        <v>132</v>
      </c>
    </row>
    <row r="253" spans="1:13" ht="15" customHeight="1">
      <c r="A253" s="266"/>
      <c r="B253">
        <f t="shared" si="36"/>
        <v>12</v>
      </c>
      <c r="C253" s="305">
        <f>Tableau11[[#This Row],[DATE2]]</f>
        <v>36064</v>
      </c>
      <c r="D253" s="306">
        <v>36064</v>
      </c>
      <c r="E253" s="307" t="s">
        <v>121</v>
      </c>
      <c r="F253" s="307" t="s">
        <v>126</v>
      </c>
      <c r="G253" s="331">
        <v>1.3194444444444444E-2</v>
      </c>
      <c r="H253" s="307" t="s">
        <v>55</v>
      </c>
      <c r="I253" s="307">
        <v>1</v>
      </c>
      <c r="J253" s="307"/>
      <c r="K253" s="309">
        <f t="shared" si="34"/>
        <v>1.3194444444444444E-2</v>
      </c>
      <c r="L253" s="310">
        <f t="shared" si="29"/>
        <v>0</v>
      </c>
      <c r="M253" s="307" t="s">
        <v>130</v>
      </c>
    </row>
    <row r="254" spans="1:13" ht="15" customHeight="1">
      <c r="A254" s="266"/>
      <c r="B254">
        <f t="shared" si="36"/>
        <v>13</v>
      </c>
      <c r="C254" s="305">
        <f>Tableau11[[#This Row],[DATE2]]</f>
        <v>36120</v>
      </c>
      <c r="D254" s="306">
        <v>36120</v>
      </c>
      <c r="E254" s="307" t="s">
        <v>121</v>
      </c>
      <c r="F254" s="307" t="s">
        <v>126</v>
      </c>
      <c r="G254" s="331">
        <v>5.1388888888888894E-2</v>
      </c>
      <c r="H254" s="307" t="s">
        <v>55</v>
      </c>
      <c r="I254" s="307">
        <v>1</v>
      </c>
      <c r="J254" s="307"/>
      <c r="K254" s="309">
        <f t="shared" si="34"/>
        <v>5.1388888888888894E-2</v>
      </c>
      <c r="L254" s="310">
        <f t="shared" si="29"/>
        <v>0</v>
      </c>
      <c r="M254" s="307" t="s">
        <v>133</v>
      </c>
    </row>
    <row r="255" spans="1:13" ht="15" customHeight="1" thickBot="1">
      <c r="A255" s="266"/>
      <c r="B255">
        <f t="shared" si="36"/>
        <v>14</v>
      </c>
      <c r="C255" s="305">
        <f>Tableau11[[#This Row],[DATE2]]</f>
        <v>36232</v>
      </c>
      <c r="D255" s="306">
        <v>36232</v>
      </c>
      <c r="E255" s="307" t="s">
        <v>121</v>
      </c>
      <c r="F255" s="307" t="s">
        <v>126</v>
      </c>
      <c r="G255" s="331">
        <v>2.4999999999999998E-2</v>
      </c>
      <c r="H255" s="307" t="s">
        <v>80</v>
      </c>
      <c r="I255" s="307">
        <v>1</v>
      </c>
      <c r="J255" s="307"/>
      <c r="K255" s="309">
        <f t="shared" si="34"/>
        <v>0</v>
      </c>
      <c r="L255" s="310">
        <f t="shared" si="29"/>
        <v>2.4999999999999998E-2</v>
      </c>
      <c r="M255" s="307" t="s">
        <v>134</v>
      </c>
    </row>
    <row r="256" spans="1:13" ht="15" customHeight="1">
      <c r="A256" s="266"/>
      <c r="C256" s="335"/>
      <c r="D256" s="336"/>
      <c r="E256" s="337"/>
      <c r="F256" s="338" t="s">
        <v>81</v>
      </c>
      <c r="G256" s="311">
        <f>SUM(G242:G255)</f>
        <v>0.4604166666666667</v>
      </c>
      <c r="H256" s="337"/>
      <c r="I256" s="285">
        <f>SUM(I242:I255)</f>
        <v>14</v>
      </c>
      <c r="J256" s="286"/>
      <c r="K256" s="312">
        <f>SUM(K242:K255)</f>
        <v>0.43541666666666667</v>
      </c>
      <c r="L256" s="313">
        <f>SUM(L242:L255)</f>
        <v>2.4999999999999998E-2</v>
      </c>
      <c r="M256" s="339"/>
    </row>
    <row r="257" spans="1:13" ht="15" customHeight="1">
      <c r="A257" s="266"/>
      <c r="C257" s="280"/>
      <c r="D257" s="281"/>
      <c r="E257" s="282"/>
      <c r="F257" s="289" t="s">
        <v>82</v>
      </c>
      <c r="G257" s="314">
        <f>G241</f>
        <v>5.3777777777777782</v>
      </c>
      <c r="H257" s="282"/>
      <c r="I257" s="291">
        <f>I241</f>
        <v>318</v>
      </c>
      <c r="J257" s="292"/>
      <c r="K257" s="315">
        <f>K241</f>
        <v>3.1486111111111108</v>
      </c>
      <c r="L257" s="316">
        <f>L241</f>
        <v>2.229166666666667</v>
      </c>
      <c r="M257" s="340"/>
    </row>
    <row r="258" spans="1:13" ht="16.05" customHeight="1" thickBot="1">
      <c r="A258" s="295"/>
      <c r="C258" s="296"/>
      <c r="D258" s="297"/>
      <c r="E258" s="298"/>
      <c r="F258" s="299" t="s">
        <v>83</v>
      </c>
      <c r="G258" s="317">
        <f>G256+G257</f>
        <v>5.8381944444444454</v>
      </c>
      <c r="H258" s="298"/>
      <c r="I258" s="301">
        <f>I257+I256</f>
        <v>332</v>
      </c>
      <c r="J258" s="302"/>
      <c r="K258" s="318">
        <f>SUM(K256:K257)</f>
        <v>3.5840277777777776</v>
      </c>
      <c r="L258" s="319">
        <f>L256+L257</f>
        <v>2.2541666666666669</v>
      </c>
      <c r="M258" s="341"/>
    </row>
    <row r="259" spans="1:13" ht="15" customHeight="1">
      <c r="A259" s="257">
        <f t="shared" ref="A259" si="37">A242+1</f>
        <v>16</v>
      </c>
      <c r="B259">
        <v>1</v>
      </c>
      <c r="C259" s="305">
        <f>Tableau11[[#This Row],[DATE2]]</f>
        <v>36260</v>
      </c>
      <c r="D259" s="306">
        <v>36260</v>
      </c>
      <c r="E259" s="307" t="s">
        <v>86</v>
      </c>
      <c r="F259" s="307" t="s">
        <v>87</v>
      </c>
      <c r="G259" s="331">
        <v>1.5277777777777777E-2</v>
      </c>
      <c r="H259" s="307" t="s">
        <v>55</v>
      </c>
      <c r="I259" s="307">
        <v>1</v>
      </c>
      <c r="J259" s="307"/>
      <c r="K259" s="309">
        <f t="shared" si="34"/>
        <v>1.5277777777777777E-2</v>
      </c>
      <c r="L259" s="310">
        <f t="shared" si="29"/>
        <v>0</v>
      </c>
      <c r="M259" s="307"/>
    </row>
    <row r="260" spans="1:13" ht="15" customHeight="1">
      <c r="A260" s="266"/>
      <c r="B260">
        <f>B259+1</f>
        <v>2</v>
      </c>
      <c r="C260" s="305">
        <f>Tableau11[[#This Row],[DATE2]]</f>
        <v>36260</v>
      </c>
      <c r="D260" s="306">
        <v>36260</v>
      </c>
      <c r="E260" s="307" t="s">
        <v>135</v>
      </c>
      <c r="F260" s="307" t="s">
        <v>136</v>
      </c>
      <c r="G260" s="331">
        <v>1.2499999999999999E-2</v>
      </c>
      <c r="H260" s="307" t="s">
        <v>137</v>
      </c>
      <c r="I260" s="307">
        <v>1</v>
      </c>
      <c r="J260" s="307"/>
      <c r="K260" s="309">
        <f t="shared" si="34"/>
        <v>0</v>
      </c>
      <c r="L260" s="310">
        <f t="shared" si="29"/>
        <v>1.2499999999999999E-2</v>
      </c>
      <c r="M260" s="307"/>
    </row>
    <row r="261" spans="1:13" ht="15" customHeight="1">
      <c r="A261" s="266"/>
      <c r="B261">
        <f t="shared" ref="B261:B272" si="38">B260+1</f>
        <v>3</v>
      </c>
      <c r="C261" s="305">
        <f>Tableau11[[#This Row],[DATE2]]</f>
        <v>36268</v>
      </c>
      <c r="D261" s="306">
        <v>36268</v>
      </c>
      <c r="E261" s="307" t="s">
        <v>135</v>
      </c>
      <c r="F261" s="307" t="s">
        <v>136</v>
      </c>
      <c r="G261" s="331">
        <v>3.7499999999999999E-2</v>
      </c>
      <c r="H261" s="307" t="s">
        <v>137</v>
      </c>
      <c r="I261" s="307">
        <v>1</v>
      </c>
      <c r="J261" s="307"/>
      <c r="K261" s="309">
        <f t="shared" si="34"/>
        <v>0</v>
      </c>
      <c r="L261" s="310">
        <f t="shared" si="29"/>
        <v>3.7499999999999999E-2</v>
      </c>
      <c r="M261" s="307"/>
    </row>
    <row r="262" spans="1:13" ht="15" customHeight="1">
      <c r="A262" s="266"/>
      <c r="B262">
        <f t="shared" si="38"/>
        <v>4</v>
      </c>
      <c r="C262" s="305">
        <f>Tableau11[[#This Row],[DATE2]]</f>
        <v>36281</v>
      </c>
      <c r="D262" s="306">
        <v>36281</v>
      </c>
      <c r="E262" s="307" t="s">
        <v>135</v>
      </c>
      <c r="F262" s="307" t="s">
        <v>136</v>
      </c>
      <c r="G262" s="331">
        <v>3.3333333333333333E-2</v>
      </c>
      <c r="H262" s="307" t="s">
        <v>137</v>
      </c>
      <c r="I262" s="307">
        <v>1</v>
      </c>
      <c r="J262" s="307"/>
      <c r="K262" s="309">
        <f t="shared" si="34"/>
        <v>0</v>
      </c>
      <c r="L262" s="310">
        <f t="shared" si="29"/>
        <v>3.3333333333333333E-2</v>
      </c>
      <c r="M262" s="307"/>
    </row>
    <row r="263" spans="1:13" ht="15" customHeight="1">
      <c r="A263" s="266"/>
      <c r="B263">
        <f t="shared" si="38"/>
        <v>5</v>
      </c>
      <c r="C263" s="305">
        <f>Tableau11[[#This Row],[DATE2]]</f>
        <v>36287</v>
      </c>
      <c r="D263" s="306">
        <v>36287</v>
      </c>
      <c r="E263" s="307" t="s">
        <v>135</v>
      </c>
      <c r="F263" s="307" t="s">
        <v>136</v>
      </c>
      <c r="G263" s="331">
        <v>2.9166666666666664E-2</v>
      </c>
      <c r="H263" s="307" t="s">
        <v>137</v>
      </c>
      <c r="I263" s="307">
        <v>1</v>
      </c>
      <c r="J263" s="307"/>
      <c r="K263" s="309">
        <f t="shared" si="34"/>
        <v>0</v>
      </c>
      <c r="L263" s="310">
        <f t="shared" si="29"/>
        <v>2.9166666666666664E-2</v>
      </c>
      <c r="M263" s="307"/>
    </row>
    <row r="264" spans="1:13" ht="15" customHeight="1" thickBot="1">
      <c r="A264" s="266"/>
      <c r="B264">
        <f t="shared" si="38"/>
        <v>6</v>
      </c>
      <c r="C264" s="305">
        <f>Tableau11[[#This Row],[DATE2]]</f>
        <v>36337</v>
      </c>
      <c r="D264" s="306">
        <v>36337</v>
      </c>
      <c r="E264" s="307" t="s">
        <v>86</v>
      </c>
      <c r="F264" s="307" t="s">
        <v>117</v>
      </c>
      <c r="G264" s="331">
        <v>2.1527777777777781E-2</v>
      </c>
      <c r="H264" s="307" t="s">
        <v>55</v>
      </c>
      <c r="I264" s="307">
        <v>1</v>
      </c>
      <c r="J264" s="307"/>
      <c r="K264" s="309">
        <f t="shared" si="34"/>
        <v>2.1527777777777781E-2</v>
      </c>
      <c r="L264" s="310">
        <f t="shared" si="29"/>
        <v>0</v>
      </c>
      <c r="M264" s="307"/>
    </row>
    <row r="265" spans="1:13" ht="15" customHeight="1" thickBot="1">
      <c r="A265" s="266"/>
      <c r="B265">
        <f t="shared" si="38"/>
        <v>7</v>
      </c>
      <c r="C265" s="305">
        <f>Tableau11[[#This Row],[DATE2]]</f>
        <v>36379</v>
      </c>
      <c r="D265" s="306">
        <v>36379</v>
      </c>
      <c r="E265" s="307" t="s">
        <v>86</v>
      </c>
      <c r="F265" s="307" t="s">
        <v>117</v>
      </c>
      <c r="G265" s="331">
        <v>2.8472222222222222E-2</v>
      </c>
      <c r="H265" s="307" t="s">
        <v>55</v>
      </c>
      <c r="I265" s="307">
        <v>1</v>
      </c>
      <c r="J265" s="342"/>
      <c r="K265" s="309">
        <f t="shared" si="34"/>
        <v>2.8472222222222222E-2</v>
      </c>
      <c r="L265" s="310">
        <f t="shared" si="29"/>
        <v>0</v>
      </c>
      <c r="M265" s="307"/>
    </row>
    <row r="266" spans="1:13" ht="15" customHeight="1">
      <c r="A266" s="266"/>
      <c r="B266">
        <f t="shared" si="38"/>
        <v>8</v>
      </c>
      <c r="C266" s="305">
        <f>Tableau11[[#This Row],[DATE2]]</f>
        <v>36393</v>
      </c>
      <c r="D266" s="306">
        <v>36393</v>
      </c>
      <c r="E266" s="307" t="s">
        <v>86</v>
      </c>
      <c r="F266" s="307" t="s">
        <v>87</v>
      </c>
      <c r="G266" s="331">
        <v>1.8749999999999999E-2</v>
      </c>
      <c r="H266" s="307" t="s">
        <v>55</v>
      </c>
      <c r="I266" s="307">
        <v>1</v>
      </c>
      <c r="J266" s="307"/>
      <c r="K266" s="309">
        <f>IF(H266="PENDERS Bernard",G266,0)</f>
        <v>1.8749999999999999E-2</v>
      </c>
      <c r="L266" s="310">
        <v>0</v>
      </c>
      <c r="M266" s="307"/>
    </row>
    <row r="267" spans="1:13" ht="15" customHeight="1">
      <c r="A267" s="266"/>
      <c r="B267">
        <f t="shared" si="38"/>
        <v>9</v>
      </c>
      <c r="C267" s="305">
        <f>Tableau11[[#This Row],[DATE2]]</f>
        <v>36401</v>
      </c>
      <c r="D267" s="306">
        <v>36401</v>
      </c>
      <c r="E267" s="307" t="s">
        <v>86</v>
      </c>
      <c r="F267" s="307" t="s">
        <v>117</v>
      </c>
      <c r="G267" s="331">
        <v>3.4722222222222224E-2</v>
      </c>
      <c r="H267" s="307" t="s">
        <v>55</v>
      </c>
      <c r="I267" s="307">
        <v>1</v>
      </c>
      <c r="J267" s="307"/>
      <c r="K267" s="309">
        <f t="shared" si="34"/>
        <v>3.4722222222222224E-2</v>
      </c>
      <c r="L267" s="310">
        <f t="shared" si="29"/>
        <v>0</v>
      </c>
      <c r="M267" s="307"/>
    </row>
    <row r="268" spans="1:13" ht="15" customHeight="1">
      <c r="A268" s="266"/>
      <c r="B268">
        <f t="shared" si="38"/>
        <v>10</v>
      </c>
      <c r="C268" s="305">
        <f>Tableau11[[#This Row],[DATE2]]</f>
        <v>36401</v>
      </c>
      <c r="D268" s="306">
        <v>36401</v>
      </c>
      <c r="E268" s="307" t="s">
        <v>86</v>
      </c>
      <c r="F268" s="307" t="s">
        <v>87</v>
      </c>
      <c r="G268" s="331">
        <v>1.5972222222222224E-2</v>
      </c>
      <c r="H268" s="307" t="s">
        <v>55</v>
      </c>
      <c r="I268" s="307">
        <v>1</v>
      </c>
      <c r="J268" s="307"/>
      <c r="K268" s="309">
        <f t="shared" si="34"/>
        <v>1.5972222222222224E-2</v>
      </c>
      <c r="L268" s="310">
        <f t="shared" si="29"/>
        <v>0</v>
      </c>
      <c r="M268" s="307"/>
    </row>
    <row r="269" spans="1:13" ht="15" customHeight="1">
      <c r="A269" s="266"/>
      <c r="B269">
        <f t="shared" si="38"/>
        <v>11</v>
      </c>
      <c r="C269" s="305">
        <f>Tableau11[[#This Row],[DATE2]]</f>
        <v>36620</v>
      </c>
      <c r="D269" s="306">
        <v>36620</v>
      </c>
      <c r="E269" s="307" t="s">
        <v>86</v>
      </c>
      <c r="F269" s="307" t="s">
        <v>102</v>
      </c>
      <c r="G269" s="331">
        <v>2.1527777777777781E-2</v>
      </c>
      <c r="H269" s="307" t="s">
        <v>80</v>
      </c>
      <c r="I269" s="307">
        <v>1</v>
      </c>
      <c r="J269" s="307"/>
      <c r="K269" s="309">
        <f t="shared" si="34"/>
        <v>0</v>
      </c>
      <c r="L269" s="310">
        <f t="shared" si="29"/>
        <v>2.1527777777777781E-2</v>
      </c>
      <c r="M269" s="307"/>
    </row>
    <row r="270" spans="1:13" ht="15" customHeight="1">
      <c r="A270" s="266"/>
      <c r="B270">
        <f t="shared" si="38"/>
        <v>12</v>
      </c>
      <c r="C270" s="305">
        <f>Tableau11[[#This Row],[DATE2]]</f>
        <v>36652</v>
      </c>
      <c r="D270" s="306">
        <v>36652</v>
      </c>
      <c r="E270" s="307" t="s">
        <v>86</v>
      </c>
      <c r="F270" s="307" t="s">
        <v>87</v>
      </c>
      <c r="G270" s="331">
        <v>4.5138888888888888E-2</v>
      </c>
      <c r="H270" s="307" t="s">
        <v>55</v>
      </c>
      <c r="I270" s="307">
        <v>1</v>
      </c>
      <c r="J270" s="307"/>
      <c r="K270" s="309">
        <f t="shared" si="34"/>
        <v>4.5138888888888888E-2</v>
      </c>
      <c r="L270" s="310">
        <f t="shared" si="29"/>
        <v>0</v>
      </c>
      <c r="M270" s="307"/>
    </row>
    <row r="271" spans="1:13" ht="15" customHeight="1">
      <c r="A271" s="266"/>
      <c r="B271">
        <f t="shared" si="38"/>
        <v>13</v>
      </c>
      <c r="C271" s="305">
        <f>Tableau11[[#This Row],[DATE2]]</f>
        <v>36764</v>
      </c>
      <c r="D271" s="306">
        <v>36764</v>
      </c>
      <c r="E271" s="307" t="s">
        <v>121</v>
      </c>
      <c r="F271" s="307" t="s">
        <v>126</v>
      </c>
      <c r="G271" s="331">
        <v>1.3194444444444444E-2</v>
      </c>
      <c r="H271" s="307" t="s">
        <v>80</v>
      </c>
      <c r="I271" s="307">
        <v>1</v>
      </c>
      <c r="J271" s="307"/>
      <c r="K271" s="309">
        <f t="shared" si="34"/>
        <v>0</v>
      </c>
      <c r="L271" s="310">
        <f t="shared" si="29"/>
        <v>1.3194444444444444E-2</v>
      </c>
      <c r="M271" s="307"/>
    </row>
    <row r="272" spans="1:13" ht="15" customHeight="1" thickBot="1">
      <c r="A272" s="266"/>
      <c r="B272">
        <f t="shared" si="38"/>
        <v>14</v>
      </c>
      <c r="C272" s="343"/>
      <c r="D272" s="307"/>
      <c r="E272" s="307"/>
      <c r="F272" s="307"/>
      <c r="G272" s="331"/>
      <c r="H272" s="307"/>
      <c r="I272" s="307"/>
      <c r="J272" s="307"/>
      <c r="K272" s="331"/>
      <c r="L272" s="331"/>
      <c r="M272" s="307"/>
    </row>
    <row r="273" spans="1:13" ht="15" customHeight="1">
      <c r="A273" s="266"/>
      <c r="C273" s="344"/>
      <c r="D273" s="345"/>
      <c r="E273" s="346"/>
      <c r="F273" s="347" t="s">
        <v>81</v>
      </c>
      <c r="G273" s="348">
        <f>SUM(G259:G272)</f>
        <v>0.32708333333333334</v>
      </c>
      <c r="H273" s="346"/>
      <c r="I273" s="349">
        <f>SUM(I259:I272)</f>
        <v>13</v>
      </c>
      <c r="J273" s="350"/>
      <c r="K273" s="351">
        <f>SUM(K259:K272)</f>
        <v>0.17986111111111114</v>
      </c>
      <c r="L273" s="352">
        <f>SUM(L259:L272)</f>
        <v>0.14722222222222223</v>
      </c>
      <c r="M273" s="353"/>
    </row>
    <row r="274" spans="1:13" ht="15" customHeight="1">
      <c r="A274" s="266"/>
      <c r="C274" s="354"/>
      <c r="D274" s="355"/>
      <c r="E274" s="356"/>
      <c r="F274" s="357" t="s">
        <v>82</v>
      </c>
      <c r="G274" s="358">
        <f>G258</f>
        <v>5.8381944444444454</v>
      </c>
      <c r="H274" s="356"/>
      <c r="I274" s="359">
        <f>I258</f>
        <v>332</v>
      </c>
      <c r="J274" s="360"/>
      <c r="K274" s="361">
        <f>K258</f>
        <v>3.5840277777777776</v>
      </c>
      <c r="L274" s="362">
        <f>L258</f>
        <v>2.2541666666666669</v>
      </c>
      <c r="M274" s="363"/>
    </row>
    <row r="275" spans="1:13" ht="16.05" customHeight="1" thickBot="1">
      <c r="A275" s="295"/>
      <c r="C275" s="364"/>
      <c r="D275" s="365"/>
      <c r="E275" s="366"/>
      <c r="F275" s="367" t="s">
        <v>83</v>
      </c>
      <c r="G275" s="368">
        <f>G273+G274</f>
        <v>6.1652777777777787</v>
      </c>
      <c r="H275" s="366"/>
      <c r="I275" s="369">
        <f>I274+I273</f>
        <v>345</v>
      </c>
      <c r="J275" s="370"/>
      <c r="K275" s="371">
        <f>SUM(K273:K274)</f>
        <v>3.7638888888888888</v>
      </c>
      <c r="L275" s="372">
        <f>L273+L274</f>
        <v>2.401388888888889</v>
      </c>
      <c r="M275" s="373"/>
    </row>
    <row r="276" spans="1:13">
      <c r="C276" s="374"/>
      <c r="D276" s="375"/>
      <c r="E276" s="73"/>
      <c r="F276" s="73"/>
      <c r="G276" s="376"/>
      <c r="H276" s="73"/>
      <c r="I276" s="73"/>
      <c r="J276" s="73"/>
      <c r="K276" s="377"/>
      <c r="L276" s="378"/>
      <c r="M276" s="73"/>
    </row>
    <row r="277" spans="1:13">
      <c r="C277" s="374"/>
      <c r="D277" s="375"/>
      <c r="E277" s="73"/>
      <c r="F277" s="73"/>
      <c r="G277" s="376"/>
      <c r="H277" s="73"/>
      <c r="I277" s="73"/>
      <c r="J277" s="73"/>
      <c r="K277" s="377"/>
      <c r="L277" s="378"/>
      <c r="M277" s="73"/>
    </row>
    <row r="278" spans="1:13">
      <c r="C278" s="374"/>
      <c r="D278" s="375"/>
      <c r="E278" s="73"/>
      <c r="F278" s="73"/>
      <c r="G278" s="376"/>
      <c r="H278" s="73"/>
      <c r="I278" s="73"/>
      <c r="J278" s="73"/>
      <c r="K278" s="377"/>
      <c r="L278" s="378"/>
      <c r="M278" s="73"/>
    </row>
    <row r="279" spans="1:13">
      <c r="C279" s="374"/>
      <c r="D279" s="375"/>
      <c r="E279" s="73"/>
      <c r="F279" s="73"/>
      <c r="G279" s="376"/>
      <c r="H279" s="73"/>
      <c r="I279" s="73"/>
      <c r="J279" s="73"/>
      <c r="K279" s="377"/>
      <c r="L279" s="378"/>
      <c r="M279" s="73"/>
    </row>
    <row r="280" spans="1:13">
      <c r="C280" s="374"/>
      <c r="D280" s="375"/>
      <c r="E280" s="73"/>
      <c r="F280" s="73"/>
      <c r="G280" s="376"/>
      <c r="H280" s="73"/>
      <c r="I280" s="73"/>
      <c r="J280" s="73"/>
      <c r="K280" s="377"/>
      <c r="L280" s="378"/>
      <c r="M280" s="73"/>
    </row>
    <row r="281" spans="1:13">
      <c r="C281" s="374"/>
      <c r="D281" s="375"/>
      <c r="E281" s="73"/>
      <c r="F281" s="73"/>
      <c r="G281" s="376"/>
      <c r="H281" s="73"/>
      <c r="I281" s="73"/>
      <c r="J281" s="73"/>
      <c r="K281" s="377"/>
      <c r="L281" s="378"/>
      <c r="M281" s="73"/>
    </row>
    <row r="282" spans="1:13">
      <c r="C282" s="374"/>
      <c r="D282" s="375"/>
      <c r="E282" s="73"/>
      <c r="F282" s="73"/>
      <c r="G282" s="376"/>
      <c r="H282" s="73"/>
      <c r="I282" s="73"/>
      <c r="J282" s="73"/>
      <c r="K282" s="377"/>
      <c r="L282" s="378"/>
      <c r="M282" s="73"/>
    </row>
    <row r="283" spans="1:13">
      <c r="C283" s="374"/>
      <c r="D283" s="375"/>
      <c r="E283" s="73"/>
      <c r="F283" s="73"/>
      <c r="G283" s="376"/>
      <c r="H283" s="73"/>
      <c r="I283" s="73"/>
      <c r="J283" s="73"/>
      <c r="K283" s="377"/>
      <c r="L283" s="378"/>
      <c r="M283" s="73"/>
    </row>
    <row r="284" spans="1:13">
      <c r="C284" s="374"/>
      <c r="D284" s="375"/>
      <c r="E284" s="73"/>
      <c r="F284" s="73"/>
      <c r="G284" s="376"/>
      <c r="H284" s="73"/>
      <c r="I284" s="73"/>
      <c r="J284" s="73"/>
      <c r="K284" s="377"/>
      <c r="L284" s="378"/>
      <c r="M284" s="73"/>
    </row>
    <row r="285" spans="1:13">
      <c r="C285" s="374"/>
      <c r="D285" s="375"/>
      <c r="E285" s="73"/>
      <c r="F285" s="73"/>
      <c r="G285" s="376"/>
      <c r="H285" s="73"/>
      <c r="I285" s="73"/>
      <c r="J285" s="73"/>
      <c r="K285" s="377"/>
      <c r="L285" s="378"/>
      <c r="M285" s="73"/>
    </row>
    <row r="286" spans="1:13">
      <c r="C286" s="374"/>
      <c r="D286" s="375"/>
      <c r="E286" s="73"/>
      <c r="F286" s="73"/>
      <c r="G286" s="376"/>
      <c r="H286" s="73"/>
      <c r="I286" s="73"/>
      <c r="J286" s="73"/>
      <c r="K286" s="377"/>
      <c r="L286" s="378"/>
      <c r="M286" s="73"/>
    </row>
    <row r="287" spans="1:13">
      <c r="C287" s="374"/>
      <c r="D287" s="375"/>
      <c r="E287" s="73"/>
      <c r="F287" s="73"/>
      <c r="G287" s="376"/>
      <c r="H287" s="73"/>
      <c r="I287" s="73"/>
      <c r="J287" s="73"/>
      <c r="K287" s="377"/>
      <c r="L287" s="378"/>
      <c r="M287" s="73"/>
    </row>
    <row r="288" spans="1:13">
      <c r="C288" s="374"/>
      <c r="D288" s="375"/>
      <c r="E288" s="73"/>
      <c r="F288" s="73"/>
      <c r="G288" s="376"/>
      <c r="H288" s="73"/>
      <c r="I288" s="73"/>
      <c r="J288" s="73"/>
      <c r="K288" s="377"/>
      <c r="L288" s="378"/>
      <c r="M288" s="73"/>
    </row>
    <row r="289" spans="3:13">
      <c r="C289" s="374"/>
      <c r="D289" s="375"/>
      <c r="E289" s="73"/>
      <c r="F289" s="73"/>
      <c r="G289" s="376"/>
      <c r="H289" s="73"/>
      <c r="I289" s="73"/>
      <c r="J289" s="73"/>
      <c r="K289" s="377"/>
      <c r="L289" s="378"/>
      <c r="M289" s="73"/>
    </row>
    <row r="290" spans="3:13">
      <c r="C290" s="374"/>
      <c r="D290" s="375"/>
      <c r="E290" s="73"/>
      <c r="F290" s="73"/>
      <c r="G290" s="376"/>
      <c r="H290" s="73"/>
      <c r="I290" s="73"/>
      <c r="J290" s="73"/>
      <c r="K290" s="377"/>
      <c r="L290" s="378"/>
      <c r="M290" s="73"/>
    </row>
    <row r="291" spans="3:13">
      <c r="C291" s="374"/>
      <c r="D291" s="375"/>
      <c r="E291" s="73"/>
      <c r="F291" s="73"/>
      <c r="G291" s="376"/>
      <c r="H291" s="73"/>
      <c r="I291" s="73"/>
      <c r="J291" s="73"/>
      <c r="K291" s="377"/>
      <c r="L291" s="378"/>
      <c r="M291" s="73"/>
    </row>
    <row r="292" spans="3:13">
      <c r="C292" s="374"/>
      <c r="D292" s="375"/>
      <c r="E292" s="73"/>
      <c r="F292" s="73"/>
      <c r="G292" s="376"/>
      <c r="H292" s="73"/>
      <c r="I292" s="73"/>
      <c r="J292" s="73"/>
      <c r="K292" s="377"/>
      <c r="L292" s="378"/>
      <c r="M292" s="73"/>
    </row>
    <row r="293" spans="3:13">
      <c r="C293" s="374"/>
      <c r="D293" s="375"/>
      <c r="E293" s="73"/>
      <c r="F293" s="73"/>
      <c r="G293" s="376"/>
      <c r="H293" s="73"/>
      <c r="I293" s="73"/>
      <c r="J293" s="73"/>
      <c r="K293" s="377"/>
      <c r="L293" s="378"/>
      <c r="M293" s="73"/>
    </row>
    <row r="294" spans="3:13">
      <c r="C294" s="374"/>
      <c r="D294" s="375"/>
      <c r="E294" s="73"/>
      <c r="F294" s="73"/>
      <c r="G294" s="376"/>
      <c r="H294" s="73"/>
      <c r="I294" s="73"/>
      <c r="J294" s="73"/>
      <c r="K294" s="377"/>
      <c r="L294" s="378"/>
      <c r="M294" s="73"/>
    </row>
    <row r="295" spans="3:13">
      <c r="C295" s="374"/>
      <c r="D295" s="375"/>
      <c r="E295" s="73"/>
      <c r="F295" s="73"/>
      <c r="G295" s="376"/>
      <c r="H295" s="73"/>
      <c r="I295" s="73"/>
      <c r="J295" s="73"/>
      <c r="K295" s="377"/>
      <c r="L295" s="378"/>
      <c r="M295" s="73"/>
    </row>
    <row r="296" spans="3:13">
      <c r="C296" s="374"/>
      <c r="D296" s="375"/>
      <c r="E296" s="73"/>
      <c r="F296" s="73"/>
      <c r="G296" s="376"/>
      <c r="H296" s="73"/>
      <c r="I296" s="73"/>
      <c r="J296" s="73"/>
      <c r="K296" s="377"/>
      <c r="L296" s="378"/>
      <c r="M296" s="73"/>
    </row>
    <row r="297" spans="3:13">
      <c r="C297" s="374"/>
      <c r="D297" s="375"/>
      <c r="E297" s="73"/>
      <c r="F297" s="73"/>
      <c r="G297" s="376"/>
      <c r="H297" s="73"/>
      <c r="I297" s="73"/>
      <c r="J297" s="73"/>
      <c r="K297" s="377"/>
      <c r="L297" s="378"/>
      <c r="M297" s="73"/>
    </row>
    <row r="298" spans="3:13">
      <c r="C298" s="374"/>
      <c r="D298" s="375"/>
      <c r="E298" s="73"/>
      <c r="F298" s="73"/>
      <c r="G298" s="376"/>
      <c r="H298" s="73"/>
      <c r="I298" s="73"/>
      <c r="J298" s="73"/>
      <c r="K298" s="377"/>
      <c r="L298" s="378"/>
      <c r="M298" s="73"/>
    </row>
    <row r="299" spans="3:13">
      <c r="C299" s="374"/>
      <c r="D299" s="375"/>
      <c r="E299" s="73"/>
      <c r="F299" s="73"/>
      <c r="G299" s="376"/>
      <c r="H299" s="73"/>
      <c r="I299" s="73"/>
      <c r="J299" s="73"/>
      <c r="K299" s="377"/>
      <c r="L299" s="378"/>
      <c r="M299" s="73"/>
    </row>
    <row r="300" spans="3:13">
      <c r="C300" s="374"/>
      <c r="D300" s="375"/>
      <c r="E300" s="73"/>
      <c r="F300" s="73"/>
      <c r="G300" s="376"/>
      <c r="H300" s="73"/>
      <c r="I300" s="73"/>
      <c r="J300" s="73"/>
      <c r="K300" s="377"/>
      <c r="L300" s="378"/>
      <c r="M300" s="73"/>
    </row>
    <row r="301" spans="3:13">
      <c r="C301" s="374"/>
      <c r="D301" s="375"/>
      <c r="E301" s="73"/>
      <c r="F301" s="73"/>
      <c r="G301" s="376"/>
      <c r="H301" s="73"/>
      <c r="I301" s="73"/>
      <c r="J301" s="73"/>
      <c r="K301" s="377"/>
      <c r="L301" s="378"/>
      <c r="M301" s="73"/>
    </row>
    <row r="302" spans="3:13">
      <c r="C302" s="374"/>
      <c r="D302" s="375"/>
      <c r="E302" s="73"/>
      <c r="F302" s="73"/>
      <c r="G302" s="376"/>
      <c r="H302" s="73"/>
      <c r="I302" s="73"/>
      <c r="J302" s="73"/>
      <c r="K302" s="377"/>
      <c r="L302" s="378"/>
      <c r="M302" s="73"/>
    </row>
    <row r="303" spans="3:13">
      <c r="C303" s="374"/>
      <c r="D303" s="375"/>
      <c r="E303" s="73"/>
      <c r="F303" s="73"/>
      <c r="G303" s="376"/>
      <c r="H303" s="73"/>
      <c r="I303" s="73"/>
      <c r="J303" s="73"/>
      <c r="K303" s="377"/>
      <c r="L303" s="378"/>
      <c r="M303" s="73"/>
    </row>
    <row r="304" spans="3:13">
      <c r="C304" s="374"/>
      <c r="D304" s="375"/>
      <c r="E304" s="73"/>
      <c r="F304" s="73"/>
      <c r="G304" s="376"/>
      <c r="H304" s="73"/>
      <c r="I304" s="73"/>
      <c r="J304" s="73"/>
      <c r="K304" s="377"/>
      <c r="L304" s="378"/>
      <c r="M304" s="73"/>
    </row>
    <row r="305" spans="3:13">
      <c r="C305" s="374"/>
      <c r="D305" s="375"/>
      <c r="E305" s="73"/>
      <c r="F305" s="73"/>
      <c r="G305" s="376"/>
      <c r="H305" s="73"/>
      <c r="I305" s="73"/>
      <c r="J305" s="73"/>
      <c r="K305" s="377"/>
      <c r="L305" s="378"/>
      <c r="M305" s="73"/>
    </row>
    <row r="306" spans="3:13">
      <c r="C306" s="374"/>
      <c r="D306" s="375"/>
      <c r="E306" s="73"/>
      <c r="F306" s="73"/>
      <c r="G306" s="376"/>
      <c r="H306" s="73"/>
      <c r="I306" s="73"/>
      <c r="J306" s="73"/>
      <c r="K306" s="377"/>
      <c r="L306" s="378"/>
      <c r="M306" s="73"/>
    </row>
    <row r="307" spans="3:13">
      <c r="C307" s="374"/>
      <c r="D307" s="375"/>
      <c r="E307" s="73"/>
      <c r="F307" s="73"/>
      <c r="G307" s="376"/>
      <c r="H307" s="73"/>
      <c r="I307" s="73"/>
      <c r="J307" s="73"/>
      <c r="K307" s="377"/>
      <c r="L307" s="378"/>
      <c r="M307" s="73"/>
    </row>
    <row r="308" spans="3:13">
      <c r="C308" s="374"/>
      <c r="D308" s="375"/>
      <c r="E308" s="73"/>
      <c r="F308" s="73"/>
      <c r="G308" s="376"/>
      <c r="H308" s="73"/>
      <c r="I308" s="73"/>
      <c r="J308" s="73"/>
      <c r="K308" s="377"/>
      <c r="L308" s="378"/>
      <c r="M308" s="73"/>
    </row>
    <row r="309" spans="3:13">
      <c r="C309" s="374"/>
      <c r="D309" s="375"/>
      <c r="E309" s="73"/>
      <c r="F309" s="73"/>
      <c r="G309" s="376"/>
      <c r="H309" s="73"/>
      <c r="I309" s="73"/>
      <c r="J309" s="73"/>
      <c r="K309" s="377"/>
      <c r="L309" s="378"/>
      <c r="M309" s="73"/>
    </row>
    <row r="310" spans="3:13">
      <c r="C310" s="374"/>
      <c r="D310" s="375"/>
      <c r="E310" s="73"/>
      <c r="F310" s="73"/>
      <c r="G310" s="376"/>
      <c r="H310" s="73"/>
      <c r="I310" s="73"/>
      <c r="J310" s="73"/>
      <c r="K310" s="377"/>
      <c r="L310" s="378"/>
      <c r="M310" s="73"/>
    </row>
    <row r="311" spans="3:13">
      <c r="C311" s="374"/>
      <c r="D311" s="375"/>
      <c r="E311" s="73"/>
      <c r="F311" s="73"/>
      <c r="G311" s="376"/>
      <c r="H311" s="73"/>
      <c r="I311" s="73"/>
      <c r="J311" s="73"/>
      <c r="K311" s="377"/>
      <c r="L311" s="378"/>
      <c r="M311" s="73"/>
    </row>
    <row r="312" spans="3:13">
      <c r="C312" s="374"/>
      <c r="D312" s="375"/>
      <c r="E312" s="73"/>
      <c r="F312" s="73"/>
      <c r="G312" s="376"/>
      <c r="H312" s="73"/>
      <c r="I312" s="73"/>
      <c r="J312" s="73"/>
      <c r="K312" s="377"/>
      <c r="L312" s="378"/>
      <c r="M312" s="73"/>
    </row>
    <row r="313" spans="3:13">
      <c r="C313" s="374"/>
      <c r="D313" s="375"/>
      <c r="E313" s="73"/>
      <c r="F313" s="73"/>
      <c r="G313" s="376"/>
      <c r="H313" s="73"/>
      <c r="I313" s="73"/>
      <c r="J313" s="73"/>
      <c r="K313" s="377"/>
      <c r="L313" s="378"/>
      <c r="M313" s="73"/>
    </row>
    <row r="314" spans="3:13">
      <c r="C314" s="374"/>
      <c r="D314" s="375"/>
      <c r="E314" s="73"/>
      <c r="F314" s="73"/>
      <c r="G314" s="376"/>
      <c r="H314" s="73"/>
      <c r="I314" s="73"/>
      <c r="J314" s="73"/>
      <c r="K314" s="377"/>
      <c r="L314" s="378"/>
      <c r="M314" s="73"/>
    </row>
    <row r="315" spans="3:13">
      <c r="C315" s="374"/>
      <c r="D315" s="375"/>
      <c r="E315" s="73"/>
      <c r="F315" s="73"/>
      <c r="G315" s="376"/>
      <c r="H315" s="73"/>
      <c r="I315" s="73"/>
      <c r="J315" s="73"/>
      <c r="K315" s="377"/>
      <c r="L315" s="378"/>
      <c r="M315" s="73"/>
    </row>
    <row r="316" spans="3:13">
      <c r="C316" s="374"/>
      <c r="D316" s="375"/>
      <c r="E316" s="73"/>
      <c r="F316" s="73"/>
      <c r="G316" s="376"/>
      <c r="H316" s="73"/>
      <c r="I316" s="73"/>
      <c r="J316" s="73"/>
      <c r="K316" s="377"/>
      <c r="L316" s="378"/>
      <c r="M316" s="73"/>
    </row>
    <row r="317" spans="3:13">
      <c r="C317" s="374"/>
      <c r="D317" s="375"/>
      <c r="E317" s="73"/>
      <c r="F317" s="73"/>
      <c r="G317" s="376"/>
      <c r="H317" s="73"/>
      <c r="I317" s="73"/>
      <c r="J317" s="73"/>
      <c r="K317" s="377"/>
      <c r="L317" s="378"/>
      <c r="M317" s="73"/>
    </row>
    <row r="318" spans="3:13">
      <c r="C318" s="374"/>
      <c r="D318" s="375"/>
      <c r="E318" s="73"/>
      <c r="F318" s="73"/>
      <c r="G318" s="376"/>
      <c r="H318" s="73"/>
      <c r="I318" s="73"/>
      <c r="J318" s="73"/>
      <c r="K318" s="377"/>
      <c r="L318" s="378"/>
      <c r="M318" s="73"/>
    </row>
    <row r="319" spans="3:13">
      <c r="C319" s="374"/>
      <c r="D319" s="375"/>
      <c r="E319" s="73"/>
      <c r="F319" s="73"/>
      <c r="G319" s="376"/>
      <c r="H319" s="73"/>
      <c r="I319" s="73"/>
      <c r="J319" s="73"/>
      <c r="K319" s="377"/>
      <c r="L319" s="378"/>
      <c r="M319" s="73"/>
    </row>
    <row r="320" spans="3:13">
      <c r="C320" s="374"/>
      <c r="D320" s="375"/>
      <c r="E320" s="73"/>
      <c r="F320" s="73"/>
      <c r="G320" s="376"/>
      <c r="H320" s="73"/>
      <c r="I320" s="73"/>
      <c r="J320" s="73"/>
      <c r="K320" s="377"/>
      <c r="L320" s="378"/>
      <c r="M320" s="73"/>
    </row>
    <row r="321" spans="3:13">
      <c r="C321" s="374"/>
      <c r="D321" s="375"/>
      <c r="E321" s="73"/>
      <c r="F321" s="73"/>
      <c r="G321" s="376"/>
      <c r="H321" s="73"/>
      <c r="I321" s="73"/>
      <c r="J321" s="73"/>
      <c r="K321" s="377"/>
      <c r="L321" s="378"/>
      <c r="M321" s="73"/>
    </row>
    <row r="322" spans="3:13">
      <c r="C322" s="374"/>
      <c r="D322" s="375"/>
      <c r="E322" s="73"/>
      <c r="F322" s="73"/>
      <c r="G322" s="376"/>
      <c r="H322" s="73"/>
      <c r="I322" s="73"/>
      <c r="J322" s="73"/>
      <c r="K322" s="377"/>
      <c r="L322" s="378"/>
      <c r="M322" s="73"/>
    </row>
    <row r="323" spans="3:13">
      <c r="C323" s="374"/>
      <c r="D323" s="375"/>
      <c r="E323" s="73"/>
      <c r="F323" s="73"/>
      <c r="G323" s="376"/>
      <c r="H323" s="73"/>
      <c r="I323" s="73"/>
      <c r="J323" s="73"/>
      <c r="K323" s="377"/>
      <c r="L323" s="378"/>
      <c r="M323" s="73"/>
    </row>
    <row r="324" spans="3:13">
      <c r="C324" s="374"/>
      <c r="D324" s="375"/>
      <c r="E324" s="73"/>
      <c r="F324" s="73"/>
      <c r="G324" s="376"/>
      <c r="H324" s="73"/>
      <c r="I324" s="73"/>
      <c r="J324" s="73"/>
      <c r="K324" s="377"/>
      <c r="L324" s="378"/>
      <c r="M324" s="73"/>
    </row>
    <row r="325" spans="3:13">
      <c r="C325" s="374"/>
      <c r="D325" s="375"/>
      <c r="E325" s="73"/>
      <c r="F325" s="73"/>
      <c r="G325" s="376"/>
      <c r="H325" s="73"/>
      <c r="I325" s="73"/>
      <c r="J325" s="73"/>
      <c r="K325" s="377"/>
      <c r="L325" s="378"/>
      <c r="M325" s="73"/>
    </row>
    <row r="326" spans="3:13">
      <c r="C326" s="374"/>
      <c r="D326" s="375"/>
      <c r="E326" s="73"/>
      <c r="F326" s="73"/>
      <c r="G326" s="376"/>
      <c r="H326" s="73"/>
      <c r="I326" s="73"/>
      <c r="J326" s="73"/>
      <c r="K326" s="377"/>
      <c r="L326" s="378"/>
      <c r="M326" s="73"/>
    </row>
    <row r="327" spans="3:13">
      <c r="C327" s="374"/>
      <c r="D327" s="375"/>
      <c r="E327" s="73"/>
      <c r="F327" s="73"/>
      <c r="G327" s="376"/>
      <c r="H327" s="73"/>
      <c r="I327" s="73"/>
      <c r="J327" s="73"/>
      <c r="K327" s="377"/>
      <c r="L327" s="378"/>
      <c r="M327" s="73"/>
    </row>
    <row r="328" spans="3:13">
      <c r="C328" s="374"/>
      <c r="D328" s="375"/>
      <c r="E328" s="73"/>
      <c r="F328" s="73"/>
      <c r="G328" s="376"/>
      <c r="H328" s="73"/>
      <c r="I328" s="73"/>
      <c r="J328" s="73"/>
      <c r="K328" s="377"/>
      <c r="L328" s="378"/>
      <c r="M328" s="73"/>
    </row>
    <row r="329" spans="3:13">
      <c r="C329" s="374"/>
      <c r="D329" s="375"/>
      <c r="E329" s="73"/>
      <c r="F329" s="73"/>
      <c r="G329" s="376"/>
      <c r="H329" s="73"/>
      <c r="I329" s="73"/>
      <c r="J329" s="73"/>
      <c r="K329" s="377"/>
      <c r="L329" s="378"/>
      <c r="M329" s="73"/>
    </row>
    <row r="330" spans="3:13">
      <c r="C330" s="374"/>
      <c r="D330" s="375"/>
      <c r="E330" s="73"/>
      <c r="F330" s="73"/>
      <c r="G330" s="376"/>
      <c r="H330" s="73"/>
      <c r="I330" s="73"/>
      <c r="J330" s="73"/>
      <c r="K330" s="377"/>
      <c r="L330" s="378"/>
      <c r="M330" s="73"/>
    </row>
    <row r="331" spans="3:13">
      <c r="C331" s="374"/>
      <c r="D331" s="375"/>
      <c r="E331" s="73"/>
      <c r="F331" s="73"/>
      <c r="G331" s="376"/>
      <c r="H331" s="73"/>
      <c r="I331" s="73"/>
      <c r="J331" s="73"/>
      <c r="K331" s="377"/>
      <c r="L331" s="378"/>
      <c r="M331" s="73"/>
    </row>
    <row r="332" spans="3:13">
      <c r="C332" s="374"/>
      <c r="D332" s="375"/>
      <c r="E332" s="73"/>
      <c r="F332" s="73"/>
      <c r="G332" s="376"/>
      <c r="H332" s="73"/>
      <c r="I332" s="73"/>
      <c r="J332" s="73"/>
      <c r="K332" s="377"/>
      <c r="L332" s="378"/>
      <c r="M332" s="73"/>
    </row>
    <row r="333" spans="3:13">
      <c r="C333" s="374"/>
      <c r="D333" s="375"/>
      <c r="E333" s="73"/>
      <c r="F333" s="73"/>
      <c r="G333" s="376"/>
      <c r="H333" s="73"/>
      <c r="I333" s="73"/>
      <c r="J333" s="73"/>
      <c r="K333" s="377"/>
      <c r="L333" s="378"/>
      <c r="M333" s="73"/>
    </row>
    <row r="334" spans="3:13">
      <c r="C334" s="374"/>
      <c r="D334" s="375"/>
      <c r="E334" s="73"/>
      <c r="F334" s="73"/>
      <c r="G334" s="376"/>
      <c r="H334" s="73"/>
      <c r="I334" s="73"/>
      <c r="J334" s="73"/>
      <c r="K334" s="377"/>
      <c r="L334" s="378"/>
      <c r="M334" s="73"/>
    </row>
    <row r="335" spans="3:13">
      <c r="C335" s="374"/>
      <c r="D335" s="375"/>
      <c r="E335" s="73"/>
      <c r="F335" s="73"/>
      <c r="G335" s="376"/>
      <c r="H335" s="73"/>
      <c r="I335" s="73"/>
      <c r="J335" s="73"/>
      <c r="K335" s="377"/>
      <c r="L335" s="378"/>
      <c r="M335" s="73"/>
    </row>
    <row r="336" spans="3:13">
      <c r="C336" s="374"/>
      <c r="D336" s="375"/>
      <c r="E336" s="73"/>
      <c r="F336" s="73"/>
      <c r="G336" s="376"/>
      <c r="H336" s="73"/>
      <c r="I336" s="73"/>
      <c r="J336" s="73"/>
      <c r="K336" s="377"/>
      <c r="L336" s="378"/>
      <c r="M336" s="73"/>
    </row>
    <row r="337" spans="3:13">
      <c r="C337" s="374"/>
      <c r="D337" s="375"/>
      <c r="E337" s="73"/>
      <c r="F337" s="73"/>
      <c r="G337" s="376"/>
      <c r="H337" s="73"/>
      <c r="I337" s="73"/>
      <c r="J337" s="73"/>
      <c r="K337" s="377"/>
      <c r="L337" s="378"/>
      <c r="M337" s="73"/>
    </row>
    <row r="338" spans="3:13">
      <c r="C338" s="374"/>
      <c r="D338" s="375"/>
      <c r="E338" s="73"/>
      <c r="F338" s="73"/>
      <c r="G338" s="376"/>
      <c r="H338" s="73"/>
      <c r="I338" s="73"/>
      <c r="J338" s="73"/>
      <c r="K338" s="377"/>
      <c r="L338" s="378"/>
      <c r="M338" s="73"/>
    </row>
    <row r="339" spans="3:13">
      <c r="C339" s="374"/>
      <c r="D339" s="375"/>
      <c r="E339" s="73"/>
      <c r="F339" s="73"/>
      <c r="G339" s="376"/>
      <c r="H339" s="73"/>
      <c r="I339" s="73"/>
      <c r="J339" s="73"/>
      <c r="K339" s="377"/>
      <c r="L339" s="378"/>
      <c r="M339" s="73"/>
    </row>
    <row r="340" spans="3:13">
      <c r="C340" s="374"/>
      <c r="D340" s="375"/>
      <c r="E340" s="73"/>
      <c r="F340" s="73"/>
      <c r="G340" s="376"/>
      <c r="H340" s="73"/>
      <c r="I340" s="73"/>
      <c r="J340" s="73"/>
      <c r="K340" s="377"/>
      <c r="L340" s="378"/>
      <c r="M340" s="73"/>
    </row>
    <row r="341" spans="3:13">
      <c r="C341" s="374"/>
      <c r="D341" s="375"/>
      <c r="E341" s="73"/>
      <c r="F341" s="73"/>
      <c r="G341" s="376"/>
      <c r="H341" s="73"/>
      <c r="I341" s="73"/>
      <c r="J341" s="73"/>
      <c r="K341" s="377"/>
      <c r="L341" s="378"/>
      <c r="M341" s="73"/>
    </row>
    <row r="342" spans="3:13">
      <c r="C342" s="374"/>
      <c r="D342" s="375"/>
      <c r="E342" s="73"/>
      <c r="F342" s="73"/>
      <c r="G342" s="376"/>
      <c r="H342" s="73"/>
      <c r="I342" s="73"/>
      <c r="J342" s="73"/>
      <c r="K342" s="377"/>
      <c r="L342" s="378"/>
      <c r="M342" s="73"/>
    </row>
    <row r="343" spans="3:13">
      <c r="C343" s="374"/>
      <c r="D343" s="375"/>
      <c r="E343" s="73"/>
      <c r="F343" s="73"/>
      <c r="G343" s="376"/>
      <c r="H343" s="73"/>
      <c r="I343" s="73"/>
      <c r="J343" s="73"/>
      <c r="K343" s="377"/>
      <c r="L343" s="378"/>
      <c r="M343" s="73"/>
    </row>
    <row r="344" spans="3:13">
      <c r="C344" s="374"/>
      <c r="D344" s="375"/>
      <c r="E344" s="73"/>
      <c r="F344" s="73"/>
      <c r="G344" s="376"/>
      <c r="H344" s="73"/>
      <c r="I344" s="73"/>
      <c r="J344" s="73"/>
      <c r="K344" s="377"/>
      <c r="L344" s="378"/>
      <c r="M344" s="73"/>
    </row>
    <row r="345" spans="3:13">
      <c r="C345" s="374"/>
      <c r="D345" s="375"/>
      <c r="E345" s="73"/>
      <c r="F345" s="73"/>
      <c r="G345" s="376"/>
      <c r="H345" s="73"/>
      <c r="I345" s="73"/>
      <c r="J345" s="73"/>
      <c r="K345" s="377"/>
      <c r="L345" s="378"/>
      <c r="M345" s="73"/>
    </row>
    <row r="346" spans="3:13">
      <c r="C346" s="374"/>
      <c r="D346" s="375"/>
      <c r="E346" s="73"/>
      <c r="F346" s="73"/>
      <c r="G346" s="376"/>
      <c r="H346" s="73"/>
      <c r="I346" s="73"/>
      <c r="J346" s="73"/>
      <c r="K346" s="377"/>
      <c r="L346" s="378"/>
      <c r="M346" s="73"/>
    </row>
    <row r="347" spans="3:13">
      <c r="C347" s="374"/>
      <c r="D347" s="375"/>
      <c r="E347" s="73"/>
      <c r="F347" s="73"/>
      <c r="G347" s="376"/>
      <c r="H347" s="73"/>
      <c r="I347" s="73"/>
      <c r="J347" s="73"/>
      <c r="K347" s="377"/>
      <c r="L347" s="378"/>
      <c r="M347" s="73"/>
    </row>
    <row r="348" spans="3:13">
      <c r="C348" s="374"/>
      <c r="D348" s="375"/>
      <c r="E348" s="73"/>
      <c r="F348" s="73"/>
      <c r="G348" s="376"/>
      <c r="H348" s="73"/>
      <c r="I348" s="73"/>
      <c r="J348" s="73"/>
      <c r="K348" s="377"/>
      <c r="L348" s="378"/>
      <c r="M348" s="73"/>
    </row>
    <row r="349" spans="3:13">
      <c r="C349" s="374"/>
      <c r="D349" s="375"/>
      <c r="E349" s="73"/>
      <c r="F349" s="73"/>
      <c r="G349" s="376"/>
      <c r="H349" s="73"/>
      <c r="I349" s="73"/>
      <c r="J349" s="73"/>
      <c r="K349" s="377"/>
      <c r="L349" s="378"/>
      <c r="M349" s="73"/>
    </row>
    <row r="350" spans="3:13">
      <c r="C350" s="374"/>
      <c r="D350" s="375"/>
      <c r="E350" s="73"/>
      <c r="F350" s="73"/>
      <c r="G350" s="376"/>
      <c r="H350" s="73"/>
      <c r="I350" s="73"/>
      <c r="J350" s="73"/>
      <c r="K350" s="377"/>
      <c r="L350" s="378"/>
      <c r="M350" s="73"/>
    </row>
    <row r="351" spans="3:13">
      <c r="C351" s="374"/>
      <c r="D351" s="375"/>
      <c r="E351" s="73"/>
      <c r="F351" s="73"/>
      <c r="G351" s="376"/>
      <c r="H351" s="73"/>
      <c r="I351" s="73"/>
      <c r="J351" s="73"/>
      <c r="K351" s="377"/>
      <c r="L351" s="378"/>
      <c r="M351" s="73"/>
    </row>
    <row r="352" spans="3:13">
      <c r="C352" s="374"/>
      <c r="D352" s="375"/>
      <c r="E352" s="73"/>
      <c r="F352" s="73"/>
      <c r="G352" s="376"/>
      <c r="H352" s="73"/>
      <c r="I352" s="73"/>
      <c r="J352" s="73"/>
      <c r="K352" s="377"/>
      <c r="L352" s="378"/>
      <c r="M352" s="73"/>
    </row>
    <row r="353" spans="3:13">
      <c r="C353" s="374"/>
      <c r="D353" s="375"/>
      <c r="E353" s="73"/>
      <c r="F353" s="73"/>
      <c r="G353" s="376"/>
      <c r="H353" s="73"/>
      <c r="I353" s="73"/>
      <c r="J353" s="73"/>
      <c r="K353" s="377"/>
      <c r="L353" s="378"/>
      <c r="M353" s="73"/>
    </row>
    <row r="354" spans="3:13">
      <c r="C354" s="374"/>
      <c r="D354" s="375"/>
      <c r="E354" s="73"/>
      <c r="F354" s="73"/>
      <c r="G354" s="376"/>
      <c r="H354" s="73"/>
      <c r="I354" s="73"/>
      <c r="J354" s="73"/>
      <c r="K354" s="377"/>
      <c r="L354" s="378"/>
      <c r="M354" s="73"/>
    </row>
    <row r="355" spans="3:13">
      <c r="C355" s="374"/>
      <c r="D355" s="375"/>
      <c r="E355" s="73"/>
      <c r="F355" s="73"/>
      <c r="G355" s="376"/>
      <c r="H355" s="73"/>
      <c r="I355" s="73"/>
      <c r="J355" s="73"/>
      <c r="K355" s="377"/>
      <c r="L355" s="378"/>
      <c r="M355" s="73"/>
    </row>
    <row r="356" spans="3:13">
      <c r="C356" s="374"/>
      <c r="D356" s="375"/>
      <c r="E356" s="73"/>
      <c r="F356" s="73"/>
      <c r="G356" s="376"/>
      <c r="H356" s="73"/>
      <c r="I356" s="73"/>
      <c r="J356" s="73"/>
      <c r="K356" s="377"/>
      <c r="L356" s="378"/>
      <c r="M356" s="73"/>
    </row>
    <row r="357" spans="3:13">
      <c r="C357" s="374"/>
      <c r="D357" s="375"/>
      <c r="E357" s="73"/>
      <c r="F357" s="73"/>
      <c r="G357" s="376"/>
      <c r="H357" s="73"/>
      <c r="I357" s="73"/>
      <c r="J357" s="73"/>
      <c r="K357" s="377"/>
      <c r="L357" s="378"/>
      <c r="M357" s="73"/>
    </row>
    <row r="358" spans="3:13">
      <c r="C358" s="374"/>
      <c r="D358" s="375"/>
      <c r="E358" s="73"/>
      <c r="F358" s="73"/>
      <c r="G358" s="376"/>
      <c r="H358" s="73"/>
      <c r="I358" s="73"/>
      <c r="J358" s="73"/>
      <c r="K358" s="377"/>
      <c r="L358" s="378"/>
      <c r="M358" s="73"/>
    </row>
    <row r="359" spans="3:13">
      <c r="C359" s="374"/>
      <c r="D359" s="375"/>
      <c r="E359" s="73"/>
      <c r="F359" s="73"/>
      <c r="G359" s="376"/>
      <c r="H359" s="73"/>
      <c r="I359" s="73"/>
      <c r="J359" s="73"/>
      <c r="K359" s="377"/>
      <c r="L359" s="378"/>
      <c r="M359" s="73"/>
    </row>
    <row r="360" spans="3:13">
      <c r="C360" s="374"/>
      <c r="D360" s="375"/>
      <c r="E360" s="73"/>
      <c r="F360" s="73"/>
      <c r="G360" s="376"/>
      <c r="H360" s="73"/>
      <c r="I360" s="73"/>
      <c r="J360" s="73"/>
      <c r="K360" s="377"/>
      <c r="L360" s="378"/>
      <c r="M360" s="73"/>
    </row>
    <row r="361" spans="3:13">
      <c r="C361" s="374"/>
      <c r="D361" s="375"/>
      <c r="E361" s="73"/>
      <c r="F361" s="73"/>
      <c r="G361" s="376"/>
      <c r="H361" s="73"/>
      <c r="I361" s="73"/>
      <c r="J361" s="73"/>
      <c r="K361" s="377"/>
      <c r="L361" s="378"/>
      <c r="M361" s="73"/>
    </row>
    <row r="362" spans="3:13">
      <c r="C362" s="374"/>
      <c r="D362" s="375"/>
      <c r="E362" s="73"/>
      <c r="F362" s="73"/>
      <c r="G362" s="376"/>
      <c r="H362" s="73"/>
      <c r="I362" s="73"/>
      <c r="J362" s="73"/>
      <c r="K362" s="377"/>
      <c r="L362" s="378"/>
      <c r="M362" s="73"/>
    </row>
    <row r="363" spans="3:13">
      <c r="C363" s="374"/>
      <c r="D363" s="375"/>
      <c r="E363" s="73"/>
      <c r="F363" s="73"/>
      <c r="G363" s="376"/>
      <c r="H363" s="73"/>
      <c r="I363" s="73"/>
      <c r="J363" s="73"/>
      <c r="K363" s="377"/>
      <c r="L363" s="378"/>
      <c r="M363" s="73"/>
    </row>
    <row r="364" spans="3:13">
      <c r="C364" s="374"/>
      <c r="D364" s="375"/>
      <c r="E364" s="73"/>
      <c r="F364" s="73"/>
      <c r="G364" s="376"/>
      <c r="H364" s="73"/>
      <c r="I364" s="73"/>
      <c r="J364" s="73"/>
      <c r="K364" s="377"/>
      <c r="L364" s="378"/>
      <c r="M364" s="73"/>
    </row>
    <row r="365" spans="3:13">
      <c r="C365" s="374"/>
      <c r="D365" s="375"/>
      <c r="E365" s="73"/>
      <c r="F365" s="73"/>
      <c r="G365" s="376"/>
      <c r="H365" s="73"/>
      <c r="I365" s="73"/>
      <c r="J365" s="73"/>
      <c r="K365" s="377"/>
      <c r="L365" s="378"/>
      <c r="M365" s="73"/>
    </row>
    <row r="366" spans="3:13">
      <c r="C366" s="374"/>
      <c r="D366" s="375"/>
      <c r="E366" s="73"/>
      <c r="F366" s="73"/>
      <c r="G366" s="376"/>
      <c r="H366" s="73"/>
      <c r="I366" s="73"/>
      <c r="J366" s="73"/>
      <c r="K366" s="377"/>
      <c r="L366" s="378"/>
      <c r="M366" s="73"/>
    </row>
    <row r="367" spans="3:13">
      <c r="C367" s="374"/>
      <c r="D367" s="375"/>
      <c r="E367" s="73"/>
      <c r="F367" s="73"/>
      <c r="G367" s="376"/>
      <c r="H367" s="73"/>
      <c r="I367" s="73"/>
      <c r="J367" s="73"/>
      <c r="K367" s="377"/>
      <c r="L367" s="378"/>
      <c r="M367" s="73"/>
    </row>
    <row r="368" spans="3:13">
      <c r="C368" s="374"/>
      <c r="D368" s="375"/>
      <c r="E368" s="73"/>
      <c r="F368" s="73"/>
      <c r="G368" s="376"/>
      <c r="H368" s="73"/>
      <c r="I368" s="73"/>
      <c r="J368" s="73"/>
      <c r="K368" s="377"/>
      <c r="L368" s="378"/>
      <c r="M368" s="73"/>
    </row>
    <row r="369" spans="3:13">
      <c r="C369" s="374"/>
      <c r="D369" s="375"/>
      <c r="E369" s="73"/>
      <c r="F369" s="73"/>
      <c r="G369" s="376"/>
      <c r="H369" s="73"/>
      <c r="I369" s="73"/>
      <c r="J369" s="73"/>
      <c r="K369" s="377"/>
      <c r="L369" s="378"/>
      <c r="M369" s="73"/>
    </row>
    <row r="370" spans="3:13">
      <c r="C370" s="374"/>
      <c r="D370" s="375"/>
      <c r="E370" s="73"/>
      <c r="F370" s="73"/>
      <c r="G370" s="376"/>
      <c r="H370" s="73"/>
      <c r="I370" s="73"/>
      <c r="J370" s="73"/>
      <c r="K370" s="377"/>
      <c r="L370" s="378"/>
      <c r="M370" s="73"/>
    </row>
    <row r="371" spans="3:13">
      <c r="C371" s="374"/>
      <c r="D371" s="375"/>
      <c r="E371" s="73"/>
      <c r="F371" s="73"/>
      <c r="G371" s="376"/>
      <c r="H371" s="73"/>
      <c r="I371" s="73"/>
      <c r="J371" s="73"/>
      <c r="K371" s="377"/>
      <c r="L371" s="378"/>
      <c r="M371" s="73"/>
    </row>
    <row r="372" spans="3:13">
      <c r="C372" s="374"/>
      <c r="D372" s="375"/>
      <c r="E372" s="73"/>
      <c r="F372" s="73"/>
      <c r="G372" s="376"/>
      <c r="H372" s="73"/>
      <c r="I372" s="73"/>
      <c r="J372" s="73"/>
      <c r="K372" s="377"/>
      <c r="L372" s="378"/>
      <c r="M372" s="73"/>
    </row>
    <row r="373" spans="3:13">
      <c r="C373" s="374"/>
      <c r="D373" s="375"/>
      <c r="E373" s="73"/>
      <c r="F373" s="73"/>
      <c r="G373" s="376"/>
      <c r="H373" s="73"/>
      <c r="I373" s="73"/>
      <c r="J373" s="73"/>
      <c r="K373" s="377"/>
      <c r="L373" s="378"/>
      <c r="M373" s="73"/>
    </row>
    <row r="374" spans="3:13">
      <c r="C374" s="374"/>
      <c r="D374" s="375"/>
      <c r="E374" s="73"/>
      <c r="F374" s="73"/>
      <c r="G374" s="376"/>
      <c r="H374" s="73"/>
      <c r="I374" s="73"/>
      <c r="J374" s="73"/>
      <c r="K374" s="377"/>
      <c r="L374" s="378"/>
      <c r="M374" s="73"/>
    </row>
    <row r="375" spans="3:13">
      <c r="C375" s="374"/>
      <c r="D375" s="375"/>
      <c r="E375" s="73"/>
      <c r="F375" s="73"/>
      <c r="G375" s="376"/>
      <c r="H375" s="73"/>
      <c r="I375" s="73"/>
      <c r="J375" s="73"/>
      <c r="K375" s="377"/>
      <c r="L375" s="378"/>
      <c r="M375" s="73"/>
    </row>
    <row r="376" spans="3:13">
      <c r="C376" s="374"/>
      <c r="D376" s="375"/>
      <c r="E376" s="73"/>
      <c r="F376" s="73"/>
      <c r="G376" s="376"/>
      <c r="H376" s="73"/>
      <c r="I376" s="73"/>
      <c r="J376" s="73"/>
      <c r="K376" s="377"/>
      <c r="L376" s="378"/>
      <c r="M376" s="73"/>
    </row>
    <row r="377" spans="3:13">
      <c r="C377" s="374"/>
      <c r="D377" s="375"/>
      <c r="E377" s="73"/>
      <c r="F377" s="73"/>
      <c r="G377" s="376"/>
      <c r="H377" s="73"/>
      <c r="I377" s="73"/>
      <c r="J377" s="73"/>
      <c r="K377" s="377"/>
      <c r="L377" s="378"/>
      <c r="M377" s="73"/>
    </row>
    <row r="378" spans="3:13">
      <c r="C378" s="374"/>
      <c r="D378" s="375"/>
      <c r="E378" s="73"/>
      <c r="F378" s="73"/>
      <c r="G378" s="376"/>
      <c r="H378" s="73"/>
      <c r="I378" s="73"/>
      <c r="J378" s="73"/>
      <c r="K378" s="377"/>
      <c r="L378" s="378"/>
      <c r="M378" s="73"/>
    </row>
    <row r="379" spans="3:13">
      <c r="C379" s="374"/>
      <c r="D379" s="375"/>
      <c r="E379" s="73"/>
      <c r="F379" s="73"/>
      <c r="G379" s="376"/>
      <c r="H379" s="73"/>
      <c r="I379" s="73"/>
      <c r="J379" s="73"/>
      <c r="K379" s="377"/>
      <c r="L379" s="378"/>
      <c r="M379" s="73"/>
    </row>
    <row r="380" spans="3:13">
      <c r="C380" s="374"/>
      <c r="D380" s="375"/>
      <c r="E380" s="73"/>
      <c r="F380" s="73"/>
      <c r="G380" s="376"/>
      <c r="H380" s="73"/>
      <c r="I380" s="73"/>
      <c r="J380" s="73"/>
      <c r="K380" s="377"/>
      <c r="L380" s="378"/>
      <c r="M380" s="73"/>
    </row>
    <row r="381" spans="3:13">
      <c r="C381" s="374"/>
      <c r="D381" s="375"/>
      <c r="E381" s="73"/>
      <c r="F381" s="73"/>
      <c r="G381" s="376"/>
      <c r="H381" s="73"/>
      <c r="I381" s="73"/>
      <c r="J381" s="73"/>
      <c r="K381" s="377"/>
      <c r="L381" s="378"/>
      <c r="M381" s="73"/>
    </row>
    <row r="382" spans="3:13">
      <c r="C382" s="374"/>
      <c r="D382" s="375"/>
      <c r="E382" s="73"/>
      <c r="F382" s="73"/>
      <c r="G382" s="376"/>
      <c r="H382" s="73"/>
      <c r="I382" s="73"/>
      <c r="J382" s="73"/>
      <c r="K382" s="377"/>
      <c r="L382" s="378"/>
      <c r="M382" s="73"/>
    </row>
    <row r="383" spans="3:13">
      <c r="C383" s="374"/>
      <c r="D383" s="375"/>
      <c r="E383" s="73"/>
      <c r="F383" s="73"/>
      <c r="G383" s="376"/>
      <c r="H383" s="73"/>
      <c r="I383" s="73"/>
      <c r="J383" s="73"/>
      <c r="K383" s="377"/>
      <c r="L383" s="378"/>
      <c r="M383" s="73"/>
    </row>
    <row r="384" spans="3:13">
      <c r="C384" s="374"/>
      <c r="D384" s="375"/>
      <c r="E384" s="73"/>
      <c r="F384" s="73"/>
      <c r="G384" s="376"/>
      <c r="H384" s="73"/>
      <c r="I384" s="73"/>
      <c r="J384" s="73"/>
      <c r="K384" s="377"/>
      <c r="L384" s="378"/>
      <c r="M384" s="73"/>
    </row>
    <row r="385" spans="3:13">
      <c r="C385" s="374"/>
      <c r="D385" s="375"/>
      <c r="E385" s="73"/>
      <c r="F385" s="73"/>
      <c r="G385" s="376"/>
      <c r="H385" s="73"/>
      <c r="I385" s="73"/>
      <c r="J385" s="73"/>
      <c r="K385" s="377"/>
      <c r="L385" s="378"/>
      <c r="M385" s="73"/>
    </row>
    <row r="386" spans="3:13">
      <c r="C386" s="374"/>
      <c r="D386" s="375"/>
      <c r="E386" s="73"/>
      <c r="F386" s="73"/>
      <c r="G386" s="376"/>
      <c r="H386" s="73"/>
      <c r="I386" s="73"/>
      <c r="J386" s="73"/>
      <c r="K386" s="377"/>
      <c r="L386" s="378"/>
      <c r="M386" s="73"/>
    </row>
    <row r="387" spans="3:13">
      <c r="C387" s="374"/>
      <c r="D387" s="375"/>
      <c r="E387" s="73"/>
      <c r="F387" s="73"/>
      <c r="G387" s="376"/>
      <c r="H387" s="73"/>
      <c r="I387" s="73"/>
      <c r="J387" s="73"/>
      <c r="K387" s="377"/>
      <c r="L387" s="378"/>
      <c r="M387" s="73"/>
    </row>
    <row r="388" spans="3:13">
      <c r="C388" s="374"/>
      <c r="D388" s="375"/>
      <c r="E388" s="73"/>
      <c r="F388" s="73"/>
      <c r="G388" s="376"/>
      <c r="H388" s="73"/>
      <c r="I388" s="73"/>
      <c r="J388" s="73"/>
      <c r="K388" s="377"/>
      <c r="L388" s="378"/>
      <c r="M388" s="73"/>
    </row>
    <row r="389" spans="3:13">
      <c r="C389" s="374"/>
      <c r="D389" s="375"/>
      <c r="E389" s="73"/>
      <c r="F389" s="73"/>
      <c r="G389" s="376"/>
      <c r="H389" s="73"/>
      <c r="I389" s="73"/>
      <c r="J389" s="73"/>
      <c r="K389" s="377"/>
      <c r="L389" s="378"/>
      <c r="M389" s="73"/>
    </row>
    <row r="390" spans="3:13">
      <c r="C390" s="374"/>
      <c r="D390" s="375"/>
      <c r="E390" s="73"/>
      <c r="F390" s="73"/>
      <c r="G390" s="376"/>
      <c r="H390" s="73"/>
      <c r="I390" s="73"/>
      <c r="J390" s="73"/>
      <c r="K390" s="377"/>
      <c r="L390" s="378"/>
      <c r="M390" s="73"/>
    </row>
    <row r="391" spans="3:13">
      <c r="C391" s="374"/>
      <c r="D391" s="375"/>
      <c r="E391" s="73"/>
      <c r="F391" s="73"/>
      <c r="G391" s="376"/>
      <c r="H391" s="73"/>
      <c r="I391" s="73"/>
      <c r="J391" s="73"/>
      <c r="K391" s="377"/>
      <c r="L391" s="378"/>
      <c r="M391" s="73"/>
    </row>
    <row r="392" spans="3:13">
      <c r="C392" s="374"/>
      <c r="D392" s="375"/>
      <c r="E392" s="73"/>
      <c r="F392" s="73"/>
      <c r="G392" s="376"/>
      <c r="H392" s="73"/>
      <c r="I392" s="73"/>
      <c r="J392" s="73"/>
      <c r="K392" s="377"/>
      <c r="L392" s="378"/>
      <c r="M392" s="73"/>
    </row>
    <row r="393" spans="3:13">
      <c r="C393" s="374"/>
      <c r="D393" s="375"/>
      <c r="E393" s="73"/>
      <c r="F393" s="73"/>
      <c r="G393" s="376"/>
      <c r="H393" s="73"/>
      <c r="I393" s="73"/>
      <c r="J393" s="73"/>
      <c r="K393" s="377"/>
      <c r="L393" s="378"/>
      <c r="M393" s="73"/>
    </row>
    <row r="394" spans="3:13">
      <c r="C394" s="374"/>
      <c r="D394" s="375"/>
      <c r="E394" s="73"/>
      <c r="F394" s="73"/>
      <c r="G394" s="376"/>
      <c r="H394" s="73"/>
      <c r="I394" s="73"/>
      <c r="J394" s="73"/>
      <c r="K394" s="377"/>
      <c r="L394" s="378"/>
      <c r="M394" s="73"/>
    </row>
    <row r="395" spans="3:13">
      <c r="C395" s="374"/>
      <c r="D395" s="375"/>
      <c r="E395" s="73"/>
      <c r="F395" s="73"/>
      <c r="G395" s="376"/>
      <c r="H395" s="73"/>
      <c r="I395" s="73"/>
      <c r="J395" s="73"/>
      <c r="K395" s="377"/>
      <c r="L395" s="378"/>
      <c r="M395" s="73"/>
    </row>
    <row r="396" spans="3:13">
      <c r="C396" s="374"/>
      <c r="D396" s="375"/>
      <c r="E396" s="73"/>
      <c r="F396" s="73"/>
      <c r="G396" s="376"/>
      <c r="H396" s="73"/>
      <c r="I396" s="73"/>
      <c r="J396" s="73"/>
      <c r="K396" s="377"/>
      <c r="L396" s="378"/>
      <c r="M396" s="73"/>
    </row>
    <row r="397" spans="3:13">
      <c r="C397" s="374"/>
      <c r="D397" s="375"/>
      <c r="E397" s="73"/>
      <c r="F397" s="73"/>
      <c r="G397" s="376"/>
      <c r="H397" s="73"/>
      <c r="I397" s="73"/>
      <c r="J397" s="73"/>
      <c r="K397" s="377"/>
      <c r="L397" s="378"/>
      <c r="M397" s="73"/>
    </row>
    <row r="398" spans="3:13">
      <c r="C398" s="374"/>
      <c r="D398" s="375"/>
      <c r="E398" s="73"/>
      <c r="F398" s="73"/>
      <c r="G398" s="376"/>
      <c r="H398" s="73"/>
      <c r="I398" s="73"/>
      <c r="J398" s="73"/>
      <c r="K398" s="377"/>
      <c r="L398" s="378"/>
      <c r="M398" s="73"/>
    </row>
    <row r="399" spans="3:13">
      <c r="C399" s="374"/>
      <c r="D399" s="375"/>
      <c r="E399" s="73"/>
      <c r="F399" s="73"/>
      <c r="G399" s="376"/>
      <c r="H399" s="73"/>
      <c r="I399" s="73"/>
      <c r="J399" s="73"/>
      <c r="K399" s="377"/>
      <c r="L399" s="378"/>
      <c r="M399" s="73"/>
    </row>
    <row r="400" spans="3:13">
      <c r="C400" s="374"/>
      <c r="D400" s="375"/>
      <c r="E400" s="73"/>
      <c r="F400" s="73"/>
      <c r="G400" s="376"/>
      <c r="H400" s="73"/>
      <c r="I400" s="73"/>
      <c r="J400" s="73"/>
      <c r="K400" s="377"/>
      <c r="L400" s="378"/>
      <c r="M400" s="73"/>
    </row>
    <row r="401" spans="3:13">
      <c r="C401" s="374"/>
      <c r="D401" s="375"/>
      <c r="E401" s="73"/>
      <c r="F401" s="73"/>
      <c r="G401" s="376"/>
      <c r="H401" s="73"/>
      <c r="I401" s="73"/>
      <c r="J401" s="73"/>
      <c r="K401" s="377"/>
      <c r="L401" s="378"/>
      <c r="M401" s="73"/>
    </row>
    <row r="402" spans="3:13">
      <c r="C402" s="374"/>
      <c r="D402" s="375"/>
      <c r="E402" s="73"/>
      <c r="F402" s="73"/>
      <c r="G402" s="376"/>
      <c r="H402" s="73"/>
      <c r="I402" s="73"/>
      <c r="J402" s="73"/>
      <c r="K402" s="377"/>
      <c r="L402" s="378"/>
      <c r="M402" s="73"/>
    </row>
    <row r="403" spans="3:13">
      <c r="C403" s="374"/>
      <c r="D403" s="375"/>
      <c r="E403" s="73"/>
      <c r="F403" s="73"/>
      <c r="G403" s="376"/>
      <c r="H403" s="73"/>
      <c r="I403" s="73"/>
      <c r="J403" s="73"/>
      <c r="K403" s="377"/>
      <c r="L403" s="378"/>
      <c r="M403" s="73"/>
    </row>
    <row r="404" spans="3:13">
      <c r="C404" s="374"/>
      <c r="D404" s="375"/>
      <c r="E404" s="73"/>
      <c r="F404" s="73"/>
      <c r="G404" s="376"/>
      <c r="H404" s="73"/>
      <c r="I404" s="73"/>
      <c r="J404" s="73"/>
      <c r="K404" s="377"/>
      <c r="L404" s="378"/>
      <c r="M404" s="73"/>
    </row>
    <row r="405" spans="3:13">
      <c r="C405" s="374"/>
      <c r="D405" s="375"/>
      <c r="E405" s="73"/>
      <c r="F405" s="73"/>
      <c r="G405" s="376"/>
      <c r="H405" s="73"/>
      <c r="I405" s="73"/>
      <c r="J405" s="73"/>
      <c r="K405" s="377"/>
      <c r="L405" s="378"/>
      <c r="M405" s="73"/>
    </row>
    <row r="406" spans="3:13">
      <c r="C406" s="374"/>
      <c r="D406" s="375"/>
      <c r="E406" s="73"/>
      <c r="F406" s="73"/>
      <c r="G406" s="376"/>
      <c r="H406" s="73"/>
      <c r="I406" s="73"/>
      <c r="J406" s="73"/>
      <c r="K406" s="377"/>
      <c r="L406" s="378"/>
      <c r="M406" s="73"/>
    </row>
    <row r="407" spans="3:13">
      <c r="C407" s="374"/>
      <c r="D407" s="375"/>
      <c r="E407" s="73"/>
      <c r="F407" s="73"/>
      <c r="G407" s="376"/>
      <c r="H407" s="73"/>
      <c r="I407" s="73"/>
      <c r="J407" s="73"/>
      <c r="K407" s="377"/>
      <c r="L407" s="378"/>
      <c r="M407" s="73"/>
    </row>
    <row r="408" spans="3:13">
      <c r="C408" s="374"/>
      <c r="D408" s="375"/>
      <c r="E408" s="73"/>
      <c r="F408" s="73"/>
      <c r="G408" s="376"/>
      <c r="H408" s="73"/>
      <c r="I408" s="73"/>
      <c r="J408" s="73"/>
      <c r="K408" s="377"/>
      <c r="L408" s="378"/>
      <c r="M408" s="73"/>
    </row>
    <row r="409" spans="3:13">
      <c r="C409" s="374"/>
      <c r="D409" s="375"/>
      <c r="E409" s="73"/>
      <c r="F409" s="73"/>
      <c r="G409" s="376"/>
      <c r="H409" s="73"/>
      <c r="I409" s="73"/>
      <c r="J409" s="73"/>
      <c r="K409" s="377"/>
      <c r="L409" s="378"/>
      <c r="M409" s="73"/>
    </row>
    <row r="410" spans="3:13">
      <c r="C410" s="374"/>
      <c r="D410" s="375"/>
      <c r="E410" s="73"/>
      <c r="F410" s="73"/>
      <c r="G410" s="376"/>
      <c r="H410" s="73"/>
      <c r="I410" s="73"/>
      <c r="J410" s="73"/>
      <c r="K410" s="377"/>
      <c r="L410" s="378"/>
      <c r="M410" s="73"/>
    </row>
    <row r="411" spans="3:13">
      <c r="C411" s="374"/>
      <c r="D411" s="375"/>
      <c r="E411" s="73"/>
      <c r="F411" s="73"/>
      <c r="G411" s="376"/>
      <c r="H411" s="73"/>
      <c r="I411" s="73"/>
      <c r="J411" s="73"/>
      <c r="K411" s="377"/>
      <c r="L411" s="378"/>
      <c r="M411" s="73"/>
    </row>
    <row r="412" spans="3:13">
      <c r="C412" s="374"/>
      <c r="D412" s="375"/>
      <c r="E412" s="73"/>
      <c r="F412" s="73"/>
      <c r="G412" s="376"/>
      <c r="H412" s="73"/>
      <c r="I412" s="73"/>
      <c r="J412" s="73"/>
      <c r="K412" s="377"/>
      <c r="L412" s="378"/>
      <c r="M412" s="73"/>
    </row>
    <row r="413" spans="3:13">
      <c r="C413" s="374"/>
      <c r="D413" s="375"/>
      <c r="E413" s="73"/>
      <c r="F413" s="73"/>
      <c r="G413" s="376"/>
      <c r="H413" s="73"/>
      <c r="I413" s="73"/>
      <c r="J413" s="73"/>
      <c r="K413" s="377"/>
      <c r="L413" s="378"/>
      <c r="M413" s="73"/>
    </row>
    <row r="414" spans="3:13">
      <c r="C414" s="374"/>
      <c r="D414" s="375"/>
      <c r="E414" s="73"/>
      <c r="F414" s="73"/>
      <c r="G414" s="376"/>
      <c r="H414" s="73"/>
      <c r="I414" s="73"/>
      <c r="J414" s="73"/>
      <c r="K414" s="377"/>
      <c r="L414" s="378"/>
      <c r="M414" s="73"/>
    </row>
    <row r="415" spans="3:13">
      <c r="C415" s="374"/>
      <c r="D415" s="375"/>
      <c r="E415" s="73"/>
      <c r="F415" s="73"/>
      <c r="G415" s="376"/>
      <c r="H415" s="73"/>
      <c r="I415" s="73"/>
      <c r="J415" s="73"/>
      <c r="K415" s="377"/>
      <c r="L415" s="378"/>
      <c r="M415" s="73"/>
    </row>
    <row r="416" spans="3:13">
      <c r="C416" s="374"/>
      <c r="D416" s="375"/>
      <c r="E416" s="73"/>
      <c r="F416" s="73"/>
      <c r="G416" s="376"/>
      <c r="H416" s="73"/>
      <c r="I416" s="73"/>
      <c r="J416" s="73"/>
      <c r="K416" s="377"/>
      <c r="L416" s="378"/>
      <c r="M416" s="73"/>
    </row>
    <row r="417" spans="3:13">
      <c r="C417" s="374"/>
      <c r="D417" s="375"/>
      <c r="E417" s="73"/>
      <c r="F417" s="73"/>
      <c r="G417" s="376"/>
      <c r="H417" s="73"/>
      <c r="I417" s="73"/>
      <c r="J417" s="73"/>
      <c r="K417" s="377"/>
      <c r="L417" s="378"/>
      <c r="M417" s="73"/>
    </row>
    <row r="418" spans="3:13">
      <c r="C418" s="374"/>
      <c r="D418" s="375"/>
      <c r="E418" s="73"/>
      <c r="F418" s="73"/>
      <c r="G418" s="376"/>
      <c r="H418" s="73"/>
      <c r="I418" s="73"/>
      <c r="J418" s="73"/>
      <c r="K418" s="377"/>
      <c r="L418" s="378"/>
      <c r="M418" s="73"/>
    </row>
    <row r="419" spans="3:13">
      <c r="C419" s="374"/>
      <c r="D419" s="375"/>
      <c r="E419" s="73"/>
      <c r="F419" s="73"/>
      <c r="G419" s="376"/>
      <c r="H419" s="73"/>
      <c r="I419" s="73"/>
      <c r="J419" s="73"/>
      <c r="K419" s="377"/>
      <c r="L419" s="378"/>
      <c r="M419" s="73"/>
    </row>
    <row r="420" spans="3:13">
      <c r="C420" s="374"/>
      <c r="D420" s="375"/>
      <c r="E420" s="73"/>
      <c r="F420" s="73"/>
      <c r="G420" s="376"/>
      <c r="H420" s="73"/>
      <c r="I420" s="73"/>
      <c r="J420" s="73"/>
      <c r="K420" s="377"/>
      <c r="L420" s="378"/>
      <c r="M420" s="73"/>
    </row>
    <row r="421" spans="3:13">
      <c r="C421" s="374"/>
      <c r="D421" s="375"/>
      <c r="E421" s="73"/>
      <c r="F421" s="73"/>
      <c r="G421" s="376"/>
      <c r="H421" s="73"/>
      <c r="I421" s="73"/>
      <c r="J421" s="73"/>
      <c r="K421" s="377"/>
      <c r="L421" s="378"/>
      <c r="M421" s="73"/>
    </row>
    <row r="422" spans="3:13">
      <c r="C422" s="374"/>
      <c r="D422" s="375"/>
      <c r="E422" s="73"/>
      <c r="F422" s="73"/>
      <c r="G422" s="376"/>
      <c r="H422" s="73"/>
      <c r="I422" s="73"/>
      <c r="J422" s="73"/>
      <c r="K422" s="377"/>
      <c r="L422" s="378"/>
      <c r="M422" s="73"/>
    </row>
    <row r="423" spans="3:13">
      <c r="C423" s="374"/>
      <c r="D423" s="375"/>
      <c r="E423" s="73"/>
      <c r="F423" s="73"/>
      <c r="G423" s="376"/>
      <c r="H423" s="73"/>
      <c r="I423" s="73"/>
      <c r="J423" s="73"/>
      <c r="K423" s="377"/>
      <c r="L423" s="378"/>
      <c r="M423" s="73"/>
    </row>
    <row r="424" spans="3:13">
      <c r="C424" s="374"/>
      <c r="D424" s="375"/>
      <c r="E424" s="73"/>
      <c r="F424" s="73"/>
      <c r="G424" s="376"/>
      <c r="H424" s="73"/>
      <c r="I424" s="73"/>
      <c r="J424" s="73"/>
      <c r="K424" s="377"/>
      <c r="L424" s="378"/>
      <c r="M424" s="73"/>
    </row>
    <row r="425" spans="3:13">
      <c r="C425" s="374"/>
      <c r="D425" s="375"/>
      <c r="E425" s="73"/>
      <c r="F425" s="73"/>
      <c r="G425" s="376"/>
      <c r="H425" s="73"/>
      <c r="I425" s="73"/>
      <c r="J425" s="73"/>
      <c r="K425" s="377"/>
      <c r="L425" s="378"/>
      <c r="M425" s="73"/>
    </row>
    <row r="426" spans="3:13">
      <c r="C426" s="374"/>
      <c r="D426" s="375"/>
      <c r="E426" s="73"/>
      <c r="F426" s="73"/>
      <c r="G426" s="376"/>
      <c r="H426" s="73"/>
      <c r="I426" s="73"/>
      <c r="J426" s="73"/>
      <c r="K426" s="377"/>
      <c r="L426" s="378"/>
      <c r="M426" s="73"/>
    </row>
    <row r="427" spans="3:13">
      <c r="C427" s="374"/>
      <c r="D427" s="375"/>
      <c r="E427" s="73"/>
      <c r="F427" s="73"/>
      <c r="G427" s="376"/>
      <c r="H427" s="73"/>
      <c r="I427" s="73"/>
      <c r="J427" s="73"/>
      <c r="K427" s="377"/>
      <c r="L427" s="378"/>
      <c r="M427" s="73"/>
    </row>
    <row r="428" spans="3:13">
      <c r="C428" s="374"/>
      <c r="D428" s="375"/>
      <c r="E428" s="73"/>
      <c r="F428" s="73"/>
      <c r="G428" s="376"/>
      <c r="H428" s="73"/>
      <c r="I428" s="73"/>
      <c r="J428" s="73"/>
      <c r="K428" s="377"/>
      <c r="L428" s="378"/>
      <c r="M428" s="73"/>
    </row>
    <row r="429" spans="3:13">
      <c r="C429" s="374"/>
      <c r="D429" s="375"/>
      <c r="E429" s="73"/>
      <c r="F429" s="73"/>
      <c r="G429" s="376"/>
      <c r="H429" s="73"/>
      <c r="I429" s="73"/>
      <c r="J429" s="73"/>
      <c r="K429" s="377"/>
      <c r="L429" s="378"/>
      <c r="M429" s="73"/>
    </row>
    <row r="430" spans="3:13">
      <c r="C430" s="374"/>
      <c r="D430" s="375"/>
      <c r="E430" s="73"/>
      <c r="F430" s="73"/>
      <c r="G430" s="376"/>
      <c r="H430" s="73"/>
      <c r="I430" s="73"/>
      <c r="J430" s="73"/>
      <c r="K430" s="377"/>
      <c r="L430" s="378"/>
      <c r="M430" s="73"/>
    </row>
    <row r="431" spans="3:13">
      <c r="C431" s="374"/>
      <c r="D431" s="375"/>
      <c r="E431" s="73"/>
      <c r="F431" s="73"/>
      <c r="G431" s="376"/>
      <c r="H431" s="73"/>
      <c r="I431" s="73"/>
      <c r="J431" s="73"/>
      <c r="K431" s="377"/>
      <c r="L431" s="378"/>
      <c r="M431" s="73"/>
    </row>
    <row r="432" spans="3:13">
      <c r="C432" s="374"/>
      <c r="D432" s="375"/>
      <c r="E432" s="73"/>
      <c r="F432" s="73"/>
      <c r="G432" s="376"/>
      <c r="H432" s="73"/>
      <c r="I432" s="73"/>
      <c r="J432" s="73"/>
      <c r="K432" s="377"/>
      <c r="L432" s="378"/>
      <c r="M432" s="73"/>
    </row>
    <row r="433" spans="3:13">
      <c r="C433" s="374"/>
      <c r="D433" s="375"/>
      <c r="E433" s="73"/>
      <c r="F433" s="73"/>
      <c r="G433" s="376"/>
      <c r="H433" s="73"/>
      <c r="I433" s="73"/>
      <c r="J433" s="73"/>
      <c r="K433" s="377"/>
      <c r="L433" s="378"/>
      <c r="M433" s="73"/>
    </row>
    <row r="434" spans="3:13">
      <c r="C434" s="374"/>
      <c r="D434" s="375"/>
      <c r="E434" s="73"/>
      <c r="F434" s="73"/>
      <c r="G434" s="376"/>
      <c r="H434" s="73"/>
      <c r="I434" s="73"/>
      <c r="J434" s="73"/>
      <c r="K434" s="377"/>
      <c r="L434" s="378"/>
      <c r="M434" s="73"/>
    </row>
    <row r="435" spans="3:13">
      <c r="C435" s="374"/>
      <c r="D435" s="375"/>
      <c r="E435" s="73"/>
      <c r="F435" s="73"/>
      <c r="G435" s="376"/>
      <c r="H435" s="73"/>
      <c r="I435" s="73"/>
      <c r="J435" s="73"/>
      <c r="K435" s="377"/>
      <c r="L435" s="378"/>
      <c r="M435" s="73"/>
    </row>
    <row r="436" spans="3:13">
      <c r="C436" s="374"/>
      <c r="D436" s="375"/>
      <c r="E436" s="73"/>
      <c r="F436" s="73"/>
      <c r="G436" s="376"/>
      <c r="H436" s="73"/>
      <c r="I436" s="73"/>
      <c r="J436" s="73"/>
      <c r="K436" s="377"/>
      <c r="L436" s="378"/>
      <c r="M436" s="73"/>
    </row>
    <row r="437" spans="3:13">
      <c r="C437" s="374"/>
      <c r="D437" s="375"/>
      <c r="E437" s="73"/>
      <c r="F437" s="73"/>
      <c r="G437" s="376"/>
      <c r="H437" s="73"/>
      <c r="I437" s="73"/>
      <c r="J437" s="73"/>
      <c r="K437" s="377"/>
      <c r="L437" s="378"/>
      <c r="M437" s="73"/>
    </row>
    <row r="438" spans="3:13">
      <c r="C438" s="374"/>
      <c r="D438" s="375"/>
      <c r="E438" s="73"/>
      <c r="F438" s="73"/>
      <c r="G438" s="376"/>
      <c r="H438" s="73"/>
      <c r="I438" s="73"/>
      <c r="J438" s="73"/>
      <c r="K438" s="377"/>
      <c r="L438" s="378"/>
      <c r="M438" s="73"/>
    </row>
    <row r="439" spans="3:13">
      <c r="C439" s="374"/>
      <c r="D439" s="375"/>
      <c r="E439" s="73"/>
      <c r="F439" s="73"/>
      <c r="G439" s="376"/>
      <c r="H439" s="73"/>
      <c r="I439" s="73"/>
      <c r="J439" s="73"/>
      <c r="K439" s="377"/>
      <c r="L439" s="378"/>
      <c r="M439" s="73"/>
    </row>
    <row r="440" spans="3:13">
      <c r="C440" s="374"/>
      <c r="D440" s="375"/>
      <c r="E440" s="73"/>
      <c r="F440" s="73"/>
      <c r="G440" s="376"/>
      <c r="H440" s="73"/>
      <c r="I440" s="73"/>
      <c r="J440" s="73"/>
      <c r="K440" s="377"/>
      <c r="L440" s="378"/>
      <c r="M440" s="73"/>
    </row>
    <row r="441" spans="3:13">
      <c r="C441" s="374"/>
      <c r="D441" s="375"/>
      <c r="E441" s="73"/>
      <c r="F441" s="73"/>
      <c r="G441" s="376"/>
      <c r="H441" s="73"/>
      <c r="I441" s="73"/>
      <c r="J441" s="73"/>
      <c r="K441" s="377"/>
      <c r="L441" s="378"/>
      <c r="M441" s="73"/>
    </row>
    <row r="442" spans="3:13">
      <c r="C442" s="374"/>
      <c r="D442" s="375"/>
      <c r="E442" s="73"/>
      <c r="F442" s="73"/>
      <c r="G442" s="376"/>
      <c r="H442" s="73"/>
      <c r="I442" s="73"/>
      <c r="J442" s="73"/>
      <c r="K442" s="377"/>
      <c r="L442" s="378"/>
      <c r="M442" s="73"/>
    </row>
    <row r="443" spans="3:13">
      <c r="C443" s="374"/>
      <c r="D443" s="375"/>
      <c r="E443" s="73"/>
      <c r="F443" s="73"/>
      <c r="G443" s="376"/>
      <c r="H443" s="73"/>
      <c r="I443" s="73"/>
      <c r="J443" s="73"/>
      <c r="K443" s="377"/>
      <c r="L443" s="378"/>
      <c r="M443" s="73"/>
    </row>
    <row r="444" spans="3:13">
      <c r="C444" s="374"/>
      <c r="D444" s="375"/>
      <c r="E444" s="73"/>
      <c r="F444" s="73"/>
      <c r="G444" s="376"/>
      <c r="H444" s="73"/>
      <c r="I444" s="73"/>
      <c r="J444" s="73"/>
      <c r="K444" s="377"/>
      <c r="L444" s="378"/>
      <c r="M444" s="73"/>
    </row>
    <row r="445" spans="3:13">
      <c r="C445" s="374"/>
      <c r="D445" s="375"/>
      <c r="E445" s="73"/>
      <c r="F445" s="73"/>
      <c r="G445" s="376"/>
      <c r="H445" s="73"/>
      <c r="I445" s="73"/>
      <c r="J445" s="73"/>
      <c r="K445" s="377"/>
      <c r="L445" s="378"/>
      <c r="M445" s="73"/>
    </row>
    <row r="446" spans="3:13">
      <c r="C446" s="374"/>
      <c r="D446" s="375"/>
      <c r="E446" s="73"/>
      <c r="F446" s="73"/>
      <c r="G446" s="376"/>
      <c r="H446" s="73"/>
      <c r="I446" s="73"/>
      <c r="J446" s="73"/>
      <c r="K446" s="377"/>
      <c r="L446" s="378"/>
      <c r="M446" s="73"/>
    </row>
    <row r="447" spans="3:13">
      <c r="C447" s="374"/>
      <c r="D447" s="375"/>
      <c r="E447" s="73"/>
      <c r="F447" s="73"/>
      <c r="G447" s="376"/>
      <c r="H447" s="73"/>
      <c r="I447" s="73"/>
      <c r="J447" s="73"/>
      <c r="K447" s="377"/>
      <c r="L447" s="378"/>
      <c r="M447" s="73"/>
    </row>
    <row r="448" spans="3:13">
      <c r="C448" s="374"/>
      <c r="D448" s="375"/>
      <c r="E448" s="73"/>
      <c r="F448" s="73"/>
      <c r="G448" s="376"/>
      <c r="H448" s="73"/>
      <c r="I448" s="73"/>
      <c r="J448" s="73"/>
      <c r="K448" s="377"/>
      <c r="L448" s="378"/>
      <c r="M448" s="73"/>
    </row>
    <row r="449" spans="3:13">
      <c r="C449" s="374"/>
      <c r="D449" s="375"/>
      <c r="E449" s="73"/>
      <c r="F449" s="73"/>
      <c r="G449" s="376"/>
      <c r="H449" s="73"/>
      <c r="I449" s="73"/>
      <c r="J449" s="73"/>
      <c r="K449" s="377"/>
      <c r="L449" s="378"/>
      <c r="M449" s="73"/>
    </row>
    <row r="450" spans="3:13">
      <c r="C450" s="374"/>
      <c r="D450" s="375"/>
      <c r="E450" s="73"/>
      <c r="F450" s="73"/>
      <c r="G450" s="376"/>
      <c r="H450" s="73"/>
      <c r="I450" s="73"/>
      <c r="J450" s="73"/>
      <c r="K450" s="377"/>
      <c r="L450" s="378"/>
      <c r="M450" s="73"/>
    </row>
    <row r="451" spans="3:13">
      <c r="C451" s="374"/>
      <c r="D451" s="375"/>
      <c r="E451" s="73"/>
      <c r="F451" s="73"/>
      <c r="G451" s="376"/>
      <c r="H451" s="73"/>
      <c r="I451" s="73"/>
      <c r="J451" s="73"/>
      <c r="K451" s="377"/>
      <c r="L451" s="378"/>
      <c r="M451" s="73"/>
    </row>
    <row r="452" spans="3:13">
      <c r="C452" s="374"/>
      <c r="D452" s="375"/>
      <c r="E452" s="73"/>
      <c r="F452" s="73"/>
      <c r="G452" s="376"/>
      <c r="H452" s="73"/>
      <c r="I452" s="73"/>
      <c r="J452" s="73"/>
      <c r="K452" s="377"/>
      <c r="L452" s="378"/>
      <c r="M452" s="73"/>
    </row>
    <row r="453" spans="3:13">
      <c r="C453" s="374"/>
      <c r="D453" s="375"/>
      <c r="E453" s="73"/>
      <c r="F453" s="73"/>
      <c r="G453" s="376"/>
      <c r="H453" s="73"/>
      <c r="I453" s="73"/>
      <c r="J453" s="73"/>
      <c r="K453" s="377"/>
      <c r="L453" s="378"/>
      <c r="M453" s="73"/>
    </row>
    <row r="454" spans="3:13">
      <c r="C454" s="374"/>
      <c r="D454" s="375"/>
      <c r="E454" s="73"/>
      <c r="F454" s="73"/>
      <c r="G454" s="376"/>
      <c r="H454" s="73"/>
      <c r="I454" s="73"/>
      <c r="J454" s="73"/>
      <c r="K454" s="377"/>
      <c r="L454" s="378"/>
      <c r="M454" s="73"/>
    </row>
    <row r="455" spans="3:13">
      <c r="C455" s="374"/>
      <c r="D455" s="375"/>
      <c r="E455" s="73"/>
      <c r="F455" s="73"/>
      <c r="G455" s="376"/>
      <c r="H455" s="73"/>
      <c r="I455" s="73"/>
      <c r="J455" s="73"/>
      <c r="K455" s="377"/>
      <c r="L455" s="378"/>
      <c r="M455" s="73"/>
    </row>
    <row r="456" spans="3:13">
      <c r="C456" s="374"/>
      <c r="D456" s="375"/>
      <c r="E456" s="73"/>
      <c r="F456" s="73"/>
      <c r="G456" s="376"/>
      <c r="H456" s="73"/>
      <c r="I456" s="73"/>
      <c r="J456" s="73"/>
      <c r="K456" s="377"/>
      <c r="L456" s="378"/>
      <c r="M456" s="73"/>
    </row>
    <row r="457" spans="3:13">
      <c r="C457" s="374"/>
      <c r="D457" s="375"/>
      <c r="E457" s="73"/>
      <c r="F457" s="73"/>
      <c r="G457" s="376"/>
      <c r="H457" s="73"/>
      <c r="I457" s="73"/>
      <c r="J457" s="73"/>
      <c r="K457" s="377"/>
      <c r="L457" s="378"/>
      <c r="M457" s="73"/>
    </row>
    <row r="458" spans="3:13">
      <c r="C458" s="374"/>
      <c r="D458" s="375"/>
      <c r="E458" s="73"/>
      <c r="F458" s="73"/>
      <c r="G458" s="376"/>
      <c r="H458" s="73"/>
      <c r="I458" s="73"/>
      <c r="J458" s="73"/>
      <c r="K458" s="377"/>
      <c r="L458" s="378"/>
      <c r="M458" s="73"/>
    </row>
    <row r="459" spans="3:13">
      <c r="C459" s="374"/>
      <c r="D459" s="375"/>
      <c r="E459" s="73"/>
      <c r="F459" s="73"/>
      <c r="G459" s="376"/>
      <c r="H459" s="73"/>
      <c r="I459" s="73"/>
      <c r="J459" s="73"/>
      <c r="K459" s="377"/>
      <c r="L459" s="378"/>
      <c r="M459" s="73"/>
    </row>
    <row r="460" spans="3:13">
      <c r="C460" s="374"/>
      <c r="D460" s="375"/>
      <c r="E460" s="73"/>
      <c r="F460" s="73"/>
      <c r="G460" s="376"/>
      <c r="H460" s="73"/>
      <c r="I460" s="73"/>
      <c r="J460" s="73"/>
      <c r="K460" s="377"/>
      <c r="L460" s="378"/>
      <c r="M460" s="73"/>
    </row>
    <row r="461" spans="3:13">
      <c r="C461" s="374"/>
      <c r="D461" s="375"/>
      <c r="E461" s="73"/>
      <c r="F461" s="73"/>
      <c r="G461" s="376"/>
      <c r="H461" s="73"/>
      <c r="I461" s="73"/>
      <c r="J461" s="73"/>
      <c r="K461" s="377"/>
      <c r="L461" s="378"/>
      <c r="M461" s="73"/>
    </row>
    <row r="462" spans="3:13">
      <c r="C462" s="374"/>
      <c r="D462" s="375"/>
      <c r="E462" s="73"/>
      <c r="F462" s="73"/>
      <c r="G462" s="376"/>
      <c r="H462" s="73"/>
      <c r="I462" s="73"/>
      <c r="J462" s="73"/>
      <c r="K462" s="377"/>
      <c r="L462" s="378"/>
      <c r="M462" s="73"/>
    </row>
    <row r="463" spans="3:13">
      <c r="C463" s="374"/>
      <c r="D463" s="375"/>
      <c r="E463" s="73"/>
      <c r="F463" s="73"/>
      <c r="G463" s="376"/>
      <c r="H463" s="73"/>
      <c r="I463" s="73"/>
      <c r="J463" s="73"/>
      <c r="K463" s="377"/>
      <c r="L463" s="378"/>
      <c r="M463" s="73"/>
    </row>
    <row r="464" spans="3:13">
      <c r="C464" s="374"/>
      <c r="D464" s="375"/>
      <c r="E464" s="73"/>
      <c r="F464" s="73"/>
      <c r="G464" s="376"/>
      <c r="H464" s="73"/>
      <c r="I464" s="73"/>
      <c r="J464" s="73"/>
      <c r="K464" s="377"/>
      <c r="L464" s="378"/>
      <c r="M464" s="73"/>
    </row>
    <row r="465" spans="3:13">
      <c r="C465" s="374"/>
      <c r="D465" s="375"/>
      <c r="E465" s="73"/>
      <c r="F465" s="73"/>
      <c r="G465" s="376"/>
      <c r="H465" s="73"/>
      <c r="I465" s="73"/>
      <c r="J465" s="73"/>
      <c r="K465" s="377"/>
      <c r="L465" s="378"/>
      <c r="M465" s="73"/>
    </row>
    <row r="466" spans="3:13">
      <c r="C466" s="374"/>
      <c r="D466" s="375"/>
      <c r="E466" s="73"/>
      <c r="F466" s="73"/>
      <c r="G466" s="376"/>
      <c r="H466" s="73"/>
      <c r="I466" s="73"/>
      <c r="J466" s="73"/>
      <c r="K466" s="377"/>
      <c r="L466" s="378"/>
      <c r="M466" s="73"/>
    </row>
    <row r="467" spans="3:13">
      <c r="C467" s="374"/>
      <c r="D467" s="375"/>
      <c r="E467" s="73"/>
      <c r="F467" s="73"/>
      <c r="G467" s="376"/>
      <c r="H467" s="73"/>
      <c r="I467" s="73"/>
      <c r="J467" s="73"/>
      <c r="K467" s="377"/>
      <c r="L467" s="378"/>
      <c r="M467" s="73"/>
    </row>
    <row r="468" spans="3:13">
      <c r="C468" s="374"/>
      <c r="D468" s="375"/>
      <c r="E468" s="73"/>
      <c r="F468" s="73"/>
      <c r="G468" s="376"/>
      <c r="H468" s="73"/>
      <c r="I468" s="73"/>
      <c r="J468" s="73"/>
      <c r="K468" s="377"/>
      <c r="L468" s="378"/>
      <c r="M468" s="73"/>
    </row>
    <row r="469" spans="3:13">
      <c r="C469" s="374"/>
      <c r="D469" s="375"/>
      <c r="E469" s="73"/>
      <c r="F469" s="73"/>
      <c r="G469" s="376"/>
      <c r="H469" s="73"/>
      <c r="I469" s="73"/>
      <c r="J469" s="73"/>
      <c r="K469" s="377"/>
      <c r="L469" s="378"/>
      <c r="M469" s="73"/>
    </row>
    <row r="470" spans="3:13">
      <c r="C470" s="374"/>
      <c r="D470" s="375"/>
      <c r="E470" s="73"/>
      <c r="F470" s="73"/>
      <c r="G470" s="376"/>
      <c r="H470" s="73"/>
      <c r="I470" s="73"/>
      <c r="J470" s="73"/>
      <c r="K470" s="377"/>
      <c r="L470" s="378"/>
      <c r="M470" s="73"/>
    </row>
    <row r="471" spans="3:13">
      <c r="C471" s="374"/>
      <c r="D471" s="375"/>
      <c r="E471" s="73"/>
      <c r="F471" s="73"/>
      <c r="G471" s="376"/>
      <c r="H471" s="73"/>
      <c r="I471" s="73"/>
      <c r="J471" s="73"/>
      <c r="K471" s="377"/>
      <c r="L471" s="378"/>
      <c r="M471" s="73"/>
    </row>
    <row r="472" spans="3:13">
      <c r="C472" s="374"/>
      <c r="D472" s="375"/>
      <c r="E472" s="73"/>
      <c r="F472" s="73"/>
      <c r="G472" s="376"/>
      <c r="H472" s="73"/>
      <c r="I472" s="73"/>
      <c r="J472" s="73"/>
      <c r="K472" s="377"/>
      <c r="L472" s="378"/>
      <c r="M472" s="73"/>
    </row>
    <row r="473" spans="3:13">
      <c r="C473" s="374"/>
      <c r="D473" s="375"/>
      <c r="E473" s="73"/>
      <c r="F473" s="73"/>
      <c r="G473" s="376"/>
      <c r="H473" s="73"/>
      <c r="I473" s="73"/>
      <c r="J473" s="73"/>
      <c r="K473" s="377"/>
      <c r="L473" s="378"/>
      <c r="M473" s="73"/>
    </row>
    <row r="474" spans="3:13">
      <c r="C474" s="374"/>
      <c r="D474" s="375"/>
      <c r="E474" s="73"/>
      <c r="F474" s="73"/>
      <c r="G474" s="376"/>
      <c r="H474" s="73"/>
      <c r="I474" s="73"/>
      <c r="J474" s="73"/>
      <c r="K474" s="377"/>
      <c r="L474" s="378"/>
      <c r="M474" s="73"/>
    </row>
    <row r="475" spans="3:13">
      <c r="C475" s="374"/>
      <c r="D475" s="375"/>
      <c r="E475" s="73"/>
      <c r="F475" s="73"/>
      <c r="G475" s="376"/>
      <c r="H475" s="73"/>
      <c r="I475" s="73"/>
      <c r="J475" s="73"/>
      <c r="K475" s="377"/>
      <c r="L475" s="378"/>
      <c r="M475" s="73"/>
    </row>
    <row r="476" spans="3:13">
      <c r="C476" s="374"/>
      <c r="D476" s="375"/>
      <c r="E476" s="73"/>
      <c r="F476" s="73"/>
      <c r="G476" s="376"/>
      <c r="H476" s="73"/>
      <c r="I476" s="73"/>
      <c r="J476" s="73"/>
      <c r="K476" s="377"/>
      <c r="L476" s="378"/>
      <c r="M476" s="73"/>
    </row>
    <row r="477" spans="3:13">
      <c r="C477" s="374"/>
      <c r="D477" s="375"/>
      <c r="E477" s="73"/>
      <c r="F477" s="73"/>
      <c r="G477" s="376"/>
      <c r="H477" s="73"/>
      <c r="I477" s="73"/>
      <c r="J477" s="73"/>
      <c r="K477" s="377"/>
      <c r="L477" s="378"/>
      <c r="M477" s="73"/>
    </row>
    <row r="478" spans="3:13">
      <c r="C478" s="374"/>
      <c r="D478" s="375"/>
      <c r="E478" s="73"/>
      <c r="F478" s="73"/>
      <c r="G478" s="376"/>
      <c r="H478" s="73"/>
      <c r="I478" s="73"/>
      <c r="J478" s="73"/>
      <c r="K478" s="377"/>
      <c r="L478" s="378"/>
      <c r="M478" s="73"/>
    </row>
    <row r="479" spans="3:13">
      <c r="C479" s="374"/>
      <c r="D479" s="375"/>
      <c r="E479" s="73"/>
      <c r="F479" s="73"/>
      <c r="G479" s="376"/>
      <c r="H479" s="73"/>
      <c r="I479" s="73"/>
      <c r="J479" s="73"/>
      <c r="K479" s="377"/>
      <c r="L479" s="378"/>
      <c r="M479" s="73"/>
    </row>
    <row r="480" spans="3:13">
      <c r="C480" s="374"/>
      <c r="D480" s="375"/>
      <c r="E480" s="73"/>
      <c r="F480" s="73"/>
      <c r="G480" s="376"/>
      <c r="H480" s="73"/>
      <c r="I480" s="73"/>
      <c r="J480" s="73"/>
      <c r="K480" s="377"/>
      <c r="L480" s="378"/>
      <c r="M480" s="73"/>
    </row>
    <row r="481" spans="3:13">
      <c r="C481" s="374"/>
      <c r="D481" s="375"/>
      <c r="E481" s="73"/>
      <c r="F481" s="73"/>
      <c r="G481" s="376"/>
      <c r="H481" s="73"/>
      <c r="I481" s="73"/>
      <c r="J481" s="73"/>
      <c r="K481" s="377"/>
      <c r="L481" s="378"/>
      <c r="M481" s="73"/>
    </row>
    <row r="482" spans="3:13">
      <c r="C482" s="374"/>
      <c r="D482" s="375"/>
      <c r="E482" s="73"/>
      <c r="F482" s="73"/>
      <c r="G482" s="376"/>
      <c r="H482" s="73"/>
      <c r="I482" s="73"/>
      <c r="J482" s="73"/>
      <c r="K482" s="377"/>
      <c r="L482" s="378"/>
      <c r="M482" s="73"/>
    </row>
    <row r="483" spans="3:13">
      <c r="C483" s="374"/>
      <c r="D483" s="375"/>
      <c r="E483" s="73"/>
      <c r="F483" s="73"/>
      <c r="G483" s="376"/>
      <c r="H483" s="73"/>
      <c r="I483" s="73"/>
      <c r="J483" s="73"/>
      <c r="K483" s="377"/>
      <c r="L483" s="378"/>
      <c r="M483" s="73"/>
    </row>
    <row r="484" spans="3:13">
      <c r="C484" s="374"/>
      <c r="D484" s="375"/>
      <c r="E484" s="73"/>
      <c r="F484" s="73"/>
      <c r="G484" s="376"/>
      <c r="H484" s="73"/>
      <c r="I484" s="73"/>
      <c r="J484" s="73"/>
      <c r="K484" s="377"/>
      <c r="L484" s="378"/>
      <c r="M484" s="73"/>
    </row>
    <row r="485" spans="3:13">
      <c r="C485" s="374"/>
      <c r="D485" s="375"/>
      <c r="E485" s="73"/>
      <c r="F485" s="73"/>
      <c r="G485" s="376"/>
      <c r="H485" s="73"/>
      <c r="I485" s="73"/>
      <c r="J485" s="73"/>
      <c r="K485" s="377"/>
      <c r="L485" s="378"/>
      <c r="M485" s="73"/>
    </row>
    <row r="486" spans="3:13">
      <c r="C486" s="374"/>
      <c r="D486" s="375"/>
      <c r="E486" s="73"/>
      <c r="F486" s="73"/>
      <c r="G486" s="376"/>
      <c r="H486" s="73"/>
      <c r="I486" s="73"/>
      <c r="J486" s="73"/>
      <c r="K486" s="377"/>
      <c r="L486" s="378"/>
      <c r="M486" s="73"/>
    </row>
    <row r="487" spans="3:13">
      <c r="C487" s="374"/>
      <c r="D487" s="375"/>
      <c r="E487" s="73"/>
      <c r="F487" s="73"/>
      <c r="G487" s="376"/>
      <c r="H487" s="73"/>
      <c r="I487" s="73"/>
      <c r="J487" s="73"/>
      <c r="K487" s="377"/>
      <c r="L487" s="378"/>
      <c r="M487" s="73"/>
    </row>
    <row r="488" spans="3:13">
      <c r="C488" s="374"/>
      <c r="D488" s="375"/>
      <c r="E488" s="73"/>
      <c r="F488" s="73"/>
      <c r="G488" s="376"/>
      <c r="H488" s="73"/>
      <c r="I488" s="73"/>
      <c r="J488" s="73"/>
      <c r="K488" s="377"/>
      <c r="L488" s="378"/>
      <c r="M488" s="73"/>
    </row>
    <row r="489" spans="3:13">
      <c r="C489" s="374"/>
      <c r="D489" s="375"/>
      <c r="E489" s="73"/>
      <c r="F489" s="73"/>
      <c r="G489" s="376"/>
      <c r="H489" s="73"/>
      <c r="I489" s="73"/>
      <c r="J489" s="73"/>
      <c r="K489" s="377"/>
      <c r="L489" s="378"/>
      <c r="M489" s="73"/>
    </row>
    <row r="490" spans="3:13">
      <c r="C490" s="374"/>
      <c r="D490" s="375"/>
      <c r="E490" s="73"/>
      <c r="F490" s="73"/>
      <c r="G490" s="376"/>
      <c r="H490" s="73"/>
      <c r="I490" s="73"/>
      <c r="J490" s="73"/>
      <c r="K490" s="377"/>
      <c r="L490" s="378"/>
      <c r="M490" s="73"/>
    </row>
    <row r="491" spans="3:13">
      <c r="C491" s="374"/>
      <c r="D491" s="375"/>
      <c r="E491" s="73"/>
      <c r="F491" s="73"/>
      <c r="G491" s="376"/>
      <c r="H491" s="73"/>
      <c r="I491" s="73"/>
      <c r="J491" s="73"/>
      <c r="K491" s="377"/>
      <c r="L491" s="378"/>
      <c r="M491" s="73"/>
    </row>
    <row r="492" spans="3:13">
      <c r="C492" s="374"/>
      <c r="D492" s="375"/>
      <c r="E492" s="73"/>
      <c r="F492" s="73"/>
      <c r="G492" s="376"/>
      <c r="H492" s="73"/>
      <c r="I492" s="73"/>
      <c r="J492" s="73"/>
      <c r="K492" s="377"/>
      <c r="L492" s="378"/>
      <c r="M492" s="73"/>
    </row>
    <row r="493" spans="3:13">
      <c r="C493" s="374"/>
      <c r="D493" s="375"/>
      <c r="E493" s="73"/>
      <c r="F493" s="73"/>
      <c r="G493" s="376"/>
      <c r="H493" s="73"/>
      <c r="I493" s="73"/>
      <c r="J493" s="73"/>
      <c r="K493" s="377"/>
      <c r="L493" s="378"/>
      <c r="M493" s="73"/>
    </row>
    <row r="494" spans="3:13">
      <c r="C494" s="374"/>
      <c r="D494" s="375"/>
      <c r="E494" s="73"/>
      <c r="F494" s="73"/>
      <c r="G494" s="376"/>
      <c r="H494" s="73"/>
      <c r="I494" s="73"/>
      <c r="J494" s="73"/>
      <c r="K494" s="377"/>
      <c r="L494" s="378"/>
      <c r="M494" s="73"/>
    </row>
    <row r="495" spans="3:13">
      <c r="C495" s="374"/>
      <c r="D495" s="375"/>
      <c r="E495" s="73"/>
      <c r="F495" s="73"/>
      <c r="G495" s="376"/>
      <c r="H495" s="73"/>
      <c r="I495" s="73"/>
      <c r="J495" s="73"/>
      <c r="K495" s="377"/>
      <c r="L495" s="378"/>
      <c r="M495" s="73"/>
    </row>
    <row r="496" spans="3:13">
      <c r="C496" s="374"/>
      <c r="D496" s="375"/>
      <c r="E496" s="73"/>
      <c r="F496" s="73"/>
      <c r="G496" s="376"/>
      <c r="H496" s="73"/>
      <c r="I496" s="73"/>
      <c r="J496" s="73"/>
      <c r="K496" s="377"/>
      <c r="L496" s="378"/>
      <c r="M496" s="73"/>
    </row>
    <row r="497" spans="3:13">
      <c r="C497" s="374"/>
      <c r="D497" s="375"/>
      <c r="E497" s="73"/>
      <c r="F497" s="73"/>
      <c r="G497" s="376"/>
      <c r="H497" s="73"/>
      <c r="I497" s="73"/>
      <c r="J497" s="73"/>
      <c r="K497" s="377"/>
      <c r="L497" s="378"/>
      <c r="M497" s="73"/>
    </row>
    <row r="498" spans="3:13">
      <c r="C498" s="374"/>
      <c r="D498" s="375"/>
      <c r="E498" s="73"/>
      <c r="F498" s="73"/>
      <c r="G498" s="376"/>
      <c r="H498" s="73"/>
      <c r="I498" s="73"/>
      <c r="J498" s="73"/>
      <c r="K498" s="377"/>
      <c r="L498" s="378"/>
      <c r="M498" s="73"/>
    </row>
    <row r="499" spans="3:13">
      <c r="C499" s="374"/>
      <c r="D499" s="375"/>
      <c r="E499" s="73"/>
      <c r="F499" s="73"/>
      <c r="G499" s="376"/>
      <c r="H499" s="73"/>
      <c r="I499" s="73"/>
      <c r="J499" s="73"/>
      <c r="K499" s="377"/>
      <c r="L499" s="378"/>
      <c r="M499" s="73"/>
    </row>
    <row r="500" spans="3:13">
      <c r="C500" s="374"/>
      <c r="D500" s="375"/>
      <c r="E500" s="73"/>
      <c r="F500" s="73"/>
      <c r="G500" s="376"/>
      <c r="H500" s="73"/>
      <c r="I500" s="73"/>
      <c r="J500" s="73"/>
      <c r="K500" s="377"/>
      <c r="L500" s="378"/>
      <c r="M500" s="73"/>
    </row>
    <row r="501" spans="3:13">
      <c r="C501" s="374"/>
      <c r="D501" s="375"/>
      <c r="E501" s="73"/>
      <c r="F501" s="73"/>
      <c r="G501" s="376"/>
      <c r="H501" s="73"/>
      <c r="I501" s="73"/>
      <c r="J501" s="73"/>
      <c r="K501" s="377"/>
      <c r="L501" s="378"/>
      <c r="M501" s="73"/>
    </row>
    <row r="502" spans="3:13">
      <c r="C502" s="374"/>
      <c r="D502" s="375"/>
      <c r="E502" s="73"/>
      <c r="F502" s="73"/>
      <c r="G502" s="376"/>
      <c r="H502" s="73"/>
      <c r="I502" s="73"/>
      <c r="J502" s="73"/>
      <c r="K502" s="377"/>
      <c r="L502" s="378"/>
      <c r="M502" s="73"/>
    </row>
    <row r="503" spans="3:13">
      <c r="C503" s="374"/>
      <c r="D503" s="375"/>
      <c r="E503" s="73"/>
      <c r="F503" s="73"/>
      <c r="G503" s="376"/>
      <c r="H503" s="73"/>
      <c r="I503" s="73"/>
      <c r="J503" s="73"/>
      <c r="K503" s="377"/>
      <c r="L503" s="378"/>
      <c r="M503" s="73"/>
    </row>
    <row r="504" spans="3:13">
      <c r="C504" s="374"/>
      <c r="D504" s="375"/>
      <c r="E504" s="73"/>
      <c r="F504" s="73"/>
      <c r="G504" s="376"/>
      <c r="H504" s="73"/>
      <c r="I504" s="73"/>
      <c r="J504" s="73"/>
      <c r="K504" s="377"/>
      <c r="L504" s="378"/>
      <c r="M504" s="73"/>
    </row>
    <row r="505" spans="3:13">
      <c r="C505" s="374"/>
      <c r="D505" s="375"/>
      <c r="E505" s="73"/>
      <c r="F505" s="73"/>
      <c r="G505" s="376"/>
      <c r="H505" s="73"/>
      <c r="I505" s="73"/>
      <c r="J505" s="73"/>
      <c r="K505" s="377"/>
      <c r="L505" s="378"/>
      <c r="M505" s="73"/>
    </row>
    <row r="506" spans="3:13">
      <c r="C506" s="374"/>
      <c r="D506" s="375"/>
      <c r="E506" s="73"/>
      <c r="F506" s="73"/>
      <c r="G506" s="376"/>
      <c r="H506" s="73"/>
      <c r="I506" s="73"/>
      <c r="J506" s="73"/>
      <c r="K506" s="377"/>
      <c r="L506" s="378"/>
      <c r="M506" s="73"/>
    </row>
    <row r="507" spans="3:13">
      <c r="C507" s="374"/>
      <c r="D507" s="375"/>
      <c r="E507" s="73"/>
      <c r="F507" s="73"/>
      <c r="G507" s="376"/>
      <c r="H507" s="73"/>
      <c r="I507" s="73"/>
      <c r="J507" s="73"/>
      <c r="K507" s="377"/>
      <c r="L507" s="378"/>
      <c r="M507" s="73"/>
    </row>
    <row r="508" spans="3:13">
      <c r="C508" s="374"/>
      <c r="D508" s="375"/>
      <c r="E508" s="73"/>
      <c r="F508" s="73"/>
      <c r="G508" s="376"/>
      <c r="H508" s="73"/>
      <c r="I508" s="73"/>
      <c r="J508" s="73"/>
      <c r="K508" s="377"/>
      <c r="L508" s="378"/>
      <c r="M508" s="73"/>
    </row>
    <row r="509" spans="3:13">
      <c r="C509" s="374"/>
      <c r="D509" s="375"/>
      <c r="E509" s="73"/>
      <c r="F509" s="73"/>
      <c r="G509" s="376"/>
      <c r="H509" s="73"/>
      <c r="I509" s="73"/>
      <c r="J509" s="73"/>
      <c r="K509" s="377"/>
      <c r="L509" s="378"/>
      <c r="M509" s="73"/>
    </row>
    <row r="510" spans="3:13">
      <c r="C510" s="374"/>
      <c r="D510" s="375"/>
      <c r="E510" s="73"/>
      <c r="F510" s="73"/>
      <c r="G510" s="376"/>
      <c r="H510" s="73"/>
      <c r="I510" s="73"/>
      <c r="J510" s="73"/>
      <c r="K510" s="377"/>
      <c r="L510" s="378"/>
      <c r="M510" s="73"/>
    </row>
    <row r="511" spans="3:13">
      <c r="C511" s="374"/>
      <c r="D511" s="375"/>
      <c r="E511" s="73"/>
      <c r="F511" s="73"/>
      <c r="G511" s="376"/>
      <c r="H511" s="73"/>
      <c r="I511" s="73"/>
      <c r="J511" s="73"/>
      <c r="K511" s="377"/>
      <c r="L511" s="378"/>
      <c r="M511" s="73"/>
    </row>
    <row r="512" spans="3:13">
      <c r="C512" s="374"/>
      <c r="D512" s="375"/>
      <c r="E512" s="73"/>
      <c r="F512" s="73"/>
      <c r="G512" s="376"/>
      <c r="H512" s="73"/>
      <c r="I512" s="73"/>
      <c r="J512" s="73"/>
      <c r="K512" s="377"/>
      <c r="L512" s="378"/>
      <c r="M512" s="73"/>
    </row>
    <row r="513" spans="3:13">
      <c r="C513" s="374"/>
      <c r="D513" s="375"/>
      <c r="E513" s="73"/>
      <c r="F513" s="73"/>
      <c r="G513" s="376"/>
      <c r="H513" s="73"/>
      <c r="I513" s="73"/>
      <c r="J513" s="73"/>
      <c r="K513" s="377"/>
      <c r="L513" s="378"/>
      <c r="M513" s="73"/>
    </row>
    <row r="514" spans="3:13">
      <c r="C514" s="374"/>
      <c r="D514" s="375"/>
      <c r="E514" s="73"/>
      <c r="F514" s="73"/>
      <c r="G514" s="376"/>
      <c r="H514" s="73"/>
      <c r="I514" s="73"/>
      <c r="J514" s="73"/>
      <c r="K514" s="377"/>
      <c r="L514" s="378"/>
      <c r="M514" s="73"/>
    </row>
    <row r="515" spans="3:13">
      <c r="C515" s="374"/>
      <c r="D515" s="375"/>
      <c r="E515" s="73"/>
      <c r="F515" s="73"/>
      <c r="G515" s="376"/>
      <c r="H515" s="73"/>
      <c r="I515" s="73"/>
      <c r="J515" s="73"/>
      <c r="K515" s="377"/>
      <c r="L515" s="378"/>
      <c r="M515" s="73"/>
    </row>
    <row r="516" spans="3:13">
      <c r="C516" s="374"/>
      <c r="D516" s="375"/>
      <c r="E516" s="73"/>
      <c r="F516" s="73"/>
      <c r="G516" s="376"/>
      <c r="H516" s="73"/>
      <c r="I516" s="73"/>
      <c r="J516" s="73"/>
      <c r="K516" s="377"/>
      <c r="L516" s="378"/>
      <c r="M516" s="73"/>
    </row>
    <row r="517" spans="3:13">
      <c r="C517" s="374"/>
      <c r="D517" s="375"/>
      <c r="E517" s="73"/>
      <c r="F517" s="73"/>
      <c r="G517" s="376"/>
      <c r="H517" s="73"/>
      <c r="I517" s="73"/>
      <c r="J517" s="73"/>
      <c r="K517" s="377"/>
      <c r="L517" s="378"/>
      <c r="M517" s="73"/>
    </row>
    <row r="518" spans="3:13">
      <c r="C518" s="374"/>
      <c r="D518" s="375"/>
      <c r="E518" s="73"/>
      <c r="F518" s="73"/>
      <c r="G518" s="376"/>
      <c r="H518" s="73"/>
      <c r="I518" s="73"/>
      <c r="J518" s="73"/>
      <c r="K518" s="377"/>
      <c r="L518" s="378"/>
      <c r="M518" s="73"/>
    </row>
    <row r="519" spans="3:13">
      <c r="C519" s="374"/>
      <c r="D519" s="375"/>
      <c r="E519" s="73"/>
      <c r="F519" s="73"/>
      <c r="G519" s="376"/>
      <c r="H519" s="73"/>
      <c r="I519" s="73"/>
      <c r="J519" s="73"/>
      <c r="K519" s="377"/>
      <c r="L519" s="378"/>
      <c r="M519" s="73"/>
    </row>
    <row r="520" spans="3:13">
      <c r="C520" s="374"/>
      <c r="D520" s="375"/>
      <c r="E520" s="73"/>
      <c r="F520" s="73"/>
      <c r="G520" s="376"/>
      <c r="H520" s="73"/>
      <c r="I520" s="73"/>
      <c r="J520" s="73"/>
      <c r="K520" s="377"/>
      <c r="L520" s="378"/>
      <c r="M520" s="73"/>
    </row>
    <row r="521" spans="3:13">
      <c r="C521" s="374"/>
      <c r="D521" s="375"/>
      <c r="E521" s="73"/>
      <c r="F521" s="73"/>
      <c r="G521" s="376"/>
      <c r="H521" s="73"/>
      <c r="I521" s="73"/>
      <c r="J521" s="73"/>
      <c r="K521" s="377"/>
      <c r="L521" s="378"/>
      <c r="M521" s="73"/>
    </row>
    <row r="522" spans="3:13">
      <c r="C522" s="374"/>
      <c r="D522" s="375"/>
      <c r="E522" s="73"/>
      <c r="F522" s="73"/>
      <c r="G522" s="376"/>
      <c r="H522" s="73"/>
      <c r="I522" s="73"/>
      <c r="J522" s="73"/>
      <c r="K522" s="377"/>
      <c r="L522" s="378"/>
      <c r="M522" s="73"/>
    </row>
    <row r="523" spans="3:13">
      <c r="C523" s="374"/>
      <c r="D523" s="375"/>
      <c r="E523" s="73"/>
      <c r="F523" s="73"/>
      <c r="G523" s="376"/>
      <c r="H523" s="73"/>
      <c r="I523" s="73"/>
      <c r="J523" s="73"/>
      <c r="K523" s="377"/>
      <c r="L523" s="378"/>
      <c r="M523" s="73"/>
    </row>
    <row r="524" spans="3:13">
      <c r="C524" s="374"/>
      <c r="D524" s="375"/>
      <c r="E524" s="73"/>
      <c r="F524" s="73"/>
      <c r="G524" s="376"/>
      <c r="H524" s="73"/>
      <c r="I524" s="73"/>
      <c r="J524" s="73"/>
      <c r="K524" s="377"/>
      <c r="L524" s="378"/>
      <c r="M524" s="73"/>
    </row>
    <row r="525" spans="3:13">
      <c r="C525" s="374"/>
      <c r="D525" s="375"/>
      <c r="E525" s="73"/>
      <c r="F525" s="73"/>
      <c r="G525" s="376"/>
      <c r="H525" s="73"/>
      <c r="I525" s="73"/>
      <c r="J525" s="73"/>
      <c r="K525" s="377"/>
      <c r="L525" s="378"/>
      <c r="M525" s="73"/>
    </row>
    <row r="526" spans="3:13">
      <c r="C526" s="374"/>
      <c r="D526" s="375"/>
      <c r="E526" s="73"/>
      <c r="F526" s="73"/>
      <c r="G526" s="376"/>
      <c r="H526" s="73"/>
      <c r="I526" s="73"/>
      <c r="J526" s="73"/>
      <c r="K526" s="377"/>
      <c r="L526" s="378"/>
      <c r="M526" s="73"/>
    </row>
    <row r="527" spans="3:13">
      <c r="C527" s="374"/>
      <c r="D527" s="375"/>
      <c r="E527" s="73"/>
      <c r="F527" s="73"/>
      <c r="G527" s="376"/>
      <c r="H527" s="73"/>
      <c r="I527" s="73"/>
      <c r="J527" s="73"/>
      <c r="K527" s="377"/>
      <c r="L527" s="378"/>
      <c r="M527" s="73"/>
    </row>
    <row r="528" spans="3:13">
      <c r="C528" s="374"/>
      <c r="D528" s="375"/>
      <c r="E528" s="73"/>
      <c r="F528" s="73"/>
      <c r="G528" s="376"/>
      <c r="H528" s="73"/>
      <c r="I528" s="73"/>
      <c r="J528" s="73"/>
      <c r="K528" s="377"/>
      <c r="L528" s="378"/>
      <c r="M528" s="73"/>
    </row>
    <row r="529" spans="3:13">
      <c r="C529" s="374"/>
      <c r="D529" s="375"/>
      <c r="E529" s="73"/>
      <c r="F529" s="73"/>
      <c r="G529" s="376"/>
      <c r="H529" s="73"/>
      <c r="I529" s="73"/>
      <c r="J529" s="73"/>
      <c r="K529" s="377"/>
      <c r="L529" s="378"/>
      <c r="M529" s="73"/>
    </row>
    <row r="530" spans="3:13">
      <c r="C530" s="374"/>
      <c r="D530" s="375"/>
      <c r="E530" s="73"/>
      <c r="F530" s="73"/>
      <c r="G530" s="376"/>
      <c r="H530" s="73"/>
      <c r="I530" s="73"/>
      <c r="J530" s="73"/>
      <c r="K530" s="377"/>
      <c r="L530" s="378"/>
      <c r="M530" s="73"/>
    </row>
    <row r="531" spans="3:13">
      <c r="C531" s="374"/>
      <c r="D531" s="375"/>
      <c r="E531" s="73"/>
      <c r="F531" s="73"/>
      <c r="G531" s="376"/>
      <c r="H531" s="73"/>
      <c r="I531" s="73"/>
      <c r="J531" s="73"/>
      <c r="K531" s="377"/>
      <c r="L531" s="378"/>
      <c r="M531" s="73"/>
    </row>
    <row r="532" spans="3:13">
      <c r="C532" s="374"/>
      <c r="D532" s="375"/>
      <c r="E532" s="73"/>
      <c r="F532" s="73"/>
      <c r="G532" s="376"/>
      <c r="H532" s="73"/>
      <c r="I532" s="73"/>
      <c r="J532" s="73"/>
      <c r="K532" s="377"/>
      <c r="L532" s="378"/>
      <c r="M532" s="73"/>
    </row>
    <row r="533" spans="3:13">
      <c r="C533" s="374"/>
      <c r="D533" s="375"/>
      <c r="E533" s="73"/>
      <c r="F533" s="73"/>
      <c r="G533" s="376"/>
      <c r="H533" s="73"/>
      <c r="I533" s="73"/>
      <c r="J533" s="73"/>
      <c r="K533" s="377"/>
      <c r="L533" s="378"/>
      <c r="M533" s="73"/>
    </row>
    <row r="534" spans="3:13">
      <c r="C534" s="374"/>
      <c r="D534" s="375"/>
      <c r="E534" s="73"/>
      <c r="F534" s="73"/>
      <c r="G534" s="376"/>
      <c r="H534" s="73"/>
      <c r="I534" s="73"/>
      <c r="J534" s="73"/>
      <c r="K534" s="377"/>
      <c r="L534" s="378"/>
      <c r="M534" s="73"/>
    </row>
    <row r="535" spans="3:13">
      <c r="C535" s="374"/>
      <c r="D535" s="375"/>
      <c r="E535" s="73"/>
      <c r="F535" s="73"/>
      <c r="G535" s="376"/>
      <c r="H535" s="73"/>
      <c r="I535" s="73"/>
      <c r="J535" s="73"/>
      <c r="K535" s="377"/>
      <c r="L535" s="378"/>
      <c r="M535" s="73"/>
    </row>
    <row r="536" spans="3:13">
      <c r="C536" s="374"/>
      <c r="D536" s="375"/>
      <c r="E536" s="73"/>
      <c r="F536" s="73"/>
      <c r="G536" s="376"/>
      <c r="H536" s="73"/>
      <c r="I536" s="73"/>
      <c r="J536" s="73"/>
      <c r="K536" s="377"/>
      <c r="L536" s="378"/>
      <c r="M536" s="73"/>
    </row>
    <row r="537" spans="3:13">
      <c r="C537" s="374"/>
      <c r="D537" s="375"/>
      <c r="E537" s="73"/>
      <c r="F537" s="73"/>
      <c r="G537" s="376"/>
      <c r="H537" s="73"/>
      <c r="I537" s="73"/>
      <c r="J537" s="73"/>
      <c r="K537" s="377"/>
      <c r="L537" s="378"/>
      <c r="M537" s="73"/>
    </row>
    <row r="538" spans="3:13">
      <c r="C538" s="374"/>
      <c r="D538" s="375"/>
      <c r="E538" s="73"/>
      <c r="F538" s="73"/>
      <c r="G538" s="376"/>
      <c r="H538" s="73"/>
      <c r="I538" s="73"/>
      <c r="J538" s="73"/>
      <c r="K538" s="377"/>
      <c r="L538" s="378"/>
      <c r="M538" s="73"/>
    </row>
    <row r="539" spans="3:13">
      <c r="C539" s="374"/>
      <c r="D539" s="375"/>
      <c r="E539" s="73"/>
      <c r="F539" s="73"/>
      <c r="G539" s="376"/>
      <c r="H539" s="73"/>
      <c r="I539" s="73"/>
      <c r="J539" s="73"/>
      <c r="K539" s="377"/>
      <c r="L539" s="378"/>
      <c r="M539" s="73"/>
    </row>
    <row r="540" spans="3:13">
      <c r="C540" s="374"/>
      <c r="D540" s="375"/>
      <c r="E540" s="73"/>
      <c r="F540" s="73"/>
      <c r="G540" s="376"/>
      <c r="H540" s="73"/>
      <c r="I540" s="73"/>
      <c r="J540" s="73"/>
      <c r="K540" s="377"/>
      <c r="L540" s="378"/>
      <c r="M540" s="73"/>
    </row>
    <row r="541" spans="3:13">
      <c r="C541" s="374"/>
      <c r="D541" s="375"/>
      <c r="E541" s="73"/>
      <c r="F541" s="73"/>
      <c r="G541" s="376"/>
      <c r="H541" s="73"/>
      <c r="I541" s="73"/>
      <c r="J541" s="73"/>
      <c r="K541" s="377"/>
      <c r="L541" s="378"/>
      <c r="M541" s="73"/>
    </row>
    <row r="542" spans="3:13">
      <c r="C542" s="374"/>
      <c r="D542" s="375"/>
      <c r="E542" s="73"/>
      <c r="F542" s="73"/>
      <c r="G542" s="376"/>
      <c r="H542" s="73"/>
      <c r="I542" s="73"/>
      <c r="J542" s="73"/>
      <c r="K542" s="377"/>
      <c r="L542" s="378"/>
      <c r="M542" s="73"/>
    </row>
    <row r="543" spans="3:13">
      <c r="C543" s="374"/>
      <c r="D543" s="375"/>
      <c r="E543" s="73"/>
      <c r="F543" s="73"/>
      <c r="G543" s="376"/>
      <c r="H543" s="73"/>
      <c r="I543" s="73"/>
      <c r="J543" s="73"/>
      <c r="K543" s="377"/>
      <c r="L543" s="378"/>
      <c r="M543" s="73"/>
    </row>
    <row r="544" spans="3:13">
      <c r="C544" s="374"/>
      <c r="D544" s="375"/>
      <c r="E544" s="73"/>
      <c r="F544" s="73"/>
      <c r="G544" s="376"/>
      <c r="H544" s="73"/>
      <c r="I544" s="73"/>
      <c r="J544" s="73"/>
      <c r="K544" s="377"/>
      <c r="L544" s="378"/>
      <c r="M544" s="73"/>
    </row>
    <row r="545" spans="3:13">
      <c r="C545" s="374"/>
      <c r="D545" s="375"/>
      <c r="E545" s="73"/>
      <c r="F545" s="73"/>
      <c r="G545" s="376"/>
      <c r="H545" s="73"/>
      <c r="I545" s="73"/>
      <c r="J545" s="73"/>
      <c r="K545" s="377"/>
      <c r="L545" s="378"/>
      <c r="M545" s="73"/>
    </row>
    <row r="546" spans="3:13">
      <c r="C546" s="374"/>
      <c r="D546" s="375"/>
      <c r="E546" s="73"/>
      <c r="F546" s="73"/>
      <c r="G546" s="376"/>
      <c r="H546" s="73"/>
      <c r="I546" s="73"/>
      <c r="J546" s="73"/>
      <c r="K546" s="377"/>
      <c r="L546" s="378"/>
      <c r="M546" s="73"/>
    </row>
    <row r="547" spans="3:13">
      <c r="C547" s="374"/>
      <c r="D547" s="375"/>
      <c r="E547" s="73"/>
      <c r="F547" s="73"/>
      <c r="G547" s="376"/>
      <c r="H547" s="73"/>
      <c r="I547" s="73"/>
      <c r="J547" s="73"/>
      <c r="K547" s="377"/>
      <c r="L547" s="378"/>
      <c r="M547" s="73"/>
    </row>
    <row r="548" spans="3:13">
      <c r="C548" s="374"/>
      <c r="D548" s="375"/>
      <c r="E548" s="73"/>
      <c r="F548" s="73"/>
      <c r="G548" s="376"/>
      <c r="H548" s="73"/>
      <c r="I548" s="73"/>
      <c r="J548" s="73"/>
      <c r="K548" s="377"/>
      <c r="L548" s="378"/>
      <c r="M548" s="73"/>
    </row>
    <row r="549" spans="3:13">
      <c r="C549" s="374"/>
      <c r="D549" s="375"/>
      <c r="E549" s="73"/>
      <c r="F549" s="73"/>
      <c r="G549" s="376"/>
      <c r="H549" s="73"/>
      <c r="I549" s="73"/>
      <c r="J549" s="73"/>
      <c r="K549" s="377"/>
      <c r="L549" s="378"/>
      <c r="M549" s="73"/>
    </row>
    <row r="550" spans="3:13">
      <c r="C550" s="374"/>
      <c r="D550" s="375"/>
      <c r="E550" s="73"/>
      <c r="F550" s="73"/>
      <c r="G550" s="376"/>
      <c r="H550" s="73"/>
      <c r="I550" s="73"/>
      <c r="J550" s="73"/>
      <c r="K550" s="377"/>
      <c r="L550" s="378"/>
      <c r="M550" s="73"/>
    </row>
    <row r="551" spans="3:13">
      <c r="C551" s="374"/>
      <c r="D551" s="375"/>
      <c r="E551" s="73"/>
      <c r="F551" s="73"/>
      <c r="G551" s="376"/>
      <c r="H551" s="73"/>
      <c r="I551" s="73"/>
      <c r="J551" s="73"/>
      <c r="K551" s="377"/>
      <c r="L551" s="378"/>
      <c r="M551" s="73"/>
    </row>
    <row r="552" spans="3:13">
      <c r="C552" s="374"/>
      <c r="D552" s="375"/>
      <c r="E552" s="73"/>
      <c r="F552" s="73"/>
      <c r="G552" s="376"/>
      <c r="H552" s="73"/>
      <c r="I552" s="73"/>
      <c r="J552" s="73"/>
      <c r="K552" s="377"/>
      <c r="L552" s="378"/>
      <c r="M552" s="73"/>
    </row>
    <row r="553" spans="3:13">
      <c r="C553" s="374"/>
      <c r="D553" s="375"/>
      <c r="E553" s="73"/>
      <c r="F553" s="73"/>
      <c r="G553" s="376"/>
      <c r="H553" s="73"/>
      <c r="I553" s="73"/>
      <c r="J553" s="73"/>
      <c r="K553" s="377"/>
      <c r="L553" s="378"/>
      <c r="M553" s="73"/>
    </row>
    <row r="554" spans="3:13">
      <c r="C554" s="374"/>
      <c r="D554" s="375"/>
      <c r="E554" s="73"/>
      <c r="F554" s="73"/>
      <c r="G554" s="376"/>
      <c r="H554" s="73"/>
      <c r="I554" s="73"/>
      <c r="J554" s="73"/>
      <c r="K554" s="377"/>
      <c r="L554" s="378"/>
      <c r="M554" s="73"/>
    </row>
    <row r="555" spans="3:13">
      <c r="C555" s="374"/>
      <c r="D555" s="375"/>
      <c r="E555" s="73"/>
      <c r="F555" s="73"/>
      <c r="G555" s="376"/>
      <c r="H555" s="73"/>
      <c r="I555" s="73"/>
      <c r="J555" s="73"/>
      <c r="K555" s="377"/>
      <c r="L555" s="378"/>
      <c r="M555" s="73"/>
    </row>
    <row r="556" spans="3:13">
      <c r="C556" s="374"/>
      <c r="D556" s="375"/>
      <c r="E556" s="73"/>
      <c r="F556" s="73"/>
      <c r="G556" s="376"/>
      <c r="H556" s="73"/>
      <c r="I556" s="73"/>
      <c r="J556" s="73"/>
      <c r="K556" s="377"/>
      <c r="L556" s="378"/>
      <c r="M556" s="73"/>
    </row>
    <row r="557" spans="3:13">
      <c r="C557" s="374"/>
      <c r="D557" s="375"/>
      <c r="E557" s="73"/>
      <c r="F557" s="73"/>
      <c r="G557" s="376"/>
      <c r="H557" s="73"/>
      <c r="I557" s="73"/>
      <c r="J557" s="73"/>
      <c r="K557" s="377"/>
      <c r="L557" s="378"/>
      <c r="M557" s="73"/>
    </row>
    <row r="558" spans="3:13">
      <c r="C558" s="374"/>
      <c r="D558" s="375"/>
      <c r="E558" s="73"/>
      <c r="F558" s="73"/>
      <c r="G558" s="376"/>
      <c r="H558" s="73"/>
      <c r="I558" s="73"/>
      <c r="J558" s="73"/>
      <c r="K558" s="377"/>
      <c r="L558" s="378"/>
      <c r="M558" s="73"/>
    </row>
    <row r="559" spans="3:13">
      <c r="C559" s="374"/>
      <c r="D559" s="375"/>
      <c r="E559" s="73"/>
      <c r="F559" s="73"/>
      <c r="G559" s="376"/>
      <c r="H559" s="73"/>
      <c r="I559" s="73"/>
      <c r="J559" s="73"/>
      <c r="K559" s="377"/>
      <c r="L559" s="378"/>
      <c r="M559" s="73"/>
    </row>
    <row r="560" spans="3:13">
      <c r="C560" s="374"/>
      <c r="D560" s="375"/>
      <c r="E560" s="73"/>
      <c r="F560" s="73"/>
      <c r="G560" s="376"/>
      <c r="H560" s="73"/>
      <c r="I560" s="73"/>
      <c r="J560" s="73"/>
      <c r="K560" s="377"/>
      <c r="L560" s="378"/>
      <c r="M560" s="73"/>
    </row>
    <row r="561" spans="3:13">
      <c r="C561" s="374"/>
      <c r="D561" s="375"/>
      <c r="E561" s="73"/>
      <c r="F561" s="73"/>
      <c r="G561" s="376"/>
      <c r="H561" s="73"/>
      <c r="I561" s="73"/>
      <c r="J561" s="73"/>
      <c r="K561" s="377"/>
      <c r="L561" s="378"/>
      <c r="M561" s="73"/>
    </row>
    <row r="562" spans="3:13">
      <c r="C562" s="374"/>
      <c r="D562" s="375"/>
      <c r="E562" s="73"/>
      <c r="F562" s="73"/>
      <c r="G562" s="376"/>
      <c r="H562" s="73"/>
      <c r="I562" s="73"/>
      <c r="J562" s="73"/>
      <c r="K562" s="377"/>
      <c r="L562" s="378"/>
      <c r="M562" s="73"/>
    </row>
    <row r="563" spans="3:13">
      <c r="C563" s="374"/>
      <c r="D563" s="375"/>
      <c r="E563" s="73"/>
      <c r="F563" s="73"/>
      <c r="G563" s="376"/>
      <c r="H563" s="73"/>
      <c r="I563" s="73"/>
      <c r="J563" s="73"/>
      <c r="K563" s="377"/>
      <c r="L563" s="378"/>
      <c r="M563" s="73"/>
    </row>
    <row r="564" spans="3:13">
      <c r="C564" s="374"/>
      <c r="D564" s="375"/>
      <c r="E564" s="73"/>
      <c r="F564" s="73"/>
      <c r="G564" s="376"/>
      <c r="H564" s="73"/>
      <c r="I564" s="73"/>
      <c r="J564" s="73"/>
      <c r="K564" s="377"/>
      <c r="L564" s="378"/>
      <c r="M564" s="73"/>
    </row>
    <row r="565" spans="3:13">
      <c r="C565" s="374"/>
      <c r="D565" s="375"/>
      <c r="E565" s="73"/>
      <c r="F565" s="73"/>
      <c r="G565" s="376"/>
      <c r="H565" s="73"/>
      <c r="I565" s="73"/>
      <c r="J565" s="73"/>
      <c r="K565" s="377"/>
      <c r="L565" s="378"/>
      <c r="M565" s="73"/>
    </row>
    <row r="566" spans="3:13">
      <c r="C566" s="374"/>
      <c r="D566" s="375"/>
      <c r="E566" s="73"/>
      <c r="F566" s="73"/>
      <c r="G566" s="376"/>
      <c r="H566" s="73"/>
      <c r="I566" s="73"/>
      <c r="J566" s="73"/>
      <c r="K566" s="377"/>
      <c r="L566" s="378"/>
      <c r="M566" s="73"/>
    </row>
    <row r="567" spans="3:13">
      <c r="C567" s="374"/>
      <c r="D567" s="375"/>
      <c r="E567" s="73"/>
      <c r="F567" s="73"/>
      <c r="G567" s="376"/>
      <c r="H567" s="73"/>
      <c r="I567" s="73"/>
      <c r="J567" s="73"/>
      <c r="K567" s="377"/>
      <c r="L567" s="378"/>
      <c r="M567" s="73"/>
    </row>
    <row r="568" spans="3:13">
      <c r="C568" s="374"/>
      <c r="D568" s="375"/>
      <c r="E568" s="73"/>
      <c r="F568" s="73"/>
      <c r="G568" s="376"/>
      <c r="H568" s="73"/>
      <c r="I568" s="73"/>
      <c r="J568" s="73"/>
      <c r="K568" s="377"/>
      <c r="L568" s="378"/>
      <c r="M568" s="73"/>
    </row>
    <row r="569" spans="3:13">
      <c r="C569" s="374"/>
      <c r="D569" s="375"/>
      <c r="E569" s="73"/>
      <c r="F569" s="73"/>
      <c r="G569" s="376"/>
      <c r="H569" s="73"/>
      <c r="I569" s="73"/>
      <c r="J569" s="73"/>
      <c r="K569" s="377"/>
      <c r="L569" s="378"/>
      <c r="M569" s="73"/>
    </row>
    <row r="570" spans="3:13">
      <c r="C570" s="374"/>
      <c r="D570" s="375"/>
      <c r="E570" s="73"/>
      <c r="F570" s="73"/>
      <c r="G570" s="376"/>
      <c r="H570" s="73"/>
      <c r="I570" s="73"/>
      <c r="J570" s="73"/>
      <c r="K570" s="377"/>
      <c r="L570" s="378"/>
      <c r="M570" s="73"/>
    </row>
    <row r="571" spans="3:13">
      <c r="C571" s="374"/>
      <c r="D571" s="375"/>
      <c r="E571" s="73"/>
      <c r="F571" s="73"/>
      <c r="G571" s="376"/>
      <c r="H571" s="73"/>
      <c r="I571" s="73"/>
      <c r="J571" s="73"/>
      <c r="K571" s="377"/>
      <c r="L571" s="378"/>
      <c r="M571" s="73"/>
    </row>
    <row r="572" spans="3:13">
      <c r="C572" s="374"/>
      <c r="D572" s="375"/>
      <c r="E572" s="73"/>
      <c r="F572" s="73"/>
      <c r="G572" s="376"/>
      <c r="H572" s="73"/>
      <c r="I572" s="73"/>
      <c r="J572" s="73"/>
      <c r="K572" s="377"/>
      <c r="L572" s="378"/>
      <c r="M572" s="73"/>
    </row>
    <row r="573" spans="3:13">
      <c r="C573" s="374"/>
      <c r="D573" s="375"/>
      <c r="E573" s="73"/>
      <c r="F573" s="73"/>
      <c r="G573" s="376"/>
      <c r="H573" s="73"/>
      <c r="I573" s="73"/>
      <c r="J573" s="73"/>
      <c r="K573" s="377"/>
      <c r="L573" s="378"/>
      <c r="M573" s="73"/>
    </row>
    <row r="574" spans="3:13">
      <c r="C574" s="374"/>
      <c r="D574" s="375"/>
      <c r="E574" s="73"/>
      <c r="F574" s="73"/>
      <c r="G574" s="376"/>
      <c r="H574" s="73"/>
      <c r="I574" s="73"/>
      <c r="J574" s="73"/>
      <c r="K574" s="377"/>
      <c r="L574" s="378"/>
      <c r="M574" s="73"/>
    </row>
    <row r="575" spans="3:13">
      <c r="C575" s="374"/>
      <c r="D575" s="375"/>
      <c r="E575" s="73"/>
      <c r="F575" s="73"/>
      <c r="G575" s="376"/>
      <c r="H575" s="73"/>
      <c r="I575" s="73"/>
      <c r="J575" s="73"/>
      <c r="K575" s="377"/>
      <c r="L575" s="378"/>
      <c r="M575" s="73"/>
    </row>
    <row r="576" spans="3:13">
      <c r="C576" s="374"/>
      <c r="D576" s="375"/>
      <c r="E576" s="73"/>
      <c r="F576" s="73"/>
      <c r="G576" s="376"/>
      <c r="H576" s="73"/>
      <c r="I576" s="73"/>
      <c r="J576" s="73"/>
      <c r="K576" s="377"/>
      <c r="L576" s="378"/>
      <c r="M576" s="73"/>
    </row>
    <row r="577" spans="3:13">
      <c r="C577" s="374"/>
      <c r="D577" s="375"/>
      <c r="E577" s="73"/>
      <c r="F577" s="73"/>
      <c r="G577" s="376"/>
      <c r="H577" s="73"/>
      <c r="I577" s="73"/>
      <c r="J577" s="73"/>
      <c r="K577" s="377"/>
      <c r="L577" s="378"/>
      <c r="M577" s="73"/>
    </row>
    <row r="578" spans="3:13">
      <c r="C578" s="374"/>
      <c r="D578" s="375"/>
      <c r="E578" s="73"/>
      <c r="F578" s="73"/>
      <c r="G578" s="376"/>
      <c r="H578" s="73"/>
      <c r="I578" s="73"/>
      <c r="J578" s="73"/>
      <c r="K578" s="377"/>
      <c r="L578" s="378"/>
      <c r="M578" s="73"/>
    </row>
    <row r="579" spans="3:13">
      <c r="C579" s="374"/>
      <c r="D579" s="375"/>
      <c r="E579" s="73"/>
      <c r="F579" s="73"/>
      <c r="G579" s="376"/>
      <c r="H579" s="73"/>
      <c r="I579" s="73"/>
      <c r="J579" s="73"/>
      <c r="K579" s="377"/>
      <c r="L579" s="378"/>
      <c r="M579" s="73"/>
    </row>
    <row r="580" spans="3:13">
      <c r="C580" s="374"/>
      <c r="D580" s="375"/>
      <c r="E580" s="73"/>
      <c r="F580" s="73"/>
      <c r="G580" s="376"/>
      <c r="H580" s="73"/>
      <c r="I580" s="73"/>
      <c r="J580" s="73"/>
      <c r="K580" s="377"/>
      <c r="L580" s="378"/>
      <c r="M580" s="73"/>
    </row>
    <row r="581" spans="3:13">
      <c r="C581" s="374"/>
      <c r="D581" s="375"/>
      <c r="E581" s="73"/>
      <c r="F581" s="73"/>
      <c r="G581" s="376"/>
      <c r="H581" s="73"/>
      <c r="I581" s="73"/>
      <c r="J581" s="73"/>
      <c r="K581" s="377"/>
      <c r="L581" s="378"/>
      <c r="M581" s="73"/>
    </row>
    <row r="582" spans="3:13">
      <c r="C582" s="374"/>
      <c r="D582" s="375"/>
      <c r="E582" s="73"/>
      <c r="F582" s="73"/>
      <c r="G582" s="376"/>
      <c r="H582" s="73"/>
      <c r="I582" s="73"/>
      <c r="J582" s="73"/>
      <c r="K582" s="377"/>
      <c r="L582" s="378"/>
      <c r="M582" s="73"/>
    </row>
    <row r="583" spans="3:13">
      <c r="C583" s="374"/>
      <c r="D583" s="375"/>
      <c r="E583" s="73"/>
      <c r="F583" s="73"/>
      <c r="G583" s="376"/>
      <c r="H583" s="73"/>
      <c r="I583" s="73"/>
      <c r="J583" s="73"/>
      <c r="K583" s="377"/>
      <c r="L583" s="378"/>
      <c r="M583" s="73"/>
    </row>
    <row r="584" spans="3:13">
      <c r="C584" s="374"/>
      <c r="D584" s="375"/>
      <c r="E584" s="73"/>
      <c r="F584" s="73"/>
      <c r="G584" s="376"/>
      <c r="H584" s="73"/>
      <c r="I584" s="73"/>
      <c r="J584" s="73"/>
      <c r="K584" s="377"/>
      <c r="L584" s="378"/>
      <c r="M584" s="73"/>
    </row>
    <row r="585" spans="3:13">
      <c r="C585" s="374"/>
      <c r="D585" s="375"/>
      <c r="E585" s="73"/>
      <c r="F585" s="73"/>
      <c r="G585" s="376"/>
      <c r="H585" s="73"/>
      <c r="I585" s="73"/>
      <c r="J585" s="73"/>
      <c r="K585" s="377"/>
      <c r="L585" s="378"/>
      <c r="M585" s="73"/>
    </row>
    <row r="586" spans="3:13">
      <c r="C586" s="374"/>
      <c r="D586" s="375"/>
      <c r="E586" s="73"/>
      <c r="F586" s="73"/>
      <c r="G586" s="376"/>
      <c r="H586" s="73"/>
      <c r="I586" s="73"/>
      <c r="J586" s="73"/>
      <c r="K586" s="377"/>
      <c r="L586" s="378"/>
      <c r="M586" s="73"/>
    </row>
    <row r="587" spans="3:13">
      <c r="C587" s="374"/>
      <c r="D587" s="375"/>
      <c r="E587" s="73"/>
      <c r="F587" s="73"/>
      <c r="G587" s="376"/>
      <c r="H587" s="73"/>
      <c r="I587" s="73"/>
      <c r="J587" s="73"/>
      <c r="K587" s="377"/>
      <c r="L587" s="378"/>
      <c r="M587" s="73"/>
    </row>
    <row r="588" spans="3:13">
      <c r="C588" s="374"/>
      <c r="D588" s="375"/>
      <c r="E588" s="73"/>
      <c r="F588" s="73"/>
      <c r="G588" s="376"/>
      <c r="H588" s="73"/>
      <c r="I588" s="73"/>
      <c r="J588" s="73"/>
      <c r="K588" s="377"/>
      <c r="L588" s="378"/>
      <c r="M588" s="73"/>
    </row>
    <row r="589" spans="3:13">
      <c r="C589" s="374"/>
      <c r="D589" s="375"/>
      <c r="E589" s="73"/>
      <c r="F589" s="73"/>
      <c r="G589" s="376"/>
      <c r="H589" s="73"/>
      <c r="I589" s="73"/>
      <c r="J589" s="73"/>
      <c r="K589" s="377"/>
      <c r="L589" s="378"/>
      <c r="M589" s="73"/>
    </row>
    <row r="590" spans="3:13">
      <c r="C590" s="374"/>
      <c r="D590" s="375"/>
      <c r="E590" s="73"/>
      <c r="F590" s="73"/>
      <c r="G590" s="376"/>
      <c r="H590" s="73"/>
      <c r="I590" s="73"/>
      <c r="J590" s="73"/>
      <c r="K590" s="377"/>
      <c r="L590" s="378"/>
      <c r="M590" s="73"/>
    </row>
    <row r="591" spans="3:13">
      <c r="C591" s="374"/>
      <c r="D591" s="375"/>
      <c r="E591" s="73"/>
      <c r="F591" s="73"/>
      <c r="G591" s="376"/>
      <c r="H591" s="73"/>
      <c r="I591" s="73"/>
      <c r="J591" s="73"/>
      <c r="K591" s="377"/>
      <c r="L591" s="378"/>
      <c r="M591" s="73"/>
    </row>
    <row r="592" spans="3:13">
      <c r="C592" s="374"/>
      <c r="D592" s="375"/>
      <c r="E592" s="73"/>
      <c r="F592" s="73"/>
      <c r="G592" s="376"/>
      <c r="H592" s="73"/>
      <c r="I592" s="73"/>
      <c r="J592" s="73"/>
      <c r="K592" s="377"/>
      <c r="L592" s="378"/>
      <c r="M592" s="73"/>
    </row>
    <row r="593" spans="3:13">
      <c r="C593" s="374"/>
      <c r="D593" s="375"/>
      <c r="E593" s="73"/>
      <c r="F593" s="73"/>
      <c r="G593" s="376"/>
      <c r="H593" s="73"/>
      <c r="I593" s="73"/>
      <c r="J593" s="73"/>
      <c r="K593" s="377"/>
      <c r="L593" s="378"/>
      <c r="M593" s="73"/>
    </row>
    <row r="594" spans="3:13">
      <c r="C594" s="374"/>
      <c r="D594" s="375"/>
      <c r="E594" s="73"/>
      <c r="F594" s="73"/>
      <c r="G594" s="376"/>
      <c r="H594" s="73"/>
      <c r="I594" s="73"/>
      <c r="J594" s="73"/>
      <c r="K594" s="377"/>
      <c r="L594" s="378"/>
      <c r="M594" s="73"/>
    </row>
    <row r="595" spans="3:13">
      <c r="C595" s="374"/>
      <c r="D595" s="375"/>
      <c r="E595" s="73"/>
      <c r="F595" s="73"/>
      <c r="G595" s="376"/>
      <c r="H595" s="73"/>
      <c r="I595" s="73"/>
      <c r="J595" s="73"/>
      <c r="K595" s="377"/>
      <c r="L595" s="378"/>
      <c r="M595" s="73"/>
    </row>
    <row r="596" spans="3:13">
      <c r="C596" s="374"/>
      <c r="D596" s="375"/>
      <c r="E596" s="73"/>
      <c r="F596" s="73"/>
      <c r="G596" s="376"/>
      <c r="H596" s="73"/>
      <c r="I596" s="73"/>
      <c r="J596" s="73"/>
      <c r="K596" s="377"/>
      <c r="L596" s="378"/>
      <c r="M596" s="73"/>
    </row>
    <row r="597" spans="3:13">
      <c r="C597" s="374"/>
      <c r="D597" s="375"/>
      <c r="E597" s="73"/>
      <c r="F597" s="73"/>
      <c r="G597" s="376"/>
      <c r="H597" s="73"/>
      <c r="I597" s="73"/>
      <c r="J597" s="73"/>
      <c r="K597" s="377"/>
      <c r="L597" s="378"/>
      <c r="M597" s="73"/>
    </row>
    <row r="598" spans="3:13">
      <c r="C598" s="374"/>
      <c r="D598" s="375"/>
      <c r="E598" s="73"/>
      <c r="F598" s="73"/>
      <c r="G598" s="376"/>
      <c r="H598" s="73"/>
      <c r="I598" s="73"/>
      <c r="J598" s="73"/>
      <c r="K598" s="377"/>
      <c r="L598" s="378"/>
      <c r="M598" s="73"/>
    </row>
    <row r="599" spans="3:13">
      <c r="C599" s="374"/>
      <c r="D599" s="375"/>
      <c r="E599" s="73"/>
      <c r="F599" s="73"/>
      <c r="G599" s="376"/>
      <c r="H599" s="73"/>
      <c r="I599" s="73"/>
      <c r="J599" s="73"/>
      <c r="K599" s="377"/>
      <c r="L599" s="378"/>
      <c r="M599" s="73"/>
    </row>
    <row r="600" spans="3:13">
      <c r="C600" s="374"/>
      <c r="D600" s="375"/>
      <c r="E600" s="73"/>
      <c r="F600" s="73"/>
      <c r="G600" s="376"/>
      <c r="H600" s="73"/>
      <c r="I600" s="73"/>
      <c r="J600" s="73"/>
      <c r="K600" s="377"/>
      <c r="L600" s="378"/>
      <c r="M600" s="73"/>
    </row>
    <row r="601" spans="3:13">
      <c r="C601" s="374"/>
      <c r="D601" s="375"/>
      <c r="E601" s="73"/>
      <c r="F601" s="73"/>
      <c r="G601" s="376"/>
      <c r="H601" s="73"/>
      <c r="I601" s="73"/>
      <c r="J601" s="73"/>
      <c r="K601" s="377"/>
      <c r="L601" s="378"/>
      <c r="M601" s="73"/>
    </row>
    <row r="602" spans="3:13">
      <c r="C602" s="374"/>
      <c r="D602" s="375"/>
      <c r="E602" s="73"/>
      <c r="F602" s="73"/>
      <c r="G602" s="376"/>
      <c r="H602" s="73"/>
      <c r="I602" s="73"/>
      <c r="J602" s="73"/>
      <c r="K602" s="377"/>
      <c r="L602" s="378"/>
      <c r="M602" s="73"/>
    </row>
    <row r="603" spans="3:13">
      <c r="C603" s="374"/>
      <c r="D603" s="375"/>
      <c r="E603" s="73"/>
      <c r="F603" s="73"/>
      <c r="G603" s="376"/>
      <c r="H603" s="73"/>
      <c r="I603" s="73"/>
      <c r="J603" s="73"/>
      <c r="K603" s="377"/>
      <c r="L603" s="378"/>
      <c r="M603" s="73"/>
    </row>
    <row r="604" spans="3:13">
      <c r="C604" s="374"/>
      <c r="D604" s="375"/>
      <c r="E604" s="73"/>
      <c r="F604" s="73"/>
      <c r="G604" s="376"/>
      <c r="H604" s="73"/>
      <c r="I604" s="73"/>
      <c r="J604" s="73"/>
      <c r="K604" s="377"/>
      <c r="L604" s="378"/>
      <c r="M604" s="73"/>
    </row>
    <row r="605" spans="3:13">
      <c r="C605" s="374"/>
      <c r="D605" s="375"/>
      <c r="E605" s="73"/>
      <c r="F605" s="73"/>
      <c r="G605" s="376"/>
      <c r="H605" s="73"/>
      <c r="I605" s="73"/>
      <c r="J605" s="73"/>
      <c r="K605" s="377"/>
      <c r="L605" s="378"/>
      <c r="M605" s="73"/>
    </row>
    <row r="606" spans="3:13">
      <c r="C606" s="374"/>
      <c r="D606" s="375"/>
      <c r="E606" s="73"/>
      <c r="F606" s="73"/>
      <c r="G606" s="376"/>
      <c r="H606" s="73"/>
      <c r="I606" s="73"/>
      <c r="J606" s="73"/>
      <c r="K606" s="377"/>
      <c r="L606" s="378"/>
      <c r="M606" s="73"/>
    </row>
    <row r="607" spans="3:13">
      <c r="C607" s="374"/>
      <c r="D607" s="375"/>
      <c r="E607" s="73"/>
      <c r="F607" s="73"/>
      <c r="G607" s="376"/>
      <c r="H607" s="73"/>
      <c r="I607" s="73"/>
      <c r="J607" s="73"/>
      <c r="K607" s="377"/>
      <c r="L607" s="378"/>
      <c r="M607" s="73"/>
    </row>
    <row r="608" spans="3:13">
      <c r="C608" s="374"/>
      <c r="D608" s="375"/>
      <c r="E608" s="73"/>
      <c r="F608" s="73"/>
      <c r="G608" s="376"/>
      <c r="H608" s="73"/>
      <c r="I608" s="73"/>
      <c r="J608" s="73"/>
      <c r="K608" s="377"/>
      <c r="L608" s="378"/>
      <c r="M608" s="73"/>
    </row>
    <row r="609" spans="3:13">
      <c r="C609" s="374"/>
      <c r="D609" s="375"/>
      <c r="E609" s="73"/>
      <c r="F609" s="73"/>
      <c r="G609" s="376"/>
      <c r="H609" s="73"/>
      <c r="I609" s="73"/>
      <c r="J609" s="73"/>
      <c r="K609" s="377"/>
      <c r="L609" s="378"/>
      <c r="M609" s="73"/>
    </row>
    <row r="610" spans="3:13">
      <c r="C610" s="374"/>
      <c r="D610" s="375"/>
      <c r="E610" s="73"/>
      <c r="F610" s="73"/>
      <c r="G610" s="376"/>
      <c r="H610" s="73"/>
      <c r="I610" s="73"/>
      <c r="J610" s="73"/>
      <c r="K610" s="377"/>
      <c r="L610" s="378"/>
      <c r="M610" s="73"/>
    </row>
    <row r="611" spans="3:13">
      <c r="C611" s="374"/>
      <c r="D611" s="375"/>
      <c r="E611" s="73"/>
      <c r="F611" s="73"/>
      <c r="G611" s="376"/>
      <c r="H611" s="73"/>
      <c r="I611" s="73"/>
      <c r="J611" s="73"/>
      <c r="K611" s="377"/>
      <c r="L611" s="378"/>
      <c r="M611" s="73"/>
    </row>
    <row r="612" spans="3:13">
      <c r="C612" s="374"/>
      <c r="D612" s="375"/>
      <c r="E612" s="73"/>
      <c r="F612" s="73"/>
      <c r="G612" s="376"/>
      <c r="H612" s="73"/>
      <c r="I612" s="73"/>
      <c r="J612" s="73"/>
      <c r="K612" s="377"/>
      <c r="L612" s="378"/>
      <c r="M612" s="73"/>
    </row>
    <row r="613" spans="3:13">
      <c r="C613" s="374"/>
      <c r="D613" s="375"/>
      <c r="E613" s="73"/>
      <c r="F613" s="73"/>
      <c r="G613" s="376"/>
      <c r="H613" s="73"/>
      <c r="I613" s="73"/>
      <c r="J613" s="73"/>
      <c r="K613" s="377"/>
      <c r="L613" s="378"/>
      <c r="M613" s="73"/>
    </row>
    <row r="614" spans="3:13">
      <c r="C614" s="374"/>
      <c r="D614" s="375"/>
      <c r="E614" s="73"/>
      <c r="F614" s="73"/>
      <c r="G614" s="376"/>
      <c r="H614" s="73"/>
      <c r="I614" s="73"/>
      <c r="J614" s="73"/>
      <c r="K614" s="377"/>
      <c r="L614" s="378"/>
      <c r="M614" s="73"/>
    </row>
    <row r="615" spans="3:13">
      <c r="C615" s="374"/>
      <c r="D615" s="375"/>
      <c r="E615" s="73"/>
      <c r="F615" s="73"/>
      <c r="G615" s="376"/>
      <c r="H615" s="73"/>
      <c r="I615" s="73"/>
      <c r="J615" s="73"/>
      <c r="K615" s="377"/>
      <c r="L615" s="378"/>
      <c r="M615" s="73"/>
    </row>
    <row r="616" spans="3:13">
      <c r="C616" s="374"/>
      <c r="D616" s="375"/>
      <c r="E616" s="73"/>
      <c r="F616" s="73"/>
      <c r="G616" s="376"/>
      <c r="H616" s="73"/>
      <c r="I616" s="73"/>
      <c r="J616" s="73"/>
      <c r="K616" s="377"/>
      <c r="L616" s="378"/>
      <c r="M616" s="73"/>
    </row>
    <row r="617" spans="3:13">
      <c r="C617" s="374"/>
      <c r="D617" s="375"/>
      <c r="E617" s="73"/>
      <c r="F617" s="73"/>
      <c r="G617" s="376"/>
      <c r="H617" s="73"/>
      <c r="I617" s="73"/>
      <c r="J617" s="73"/>
      <c r="K617" s="377"/>
      <c r="L617" s="378"/>
      <c r="M617" s="73"/>
    </row>
    <row r="618" spans="3:13">
      <c r="C618" s="374"/>
      <c r="D618" s="375"/>
      <c r="E618" s="73"/>
      <c r="F618" s="73"/>
      <c r="G618" s="376"/>
      <c r="H618" s="73"/>
      <c r="I618" s="73"/>
      <c r="J618" s="73"/>
      <c r="K618" s="377"/>
      <c r="L618" s="378"/>
      <c r="M618" s="73"/>
    </row>
    <row r="619" spans="3:13">
      <c r="C619" s="374"/>
      <c r="D619" s="375"/>
      <c r="E619" s="73"/>
      <c r="F619" s="73"/>
      <c r="G619" s="376"/>
      <c r="H619" s="73"/>
      <c r="I619" s="73"/>
      <c r="J619" s="73"/>
      <c r="K619" s="377"/>
      <c r="L619" s="378"/>
      <c r="M619" s="73"/>
    </row>
    <row r="620" spans="3:13">
      <c r="C620" s="374"/>
      <c r="D620" s="375"/>
      <c r="E620" s="73"/>
      <c r="F620" s="73"/>
      <c r="G620" s="376"/>
      <c r="H620" s="73"/>
      <c r="I620" s="73"/>
      <c r="J620" s="73"/>
      <c r="K620" s="377"/>
      <c r="L620" s="378"/>
      <c r="M620" s="73"/>
    </row>
    <row r="621" spans="3:13">
      <c r="C621" s="374"/>
      <c r="D621" s="375"/>
      <c r="E621" s="73"/>
      <c r="F621" s="73"/>
      <c r="G621" s="376"/>
      <c r="H621" s="73"/>
      <c r="I621" s="73"/>
      <c r="J621" s="73"/>
      <c r="K621" s="377"/>
      <c r="L621" s="378"/>
      <c r="M621" s="73"/>
    </row>
    <row r="622" spans="3:13">
      <c r="C622" s="374"/>
      <c r="D622" s="375"/>
      <c r="E622" s="73"/>
      <c r="F622" s="73"/>
      <c r="G622" s="376"/>
      <c r="H622" s="73"/>
      <c r="I622" s="73"/>
      <c r="J622" s="73"/>
      <c r="K622" s="377"/>
      <c r="L622" s="378"/>
      <c r="M622" s="73"/>
    </row>
    <row r="623" spans="3:13">
      <c r="C623" s="374"/>
      <c r="D623" s="375"/>
      <c r="E623" s="73"/>
      <c r="F623" s="73"/>
      <c r="G623" s="376"/>
      <c r="H623" s="73"/>
      <c r="I623" s="73"/>
      <c r="J623" s="73"/>
      <c r="K623" s="377"/>
      <c r="L623" s="378"/>
      <c r="M623" s="73"/>
    </row>
    <row r="624" spans="3:13">
      <c r="C624" s="374"/>
      <c r="D624" s="375"/>
      <c r="E624" s="73"/>
      <c r="F624" s="73"/>
      <c r="G624" s="376"/>
      <c r="H624" s="73"/>
      <c r="I624" s="73"/>
      <c r="J624" s="73"/>
      <c r="K624" s="377"/>
      <c r="L624" s="378"/>
      <c r="M624" s="73"/>
    </row>
    <row r="625" spans="3:13">
      <c r="C625" s="374"/>
      <c r="D625" s="375"/>
      <c r="E625" s="73"/>
      <c r="F625" s="73"/>
      <c r="G625" s="376"/>
      <c r="H625" s="73"/>
      <c r="I625" s="73"/>
      <c r="J625" s="73"/>
      <c r="K625" s="377"/>
      <c r="L625" s="378"/>
      <c r="M625" s="73"/>
    </row>
    <row r="626" spans="3:13">
      <c r="C626" s="374"/>
      <c r="D626" s="375"/>
      <c r="E626" s="73"/>
      <c r="F626" s="73"/>
      <c r="G626" s="376"/>
      <c r="H626" s="73"/>
      <c r="I626" s="73"/>
      <c r="J626" s="73"/>
      <c r="K626" s="377"/>
      <c r="L626" s="378"/>
      <c r="M626" s="73"/>
    </row>
    <row r="627" spans="3:13">
      <c r="C627" s="374"/>
      <c r="D627" s="375"/>
      <c r="E627" s="73"/>
      <c r="F627" s="73"/>
      <c r="G627" s="376"/>
      <c r="H627" s="73"/>
      <c r="I627" s="73"/>
      <c r="J627" s="73"/>
      <c r="K627" s="377"/>
      <c r="L627" s="378"/>
      <c r="M627" s="73"/>
    </row>
    <row r="628" spans="3:13">
      <c r="C628" s="374"/>
      <c r="D628" s="375"/>
      <c r="E628" s="73"/>
      <c r="F628" s="73"/>
      <c r="G628" s="376"/>
      <c r="H628" s="73"/>
      <c r="I628" s="73"/>
      <c r="J628" s="73"/>
      <c r="K628" s="377"/>
      <c r="L628" s="378"/>
      <c r="M628" s="73"/>
    </row>
    <row r="629" spans="3:13">
      <c r="C629" s="374"/>
      <c r="D629" s="375"/>
      <c r="E629" s="73"/>
      <c r="F629" s="73"/>
      <c r="G629" s="376"/>
      <c r="H629" s="73"/>
      <c r="I629" s="73"/>
      <c r="J629" s="73"/>
      <c r="K629" s="377"/>
      <c r="L629" s="378"/>
      <c r="M629" s="73"/>
    </row>
    <row r="630" spans="3:13">
      <c r="C630" s="374"/>
      <c r="D630" s="375"/>
      <c r="E630" s="73"/>
      <c r="F630" s="73"/>
      <c r="G630" s="376"/>
      <c r="H630" s="73"/>
      <c r="I630" s="73"/>
      <c r="J630" s="73"/>
      <c r="K630" s="377"/>
      <c r="L630" s="378"/>
      <c r="M630" s="73"/>
    </row>
    <row r="631" spans="3:13">
      <c r="C631" s="374"/>
      <c r="D631" s="375"/>
      <c r="E631" s="73"/>
      <c r="F631" s="73"/>
      <c r="G631" s="376"/>
      <c r="H631" s="73"/>
      <c r="I631" s="73"/>
      <c r="J631" s="73"/>
      <c r="K631" s="377"/>
      <c r="L631" s="378"/>
      <c r="M631" s="73"/>
    </row>
    <row r="632" spans="3:13">
      <c r="C632" s="374"/>
      <c r="D632" s="375"/>
      <c r="E632" s="73"/>
      <c r="F632" s="73"/>
      <c r="G632" s="376"/>
      <c r="H632" s="73"/>
      <c r="I632" s="73"/>
      <c r="J632" s="73"/>
      <c r="K632" s="377"/>
      <c r="L632" s="378"/>
      <c r="M632" s="73"/>
    </row>
    <row r="633" spans="3:13">
      <c r="C633" s="374"/>
      <c r="D633" s="375"/>
      <c r="E633" s="73"/>
      <c r="F633" s="73"/>
      <c r="G633" s="376"/>
      <c r="H633" s="73"/>
      <c r="I633" s="73"/>
      <c r="J633" s="73"/>
      <c r="K633" s="377"/>
      <c r="L633" s="378"/>
      <c r="M633" s="73"/>
    </row>
    <row r="634" spans="3:13">
      <c r="C634" s="374"/>
      <c r="D634" s="375"/>
      <c r="E634" s="73"/>
      <c r="F634" s="73"/>
      <c r="G634" s="376"/>
      <c r="H634" s="73"/>
      <c r="I634" s="73"/>
      <c r="J634" s="73"/>
      <c r="K634" s="377"/>
      <c r="L634" s="378"/>
      <c r="M634" s="73"/>
    </row>
    <row r="635" spans="3:13">
      <c r="C635" s="374"/>
      <c r="D635" s="375"/>
      <c r="E635" s="73"/>
      <c r="F635" s="73"/>
      <c r="G635" s="376"/>
      <c r="H635" s="73"/>
      <c r="I635" s="73"/>
      <c r="J635" s="73"/>
      <c r="K635" s="377"/>
      <c r="L635" s="378"/>
      <c r="M635" s="73"/>
    </row>
    <row r="636" spans="3:13">
      <c r="C636" s="374"/>
      <c r="D636" s="375"/>
      <c r="E636" s="73"/>
      <c r="F636" s="73"/>
      <c r="G636" s="376"/>
      <c r="H636" s="73"/>
      <c r="I636" s="73"/>
      <c r="J636" s="73"/>
      <c r="K636" s="377"/>
      <c r="L636" s="378"/>
      <c r="M636" s="73"/>
    </row>
    <row r="637" spans="3:13">
      <c r="C637" s="374"/>
      <c r="D637" s="375"/>
      <c r="E637" s="73"/>
      <c r="F637" s="73"/>
      <c r="G637" s="376"/>
      <c r="H637" s="73"/>
      <c r="I637" s="73"/>
      <c r="J637" s="73"/>
      <c r="K637" s="377"/>
      <c r="L637" s="378"/>
      <c r="M637" s="73"/>
    </row>
    <row r="638" spans="3:13">
      <c r="C638" s="374"/>
      <c r="D638" s="375"/>
      <c r="E638" s="73"/>
      <c r="F638" s="73"/>
      <c r="G638" s="376"/>
      <c r="H638" s="73"/>
      <c r="I638" s="73"/>
      <c r="J638" s="73"/>
      <c r="K638" s="377"/>
      <c r="L638" s="378"/>
      <c r="M638" s="73"/>
    </row>
    <row r="639" spans="3:13">
      <c r="C639" s="374"/>
      <c r="D639" s="375"/>
      <c r="E639" s="73"/>
      <c r="F639" s="73"/>
      <c r="G639" s="376"/>
      <c r="H639" s="73"/>
      <c r="I639" s="73"/>
      <c r="J639" s="73"/>
      <c r="K639" s="377"/>
      <c r="L639" s="378"/>
      <c r="M639" s="73"/>
    </row>
    <row r="640" spans="3:13">
      <c r="C640" s="374"/>
      <c r="D640" s="375"/>
      <c r="E640" s="73"/>
      <c r="F640" s="73"/>
      <c r="G640" s="376"/>
      <c r="H640" s="73"/>
      <c r="I640" s="73"/>
      <c r="J640" s="73"/>
      <c r="K640" s="377"/>
      <c r="L640" s="378"/>
      <c r="M640" s="73"/>
    </row>
    <row r="641" spans="3:13">
      <c r="C641" s="374"/>
      <c r="D641" s="375"/>
      <c r="E641" s="73"/>
      <c r="F641" s="73"/>
      <c r="G641" s="376"/>
      <c r="H641" s="73"/>
      <c r="I641" s="73"/>
      <c r="J641" s="73"/>
      <c r="K641" s="377"/>
      <c r="L641" s="378"/>
      <c r="M641" s="73"/>
    </row>
    <row r="642" spans="3:13">
      <c r="C642" s="374"/>
      <c r="D642" s="375"/>
      <c r="E642" s="73"/>
      <c r="F642" s="73"/>
      <c r="G642" s="376"/>
      <c r="H642" s="73"/>
      <c r="I642" s="73"/>
      <c r="J642" s="73"/>
      <c r="K642" s="377"/>
      <c r="L642" s="378"/>
      <c r="M642" s="73"/>
    </row>
    <row r="643" spans="3:13">
      <c r="C643" s="374"/>
      <c r="D643" s="375"/>
      <c r="E643" s="73"/>
      <c r="F643" s="73"/>
      <c r="G643" s="376"/>
      <c r="H643" s="73"/>
      <c r="I643" s="73"/>
      <c r="J643" s="73"/>
      <c r="K643" s="377"/>
      <c r="L643" s="378"/>
      <c r="M643" s="73"/>
    </row>
    <row r="644" spans="3:13">
      <c r="C644" s="374"/>
      <c r="D644" s="375"/>
      <c r="E644" s="73"/>
      <c r="F644" s="73"/>
      <c r="G644" s="376"/>
      <c r="H644" s="73"/>
      <c r="I644" s="73"/>
      <c r="J644" s="73"/>
      <c r="K644" s="377"/>
      <c r="L644" s="378"/>
      <c r="M644" s="73"/>
    </row>
    <row r="645" spans="3:13">
      <c r="C645" s="374"/>
      <c r="D645" s="375"/>
      <c r="E645" s="73"/>
      <c r="F645" s="73"/>
      <c r="G645" s="376"/>
      <c r="H645" s="73"/>
      <c r="I645" s="73"/>
      <c r="J645" s="73"/>
      <c r="K645" s="377"/>
      <c r="L645" s="378"/>
      <c r="M645" s="73"/>
    </row>
    <row r="646" spans="3:13">
      <c r="C646" s="374"/>
      <c r="D646" s="375"/>
      <c r="E646" s="73"/>
      <c r="F646" s="73"/>
      <c r="G646" s="376"/>
      <c r="H646" s="73"/>
      <c r="I646" s="73"/>
      <c r="J646" s="73"/>
      <c r="K646" s="377"/>
      <c r="L646" s="378"/>
      <c r="M646" s="73"/>
    </row>
    <row r="647" spans="3:13">
      <c r="C647" s="374"/>
      <c r="D647" s="375"/>
      <c r="E647" s="73"/>
      <c r="F647" s="73"/>
      <c r="G647" s="376"/>
      <c r="H647" s="73"/>
      <c r="I647" s="73"/>
      <c r="J647" s="73"/>
      <c r="K647" s="377"/>
      <c r="L647" s="378"/>
      <c r="M647" s="73"/>
    </row>
    <row r="648" spans="3:13">
      <c r="C648" s="374"/>
      <c r="D648" s="375"/>
      <c r="E648" s="73"/>
      <c r="F648" s="73"/>
      <c r="G648" s="376"/>
      <c r="H648" s="73"/>
      <c r="I648" s="73"/>
      <c r="J648" s="73"/>
      <c r="K648" s="377"/>
      <c r="L648" s="378"/>
      <c r="M648" s="73"/>
    </row>
    <row r="649" spans="3:13">
      <c r="C649" s="374"/>
      <c r="D649" s="375"/>
      <c r="E649" s="73"/>
      <c r="F649" s="73"/>
      <c r="G649" s="376"/>
      <c r="H649" s="73"/>
      <c r="I649" s="73"/>
      <c r="J649" s="73"/>
      <c r="K649" s="377"/>
      <c r="L649" s="378"/>
      <c r="M649" s="73"/>
    </row>
    <row r="650" spans="3:13">
      <c r="C650" s="374"/>
      <c r="D650" s="375"/>
      <c r="E650" s="73"/>
      <c r="F650" s="73"/>
      <c r="G650" s="376"/>
      <c r="H650" s="73"/>
      <c r="I650" s="73"/>
      <c r="J650" s="73"/>
      <c r="K650" s="377"/>
      <c r="L650" s="378"/>
      <c r="M650" s="73"/>
    </row>
    <row r="651" spans="3:13">
      <c r="C651" s="374"/>
      <c r="D651" s="375"/>
      <c r="E651" s="73"/>
      <c r="F651" s="73"/>
      <c r="G651" s="376"/>
      <c r="H651" s="73"/>
      <c r="I651" s="73"/>
      <c r="J651" s="73"/>
      <c r="K651" s="377"/>
      <c r="L651" s="378"/>
      <c r="M651" s="73"/>
    </row>
    <row r="652" spans="3:13">
      <c r="C652" s="374"/>
      <c r="D652" s="375"/>
      <c r="E652" s="73"/>
      <c r="F652" s="73"/>
      <c r="G652" s="376"/>
      <c r="H652" s="73"/>
      <c r="I652" s="73"/>
      <c r="J652" s="73"/>
      <c r="K652" s="377"/>
      <c r="L652" s="378"/>
      <c r="M652" s="73"/>
    </row>
    <row r="653" spans="3:13">
      <c r="C653" s="374"/>
      <c r="D653" s="375"/>
      <c r="E653" s="73"/>
      <c r="F653" s="73"/>
      <c r="G653" s="376"/>
      <c r="H653" s="73"/>
      <c r="I653" s="73"/>
      <c r="J653" s="73"/>
      <c r="K653" s="377"/>
      <c r="L653" s="378"/>
      <c r="M653" s="73"/>
    </row>
    <row r="654" spans="3:13">
      <c r="C654" s="374"/>
      <c r="D654" s="375"/>
      <c r="E654" s="73"/>
      <c r="F654" s="73"/>
      <c r="G654" s="376"/>
      <c r="H654" s="73"/>
      <c r="I654" s="73"/>
      <c r="J654" s="73"/>
      <c r="K654" s="377"/>
      <c r="L654" s="378"/>
      <c r="M654" s="73"/>
    </row>
    <row r="655" spans="3:13">
      <c r="C655" s="374"/>
      <c r="D655" s="375"/>
      <c r="E655" s="73"/>
      <c r="F655" s="73"/>
      <c r="G655" s="376"/>
      <c r="H655" s="73"/>
      <c r="I655" s="73"/>
      <c r="J655" s="73"/>
      <c r="K655" s="377"/>
      <c r="L655" s="378"/>
      <c r="M655" s="73"/>
    </row>
    <row r="656" spans="3:13">
      <c r="C656" s="374"/>
      <c r="D656" s="375"/>
      <c r="E656" s="73"/>
      <c r="F656" s="73"/>
      <c r="G656" s="376"/>
      <c r="H656" s="73"/>
      <c r="I656" s="73"/>
      <c r="J656" s="73"/>
      <c r="K656" s="377"/>
      <c r="L656" s="378"/>
      <c r="M656" s="73"/>
    </row>
    <row r="657" spans="3:13">
      <c r="C657" s="374"/>
      <c r="D657" s="375"/>
      <c r="E657" s="73"/>
      <c r="F657" s="73"/>
      <c r="G657" s="376"/>
      <c r="H657" s="73"/>
      <c r="I657" s="73"/>
      <c r="J657" s="73"/>
      <c r="K657" s="377"/>
      <c r="L657" s="378"/>
      <c r="M657" s="73"/>
    </row>
    <row r="658" spans="3:13">
      <c r="C658" s="374"/>
      <c r="D658" s="375"/>
      <c r="E658" s="73"/>
      <c r="F658" s="73"/>
      <c r="G658" s="376"/>
      <c r="H658" s="73"/>
      <c r="I658" s="73"/>
      <c r="J658" s="73"/>
      <c r="K658" s="377"/>
      <c r="L658" s="378"/>
      <c r="M658" s="73"/>
    </row>
    <row r="659" spans="3:13">
      <c r="C659" s="374"/>
      <c r="D659" s="375"/>
      <c r="E659" s="73"/>
      <c r="F659" s="73"/>
      <c r="G659" s="376"/>
      <c r="H659" s="73"/>
      <c r="I659" s="73"/>
      <c r="J659" s="73"/>
      <c r="K659" s="377"/>
      <c r="L659" s="378"/>
      <c r="M659" s="73"/>
    </row>
    <row r="660" spans="3:13">
      <c r="C660" s="374"/>
      <c r="D660" s="375"/>
      <c r="E660" s="73"/>
      <c r="F660" s="73"/>
      <c r="G660" s="376"/>
      <c r="H660" s="73"/>
      <c r="I660" s="73"/>
      <c r="J660" s="73"/>
      <c r="K660" s="377"/>
      <c r="L660" s="378"/>
      <c r="M660" s="73"/>
    </row>
    <row r="661" spans="3:13">
      <c r="C661" s="374"/>
      <c r="D661" s="375"/>
      <c r="E661" s="73"/>
      <c r="F661" s="73"/>
      <c r="G661" s="376"/>
      <c r="H661" s="73"/>
      <c r="I661" s="73"/>
      <c r="J661" s="73"/>
      <c r="K661" s="377"/>
      <c r="L661" s="378"/>
      <c r="M661" s="73"/>
    </row>
    <row r="662" spans="3:13">
      <c r="C662" s="374"/>
      <c r="D662" s="375"/>
      <c r="E662" s="73"/>
      <c r="F662" s="73"/>
      <c r="G662" s="376"/>
      <c r="H662" s="73"/>
      <c r="I662" s="73"/>
      <c r="J662" s="73"/>
      <c r="K662" s="377"/>
      <c r="L662" s="378"/>
      <c r="M662" s="73"/>
    </row>
    <row r="663" spans="3:13">
      <c r="C663" s="374"/>
      <c r="D663" s="375"/>
      <c r="E663" s="73"/>
      <c r="F663" s="73"/>
      <c r="G663" s="376"/>
      <c r="H663" s="73"/>
      <c r="I663" s="73"/>
      <c r="J663" s="73"/>
      <c r="K663" s="377"/>
      <c r="L663" s="378"/>
      <c r="M663" s="73"/>
    </row>
    <row r="664" spans="3:13">
      <c r="C664" s="374"/>
      <c r="D664" s="375"/>
      <c r="E664" s="73"/>
      <c r="F664" s="73"/>
      <c r="G664" s="376"/>
      <c r="H664" s="73"/>
      <c r="I664" s="73"/>
      <c r="J664" s="73"/>
      <c r="K664" s="377"/>
      <c r="L664" s="378"/>
      <c r="M664" s="73"/>
    </row>
    <row r="665" spans="3:13">
      <c r="C665" s="374"/>
      <c r="D665" s="375"/>
      <c r="E665" s="73"/>
      <c r="F665" s="73"/>
      <c r="G665" s="376"/>
      <c r="H665" s="73"/>
      <c r="I665" s="73"/>
      <c r="J665" s="73"/>
      <c r="K665" s="377"/>
      <c r="L665" s="378"/>
      <c r="M665" s="73"/>
    </row>
    <row r="666" spans="3:13">
      <c r="C666" s="374"/>
      <c r="D666" s="375"/>
      <c r="E666" s="73"/>
      <c r="F666" s="73"/>
      <c r="G666" s="376"/>
      <c r="H666" s="73"/>
      <c r="I666" s="73"/>
      <c r="J666" s="73"/>
      <c r="K666" s="377"/>
      <c r="L666" s="378"/>
      <c r="M666" s="73"/>
    </row>
    <row r="667" spans="3:13">
      <c r="C667" s="374"/>
      <c r="D667" s="375"/>
      <c r="E667" s="73"/>
      <c r="F667" s="73"/>
      <c r="G667" s="376"/>
      <c r="H667" s="73"/>
      <c r="I667" s="73"/>
      <c r="J667" s="73"/>
      <c r="K667" s="377"/>
      <c r="L667" s="378"/>
      <c r="M667" s="73"/>
    </row>
    <row r="668" spans="3:13">
      <c r="C668" s="374"/>
      <c r="D668" s="375"/>
      <c r="E668" s="73"/>
      <c r="F668" s="73"/>
      <c r="G668" s="376"/>
      <c r="H668" s="73"/>
      <c r="I668" s="73"/>
      <c r="J668" s="73"/>
      <c r="K668" s="377"/>
      <c r="L668" s="378"/>
      <c r="M668" s="73"/>
    </row>
    <row r="669" spans="3:13">
      <c r="C669" s="374"/>
      <c r="D669" s="375"/>
      <c r="E669" s="73"/>
      <c r="F669" s="73"/>
      <c r="G669" s="376"/>
      <c r="H669" s="73"/>
      <c r="I669" s="73"/>
      <c r="J669" s="73"/>
      <c r="K669" s="377"/>
      <c r="L669" s="378"/>
      <c r="M669" s="73"/>
    </row>
    <row r="670" spans="3:13">
      <c r="C670" s="374"/>
      <c r="D670" s="375"/>
      <c r="E670" s="73"/>
      <c r="F670" s="73"/>
      <c r="G670" s="376"/>
      <c r="H670" s="73"/>
      <c r="I670" s="73"/>
      <c r="J670" s="73"/>
      <c r="K670" s="377"/>
      <c r="L670" s="378"/>
      <c r="M670" s="73"/>
    </row>
    <row r="671" spans="3:13">
      <c r="C671" s="374"/>
      <c r="D671" s="375"/>
      <c r="E671" s="73"/>
      <c r="F671" s="73"/>
      <c r="G671" s="376"/>
      <c r="H671" s="73"/>
      <c r="I671" s="73"/>
      <c r="J671" s="73"/>
      <c r="K671" s="377"/>
      <c r="L671" s="378"/>
      <c r="M671" s="73"/>
    </row>
    <row r="672" spans="3:13">
      <c r="C672" s="374"/>
      <c r="D672" s="375"/>
      <c r="E672" s="73"/>
      <c r="F672" s="73"/>
      <c r="G672" s="376"/>
      <c r="H672" s="73"/>
      <c r="I672" s="73"/>
      <c r="J672" s="73"/>
      <c r="K672" s="377"/>
      <c r="L672" s="378"/>
      <c r="M672" s="73"/>
    </row>
    <row r="673" spans="3:13">
      <c r="C673" s="374"/>
      <c r="D673" s="375"/>
      <c r="E673" s="73"/>
      <c r="F673" s="73"/>
      <c r="G673" s="376"/>
      <c r="H673" s="73"/>
      <c r="I673" s="73"/>
      <c r="J673" s="73"/>
      <c r="K673" s="377"/>
      <c r="L673" s="378"/>
      <c r="M673" s="73"/>
    </row>
    <row r="674" spans="3:13">
      <c r="C674" s="374"/>
      <c r="D674" s="375"/>
      <c r="E674" s="73"/>
      <c r="F674" s="73"/>
      <c r="G674" s="376"/>
      <c r="H674" s="73"/>
      <c r="I674" s="73"/>
      <c r="J674" s="73"/>
      <c r="K674" s="377"/>
      <c r="L674" s="378"/>
      <c r="M674" s="73"/>
    </row>
    <row r="675" spans="3:13">
      <c r="C675" s="374"/>
      <c r="D675" s="375"/>
      <c r="E675" s="73"/>
      <c r="F675" s="73"/>
      <c r="G675" s="376"/>
      <c r="H675" s="73"/>
      <c r="I675" s="73"/>
      <c r="J675" s="73"/>
      <c r="K675" s="377"/>
      <c r="L675" s="378"/>
      <c r="M675" s="73"/>
    </row>
    <row r="676" spans="3:13">
      <c r="C676" s="374"/>
      <c r="D676" s="375"/>
      <c r="E676" s="73"/>
      <c r="F676" s="73"/>
      <c r="G676" s="376"/>
      <c r="H676" s="73"/>
      <c r="I676" s="73"/>
      <c r="J676" s="73"/>
      <c r="K676" s="377"/>
      <c r="L676" s="378"/>
      <c r="M676" s="73"/>
    </row>
    <row r="677" spans="3:13">
      <c r="C677" s="374"/>
      <c r="D677" s="375"/>
      <c r="E677" s="73"/>
      <c r="F677" s="73"/>
      <c r="G677" s="376"/>
      <c r="H677" s="73"/>
      <c r="I677" s="73"/>
      <c r="J677" s="73"/>
      <c r="K677" s="377"/>
      <c r="L677" s="378"/>
      <c r="M677" s="73"/>
    </row>
    <row r="678" spans="3:13">
      <c r="C678" s="374"/>
      <c r="D678" s="375"/>
      <c r="E678" s="73"/>
      <c r="F678" s="73"/>
      <c r="G678" s="376"/>
      <c r="H678" s="73"/>
      <c r="I678" s="73"/>
      <c r="J678" s="73"/>
      <c r="K678" s="377"/>
      <c r="L678" s="378"/>
      <c r="M678" s="73"/>
    </row>
    <row r="679" spans="3:13">
      <c r="C679" s="374"/>
      <c r="D679" s="375"/>
      <c r="E679" s="73"/>
      <c r="F679" s="73"/>
      <c r="G679" s="376"/>
      <c r="H679" s="73"/>
      <c r="I679" s="73"/>
      <c r="J679" s="73"/>
      <c r="K679" s="377"/>
      <c r="L679" s="378"/>
      <c r="M679" s="73"/>
    </row>
    <row r="680" spans="3:13">
      <c r="C680" s="374"/>
      <c r="D680" s="375"/>
      <c r="E680" s="73"/>
      <c r="F680" s="73"/>
      <c r="G680" s="376"/>
      <c r="H680" s="73"/>
      <c r="I680" s="73"/>
      <c r="J680" s="73"/>
      <c r="K680" s="377"/>
      <c r="L680" s="378"/>
      <c r="M680" s="73"/>
    </row>
    <row r="681" spans="3:13">
      <c r="C681" s="374"/>
      <c r="D681" s="375"/>
      <c r="E681" s="73"/>
      <c r="F681" s="73"/>
      <c r="G681" s="376"/>
      <c r="H681" s="73"/>
      <c r="I681" s="73"/>
      <c r="J681" s="73"/>
      <c r="K681" s="377"/>
      <c r="L681" s="378"/>
      <c r="M681" s="73"/>
    </row>
    <row r="682" spans="3:13">
      <c r="C682" s="374"/>
      <c r="D682" s="375"/>
      <c r="E682" s="73"/>
      <c r="F682" s="73"/>
      <c r="G682" s="376"/>
      <c r="H682" s="73"/>
      <c r="I682" s="73"/>
      <c r="J682" s="73"/>
      <c r="K682" s="377"/>
      <c r="L682" s="378"/>
      <c r="M682" s="73"/>
    </row>
    <row r="683" spans="3:13">
      <c r="C683" s="374"/>
      <c r="D683" s="375"/>
      <c r="E683" s="73"/>
      <c r="F683" s="73"/>
      <c r="G683" s="376"/>
      <c r="H683" s="73"/>
      <c r="I683" s="73"/>
      <c r="J683" s="73"/>
      <c r="K683" s="377"/>
      <c r="L683" s="378"/>
      <c r="M683" s="73"/>
    </row>
    <row r="684" spans="3:13">
      <c r="C684" s="374"/>
      <c r="D684" s="375"/>
      <c r="E684" s="73"/>
      <c r="F684" s="73"/>
      <c r="G684" s="376"/>
      <c r="H684" s="73"/>
      <c r="I684" s="73"/>
      <c r="J684" s="73"/>
      <c r="K684" s="377"/>
      <c r="L684" s="378"/>
      <c r="M684" s="73"/>
    </row>
    <row r="685" spans="3:13">
      <c r="C685" s="374"/>
      <c r="D685" s="375"/>
      <c r="E685" s="73"/>
      <c r="F685" s="73"/>
      <c r="G685" s="376"/>
      <c r="H685" s="73"/>
      <c r="I685" s="73"/>
      <c r="J685" s="73"/>
      <c r="K685" s="377"/>
      <c r="L685" s="378"/>
      <c r="M685" s="73"/>
    </row>
    <row r="686" spans="3:13">
      <c r="C686" s="374"/>
      <c r="D686" s="375"/>
      <c r="E686" s="73"/>
      <c r="F686" s="73"/>
      <c r="G686" s="376"/>
      <c r="H686" s="73"/>
      <c r="I686" s="73"/>
      <c r="J686" s="73"/>
      <c r="K686" s="377"/>
      <c r="L686" s="378"/>
      <c r="M686" s="73"/>
    </row>
    <row r="687" spans="3:13">
      <c r="C687" s="374"/>
      <c r="D687" s="375"/>
      <c r="E687" s="73"/>
      <c r="F687" s="73"/>
      <c r="G687" s="376"/>
      <c r="H687" s="73"/>
      <c r="I687" s="73"/>
      <c r="J687" s="73"/>
      <c r="K687" s="377"/>
      <c r="L687" s="378"/>
      <c r="M687" s="73"/>
    </row>
    <row r="688" spans="3:13">
      <c r="C688" s="374"/>
      <c r="D688" s="375"/>
      <c r="E688" s="73"/>
      <c r="F688" s="73"/>
      <c r="G688" s="376"/>
      <c r="H688" s="73"/>
      <c r="I688" s="73"/>
      <c r="J688" s="73"/>
      <c r="K688" s="377"/>
      <c r="L688" s="378"/>
      <c r="M688" s="73"/>
    </row>
    <row r="689" spans="3:13">
      <c r="C689" s="374"/>
      <c r="D689" s="375"/>
      <c r="E689" s="73"/>
      <c r="F689" s="73"/>
      <c r="G689" s="376"/>
      <c r="H689" s="73"/>
      <c r="I689" s="73"/>
      <c r="J689" s="73"/>
      <c r="K689" s="377"/>
      <c r="L689" s="378"/>
      <c r="M689" s="73"/>
    </row>
    <row r="690" spans="3:13">
      <c r="C690" s="374"/>
      <c r="D690" s="375"/>
      <c r="E690" s="73"/>
      <c r="F690" s="73"/>
      <c r="G690" s="376"/>
      <c r="H690" s="73"/>
      <c r="I690" s="73"/>
      <c r="J690" s="73"/>
      <c r="K690" s="377"/>
      <c r="L690" s="378"/>
      <c r="M690" s="73"/>
    </row>
    <row r="691" spans="3:13">
      <c r="C691" s="374"/>
      <c r="D691" s="375"/>
      <c r="E691" s="73"/>
      <c r="F691" s="73"/>
      <c r="G691" s="376"/>
      <c r="H691" s="73"/>
      <c r="I691" s="73"/>
      <c r="J691" s="73"/>
      <c r="K691" s="377"/>
      <c r="L691" s="378"/>
      <c r="M691" s="73"/>
    </row>
    <row r="692" spans="3:13">
      <c r="C692" s="374"/>
      <c r="D692" s="375"/>
      <c r="E692" s="73"/>
      <c r="F692" s="73"/>
      <c r="G692" s="376"/>
      <c r="H692" s="73"/>
      <c r="I692" s="73"/>
      <c r="J692" s="73"/>
      <c r="K692" s="377"/>
      <c r="L692" s="378"/>
      <c r="M692" s="73"/>
    </row>
    <row r="693" spans="3:13">
      <c r="C693" s="374"/>
      <c r="D693" s="375"/>
      <c r="E693" s="73"/>
      <c r="F693" s="73"/>
      <c r="G693" s="376"/>
      <c r="H693" s="73"/>
      <c r="I693" s="73"/>
      <c r="J693" s="73"/>
      <c r="K693" s="377"/>
      <c r="L693" s="378"/>
      <c r="M693" s="73"/>
    </row>
    <row r="694" spans="3:13">
      <c r="C694" s="374"/>
      <c r="D694" s="375"/>
      <c r="E694" s="73"/>
      <c r="F694" s="73"/>
      <c r="G694" s="376"/>
      <c r="H694" s="73"/>
      <c r="I694" s="73"/>
      <c r="J694" s="73"/>
      <c r="K694" s="377"/>
      <c r="L694" s="378"/>
      <c r="M694" s="73"/>
    </row>
    <row r="695" spans="3:13">
      <c r="C695" s="374"/>
      <c r="D695" s="375"/>
      <c r="E695" s="73"/>
      <c r="F695" s="73"/>
      <c r="G695" s="376"/>
      <c r="H695" s="73"/>
      <c r="I695" s="73"/>
      <c r="J695" s="73"/>
      <c r="K695" s="377"/>
      <c r="L695" s="378"/>
      <c r="M695" s="73"/>
    </row>
    <row r="696" spans="3:13">
      <c r="C696" s="374"/>
      <c r="D696" s="375"/>
      <c r="E696" s="73"/>
      <c r="F696" s="73"/>
      <c r="G696" s="376"/>
      <c r="H696" s="73"/>
      <c r="I696" s="73"/>
      <c r="J696" s="73"/>
      <c r="K696" s="377"/>
      <c r="L696" s="378"/>
      <c r="M696" s="73"/>
    </row>
    <row r="697" spans="3:13">
      <c r="C697" s="374"/>
      <c r="D697" s="375"/>
      <c r="E697" s="73"/>
      <c r="F697" s="73"/>
      <c r="G697" s="376"/>
      <c r="H697" s="73"/>
      <c r="I697" s="73"/>
      <c r="J697" s="73"/>
      <c r="K697" s="377"/>
      <c r="L697" s="378"/>
      <c r="M697" s="73"/>
    </row>
    <row r="698" spans="3:13">
      <c r="C698" s="374"/>
      <c r="D698" s="375"/>
      <c r="E698" s="73"/>
      <c r="F698" s="73"/>
      <c r="G698" s="376"/>
      <c r="H698" s="73"/>
      <c r="I698" s="73"/>
      <c r="J698" s="73"/>
      <c r="K698" s="377"/>
      <c r="L698" s="378"/>
      <c r="M698" s="73"/>
    </row>
    <row r="699" spans="3:13">
      <c r="C699" s="374"/>
      <c r="D699" s="375"/>
      <c r="E699" s="73"/>
      <c r="F699" s="73"/>
      <c r="G699" s="376"/>
      <c r="H699" s="73"/>
      <c r="I699" s="73"/>
      <c r="J699" s="73"/>
      <c r="K699" s="377"/>
      <c r="L699" s="378"/>
      <c r="M699" s="73"/>
    </row>
    <row r="700" spans="3:13">
      <c r="C700" s="374"/>
      <c r="D700" s="375"/>
      <c r="E700" s="73"/>
      <c r="F700" s="73"/>
      <c r="G700" s="376"/>
      <c r="H700" s="73"/>
      <c r="I700" s="73"/>
      <c r="J700" s="73"/>
      <c r="K700" s="377"/>
      <c r="L700" s="378"/>
      <c r="M700" s="73"/>
    </row>
    <row r="701" spans="3:13">
      <c r="C701" s="374"/>
      <c r="D701" s="375"/>
      <c r="E701" s="73"/>
      <c r="F701" s="73"/>
      <c r="G701" s="376"/>
      <c r="H701" s="73"/>
      <c r="I701" s="73"/>
      <c r="J701" s="73"/>
      <c r="K701" s="377"/>
      <c r="L701" s="378"/>
      <c r="M701" s="73"/>
    </row>
    <row r="702" spans="3:13">
      <c r="C702" s="374"/>
      <c r="D702" s="375"/>
      <c r="E702" s="73"/>
      <c r="F702" s="73"/>
      <c r="G702" s="376"/>
      <c r="H702" s="73"/>
      <c r="I702" s="73"/>
      <c r="J702" s="73"/>
      <c r="K702" s="377"/>
      <c r="L702" s="378"/>
      <c r="M702" s="73"/>
    </row>
    <row r="703" spans="3:13">
      <c r="C703" s="374"/>
      <c r="D703" s="375"/>
      <c r="E703" s="73"/>
      <c r="F703" s="73"/>
      <c r="G703" s="376"/>
      <c r="H703" s="73"/>
      <c r="I703" s="73"/>
      <c r="J703" s="73"/>
      <c r="K703" s="377"/>
      <c r="L703" s="378"/>
      <c r="M703" s="73"/>
    </row>
    <row r="704" spans="3:13">
      <c r="C704" s="374"/>
      <c r="D704" s="375"/>
      <c r="E704" s="73"/>
      <c r="F704" s="73"/>
      <c r="G704" s="376"/>
      <c r="H704" s="73"/>
      <c r="I704" s="73"/>
      <c r="J704" s="73"/>
      <c r="K704" s="377"/>
      <c r="L704" s="378"/>
      <c r="M704" s="73"/>
    </row>
    <row r="705" spans="3:13">
      <c r="C705" s="374"/>
      <c r="D705" s="375"/>
      <c r="E705" s="73"/>
      <c r="F705" s="73"/>
      <c r="G705" s="376"/>
      <c r="H705" s="73"/>
      <c r="I705" s="73"/>
      <c r="J705" s="73"/>
      <c r="K705" s="377"/>
      <c r="L705" s="378"/>
      <c r="M705" s="73"/>
    </row>
    <row r="706" spans="3:13">
      <c r="C706" s="374"/>
      <c r="D706" s="375"/>
      <c r="E706" s="73"/>
      <c r="F706" s="73"/>
      <c r="G706" s="376"/>
      <c r="H706" s="73"/>
      <c r="I706" s="73"/>
      <c r="J706" s="73"/>
      <c r="K706" s="377"/>
      <c r="L706" s="378"/>
      <c r="M706" s="73"/>
    </row>
    <row r="707" spans="3:13">
      <c r="C707" s="374"/>
      <c r="D707" s="375"/>
      <c r="E707" s="73"/>
      <c r="F707" s="73"/>
      <c r="G707" s="376"/>
      <c r="H707" s="73"/>
      <c r="I707" s="73"/>
      <c r="J707" s="73"/>
      <c r="K707" s="377"/>
      <c r="L707" s="378"/>
      <c r="M707" s="73"/>
    </row>
    <row r="708" spans="3:13">
      <c r="C708" s="374"/>
      <c r="D708" s="375"/>
      <c r="E708" s="73"/>
      <c r="F708" s="73"/>
      <c r="G708" s="376"/>
      <c r="H708" s="73"/>
      <c r="I708" s="73"/>
      <c r="J708" s="73"/>
      <c r="K708" s="377"/>
      <c r="L708" s="378"/>
      <c r="M708" s="73"/>
    </row>
    <row r="709" spans="3:13">
      <c r="C709" s="374"/>
      <c r="D709" s="375"/>
      <c r="E709" s="73"/>
      <c r="F709" s="73"/>
      <c r="G709" s="376"/>
      <c r="H709" s="73"/>
      <c r="I709" s="73"/>
      <c r="J709" s="73"/>
      <c r="K709" s="377"/>
      <c r="L709" s="378"/>
      <c r="M709" s="73"/>
    </row>
    <row r="710" spans="3:13">
      <c r="C710" s="374"/>
      <c r="D710" s="375"/>
      <c r="E710" s="73"/>
      <c r="F710" s="73"/>
      <c r="G710" s="376"/>
      <c r="H710" s="73"/>
      <c r="I710" s="73"/>
      <c r="J710" s="73"/>
      <c r="K710" s="377"/>
      <c r="L710" s="378"/>
      <c r="M710" s="73"/>
    </row>
    <row r="711" spans="3:13">
      <c r="C711" s="374"/>
      <c r="D711" s="375"/>
      <c r="E711" s="73"/>
      <c r="F711" s="73"/>
      <c r="G711" s="376"/>
      <c r="H711" s="73"/>
      <c r="I711" s="73"/>
      <c r="J711" s="73"/>
      <c r="K711" s="377"/>
      <c r="L711" s="378"/>
      <c r="M711" s="73"/>
    </row>
    <row r="712" spans="3:13">
      <c r="C712" s="374"/>
      <c r="D712" s="375"/>
      <c r="E712" s="73"/>
      <c r="F712" s="73"/>
      <c r="G712" s="376"/>
      <c r="H712" s="73"/>
      <c r="I712" s="73"/>
      <c r="J712" s="73"/>
      <c r="K712" s="377"/>
      <c r="L712" s="378"/>
      <c r="M712" s="73"/>
    </row>
    <row r="713" spans="3:13">
      <c r="C713" s="374"/>
      <c r="D713" s="375"/>
      <c r="E713" s="73"/>
      <c r="F713" s="73"/>
      <c r="G713" s="376"/>
      <c r="H713" s="73"/>
      <c r="I713" s="73"/>
      <c r="J713" s="73"/>
      <c r="K713" s="377"/>
      <c r="L713" s="378"/>
      <c r="M713" s="73"/>
    </row>
    <row r="714" spans="3:13">
      <c r="C714" s="374"/>
      <c r="D714" s="375"/>
      <c r="E714" s="73"/>
      <c r="F714" s="73"/>
      <c r="G714" s="376"/>
      <c r="H714" s="73"/>
      <c r="I714" s="73"/>
      <c r="J714" s="73"/>
      <c r="K714" s="377"/>
      <c r="L714" s="378"/>
      <c r="M714" s="73"/>
    </row>
    <row r="715" spans="3:13">
      <c r="C715" s="374"/>
      <c r="D715" s="375"/>
      <c r="E715" s="73"/>
      <c r="F715" s="73"/>
      <c r="G715" s="376"/>
      <c r="H715" s="73"/>
      <c r="I715" s="73"/>
      <c r="J715" s="73"/>
      <c r="K715" s="377"/>
      <c r="L715" s="378"/>
      <c r="M715" s="73"/>
    </row>
    <row r="716" spans="3:13">
      <c r="C716" s="374"/>
      <c r="D716" s="375"/>
      <c r="E716" s="73"/>
      <c r="F716" s="73"/>
      <c r="G716" s="376"/>
      <c r="H716" s="73"/>
      <c r="I716" s="73"/>
      <c r="J716" s="73"/>
      <c r="K716" s="377"/>
      <c r="L716" s="378"/>
      <c r="M716" s="73"/>
    </row>
    <row r="717" spans="3:13">
      <c r="C717" s="374"/>
      <c r="D717" s="375"/>
      <c r="E717" s="73"/>
      <c r="F717" s="73"/>
      <c r="G717" s="376"/>
      <c r="H717" s="73"/>
      <c r="I717" s="73"/>
      <c r="J717" s="73"/>
      <c r="K717" s="377"/>
      <c r="L717" s="378"/>
      <c r="M717" s="73"/>
    </row>
    <row r="718" spans="3:13">
      <c r="C718" s="374"/>
      <c r="D718" s="375"/>
      <c r="E718" s="73"/>
      <c r="F718" s="73"/>
      <c r="G718" s="376"/>
      <c r="H718" s="73"/>
      <c r="I718" s="73"/>
      <c r="J718" s="73"/>
      <c r="K718" s="377"/>
      <c r="L718" s="378"/>
      <c r="M718" s="73"/>
    </row>
    <row r="719" spans="3:13">
      <c r="C719" s="374"/>
      <c r="D719" s="375"/>
      <c r="E719" s="73"/>
      <c r="F719" s="73"/>
      <c r="G719" s="376"/>
      <c r="H719" s="73"/>
      <c r="I719" s="73"/>
      <c r="J719" s="73"/>
      <c r="K719" s="377"/>
      <c r="L719" s="378"/>
      <c r="M719" s="73"/>
    </row>
    <row r="720" spans="3:13">
      <c r="C720" s="374"/>
      <c r="D720" s="375"/>
      <c r="E720" s="73"/>
      <c r="F720" s="73"/>
      <c r="G720" s="376"/>
      <c r="H720" s="73"/>
      <c r="I720" s="73"/>
      <c r="J720" s="73"/>
      <c r="K720" s="377"/>
      <c r="L720" s="378"/>
      <c r="M720" s="73"/>
    </row>
    <row r="721" spans="3:13">
      <c r="C721" s="374"/>
      <c r="D721" s="375"/>
      <c r="E721" s="73"/>
      <c r="F721" s="73"/>
      <c r="G721" s="376"/>
      <c r="H721" s="73"/>
      <c r="I721" s="73"/>
      <c r="J721" s="73"/>
      <c r="K721" s="377"/>
      <c r="L721" s="378"/>
      <c r="M721" s="73"/>
    </row>
    <row r="722" spans="3:13">
      <c r="C722" s="374"/>
      <c r="D722" s="375"/>
      <c r="E722" s="73"/>
      <c r="F722" s="73"/>
      <c r="G722" s="376"/>
      <c r="H722" s="73"/>
      <c r="I722" s="73"/>
      <c r="J722" s="73"/>
      <c r="K722" s="377"/>
      <c r="L722" s="378"/>
      <c r="M722" s="73"/>
    </row>
    <row r="723" spans="3:13">
      <c r="C723" s="374"/>
      <c r="D723" s="375"/>
      <c r="E723" s="73"/>
      <c r="F723" s="73"/>
      <c r="G723" s="376"/>
      <c r="H723" s="73"/>
      <c r="I723" s="73"/>
      <c r="J723" s="73"/>
      <c r="K723" s="377"/>
      <c r="L723" s="378"/>
      <c r="M723" s="73"/>
    </row>
    <row r="724" spans="3:13">
      <c r="C724" s="374"/>
      <c r="D724" s="375"/>
      <c r="E724" s="73"/>
      <c r="F724" s="73"/>
      <c r="G724" s="376"/>
      <c r="H724" s="73"/>
      <c r="I724" s="73"/>
      <c r="J724" s="73"/>
      <c r="K724" s="377"/>
      <c r="L724" s="378"/>
      <c r="M724" s="73"/>
    </row>
    <row r="725" spans="3:13">
      <c r="C725" s="374"/>
      <c r="D725" s="375"/>
      <c r="E725" s="73"/>
      <c r="F725" s="73"/>
      <c r="G725" s="376"/>
      <c r="H725" s="73"/>
      <c r="I725" s="73"/>
      <c r="J725" s="73"/>
      <c r="K725" s="377"/>
      <c r="L725" s="378"/>
      <c r="M725" s="73"/>
    </row>
    <row r="726" spans="3:13">
      <c r="C726" s="374"/>
      <c r="D726" s="375"/>
      <c r="E726" s="73"/>
      <c r="F726" s="73"/>
      <c r="G726" s="376"/>
      <c r="H726" s="73"/>
      <c r="I726" s="73"/>
      <c r="J726" s="73"/>
      <c r="K726" s="377"/>
      <c r="L726" s="378"/>
      <c r="M726" s="73"/>
    </row>
    <row r="727" spans="3:13">
      <c r="C727" s="374"/>
      <c r="D727" s="375"/>
      <c r="E727" s="73"/>
      <c r="F727" s="73"/>
      <c r="G727" s="376"/>
      <c r="H727" s="73"/>
      <c r="I727" s="73"/>
      <c r="J727" s="73"/>
      <c r="K727" s="377"/>
      <c r="L727" s="378"/>
      <c r="M727" s="73"/>
    </row>
    <row r="728" spans="3:13">
      <c r="C728" s="374"/>
      <c r="D728" s="375"/>
      <c r="E728" s="73"/>
      <c r="F728" s="73"/>
      <c r="G728" s="376"/>
      <c r="H728" s="73"/>
      <c r="I728" s="73"/>
      <c r="J728" s="73"/>
      <c r="K728" s="377"/>
      <c r="L728" s="378"/>
      <c r="M728" s="73"/>
    </row>
    <row r="729" spans="3:13">
      <c r="C729" s="374"/>
      <c r="D729" s="375"/>
      <c r="E729" s="73"/>
      <c r="F729" s="73"/>
      <c r="G729" s="376"/>
      <c r="H729" s="73"/>
      <c r="I729" s="73"/>
      <c r="J729" s="73"/>
      <c r="K729" s="377"/>
      <c r="L729" s="378"/>
      <c r="M729" s="73"/>
    </row>
    <row r="730" spans="3:13">
      <c r="C730" s="374"/>
      <c r="D730" s="375"/>
      <c r="E730" s="73"/>
      <c r="F730" s="73"/>
      <c r="G730" s="376"/>
      <c r="H730" s="73"/>
      <c r="I730" s="73"/>
      <c r="J730" s="73"/>
      <c r="K730" s="377"/>
      <c r="L730" s="378"/>
      <c r="M730" s="73"/>
    </row>
    <row r="731" spans="3:13">
      <c r="C731" s="374"/>
      <c r="D731" s="375"/>
      <c r="E731" s="73"/>
      <c r="F731" s="73"/>
      <c r="G731" s="376"/>
      <c r="H731" s="73"/>
      <c r="I731" s="73"/>
      <c r="J731" s="73"/>
      <c r="K731" s="377"/>
      <c r="L731" s="378"/>
      <c r="M731" s="73"/>
    </row>
    <row r="732" spans="3:13">
      <c r="C732" s="374"/>
      <c r="D732" s="375"/>
      <c r="E732" s="73"/>
      <c r="F732" s="73"/>
      <c r="G732" s="376"/>
      <c r="H732" s="73"/>
      <c r="I732" s="73"/>
      <c r="J732" s="73"/>
      <c r="K732" s="377"/>
      <c r="L732" s="378"/>
      <c r="M732" s="73"/>
    </row>
    <row r="733" spans="3:13">
      <c r="C733" s="374"/>
      <c r="D733" s="375"/>
      <c r="E733" s="73"/>
      <c r="F733" s="73"/>
      <c r="G733" s="376"/>
      <c r="H733" s="73"/>
      <c r="I733" s="73"/>
      <c r="J733" s="73"/>
      <c r="K733" s="377"/>
      <c r="L733" s="378"/>
      <c r="M733" s="73"/>
    </row>
    <row r="734" spans="3:13">
      <c r="C734" s="374"/>
      <c r="D734" s="375"/>
      <c r="E734" s="73"/>
      <c r="F734" s="73"/>
      <c r="G734" s="376"/>
      <c r="H734" s="73"/>
      <c r="I734" s="73"/>
      <c r="J734" s="73"/>
      <c r="K734" s="377"/>
      <c r="L734" s="378"/>
      <c r="M734" s="73"/>
    </row>
    <row r="735" spans="3:13">
      <c r="C735" s="374"/>
      <c r="D735" s="375"/>
      <c r="E735" s="73"/>
      <c r="F735" s="73"/>
      <c r="G735" s="376"/>
      <c r="H735" s="73"/>
      <c r="I735" s="73"/>
      <c r="J735" s="73"/>
      <c r="K735" s="377"/>
      <c r="L735" s="378"/>
      <c r="M735" s="73"/>
    </row>
    <row r="736" spans="3:13">
      <c r="C736" s="374"/>
      <c r="D736" s="375"/>
      <c r="E736" s="73"/>
      <c r="F736" s="73"/>
      <c r="G736" s="376"/>
      <c r="H736" s="73"/>
      <c r="I736" s="73"/>
      <c r="J736" s="73"/>
      <c r="K736" s="377"/>
      <c r="L736" s="378"/>
      <c r="M736" s="73"/>
    </row>
    <row r="737" spans="3:13">
      <c r="C737" s="374"/>
      <c r="D737" s="375"/>
      <c r="E737" s="73"/>
      <c r="F737" s="73"/>
      <c r="G737" s="376"/>
      <c r="H737" s="73"/>
      <c r="I737" s="73"/>
      <c r="J737" s="73"/>
      <c r="K737" s="377"/>
      <c r="L737" s="378"/>
      <c r="M737" s="73"/>
    </row>
    <row r="738" spans="3:13">
      <c r="C738" s="374"/>
      <c r="D738" s="375"/>
      <c r="E738" s="73"/>
      <c r="F738" s="73"/>
      <c r="G738" s="376"/>
      <c r="H738" s="73"/>
      <c r="I738" s="73"/>
      <c r="J738" s="73"/>
      <c r="K738" s="377"/>
      <c r="L738" s="378"/>
      <c r="M738" s="73"/>
    </row>
    <row r="739" spans="3:13">
      <c r="C739" s="374"/>
      <c r="D739" s="375"/>
      <c r="E739" s="73"/>
      <c r="F739" s="73"/>
      <c r="G739" s="376"/>
      <c r="H739" s="73"/>
      <c r="I739" s="73"/>
      <c r="J739" s="73"/>
      <c r="K739" s="377"/>
      <c r="L739" s="378"/>
      <c r="M739" s="73"/>
    </row>
    <row r="740" spans="3:13">
      <c r="C740" s="374"/>
      <c r="D740" s="375"/>
      <c r="E740" s="73"/>
      <c r="F740" s="73"/>
      <c r="G740" s="376"/>
      <c r="H740" s="73"/>
      <c r="I740" s="73"/>
      <c r="J740" s="73"/>
      <c r="K740" s="377"/>
      <c r="L740" s="378"/>
      <c r="M740" s="73"/>
    </row>
    <row r="741" spans="3:13">
      <c r="C741" s="374"/>
      <c r="D741" s="375"/>
      <c r="E741" s="73"/>
      <c r="F741" s="73"/>
      <c r="G741" s="376"/>
      <c r="H741" s="73"/>
      <c r="I741" s="73"/>
      <c r="J741" s="73"/>
      <c r="K741" s="377"/>
      <c r="L741" s="378"/>
      <c r="M741" s="73"/>
    </row>
    <row r="742" spans="3:13">
      <c r="C742" s="374"/>
      <c r="D742" s="375"/>
      <c r="E742" s="73"/>
      <c r="F742" s="73"/>
      <c r="G742" s="376"/>
      <c r="H742" s="73"/>
      <c r="I742" s="73"/>
      <c r="J742" s="73"/>
      <c r="K742" s="377"/>
      <c r="L742" s="378"/>
      <c r="M742" s="73"/>
    </row>
    <row r="743" spans="3:13">
      <c r="C743" s="374"/>
      <c r="D743" s="375"/>
      <c r="E743" s="73"/>
      <c r="F743" s="73"/>
      <c r="G743" s="376"/>
      <c r="H743" s="73"/>
      <c r="I743" s="73"/>
      <c r="J743" s="73"/>
      <c r="K743" s="377"/>
      <c r="L743" s="378"/>
      <c r="M743" s="73"/>
    </row>
    <row r="744" spans="3:13">
      <c r="C744" s="374"/>
      <c r="D744" s="375"/>
      <c r="E744" s="73"/>
      <c r="F744" s="73"/>
      <c r="G744" s="376"/>
      <c r="H744" s="73"/>
      <c r="I744" s="73"/>
      <c r="J744" s="73"/>
      <c r="K744" s="377"/>
      <c r="L744" s="378"/>
      <c r="M744" s="73"/>
    </row>
    <row r="745" spans="3:13">
      <c r="C745" s="374"/>
      <c r="D745" s="375"/>
      <c r="E745" s="73"/>
      <c r="F745" s="73"/>
      <c r="G745" s="376"/>
      <c r="H745" s="73"/>
      <c r="I745" s="73"/>
      <c r="J745" s="73"/>
      <c r="K745" s="377"/>
      <c r="L745" s="378"/>
      <c r="M745" s="73"/>
    </row>
    <row r="746" spans="3:13">
      <c r="C746" s="374"/>
      <c r="D746" s="375"/>
      <c r="E746" s="73"/>
      <c r="F746" s="73"/>
      <c r="G746" s="376"/>
      <c r="H746" s="73"/>
      <c r="I746" s="73"/>
      <c r="J746" s="73"/>
      <c r="K746" s="377"/>
      <c r="L746" s="378"/>
      <c r="M746" s="73"/>
    </row>
    <row r="747" spans="3:13">
      <c r="C747" s="374"/>
      <c r="D747" s="375"/>
      <c r="E747" s="73"/>
      <c r="F747" s="73"/>
      <c r="G747" s="376"/>
      <c r="H747" s="73"/>
      <c r="I747" s="73"/>
      <c r="J747" s="73"/>
      <c r="K747" s="377"/>
      <c r="L747" s="378"/>
      <c r="M747" s="73"/>
    </row>
    <row r="748" spans="3:13">
      <c r="C748" s="374"/>
      <c r="D748" s="375"/>
      <c r="E748" s="73"/>
      <c r="F748" s="73"/>
      <c r="G748" s="376"/>
      <c r="H748" s="73"/>
      <c r="I748" s="73"/>
      <c r="J748" s="73"/>
      <c r="K748" s="377"/>
      <c r="L748" s="378"/>
      <c r="M748" s="73"/>
    </row>
    <row r="749" spans="3:13">
      <c r="C749" s="374"/>
      <c r="D749" s="375"/>
      <c r="E749" s="73"/>
      <c r="F749" s="73"/>
      <c r="G749" s="376"/>
      <c r="H749" s="73"/>
      <c r="I749" s="73"/>
      <c r="J749" s="73"/>
      <c r="K749" s="377"/>
      <c r="L749" s="378"/>
      <c r="M749" s="73"/>
    </row>
    <row r="750" spans="3:13">
      <c r="C750" s="374"/>
      <c r="D750" s="375"/>
      <c r="E750" s="73"/>
      <c r="F750" s="73"/>
      <c r="G750" s="376"/>
      <c r="H750" s="73"/>
      <c r="I750" s="73"/>
      <c r="J750" s="73"/>
      <c r="K750" s="377"/>
      <c r="L750" s="378"/>
      <c r="M750" s="73"/>
    </row>
    <row r="751" spans="3:13">
      <c r="C751" s="374"/>
      <c r="D751" s="375"/>
      <c r="E751" s="73"/>
      <c r="F751" s="73"/>
      <c r="G751" s="376"/>
      <c r="H751" s="73"/>
      <c r="I751" s="73"/>
      <c r="J751" s="73"/>
      <c r="K751" s="377"/>
      <c r="L751" s="378"/>
      <c r="M751" s="73"/>
    </row>
    <row r="752" spans="3:13">
      <c r="C752" s="374"/>
      <c r="D752" s="375"/>
      <c r="E752" s="73"/>
      <c r="F752" s="73"/>
      <c r="G752" s="376"/>
      <c r="H752" s="73"/>
      <c r="I752" s="73"/>
      <c r="J752" s="73"/>
      <c r="K752" s="377"/>
      <c r="L752" s="378"/>
      <c r="M752" s="73"/>
    </row>
    <row r="753" spans="3:13">
      <c r="C753" s="374"/>
      <c r="D753" s="375"/>
      <c r="E753" s="73"/>
      <c r="F753" s="73"/>
      <c r="G753" s="376"/>
      <c r="H753" s="73"/>
      <c r="I753" s="73"/>
      <c r="J753" s="73"/>
      <c r="K753" s="377"/>
      <c r="L753" s="378"/>
      <c r="M753" s="73"/>
    </row>
    <row r="754" spans="3:13">
      <c r="C754" s="374"/>
      <c r="D754" s="375"/>
      <c r="E754" s="73"/>
      <c r="F754" s="73"/>
      <c r="G754" s="376"/>
      <c r="H754" s="73"/>
      <c r="I754" s="73"/>
      <c r="J754" s="73"/>
      <c r="K754" s="377"/>
      <c r="L754" s="378"/>
      <c r="M754" s="73"/>
    </row>
    <row r="755" spans="3:13">
      <c r="C755" s="374"/>
      <c r="D755" s="375"/>
      <c r="E755" s="73"/>
      <c r="F755" s="73"/>
      <c r="G755" s="376"/>
      <c r="H755" s="73"/>
      <c r="I755" s="73"/>
      <c r="J755" s="73"/>
      <c r="K755" s="377"/>
      <c r="L755" s="378"/>
      <c r="M755" s="73"/>
    </row>
    <row r="756" spans="3:13">
      <c r="C756" s="374"/>
      <c r="D756" s="375"/>
      <c r="E756" s="73"/>
      <c r="F756" s="73"/>
      <c r="G756" s="376"/>
      <c r="H756" s="73"/>
      <c r="I756" s="73"/>
      <c r="J756" s="73"/>
      <c r="K756" s="377"/>
      <c r="L756" s="378"/>
      <c r="M756" s="73"/>
    </row>
    <row r="757" spans="3:13">
      <c r="C757" s="374"/>
      <c r="D757" s="375"/>
      <c r="E757" s="73"/>
      <c r="F757" s="73"/>
      <c r="G757" s="376"/>
      <c r="H757" s="73"/>
      <c r="I757" s="73"/>
      <c r="J757" s="73"/>
      <c r="K757" s="377"/>
      <c r="L757" s="378"/>
      <c r="M757" s="73"/>
    </row>
    <row r="758" spans="3:13">
      <c r="C758" s="374"/>
      <c r="D758" s="375"/>
      <c r="E758" s="73"/>
      <c r="F758" s="73"/>
      <c r="G758" s="376"/>
      <c r="H758" s="73"/>
      <c r="I758" s="73"/>
      <c r="J758" s="73"/>
      <c r="K758" s="377"/>
      <c r="L758" s="378"/>
      <c r="M758" s="73"/>
    </row>
    <row r="759" spans="3:13">
      <c r="C759" s="374"/>
      <c r="D759" s="375"/>
      <c r="E759" s="73"/>
      <c r="F759" s="73"/>
      <c r="G759" s="376"/>
      <c r="H759" s="73"/>
      <c r="I759" s="73"/>
      <c r="J759" s="73"/>
      <c r="K759" s="377"/>
      <c r="L759" s="378"/>
      <c r="M759" s="73"/>
    </row>
    <row r="760" spans="3:13">
      <c r="C760" s="374"/>
      <c r="D760" s="375"/>
      <c r="E760" s="73"/>
      <c r="F760" s="73"/>
      <c r="G760" s="376"/>
      <c r="H760" s="73"/>
      <c r="I760" s="73"/>
      <c r="J760" s="73"/>
      <c r="K760" s="377"/>
      <c r="L760" s="378"/>
      <c r="M760" s="73"/>
    </row>
    <row r="761" spans="3:13">
      <c r="C761" s="374"/>
      <c r="D761" s="375"/>
      <c r="E761" s="73"/>
      <c r="F761" s="73"/>
      <c r="G761" s="376"/>
      <c r="H761" s="73"/>
      <c r="I761" s="73"/>
      <c r="J761" s="73"/>
      <c r="K761" s="377"/>
      <c r="L761" s="378"/>
      <c r="M761" s="73"/>
    </row>
    <row r="762" spans="3:13">
      <c r="C762" s="374"/>
      <c r="D762" s="375"/>
      <c r="E762" s="73"/>
      <c r="F762" s="73"/>
      <c r="G762" s="376"/>
      <c r="H762" s="73"/>
      <c r="I762" s="73"/>
      <c r="J762" s="73"/>
      <c r="K762" s="377"/>
      <c r="L762" s="378"/>
      <c r="M762" s="73"/>
    </row>
    <row r="763" spans="3:13">
      <c r="C763" s="374"/>
      <c r="D763" s="375"/>
      <c r="E763" s="73"/>
      <c r="F763" s="73"/>
      <c r="G763" s="376"/>
      <c r="H763" s="73"/>
      <c r="I763" s="73"/>
      <c r="J763" s="73"/>
      <c r="K763" s="377"/>
      <c r="L763" s="378"/>
      <c r="M763" s="73"/>
    </row>
    <row r="764" spans="3:13">
      <c r="C764" s="374"/>
      <c r="D764" s="375"/>
      <c r="E764" s="73"/>
      <c r="F764" s="73"/>
      <c r="G764" s="376"/>
      <c r="H764" s="73"/>
      <c r="I764" s="73"/>
      <c r="J764" s="73"/>
      <c r="K764" s="377"/>
      <c r="L764" s="378"/>
      <c r="M764" s="73"/>
    </row>
    <row r="765" spans="3:13">
      <c r="C765" s="374"/>
      <c r="D765" s="375"/>
      <c r="E765" s="73"/>
      <c r="F765" s="73"/>
      <c r="G765" s="376"/>
      <c r="H765" s="73"/>
      <c r="I765" s="73"/>
      <c r="J765" s="73"/>
      <c r="K765" s="377"/>
      <c r="L765" s="378"/>
      <c r="M765" s="73"/>
    </row>
    <row r="766" spans="3:13">
      <c r="C766" s="374"/>
      <c r="D766" s="375"/>
      <c r="E766" s="73"/>
      <c r="F766" s="73"/>
      <c r="G766" s="376"/>
      <c r="H766" s="73"/>
      <c r="I766" s="73"/>
      <c r="J766" s="73"/>
      <c r="K766" s="377"/>
      <c r="L766" s="378"/>
      <c r="M766" s="73"/>
    </row>
    <row r="767" spans="3:13">
      <c r="C767" s="374"/>
      <c r="D767" s="375"/>
      <c r="E767" s="73"/>
      <c r="F767" s="73"/>
      <c r="G767" s="376"/>
      <c r="H767" s="73"/>
      <c r="I767" s="73"/>
      <c r="J767" s="73"/>
      <c r="K767" s="377"/>
      <c r="L767" s="378"/>
      <c r="M767" s="73"/>
    </row>
    <row r="768" spans="3:13">
      <c r="C768" s="374"/>
      <c r="D768" s="375"/>
      <c r="E768" s="73"/>
      <c r="F768" s="73"/>
      <c r="G768" s="376"/>
      <c r="H768" s="73"/>
      <c r="I768" s="73"/>
      <c r="J768" s="73"/>
      <c r="K768" s="377"/>
      <c r="L768" s="378"/>
      <c r="M768" s="73"/>
    </row>
    <row r="769" spans="3:13">
      <c r="C769" s="374"/>
      <c r="D769" s="375"/>
      <c r="E769" s="73"/>
      <c r="F769" s="73"/>
      <c r="G769" s="376"/>
      <c r="H769" s="73"/>
      <c r="I769" s="73"/>
      <c r="J769" s="73"/>
      <c r="K769" s="377"/>
      <c r="L769" s="378"/>
      <c r="M769" s="73"/>
    </row>
    <row r="770" spans="3:13">
      <c r="C770" s="374"/>
      <c r="D770" s="375"/>
      <c r="E770" s="73"/>
      <c r="F770" s="73"/>
      <c r="G770" s="376"/>
      <c r="H770" s="73"/>
      <c r="I770" s="73"/>
      <c r="J770" s="73"/>
      <c r="K770" s="377"/>
      <c r="L770" s="378"/>
      <c r="M770" s="73"/>
    </row>
    <row r="771" spans="3:13">
      <c r="C771" s="374"/>
      <c r="D771" s="375"/>
      <c r="E771" s="73"/>
      <c r="F771" s="73"/>
      <c r="G771" s="376"/>
      <c r="H771" s="73"/>
      <c r="I771" s="73"/>
      <c r="J771" s="73"/>
      <c r="K771" s="377"/>
      <c r="L771" s="378"/>
      <c r="M771" s="73"/>
    </row>
    <row r="772" spans="3:13">
      <c r="C772" s="374"/>
      <c r="D772" s="375"/>
      <c r="E772" s="73"/>
      <c r="F772" s="73"/>
      <c r="G772" s="376"/>
      <c r="H772" s="73"/>
      <c r="I772" s="73"/>
      <c r="J772" s="73"/>
      <c r="K772" s="377"/>
      <c r="L772" s="378"/>
      <c r="M772" s="73"/>
    </row>
    <row r="773" spans="3:13">
      <c r="C773" s="374"/>
      <c r="D773" s="375"/>
      <c r="E773" s="73"/>
      <c r="F773" s="73"/>
      <c r="G773" s="376"/>
      <c r="H773" s="73"/>
      <c r="I773" s="73"/>
      <c r="J773" s="73"/>
      <c r="K773" s="377"/>
      <c r="L773" s="378"/>
      <c r="M773" s="73"/>
    </row>
    <row r="774" spans="3:13">
      <c r="C774" s="374"/>
      <c r="D774" s="375"/>
      <c r="E774" s="73"/>
      <c r="F774" s="73"/>
      <c r="G774" s="376"/>
      <c r="H774" s="73"/>
      <c r="I774" s="73"/>
      <c r="J774" s="73"/>
      <c r="K774" s="377"/>
      <c r="L774" s="378"/>
      <c r="M774" s="73"/>
    </row>
    <row r="775" spans="3:13">
      <c r="C775" s="374"/>
      <c r="D775" s="375"/>
      <c r="E775" s="73"/>
      <c r="F775" s="73"/>
      <c r="G775" s="376"/>
      <c r="H775" s="73"/>
      <c r="I775" s="73"/>
      <c r="J775" s="73"/>
      <c r="K775" s="377"/>
      <c r="L775" s="378"/>
      <c r="M775" s="73"/>
    </row>
    <row r="776" spans="3:13">
      <c r="C776" s="374"/>
      <c r="D776" s="375"/>
      <c r="E776" s="73"/>
      <c r="F776" s="73"/>
      <c r="G776" s="376"/>
      <c r="H776" s="73"/>
      <c r="I776" s="73"/>
      <c r="J776" s="73"/>
      <c r="K776" s="377"/>
      <c r="L776" s="378"/>
      <c r="M776" s="73"/>
    </row>
    <row r="777" spans="3:13">
      <c r="C777" s="374"/>
      <c r="D777" s="375"/>
      <c r="E777" s="73"/>
      <c r="F777" s="73"/>
      <c r="G777" s="376"/>
      <c r="H777" s="73"/>
      <c r="I777" s="73"/>
      <c r="J777" s="73"/>
      <c r="K777" s="377"/>
      <c r="L777" s="378"/>
      <c r="M777" s="73"/>
    </row>
    <row r="778" spans="3:13">
      <c r="C778" s="374"/>
      <c r="D778" s="375"/>
      <c r="E778" s="73"/>
      <c r="F778" s="73"/>
      <c r="G778" s="376"/>
      <c r="H778" s="73"/>
      <c r="I778" s="73"/>
      <c r="J778" s="73"/>
      <c r="K778" s="377"/>
      <c r="L778" s="378"/>
      <c r="M778" s="73"/>
    </row>
    <row r="779" spans="3:13">
      <c r="C779" s="374"/>
      <c r="D779" s="375"/>
      <c r="E779" s="73"/>
      <c r="F779" s="73"/>
      <c r="G779" s="376"/>
      <c r="H779" s="73"/>
      <c r="I779" s="73"/>
      <c r="J779" s="73"/>
      <c r="K779" s="377"/>
      <c r="L779" s="378"/>
      <c r="M779" s="73"/>
    </row>
    <row r="780" spans="3:13">
      <c r="C780" s="374"/>
      <c r="D780" s="375"/>
      <c r="E780" s="73"/>
      <c r="F780" s="73"/>
      <c r="G780" s="376"/>
      <c r="H780" s="73"/>
      <c r="I780" s="73"/>
      <c r="J780" s="73"/>
      <c r="K780" s="377"/>
      <c r="L780" s="378"/>
      <c r="M780" s="73"/>
    </row>
    <row r="781" spans="3:13">
      <c r="C781" s="374"/>
      <c r="D781" s="375"/>
      <c r="E781" s="73"/>
      <c r="F781" s="73"/>
      <c r="G781" s="376"/>
      <c r="H781" s="73"/>
      <c r="I781" s="73"/>
      <c r="J781" s="73"/>
      <c r="K781" s="377"/>
      <c r="L781" s="378"/>
      <c r="M781" s="73"/>
    </row>
    <row r="782" spans="3:13">
      <c r="C782" s="374"/>
      <c r="D782" s="375"/>
      <c r="E782" s="73"/>
      <c r="F782" s="73"/>
      <c r="G782" s="376"/>
      <c r="H782" s="73"/>
      <c r="I782" s="73"/>
      <c r="J782" s="73"/>
      <c r="K782" s="377"/>
      <c r="L782" s="378"/>
      <c r="M782" s="73"/>
    </row>
    <row r="783" spans="3:13">
      <c r="C783" s="374"/>
      <c r="D783" s="375"/>
      <c r="E783" s="73"/>
      <c r="F783" s="73"/>
      <c r="G783" s="376"/>
      <c r="H783" s="73"/>
      <c r="I783" s="73"/>
      <c r="J783" s="73"/>
      <c r="K783" s="377"/>
      <c r="L783" s="378"/>
      <c r="M783" s="73"/>
    </row>
    <row r="784" spans="3:13">
      <c r="C784" s="374"/>
      <c r="D784" s="375"/>
      <c r="E784" s="73"/>
      <c r="F784" s="73"/>
      <c r="G784" s="376"/>
      <c r="H784" s="73"/>
      <c r="I784" s="73"/>
      <c r="J784" s="73"/>
      <c r="K784" s="377"/>
      <c r="L784" s="378"/>
      <c r="M784" s="73"/>
    </row>
    <row r="785" spans="3:13">
      <c r="C785" s="374"/>
      <c r="D785" s="375"/>
      <c r="E785" s="73"/>
      <c r="F785" s="73"/>
      <c r="G785" s="376"/>
      <c r="H785" s="73"/>
      <c r="I785" s="73"/>
      <c r="J785" s="73"/>
      <c r="K785" s="377"/>
      <c r="L785" s="378"/>
      <c r="M785" s="73"/>
    </row>
    <row r="786" spans="3:13">
      <c r="C786" s="374"/>
      <c r="D786" s="375"/>
      <c r="E786" s="73"/>
      <c r="F786" s="73"/>
      <c r="G786" s="376"/>
      <c r="H786" s="73"/>
      <c r="I786" s="73"/>
      <c r="J786" s="73"/>
      <c r="K786" s="377"/>
      <c r="L786" s="378"/>
      <c r="M786" s="73"/>
    </row>
    <row r="787" spans="3:13">
      <c r="C787" s="374"/>
      <c r="D787" s="375"/>
      <c r="E787" s="73"/>
      <c r="F787" s="73"/>
      <c r="G787" s="376"/>
      <c r="H787" s="73"/>
      <c r="I787" s="73"/>
      <c r="J787" s="73"/>
      <c r="K787" s="377"/>
      <c r="L787" s="378"/>
      <c r="M787" s="73"/>
    </row>
    <row r="788" spans="3:13">
      <c r="C788" s="374"/>
      <c r="D788" s="375"/>
      <c r="E788" s="73"/>
      <c r="F788" s="73"/>
      <c r="G788" s="376"/>
      <c r="H788" s="73"/>
      <c r="I788" s="73"/>
      <c r="J788" s="73"/>
      <c r="K788" s="377"/>
      <c r="L788" s="378"/>
      <c r="M788" s="73"/>
    </row>
    <row r="789" spans="3:13">
      <c r="C789" s="374"/>
      <c r="D789" s="375"/>
      <c r="E789" s="73"/>
      <c r="F789" s="73"/>
      <c r="G789" s="376"/>
      <c r="H789" s="73"/>
      <c r="I789" s="73"/>
      <c r="J789" s="73"/>
      <c r="K789" s="377"/>
      <c r="L789" s="378"/>
      <c r="M789" s="73"/>
    </row>
    <row r="790" spans="3:13">
      <c r="C790" s="374"/>
      <c r="D790" s="375"/>
      <c r="E790" s="73"/>
      <c r="F790" s="73"/>
      <c r="G790" s="376"/>
      <c r="H790" s="73"/>
      <c r="I790" s="73"/>
      <c r="J790" s="73"/>
      <c r="K790" s="377"/>
      <c r="L790" s="378"/>
      <c r="M790" s="73"/>
    </row>
    <row r="791" spans="3:13">
      <c r="C791" s="374"/>
      <c r="D791" s="375"/>
      <c r="E791" s="73"/>
      <c r="F791" s="73"/>
      <c r="G791" s="376"/>
      <c r="H791" s="73"/>
      <c r="I791" s="73"/>
      <c r="J791" s="73"/>
      <c r="K791" s="377"/>
      <c r="L791" s="378"/>
      <c r="M791" s="73"/>
    </row>
    <row r="792" spans="3:13">
      <c r="C792" s="374"/>
      <c r="D792" s="375"/>
      <c r="E792" s="73"/>
      <c r="F792" s="73"/>
      <c r="G792" s="376"/>
      <c r="H792" s="73"/>
      <c r="I792" s="73"/>
      <c r="J792" s="73"/>
      <c r="K792" s="377"/>
      <c r="L792" s="378"/>
      <c r="M792" s="73"/>
    </row>
    <row r="793" spans="3:13">
      <c r="C793" s="374"/>
      <c r="D793" s="375"/>
      <c r="E793" s="73"/>
      <c r="F793" s="73"/>
      <c r="G793" s="376"/>
      <c r="H793" s="73"/>
      <c r="I793" s="73"/>
      <c r="J793" s="73"/>
      <c r="K793" s="377"/>
      <c r="L793" s="378"/>
      <c r="M793" s="73"/>
    </row>
    <row r="794" spans="3:13">
      <c r="C794" s="374"/>
      <c r="D794" s="375"/>
      <c r="E794" s="73"/>
      <c r="F794" s="73"/>
      <c r="G794" s="376"/>
      <c r="H794" s="73"/>
      <c r="I794" s="73"/>
      <c r="J794" s="73"/>
      <c r="K794" s="377"/>
      <c r="L794" s="378"/>
      <c r="M794" s="73"/>
    </row>
    <row r="795" spans="3:13">
      <c r="C795" s="374"/>
      <c r="D795" s="375"/>
      <c r="E795" s="73"/>
      <c r="F795" s="73"/>
      <c r="G795" s="376"/>
      <c r="H795" s="73"/>
      <c r="I795" s="73"/>
      <c r="J795" s="73"/>
      <c r="K795" s="377"/>
      <c r="L795" s="378"/>
      <c r="M795" s="73"/>
    </row>
    <row r="796" spans="3:13">
      <c r="C796" s="374"/>
      <c r="D796" s="375"/>
      <c r="E796" s="73"/>
      <c r="F796" s="73"/>
      <c r="G796" s="376"/>
      <c r="H796" s="73"/>
      <c r="I796" s="73"/>
      <c r="J796" s="73"/>
      <c r="K796" s="377"/>
      <c r="L796" s="378"/>
      <c r="M796" s="73"/>
    </row>
    <row r="797" spans="3:13">
      <c r="C797" s="374"/>
      <c r="D797" s="375"/>
      <c r="E797" s="73"/>
      <c r="F797" s="73"/>
      <c r="G797" s="376"/>
      <c r="H797" s="73"/>
      <c r="I797" s="73"/>
      <c r="J797" s="73"/>
      <c r="K797" s="377"/>
      <c r="L797" s="378"/>
      <c r="M797" s="73"/>
    </row>
    <row r="798" spans="3:13">
      <c r="C798" s="374"/>
      <c r="D798" s="375"/>
      <c r="E798" s="73"/>
      <c r="F798" s="73"/>
      <c r="G798" s="376"/>
      <c r="H798" s="73"/>
      <c r="I798" s="73"/>
      <c r="J798" s="73"/>
      <c r="K798" s="377"/>
      <c r="L798" s="378"/>
      <c r="M798" s="73"/>
    </row>
    <row r="799" spans="3:13">
      <c r="C799" s="374"/>
      <c r="D799" s="375"/>
      <c r="E799" s="73"/>
      <c r="F799" s="73"/>
      <c r="G799" s="376"/>
      <c r="H799" s="73"/>
      <c r="I799" s="73"/>
      <c r="J799" s="73"/>
      <c r="K799" s="377"/>
      <c r="L799" s="378"/>
      <c r="M799" s="73"/>
    </row>
    <row r="800" spans="3:13">
      <c r="C800" s="374"/>
      <c r="D800" s="375"/>
      <c r="E800" s="73"/>
      <c r="F800" s="73"/>
      <c r="G800" s="376"/>
      <c r="H800" s="73"/>
      <c r="I800" s="73"/>
      <c r="J800" s="73"/>
      <c r="K800" s="377"/>
      <c r="L800" s="378"/>
      <c r="M800" s="73"/>
    </row>
    <row r="801" spans="3:13">
      <c r="C801" s="374"/>
      <c r="D801" s="375"/>
      <c r="E801" s="73"/>
      <c r="F801" s="73"/>
      <c r="G801" s="376"/>
      <c r="H801" s="73"/>
      <c r="I801" s="73"/>
      <c r="J801" s="73"/>
      <c r="K801" s="377"/>
      <c r="L801" s="378"/>
      <c r="M801" s="73"/>
    </row>
    <row r="802" spans="3:13">
      <c r="C802" s="374"/>
      <c r="D802" s="375"/>
      <c r="E802" s="73"/>
      <c r="F802" s="73"/>
      <c r="G802" s="376"/>
      <c r="H802" s="73"/>
      <c r="I802" s="73"/>
      <c r="J802" s="73"/>
      <c r="K802" s="377"/>
      <c r="L802" s="378"/>
      <c r="M802" s="73"/>
    </row>
    <row r="803" spans="3:13">
      <c r="C803" s="374"/>
      <c r="D803" s="375"/>
      <c r="E803" s="73"/>
      <c r="F803" s="73"/>
      <c r="G803" s="376"/>
      <c r="H803" s="73"/>
      <c r="I803" s="73"/>
      <c r="J803" s="73"/>
      <c r="K803" s="377"/>
      <c r="L803" s="378"/>
      <c r="M803" s="73"/>
    </row>
    <row r="804" spans="3:13">
      <c r="C804" s="374"/>
      <c r="D804" s="375"/>
      <c r="E804" s="73"/>
      <c r="F804" s="73"/>
      <c r="G804" s="376"/>
      <c r="H804" s="73"/>
      <c r="I804" s="73"/>
      <c r="J804" s="73"/>
      <c r="K804" s="377"/>
      <c r="L804" s="378"/>
      <c r="M804" s="73"/>
    </row>
    <row r="805" spans="3:13">
      <c r="C805" s="374"/>
      <c r="D805" s="375"/>
      <c r="E805" s="73"/>
      <c r="F805" s="73"/>
      <c r="G805" s="376"/>
      <c r="H805" s="73"/>
      <c r="I805" s="73"/>
      <c r="J805" s="73"/>
      <c r="K805" s="377"/>
      <c r="L805" s="378"/>
      <c r="M805" s="73"/>
    </row>
    <row r="806" spans="3:13">
      <c r="C806" s="374"/>
      <c r="D806" s="375"/>
      <c r="E806" s="73"/>
      <c r="F806" s="73"/>
      <c r="G806" s="376"/>
      <c r="H806" s="73"/>
      <c r="I806" s="73"/>
      <c r="J806" s="73"/>
      <c r="K806" s="377"/>
      <c r="L806" s="378"/>
      <c r="M806" s="73"/>
    </row>
    <row r="807" spans="3:13">
      <c r="C807" s="374"/>
      <c r="D807" s="375"/>
      <c r="E807" s="73"/>
      <c r="F807" s="73"/>
      <c r="G807" s="376"/>
      <c r="H807" s="73"/>
      <c r="I807" s="73"/>
      <c r="J807" s="73"/>
      <c r="K807" s="377"/>
      <c r="L807" s="378"/>
      <c r="M807" s="73"/>
    </row>
    <row r="808" spans="3:13">
      <c r="C808" s="374"/>
      <c r="D808" s="375"/>
      <c r="E808" s="73"/>
      <c r="F808" s="73"/>
      <c r="G808" s="376"/>
      <c r="H808" s="73"/>
      <c r="I808" s="73"/>
      <c r="J808" s="73"/>
      <c r="K808" s="377"/>
      <c r="L808" s="378"/>
      <c r="M808" s="73"/>
    </row>
    <row r="809" spans="3:13">
      <c r="C809" s="374"/>
      <c r="D809" s="375"/>
      <c r="E809" s="73"/>
      <c r="F809" s="73"/>
      <c r="G809" s="376"/>
      <c r="H809" s="73"/>
      <c r="I809" s="73"/>
      <c r="J809" s="73"/>
      <c r="K809" s="377"/>
      <c r="L809" s="378"/>
      <c r="M809" s="73"/>
    </row>
    <row r="810" spans="3:13">
      <c r="C810" s="374"/>
      <c r="D810" s="375"/>
      <c r="E810" s="73"/>
      <c r="F810" s="73"/>
      <c r="G810" s="376"/>
      <c r="H810" s="73"/>
      <c r="I810" s="73"/>
      <c r="J810" s="73"/>
      <c r="K810" s="377"/>
      <c r="L810" s="378"/>
      <c r="M810" s="73"/>
    </row>
    <row r="811" spans="3:13">
      <c r="C811" s="374"/>
      <c r="D811" s="375"/>
      <c r="E811" s="73"/>
      <c r="F811" s="73"/>
      <c r="G811" s="376"/>
      <c r="H811" s="73"/>
      <c r="I811" s="73"/>
      <c r="J811" s="73"/>
      <c r="K811" s="377"/>
      <c r="L811" s="378"/>
      <c r="M811" s="73"/>
    </row>
    <row r="812" spans="3:13">
      <c r="C812" s="374"/>
      <c r="D812" s="375"/>
      <c r="E812" s="73"/>
      <c r="F812" s="73"/>
      <c r="G812" s="376"/>
      <c r="H812" s="73"/>
      <c r="I812" s="73"/>
      <c r="J812" s="73"/>
      <c r="K812" s="377"/>
      <c r="L812" s="378"/>
      <c r="M812" s="73"/>
    </row>
    <row r="813" spans="3:13">
      <c r="C813" s="374"/>
      <c r="D813" s="375"/>
      <c r="E813" s="73"/>
      <c r="F813" s="73"/>
      <c r="G813" s="376"/>
      <c r="H813" s="73"/>
      <c r="I813" s="73"/>
      <c r="J813" s="73"/>
      <c r="K813" s="377"/>
      <c r="L813" s="378"/>
      <c r="M813" s="73"/>
    </row>
    <row r="814" spans="3:13">
      <c r="C814" s="374"/>
      <c r="D814" s="375"/>
      <c r="E814" s="73"/>
      <c r="F814" s="73"/>
      <c r="G814" s="376"/>
      <c r="H814" s="73"/>
      <c r="I814" s="73"/>
      <c r="J814" s="73"/>
      <c r="K814" s="377"/>
      <c r="L814" s="378"/>
      <c r="M814" s="73"/>
    </row>
    <row r="815" spans="3:13">
      <c r="C815" s="374"/>
      <c r="D815" s="375"/>
      <c r="E815" s="73"/>
      <c r="F815" s="73"/>
      <c r="G815" s="376"/>
      <c r="H815" s="73"/>
      <c r="I815" s="73"/>
      <c r="J815" s="73"/>
      <c r="K815" s="377"/>
      <c r="L815" s="378"/>
      <c r="M815" s="73"/>
    </row>
    <row r="816" spans="3:13">
      <c r="C816" s="374"/>
      <c r="D816" s="375"/>
      <c r="E816" s="73"/>
      <c r="F816" s="73"/>
      <c r="G816" s="376"/>
      <c r="H816" s="73"/>
      <c r="I816" s="73"/>
      <c r="J816" s="73"/>
      <c r="K816" s="377"/>
      <c r="L816" s="378"/>
      <c r="M816" s="73"/>
    </row>
    <row r="817" spans="3:13">
      <c r="C817" s="374"/>
      <c r="D817" s="375"/>
      <c r="E817" s="73"/>
      <c r="F817" s="73"/>
      <c r="G817" s="376"/>
      <c r="H817" s="73"/>
      <c r="I817" s="73"/>
      <c r="J817" s="73"/>
      <c r="K817" s="377"/>
      <c r="L817" s="378"/>
      <c r="M817" s="73"/>
    </row>
    <row r="818" spans="3:13">
      <c r="C818" s="374"/>
      <c r="D818" s="375"/>
      <c r="E818" s="73"/>
      <c r="F818" s="73"/>
      <c r="G818" s="376"/>
      <c r="H818" s="73"/>
      <c r="I818" s="73"/>
      <c r="J818" s="73"/>
      <c r="K818" s="377"/>
      <c r="L818" s="378"/>
      <c r="M818" s="73"/>
    </row>
    <row r="819" spans="3:13">
      <c r="C819" s="374"/>
      <c r="D819" s="375"/>
      <c r="E819" s="73"/>
      <c r="F819" s="73"/>
      <c r="G819" s="376"/>
      <c r="H819" s="73"/>
      <c r="I819" s="73"/>
      <c r="J819" s="73"/>
      <c r="K819" s="377"/>
      <c r="L819" s="378"/>
      <c r="M819" s="73"/>
    </row>
    <row r="820" spans="3:13">
      <c r="C820" s="374"/>
      <c r="D820" s="375"/>
      <c r="E820" s="73"/>
      <c r="F820" s="73"/>
      <c r="G820" s="376"/>
      <c r="H820" s="73"/>
      <c r="I820" s="73"/>
      <c r="J820" s="73"/>
      <c r="K820" s="377"/>
      <c r="L820" s="378"/>
      <c r="M820" s="73"/>
    </row>
    <row r="821" spans="3:13">
      <c r="C821" s="374"/>
      <c r="D821" s="375"/>
      <c r="E821" s="73"/>
      <c r="F821" s="73"/>
      <c r="G821" s="376"/>
      <c r="H821" s="73"/>
      <c r="I821" s="73"/>
      <c r="J821" s="73"/>
      <c r="K821" s="377"/>
      <c r="L821" s="378"/>
      <c r="M821" s="73"/>
    </row>
    <row r="822" spans="3:13">
      <c r="C822" s="374"/>
      <c r="D822" s="375"/>
      <c r="E822" s="73"/>
      <c r="F822" s="73"/>
      <c r="G822" s="376"/>
      <c r="H822" s="73"/>
      <c r="I822" s="73"/>
      <c r="J822" s="73"/>
      <c r="K822" s="377"/>
      <c r="L822" s="378"/>
      <c r="M822" s="73"/>
    </row>
    <row r="823" spans="3:13">
      <c r="C823" s="374"/>
      <c r="D823" s="375"/>
      <c r="E823" s="73"/>
      <c r="F823" s="73"/>
      <c r="G823" s="376"/>
      <c r="H823" s="73"/>
      <c r="I823" s="73"/>
      <c r="J823" s="73"/>
      <c r="K823" s="377"/>
      <c r="L823" s="378"/>
      <c r="M823" s="73"/>
    </row>
    <row r="824" spans="3:13">
      <c r="C824" s="374"/>
      <c r="D824" s="375"/>
      <c r="E824" s="73"/>
      <c r="F824" s="73"/>
      <c r="G824" s="376"/>
      <c r="H824" s="73"/>
      <c r="I824" s="73"/>
      <c r="J824" s="73"/>
      <c r="K824" s="377"/>
      <c r="L824" s="378"/>
      <c r="M824" s="73"/>
    </row>
    <row r="825" spans="3:13">
      <c r="C825" s="374"/>
      <c r="D825" s="375"/>
      <c r="E825" s="73"/>
      <c r="F825" s="73"/>
      <c r="G825" s="376"/>
      <c r="H825" s="73"/>
      <c r="I825" s="73"/>
      <c r="J825" s="73"/>
      <c r="K825" s="377"/>
      <c r="L825" s="378"/>
      <c r="M825" s="73"/>
    </row>
    <row r="826" spans="3:13">
      <c r="C826" s="374"/>
      <c r="D826" s="375"/>
      <c r="E826" s="73"/>
      <c r="F826" s="73"/>
      <c r="G826" s="376"/>
      <c r="H826" s="73"/>
      <c r="I826" s="73"/>
      <c r="J826" s="73"/>
      <c r="K826" s="377"/>
      <c r="L826" s="378"/>
      <c r="M826" s="73"/>
    </row>
    <row r="827" spans="3:13">
      <c r="C827" s="374"/>
      <c r="D827" s="375"/>
      <c r="E827" s="73"/>
      <c r="F827" s="73"/>
      <c r="G827" s="376"/>
      <c r="H827" s="73"/>
      <c r="I827" s="73"/>
      <c r="J827" s="73"/>
      <c r="K827" s="377"/>
      <c r="L827" s="378"/>
      <c r="M827" s="73"/>
    </row>
    <row r="828" spans="3:13">
      <c r="C828" s="374"/>
      <c r="D828" s="375"/>
      <c r="E828" s="73"/>
      <c r="F828" s="73"/>
      <c r="G828" s="376"/>
      <c r="H828" s="73"/>
      <c r="I828" s="73"/>
      <c r="J828" s="73"/>
      <c r="K828" s="377"/>
      <c r="L828" s="378"/>
      <c r="M828" s="73"/>
    </row>
    <row r="829" spans="3:13">
      <c r="C829" s="374"/>
      <c r="D829" s="375"/>
      <c r="E829" s="73"/>
      <c r="F829" s="73"/>
      <c r="G829" s="376"/>
      <c r="H829" s="73"/>
      <c r="I829" s="73"/>
      <c r="J829" s="73"/>
      <c r="K829" s="377"/>
      <c r="L829" s="378"/>
      <c r="M829" s="73"/>
    </row>
    <row r="830" spans="3:13">
      <c r="C830" s="374"/>
      <c r="D830" s="375"/>
      <c r="E830" s="73"/>
      <c r="F830" s="73"/>
      <c r="G830" s="376"/>
      <c r="H830" s="73"/>
      <c r="I830" s="73"/>
      <c r="J830" s="73"/>
      <c r="K830" s="377"/>
      <c r="L830" s="378"/>
      <c r="M830" s="73"/>
    </row>
    <row r="831" spans="3:13">
      <c r="C831" s="374"/>
      <c r="D831" s="375"/>
      <c r="E831" s="73"/>
      <c r="F831" s="73"/>
      <c r="G831" s="376"/>
      <c r="H831" s="73"/>
      <c r="I831" s="73"/>
      <c r="J831" s="73"/>
      <c r="K831" s="377"/>
      <c r="L831" s="378"/>
      <c r="M831" s="73"/>
    </row>
    <row r="832" spans="3:13">
      <c r="C832" s="374"/>
      <c r="D832" s="375"/>
      <c r="E832" s="73"/>
      <c r="F832" s="73"/>
      <c r="G832" s="376"/>
      <c r="H832" s="73"/>
      <c r="I832" s="73"/>
      <c r="J832" s="73"/>
      <c r="K832" s="377"/>
      <c r="L832" s="378"/>
      <c r="M832" s="73"/>
    </row>
    <row r="833" spans="3:13">
      <c r="C833" s="374"/>
      <c r="D833" s="375"/>
      <c r="E833" s="73"/>
      <c r="F833" s="73"/>
      <c r="G833" s="376"/>
      <c r="H833" s="73"/>
      <c r="I833" s="73"/>
      <c r="J833" s="73"/>
      <c r="K833" s="377"/>
      <c r="L833" s="378"/>
      <c r="M833" s="73"/>
    </row>
    <row r="834" spans="3:13">
      <c r="C834" s="374"/>
      <c r="D834" s="375"/>
      <c r="E834" s="73"/>
      <c r="F834" s="73"/>
      <c r="G834" s="376"/>
      <c r="H834" s="73"/>
      <c r="I834" s="73"/>
      <c r="J834" s="73"/>
      <c r="K834" s="377"/>
      <c r="L834" s="378"/>
      <c r="M834" s="73"/>
    </row>
    <row r="835" spans="3:13">
      <c r="C835" s="374"/>
      <c r="D835" s="375"/>
      <c r="E835" s="73"/>
      <c r="F835" s="73"/>
      <c r="G835" s="376"/>
      <c r="H835" s="73"/>
      <c r="I835" s="73"/>
      <c r="J835" s="73"/>
      <c r="K835" s="377"/>
      <c r="L835" s="378"/>
      <c r="M835" s="73"/>
    </row>
    <row r="836" spans="3:13">
      <c r="C836" s="374"/>
      <c r="D836" s="375"/>
      <c r="E836" s="73"/>
      <c r="F836" s="73"/>
      <c r="G836" s="376"/>
      <c r="H836" s="73"/>
      <c r="I836" s="73"/>
      <c r="J836" s="73"/>
      <c r="K836" s="377"/>
      <c r="L836" s="378"/>
      <c r="M836" s="73"/>
    </row>
    <row r="837" spans="3:13">
      <c r="C837" s="374"/>
      <c r="D837" s="375"/>
      <c r="E837" s="73"/>
      <c r="F837" s="73"/>
      <c r="G837" s="376"/>
      <c r="H837" s="73"/>
      <c r="I837" s="73"/>
      <c r="J837" s="73"/>
      <c r="K837" s="377"/>
      <c r="L837" s="378"/>
      <c r="M837" s="73"/>
    </row>
    <row r="838" spans="3:13">
      <c r="C838" s="374"/>
      <c r="D838" s="375"/>
      <c r="E838" s="73"/>
      <c r="F838" s="73"/>
      <c r="G838" s="376"/>
      <c r="H838" s="73"/>
      <c r="I838" s="73"/>
      <c r="J838" s="73"/>
      <c r="K838" s="377"/>
      <c r="L838" s="378"/>
      <c r="M838" s="73"/>
    </row>
    <row r="839" spans="3:13">
      <c r="C839" s="374"/>
      <c r="D839" s="375"/>
      <c r="E839" s="73"/>
      <c r="F839" s="73"/>
      <c r="G839" s="376"/>
      <c r="H839" s="73"/>
      <c r="I839" s="73"/>
      <c r="J839" s="73"/>
      <c r="K839" s="377"/>
      <c r="L839" s="378"/>
      <c r="M839" s="73"/>
    </row>
    <row r="840" spans="3:13">
      <c r="C840" s="374"/>
      <c r="D840" s="375"/>
      <c r="E840" s="73"/>
      <c r="F840" s="73"/>
      <c r="G840" s="376"/>
      <c r="H840" s="73"/>
      <c r="I840" s="73"/>
      <c r="J840" s="73"/>
      <c r="K840" s="377"/>
      <c r="L840" s="378"/>
      <c r="M840" s="73"/>
    </row>
    <row r="841" spans="3:13">
      <c r="C841" s="374"/>
      <c r="D841" s="375"/>
      <c r="E841" s="73"/>
      <c r="F841" s="73"/>
      <c r="G841" s="376"/>
      <c r="H841" s="73"/>
      <c r="I841" s="73"/>
      <c r="J841" s="73"/>
      <c r="K841" s="377"/>
      <c r="L841" s="378"/>
      <c r="M841" s="73"/>
    </row>
    <row r="842" spans="3:13">
      <c r="C842" s="374"/>
      <c r="D842" s="375"/>
      <c r="E842" s="73"/>
      <c r="F842" s="73"/>
      <c r="G842" s="376"/>
      <c r="H842" s="73"/>
      <c r="I842" s="73"/>
      <c r="J842" s="73"/>
      <c r="K842" s="377"/>
      <c r="L842" s="378"/>
      <c r="M842" s="73"/>
    </row>
    <row r="843" spans="3:13">
      <c r="C843" s="374"/>
      <c r="D843" s="375"/>
      <c r="E843" s="73"/>
      <c r="F843" s="73"/>
      <c r="G843" s="376"/>
      <c r="H843" s="73"/>
      <c r="I843" s="73"/>
      <c r="J843" s="73"/>
      <c r="K843" s="377"/>
      <c r="L843" s="378"/>
      <c r="M843" s="73"/>
    </row>
    <row r="844" spans="3:13">
      <c r="C844" s="374"/>
      <c r="D844" s="375"/>
      <c r="E844" s="73"/>
      <c r="F844" s="73"/>
      <c r="G844" s="376"/>
      <c r="H844" s="73"/>
      <c r="I844" s="73"/>
      <c r="J844" s="73"/>
      <c r="K844" s="377"/>
      <c r="L844" s="378"/>
      <c r="M844" s="73"/>
    </row>
    <row r="845" spans="3:13">
      <c r="C845" s="374"/>
      <c r="D845" s="375"/>
      <c r="E845" s="73"/>
      <c r="F845" s="73"/>
      <c r="G845" s="376"/>
      <c r="H845" s="73"/>
      <c r="I845" s="73"/>
      <c r="J845" s="73"/>
      <c r="K845" s="377"/>
      <c r="L845" s="378"/>
      <c r="M845" s="73"/>
    </row>
    <row r="846" spans="3:13">
      <c r="C846" s="374"/>
      <c r="D846" s="375"/>
      <c r="E846" s="73"/>
      <c r="F846" s="73"/>
      <c r="G846" s="376"/>
      <c r="H846" s="73"/>
      <c r="I846" s="73"/>
      <c r="J846" s="73"/>
      <c r="K846" s="377"/>
      <c r="L846" s="378"/>
      <c r="M846" s="73"/>
    </row>
    <row r="847" spans="3:13">
      <c r="C847" s="374"/>
      <c r="D847" s="375"/>
      <c r="E847" s="73"/>
      <c r="F847" s="73"/>
      <c r="G847" s="376"/>
      <c r="H847" s="73"/>
      <c r="I847" s="73"/>
      <c r="J847" s="73"/>
      <c r="K847" s="377"/>
      <c r="L847" s="378"/>
      <c r="M847" s="73"/>
    </row>
    <row r="848" spans="3:13">
      <c r="C848" s="374"/>
      <c r="D848" s="375"/>
      <c r="E848" s="73"/>
      <c r="F848" s="73"/>
      <c r="G848" s="376"/>
      <c r="H848" s="73"/>
      <c r="I848" s="73"/>
      <c r="J848" s="73"/>
      <c r="K848" s="377"/>
      <c r="L848" s="378"/>
      <c r="M848" s="73"/>
    </row>
    <row r="849" spans="3:13">
      <c r="C849" s="374"/>
      <c r="D849" s="375"/>
      <c r="E849" s="73"/>
      <c r="F849" s="73"/>
      <c r="G849" s="376"/>
      <c r="H849" s="73"/>
      <c r="I849" s="73"/>
      <c r="J849" s="73"/>
      <c r="K849" s="377"/>
      <c r="L849" s="378"/>
      <c r="M849" s="73"/>
    </row>
    <row r="850" spans="3:13">
      <c r="C850" s="374"/>
      <c r="D850" s="375"/>
      <c r="E850" s="73"/>
      <c r="F850" s="73"/>
      <c r="G850" s="376"/>
      <c r="H850" s="73"/>
      <c r="I850" s="73"/>
      <c r="J850" s="73"/>
      <c r="K850" s="377"/>
      <c r="L850" s="378"/>
      <c r="M850" s="73"/>
    </row>
    <row r="851" spans="3:13">
      <c r="C851" s="374"/>
      <c r="D851" s="375"/>
      <c r="E851" s="73"/>
      <c r="F851" s="73"/>
      <c r="G851" s="376"/>
      <c r="H851" s="73"/>
      <c r="I851" s="73"/>
      <c r="J851" s="73"/>
      <c r="K851" s="377"/>
      <c r="L851" s="378"/>
      <c r="M851" s="73"/>
    </row>
    <row r="852" spans="3:13">
      <c r="C852" s="374"/>
      <c r="D852" s="375"/>
      <c r="E852" s="73"/>
      <c r="F852" s="73"/>
      <c r="G852" s="376"/>
      <c r="H852" s="73"/>
      <c r="I852" s="73"/>
      <c r="J852" s="73"/>
      <c r="K852" s="377"/>
      <c r="L852" s="378"/>
      <c r="M852" s="73"/>
    </row>
    <row r="853" spans="3:13">
      <c r="C853" s="374"/>
      <c r="D853" s="375"/>
      <c r="E853" s="73"/>
      <c r="F853" s="73"/>
      <c r="G853" s="376"/>
      <c r="H853" s="73"/>
      <c r="I853" s="73"/>
      <c r="J853" s="73"/>
      <c r="K853" s="377"/>
      <c r="L853" s="378"/>
      <c r="M853" s="73"/>
    </row>
    <row r="854" spans="3:13">
      <c r="C854" s="374"/>
      <c r="D854" s="375"/>
      <c r="E854" s="73"/>
      <c r="F854" s="73"/>
      <c r="G854" s="376"/>
      <c r="H854" s="73"/>
      <c r="I854" s="73"/>
      <c r="J854" s="73"/>
      <c r="K854" s="377"/>
      <c r="L854" s="378"/>
      <c r="M854" s="73"/>
    </row>
    <row r="855" spans="3:13">
      <c r="C855" s="374"/>
      <c r="D855" s="375"/>
      <c r="E855" s="73"/>
      <c r="F855" s="73"/>
      <c r="G855" s="376"/>
      <c r="H855" s="73"/>
      <c r="I855" s="73"/>
      <c r="J855" s="73"/>
      <c r="K855" s="377"/>
      <c r="L855" s="378"/>
      <c r="M855" s="73"/>
    </row>
    <row r="856" spans="3:13">
      <c r="C856" s="374"/>
      <c r="D856" s="375"/>
      <c r="E856" s="73"/>
      <c r="F856" s="73"/>
      <c r="G856" s="376"/>
      <c r="H856" s="73"/>
      <c r="I856" s="73"/>
      <c r="J856" s="73"/>
      <c r="K856" s="377"/>
      <c r="L856" s="378"/>
      <c r="M856" s="73"/>
    </row>
    <row r="857" spans="3:13">
      <c r="C857" s="374"/>
      <c r="D857" s="375"/>
      <c r="E857" s="73"/>
      <c r="F857" s="73"/>
      <c r="G857" s="376"/>
      <c r="H857" s="73"/>
      <c r="I857" s="73"/>
      <c r="J857" s="73"/>
      <c r="K857" s="377"/>
      <c r="L857" s="378"/>
      <c r="M857" s="73"/>
    </row>
    <row r="858" spans="3:13">
      <c r="C858" s="374"/>
      <c r="D858" s="375"/>
      <c r="E858" s="73"/>
      <c r="F858" s="73"/>
      <c r="G858" s="376"/>
      <c r="H858" s="73"/>
      <c r="I858" s="73"/>
      <c r="J858" s="73"/>
      <c r="K858" s="377"/>
      <c r="L858" s="378"/>
      <c r="M858" s="73"/>
    </row>
    <row r="859" spans="3:13">
      <c r="C859" s="374"/>
      <c r="D859" s="375"/>
      <c r="E859" s="73"/>
      <c r="F859" s="73"/>
      <c r="G859" s="376"/>
      <c r="H859" s="73"/>
      <c r="I859" s="73"/>
      <c r="J859" s="73"/>
      <c r="K859" s="377"/>
      <c r="L859" s="378"/>
      <c r="M859" s="73"/>
    </row>
    <row r="860" spans="3:13">
      <c r="C860" s="374"/>
      <c r="D860" s="375"/>
      <c r="E860" s="73"/>
      <c r="F860" s="73"/>
      <c r="G860" s="376"/>
      <c r="H860" s="73"/>
      <c r="I860" s="73"/>
      <c r="J860" s="73"/>
      <c r="K860" s="377"/>
      <c r="L860" s="378"/>
      <c r="M860" s="73"/>
    </row>
    <row r="861" spans="3:13">
      <c r="C861" s="374"/>
      <c r="D861" s="375"/>
      <c r="E861" s="73"/>
      <c r="F861" s="73"/>
      <c r="G861" s="376"/>
      <c r="H861" s="73"/>
      <c r="I861" s="73"/>
      <c r="J861" s="73"/>
      <c r="K861" s="377"/>
      <c r="L861" s="378"/>
      <c r="M861" s="73"/>
    </row>
    <row r="862" spans="3:13">
      <c r="C862" s="374"/>
      <c r="D862" s="375"/>
      <c r="E862" s="73"/>
      <c r="F862" s="73"/>
      <c r="G862" s="376"/>
      <c r="H862" s="73"/>
      <c r="I862" s="73"/>
      <c r="J862" s="73"/>
      <c r="K862" s="377"/>
      <c r="L862" s="378"/>
      <c r="M862" s="73"/>
    </row>
    <row r="863" spans="3:13">
      <c r="C863" s="374"/>
      <c r="D863" s="375"/>
      <c r="E863" s="73"/>
      <c r="F863" s="73"/>
      <c r="G863" s="376"/>
      <c r="H863" s="73"/>
      <c r="I863" s="73"/>
      <c r="J863" s="73"/>
      <c r="K863" s="377"/>
      <c r="L863" s="378"/>
      <c r="M863" s="73"/>
    </row>
    <row r="864" spans="3:13">
      <c r="C864" s="374"/>
      <c r="D864" s="375"/>
      <c r="E864" s="73"/>
      <c r="F864" s="73"/>
      <c r="G864" s="376"/>
      <c r="H864" s="73"/>
      <c r="I864" s="73"/>
      <c r="J864" s="73"/>
      <c r="K864" s="377"/>
      <c r="L864" s="378"/>
      <c r="M864" s="73"/>
    </row>
    <row r="865" spans="3:13">
      <c r="C865" s="374"/>
      <c r="D865" s="375"/>
      <c r="E865" s="73"/>
      <c r="F865" s="73"/>
      <c r="G865" s="376"/>
      <c r="H865" s="73"/>
      <c r="I865" s="73"/>
      <c r="J865" s="73"/>
      <c r="K865" s="377"/>
      <c r="L865" s="378"/>
      <c r="M865" s="73"/>
    </row>
    <row r="866" spans="3:13">
      <c r="C866" s="374"/>
      <c r="D866" s="375"/>
      <c r="E866" s="73"/>
      <c r="F866" s="73"/>
      <c r="G866" s="376"/>
      <c r="H866" s="73"/>
      <c r="I866" s="73"/>
      <c r="J866" s="73"/>
      <c r="K866" s="377"/>
      <c r="L866" s="378"/>
      <c r="M866" s="73"/>
    </row>
    <row r="867" spans="3:13">
      <c r="C867" s="374"/>
      <c r="D867" s="375"/>
      <c r="E867" s="73"/>
      <c r="F867" s="73"/>
      <c r="G867" s="376"/>
      <c r="H867" s="73"/>
      <c r="I867" s="73"/>
      <c r="J867" s="73"/>
      <c r="K867" s="377"/>
      <c r="L867" s="378"/>
      <c r="M867" s="73"/>
    </row>
    <row r="868" spans="3:13">
      <c r="C868" s="374"/>
      <c r="D868" s="375"/>
      <c r="E868" s="73"/>
      <c r="F868" s="73"/>
      <c r="G868" s="376"/>
      <c r="H868" s="73"/>
      <c r="I868" s="73"/>
      <c r="J868" s="73"/>
      <c r="K868" s="377"/>
      <c r="L868" s="378"/>
      <c r="M868" s="73"/>
    </row>
    <row r="869" spans="3:13">
      <c r="C869" s="374"/>
      <c r="D869" s="375"/>
      <c r="E869" s="73"/>
      <c r="F869" s="73"/>
      <c r="G869" s="376"/>
      <c r="H869" s="73"/>
      <c r="I869" s="73"/>
      <c r="J869" s="73"/>
      <c r="K869" s="377"/>
      <c r="L869" s="378"/>
      <c r="M869" s="73"/>
    </row>
    <row r="870" spans="3:13">
      <c r="C870" s="374"/>
      <c r="D870" s="375"/>
      <c r="E870" s="73"/>
      <c r="F870" s="73"/>
      <c r="G870" s="376"/>
      <c r="H870" s="73"/>
      <c r="I870" s="73"/>
      <c r="J870" s="73"/>
      <c r="K870" s="377"/>
      <c r="L870" s="378"/>
      <c r="M870" s="73"/>
    </row>
    <row r="871" spans="3:13">
      <c r="C871" s="374"/>
      <c r="D871" s="375"/>
      <c r="E871" s="73"/>
      <c r="F871" s="73"/>
      <c r="G871" s="376"/>
      <c r="H871" s="73"/>
      <c r="I871" s="73"/>
      <c r="J871" s="73"/>
      <c r="K871" s="377"/>
      <c r="L871" s="378"/>
      <c r="M871" s="73"/>
    </row>
    <row r="872" spans="3:13">
      <c r="C872" s="374"/>
      <c r="D872" s="375"/>
      <c r="E872" s="73"/>
      <c r="F872" s="73"/>
      <c r="G872" s="376"/>
      <c r="H872" s="73"/>
      <c r="I872" s="73"/>
      <c r="J872" s="73"/>
      <c r="K872" s="377"/>
      <c r="L872" s="378"/>
      <c r="M872" s="73"/>
    </row>
    <row r="873" spans="3:13">
      <c r="C873" s="374"/>
      <c r="D873" s="375"/>
      <c r="E873" s="73"/>
      <c r="F873" s="73"/>
      <c r="G873" s="376"/>
      <c r="H873" s="73"/>
      <c r="I873" s="73"/>
      <c r="J873" s="73"/>
      <c r="K873" s="377"/>
      <c r="L873" s="378"/>
      <c r="M873" s="73"/>
    </row>
    <row r="874" spans="3:13">
      <c r="C874" s="374"/>
      <c r="D874" s="375"/>
      <c r="E874" s="73"/>
      <c r="F874" s="73"/>
      <c r="G874" s="376"/>
      <c r="H874" s="73"/>
      <c r="I874" s="73"/>
      <c r="J874" s="73"/>
      <c r="K874" s="377"/>
      <c r="L874" s="378"/>
      <c r="M874" s="73"/>
    </row>
    <row r="875" spans="3:13">
      <c r="C875" s="374"/>
      <c r="D875" s="375"/>
      <c r="E875" s="73"/>
      <c r="F875" s="73"/>
      <c r="G875" s="376"/>
      <c r="H875" s="73"/>
      <c r="I875" s="73"/>
      <c r="J875" s="73"/>
      <c r="K875" s="377"/>
      <c r="L875" s="378"/>
      <c r="M875" s="73"/>
    </row>
    <row r="876" spans="3:13">
      <c r="C876" s="374"/>
      <c r="D876" s="375"/>
      <c r="E876" s="73"/>
      <c r="F876" s="73"/>
      <c r="G876" s="376"/>
      <c r="H876" s="73"/>
      <c r="I876" s="73"/>
      <c r="J876" s="73"/>
      <c r="K876" s="377"/>
      <c r="L876" s="378"/>
      <c r="M876" s="73"/>
    </row>
    <row r="877" spans="3:13">
      <c r="C877" s="374"/>
      <c r="D877" s="375"/>
      <c r="E877" s="73"/>
      <c r="F877" s="73"/>
      <c r="G877" s="376"/>
      <c r="H877" s="73"/>
      <c r="I877" s="73"/>
      <c r="J877" s="73"/>
      <c r="K877" s="377"/>
      <c r="L877" s="378"/>
      <c r="M877" s="73"/>
    </row>
    <row r="878" spans="3:13">
      <c r="C878" s="374"/>
      <c r="D878" s="375"/>
      <c r="E878" s="73"/>
      <c r="F878" s="73"/>
      <c r="G878" s="376"/>
      <c r="H878" s="73"/>
      <c r="I878" s="73"/>
      <c r="J878" s="73"/>
      <c r="K878" s="377"/>
      <c r="L878" s="378"/>
      <c r="M878" s="73"/>
    </row>
    <row r="879" spans="3:13">
      <c r="C879" s="374"/>
      <c r="D879" s="375"/>
      <c r="E879" s="73"/>
      <c r="F879" s="73"/>
      <c r="G879" s="376"/>
      <c r="H879" s="73"/>
      <c r="I879" s="73"/>
      <c r="J879" s="73"/>
      <c r="K879" s="377"/>
      <c r="L879" s="378"/>
      <c r="M879" s="73"/>
    </row>
    <row r="880" spans="3:13">
      <c r="C880" s="374"/>
      <c r="D880" s="375"/>
      <c r="E880" s="73"/>
      <c r="F880" s="73"/>
      <c r="G880" s="376"/>
      <c r="H880" s="73"/>
      <c r="I880" s="73"/>
      <c r="J880" s="73"/>
      <c r="K880" s="377"/>
      <c r="L880" s="378"/>
      <c r="M880" s="73"/>
    </row>
    <row r="881" spans="3:13">
      <c r="C881" s="374"/>
      <c r="D881" s="375"/>
      <c r="E881" s="73"/>
      <c r="F881" s="73"/>
      <c r="G881" s="376"/>
      <c r="H881" s="73"/>
      <c r="I881" s="73"/>
      <c r="J881" s="73"/>
      <c r="K881" s="377"/>
      <c r="L881" s="378"/>
      <c r="M881" s="73"/>
    </row>
    <row r="882" spans="3:13">
      <c r="C882" s="374"/>
      <c r="D882" s="375"/>
      <c r="E882" s="73"/>
      <c r="F882" s="73"/>
      <c r="G882" s="376"/>
      <c r="H882" s="73"/>
      <c r="I882" s="73"/>
      <c r="J882" s="73"/>
      <c r="K882" s="377"/>
      <c r="L882" s="378"/>
      <c r="M882" s="73"/>
    </row>
    <row r="883" spans="3:13">
      <c r="C883" s="374"/>
      <c r="D883" s="375"/>
      <c r="E883" s="73"/>
      <c r="F883" s="73"/>
      <c r="G883" s="376"/>
      <c r="H883" s="73"/>
      <c r="I883" s="73"/>
      <c r="J883" s="73"/>
      <c r="K883" s="377"/>
      <c r="L883" s="378"/>
      <c r="M883" s="73"/>
    </row>
    <row r="884" spans="3:13">
      <c r="C884" s="374"/>
      <c r="D884" s="375"/>
      <c r="E884" s="73"/>
      <c r="F884" s="73"/>
      <c r="G884" s="376"/>
      <c r="H884" s="73"/>
      <c r="I884" s="73"/>
      <c r="J884" s="73"/>
      <c r="K884" s="377"/>
      <c r="L884" s="378"/>
      <c r="M884" s="73"/>
    </row>
    <row r="885" spans="3:13">
      <c r="C885" s="374"/>
      <c r="D885" s="375"/>
      <c r="E885" s="73"/>
      <c r="F885" s="73"/>
      <c r="G885" s="376"/>
      <c r="H885" s="73"/>
      <c r="I885" s="73"/>
      <c r="J885" s="73"/>
      <c r="K885" s="377"/>
      <c r="L885" s="378"/>
      <c r="M885" s="73"/>
    </row>
    <row r="886" spans="3:13">
      <c r="C886" s="374"/>
      <c r="D886" s="375"/>
      <c r="E886" s="73"/>
      <c r="F886" s="73"/>
      <c r="G886" s="376"/>
      <c r="H886" s="73"/>
      <c r="I886" s="73"/>
      <c r="J886" s="73"/>
      <c r="K886" s="377"/>
      <c r="L886" s="378"/>
      <c r="M886" s="73"/>
    </row>
    <row r="887" spans="3:13">
      <c r="C887" s="374"/>
      <c r="D887" s="375"/>
      <c r="E887" s="73"/>
      <c r="F887" s="73"/>
      <c r="G887" s="376"/>
      <c r="H887" s="73"/>
      <c r="I887" s="73"/>
      <c r="J887" s="73"/>
      <c r="K887" s="377"/>
      <c r="L887" s="378"/>
      <c r="M887" s="73"/>
    </row>
    <row r="888" spans="3:13">
      <c r="C888" s="374"/>
      <c r="D888" s="375"/>
      <c r="E888" s="73"/>
      <c r="F888" s="73"/>
      <c r="G888" s="376"/>
      <c r="H888" s="73"/>
      <c r="I888" s="73"/>
      <c r="J888" s="73"/>
      <c r="K888" s="377"/>
      <c r="L888" s="378"/>
      <c r="M888" s="73"/>
    </row>
    <row r="889" spans="3:13">
      <c r="C889" s="374"/>
      <c r="D889" s="375"/>
      <c r="E889" s="73"/>
      <c r="F889" s="73"/>
      <c r="G889" s="376"/>
      <c r="H889" s="73"/>
      <c r="I889" s="73"/>
      <c r="J889" s="73"/>
      <c r="K889" s="377"/>
      <c r="L889" s="378"/>
      <c r="M889" s="73"/>
    </row>
    <row r="890" spans="3:13">
      <c r="C890" s="374"/>
      <c r="D890" s="375"/>
      <c r="E890" s="73"/>
      <c r="F890" s="73"/>
      <c r="G890" s="376"/>
      <c r="H890" s="73"/>
      <c r="I890" s="73"/>
      <c r="J890" s="73"/>
      <c r="K890" s="377"/>
      <c r="L890" s="378"/>
      <c r="M890" s="73"/>
    </row>
    <row r="891" spans="3:13">
      <c r="C891" s="374"/>
      <c r="D891" s="375"/>
      <c r="E891" s="73"/>
      <c r="F891" s="73"/>
      <c r="G891" s="376"/>
      <c r="H891" s="73"/>
      <c r="I891" s="73"/>
      <c r="J891" s="73"/>
      <c r="K891" s="377"/>
      <c r="L891" s="378"/>
      <c r="M891" s="73"/>
    </row>
    <row r="892" spans="3:13">
      <c r="C892" s="374"/>
      <c r="D892" s="375"/>
      <c r="E892" s="73"/>
      <c r="F892" s="73"/>
      <c r="G892" s="376"/>
      <c r="H892" s="73"/>
      <c r="I892" s="73"/>
      <c r="J892" s="73"/>
      <c r="K892" s="377"/>
      <c r="L892" s="378"/>
      <c r="M892" s="73"/>
    </row>
    <row r="893" spans="3:13">
      <c r="C893" s="374"/>
      <c r="D893" s="375"/>
      <c r="E893" s="73"/>
      <c r="F893" s="73"/>
      <c r="G893" s="376"/>
      <c r="H893" s="73"/>
      <c r="I893" s="73"/>
      <c r="J893" s="73"/>
      <c r="K893" s="377"/>
      <c r="L893" s="378"/>
      <c r="M893" s="73"/>
    </row>
    <row r="894" spans="3:13">
      <c r="C894" s="374"/>
      <c r="D894" s="375"/>
      <c r="E894" s="73"/>
      <c r="F894" s="73"/>
      <c r="G894" s="376"/>
      <c r="H894" s="73"/>
      <c r="I894" s="73"/>
      <c r="J894" s="73"/>
      <c r="K894" s="377"/>
      <c r="L894" s="378"/>
      <c r="M894" s="73"/>
    </row>
    <row r="895" spans="3:13">
      <c r="C895" s="374"/>
      <c r="D895" s="375"/>
      <c r="E895" s="73"/>
      <c r="F895" s="73"/>
      <c r="G895" s="376"/>
      <c r="H895" s="73"/>
      <c r="I895" s="73"/>
      <c r="J895" s="73"/>
      <c r="K895" s="377"/>
      <c r="L895" s="378"/>
      <c r="M895" s="73"/>
    </row>
    <row r="896" spans="3:13">
      <c r="C896" s="374"/>
      <c r="D896" s="375"/>
      <c r="E896" s="73"/>
      <c r="F896" s="73"/>
      <c r="G896" s="376"/>
      <c r="H896" s="73"/>
      <c r="I896" s="73"/>
      <c r="J896" s="73"/>
      <c r="K896" s="377"/>
      <c r="L896" s="378"/>
      <c r="M896" s="73"/>
    </row>
    <row r="897" spans="3:13">
      <c r="C897" s="374"/>
      <c r="D897" s="375"/>
      <c r="E897" s="73"/>
      <c r="F897" s="73"/>
      <c r="G897" s="376"/>
      <c r="H897" s="73"/>
      <c r="I897" s="73"/>
      <c r="J897" s="73"/>
      <c r="K897" s="377"/>
      <c r="L897" s="378"/>
      <c r="M897" s="73"/>
    </row>
    <row r="898" spans="3:13">
      <c r="C898" s="374"/>
      <c r="D898" s="375"/>
      <c r="E898" s="73"/>
      <c r="F898" s="73"/>
      <c r="G898" s="376"/>
      <c r="H898" s="73"/>
      <c r="I898" s="73"/>
      <c r="J898" s="73"/>
      <c r="K898" s="377"/>
      <c r="L898" s="378"/>
      <c r="M898" s="73"/>
    </row>
    <row r="899" spans="3:13">
      <c r="C899" s="374"/>
      <c r="D899" s="375"/>
      <c r="E899" s="73"/>
      <c r="F899" s="73"/>
      <c r="G899" s="376"/>
      <c r="H899" s="73"/>
      <c r="I899" s="73"/>
      <c r="J899" s="73"/>
      <c r="K899" s="377"/>
      <c r="L899" s="378"/>
      <c r="M899" s="73"/>
    </row>
    <row r="900" spans="3:13">
      <c r="C900" s="374"/>
      <c r="D900" s="375"/>
      <c r="E900" s="73"/>
      <c r="F900" s="73"/>
      <c r="G900" s="376"/>
      <c r="H900" s="73"/>
      <c r="I900" s="73"/>
      <c r="J900" s="73"/>
      <c r="K900" s="377"/>
      <c r="L900" s="378"/>
      <c r="M900" s="73"/>
    </row>
    <row r="901" spans="3:13">
      <c r="C901" s="374"/>
      <c r="D901" s="375"/>
      <c r="E901" s="73"/>
      <c r="F901" s="73"/>
      <c r="G901" s="376"/>
      <c r="H901" s="73"/>
      <c r="I901" s="73"/>
      <c r="J901" s="73"/>
      <c r="K901" s="377"/>
      <c r="L901" s="378"/>
      <c r="M901" s="73"/>
    </row>
    <row r="902" spans="3:13">
      <c r="C902" s="374"/>
      <c r="D902" s="375"/>
      <c r="E902" s="73"/>
      <c r="F902" s="73"/>
      <c r="G902" s="376"/>
      <c r="H902" s="73"/>
      <c r="I902" s="73"/>
      <c r="J902" s="73"/>
      <c r="K902" s="377"/>
      <c r="L902" s="378"/>
      <c r="M902" s="73"/>
    </row>
    <row r="903" spans="3:13">
      <c r="C903" s="374"/>
      <c r="D903" s="375"/>
      <c r="E903" s="73"/>
      <c r="F903" s="73"/>
      <c r="G903" s="376"/>
      <c r="H903" s="73"/>
      <c r="I903" s="73"/>
      <c r="J903" s="73"/>
      <c r="K903" s="377"/>
      <c r="L903" s="378"/>
      <c r="M903" s="73"/>
    </row>
    <row r="904" spans="3:13">
      <c r="C904" s="374"/>
      <c r="D904" s="375"/>
      <c r="E904" s="73"/>
      <c r="F904" s="73"/>
      <c r="G904" s="376"/>
      <c r="H904" s="73"/>
      <c r="I904" s="73"/>
      <c r="J904" s="73"/>
      <c r="K904" s="377"/>
      <c r="L904" s="378"/>
      <c r="M904" s="73"/>
    </row>
    <row r="905" spans="3:13">
      <c r="C905" s="374"/>
      <c r="D905" s="375"/>
      <c r="E905" s="73"/>
      <c r="F905" s="73"/>
      <c r="G905" s="376"/>
      <c r="H905" s="73"/>
      <c r="I905" s="73"/>
      <c r="J905" s="73"/>
      <c r="K905" s="377"/>
      <c r="L905" s="378"/>
      <c r="M905" s="73"/>
    </row>
    <row r="906" spans="3:13">
      <c r="C906" s="374"/>
      <c r="D906" s="375"/>
      <c r="E906" s="73"/>
      <c r="F906" s="73"/>
      <c r="G906" s="376"/>
      <c r="H906" s="73"/>
      <c r="I906" s="73"/>
      <c r="J906" s="73"/>
      <c r="K906" s="377"/>
      <c r="L906" s="378"/>
      <c r="M906" s="73"/>
    </row>
    <row r="907" spans="3:13">
      <c r="C907" s="374"/>
      <c r="D907" s="375"/>
      <c r="E907" s="73"/>
      <c r="F907" s="73"/>
      <c r="G907" s="376"/>
      <c r="H907" s="73"/>
      <c r="I907" s="73"/>
      <c r="J907" s="73"/>
      <c r="K907" s="377"/>
      <c r="L907" s="378"/>
      <c r="M907" s="73"/>
    </row>
    <row r="908" spans="3:13">
      <c r="C908" s="374"/>
      <c r="D908" s="375"/>
      <c r="E908" s="73"/>
      <c r="F908" s="73"/>
      <c r="G908" s="376"/>
      <c r="H908" s="73"/>
      <c r="I908" s="73"/>
      <c r="J908" s="73"/>
      <c r="K908" s="377"/>
      <c r="L908" s="378"/>
      <c r="M908" s="73"/>
    </row>
    <row r="909" spans="3:13">
      <c r="C909" s="374"/>
      <c r="D909" s="375"/>
      <c r="E909" s="73"/>
      <c r="F909" s="73"/>
      <c r="G909" s="376"/>
      <c r="H909" s="73"/>
      <c r="I909" s="73"/>
      <c r="J909" s="73"/>
      <c r="K909" s="377"/>
      <c r="L909" s="378"/>
      <c r="M909" s="73"/>
    </row>
    <row r="910" spans="3:13">
      <c r="C910" s="374"/>
      <c r="D910" s="375"/>
      <c r="E910" s="73"/>
      <c r="F910" s="73"/>
      <c r="G910" s="376"/>
      <c r="H910" s="73"/>
      <c r="I910" s="73"/>
      <c r="J910" s="73"/>
      <c r="K910" s="377"/>
      <c r="L910" s="378"/>
      <c r="M910" s="73"/>
    </row>
    <row r="911" spans="3:13">
      <c r="C911" s="374"/>
      <c r="D911" s="375"/>
      <c r="E911" s="73"/>
      <c r="F911" s="73"/>
      <c r="G911" s="376"/>
      <c r="H911" s="73"/>
      <c r="I911" s="73"/>
      <c r="J911" s="73"/>
      <c r="K911" s="377"/>
      <c r="L911" s="378"/>
      <c r="M911" s="73"/>
    </row>
    <row r="912" spans="3:13">
      <c r="C912" s="374"/>
      <c r="D912" s="375"/>
      <c r="E912" s="73"/>
      <c r="F912" s="73"/>
      <c r="G912" s="376"/>
      <c r="H912" s="73"/>
      <c r="I912" s="73"/>
      <c r="J912" s="73"/>
      <c r="K912" s="377"/>
      <c r="L912" s="378"/>
      <c r="M912" s="73"/>
    </row>
    <row r="913" spans="3:13">
      <c r="C913" s="374"/>
      <c r="D913" s="375"/>
      <c r="E913" s="73"/>
      <c r="F913" s="73"/>
      <c r="G913" s="376"/>
      <c r="H913" s="73"/>
      <c r="I913" s="73"/>
      <c r="J913" s="73"/>
      <c r="K913" s="377"/>
      <c r="L913" s="378"/>
      <c r="M913" s="73"/>
    </row>
    <row r="914" spans="3:13">
      <c r="C914" s="374"/>
      <c r="D914" s="375"/>
      <c r="E914" s="73"/>
      <c r="F914" s="73"/>
      <c r="G914" s="376"/>
      <c r="H914" s="73"/>
      <c r="I914" s="73"/>
      <c r="J914" s="73"/>
      <c r="K914" s="377"/>
      <c r="L914" s="378"/>
      <c r="M914" s="73"/>
    </row>
    <row r="915" spans="3:13">
      <c r="C915" s="374"/>
      <c r="D915" s="375"/>
      <c r="E915" s="73"/>
      <c r="F915" s="73"/>
      <c r="G915" s="376"/>
      <c r="H915" s="73"/>
      <c r="I915" s="73"/>
      <c r="J915" s="73"/>
      <c r="K915" s="377"/>
      <c r="L915" s="378"/>
      <c r="M915" s="73"/>
    </row>
    <row r="916" spans="3:13">
      <c r="C916" s="374"/>
      <c r="D916" s="375"/>
      <c r="E916" s="73"/>
      <c r="F916" s="73"/>
      <c r="G916" s="376"/>
      <c r="H916" s="73"/>
      <c r="I916" s="73"/>
      <c r="J916" s="73"/>
      <c r="K916" s="377"/>
      <c r="L916" s="378"/>
      <c r="M916" s="73"/>
    </row>
    <row r="917" spans="3:13">
      <c r="C917" s="374"/>
      <c r="D917" s="375"/>
      <c r="E917" s="73"/>
      <c r="F917" s="73"/>
      <c r="G917" s="376"/>
      <c r="H917" s="73"/>
      <c r="I917" s="73"/>
      <c r="J917" s="73"/>
      <c r="K917" s="377"/>
      <c r="L917" s="378"/>
      <c r="M917" s="73"/>
    </row>
    <row r="918" spans="3:13">
      <c r="C918" s="374"/>
      <c r="D918" s="375"/>
      <c r="E918" s="73"/>
      <c r="F918" s="73"/>
      <c r="G918" s="376"/>
      <c r="H918" s="73"/>
      <c r="I918" s="73"/>
      <c r="J918" s="73"/>
      <c r="K918" s="377"/>
      <c r="L918" s="378"/>
      <c r="M918" s="73"/>
    </row>
    <row r="919" spans="3:13">
      <c r="C919" s="374"/>
      <c r="D919" s="375"/>
      <c r="E919" s="73"/>
      <c r="F919" s="73"/>
      <c r="G919" s="376"/>
      <c r="H919" s="73"/>
      <c r="I919" s="73"/>
      <c r="J919" s="73"/>
      <c r="K919" s="377"/>
      <c r="L919" s="378"/>
      <c r="M919" s="73"/>
    </row>
    <row r="920" spans="3:13">
      <c r="C920" s="374"/>
      <c r="D920" s="375"/>
      <c r="E920" s="73"/>
      <c r="F920" s="73"/>
      <c r="G920" s="376"/>
      <c r="H920" s="73"/>
      <c r="I920" s="73"/>
      <c r="J920" s="73"/>
      <c r="K920" s="377"/>
      <c r="L920" s="378"/>
      <c r="M920" s="73"/>
    </row>
    <row r="921" spans="3:13">
      <c r="C921" s="374"/>
      <c r="D921" s="375"/>
      <c r="E921" s="73"/>
      <c r="F921" s="73"/>
      <c r="G921" s="376"/>
      <c r="H921" s="73"/>
      <c r="I921" s="73"/>
      <c r="J921" s="73"/>
      <c r="K921" s="377"/>
      <c r="L921" s="378"/>
      <c r="M921" s="73"/>
    </row>
    <row r="922" spans="3:13">
      <c r="C922" s="374"/>
      <c r="D922" s="375"/>
      <c r="E922" s="73"/>
      <c r="F922" s="73"/>
      <c r="G922" s="376"/>
      <c r="H922" s="73"/>
      <c r="I922" s="73"/>
      <c r="J922" s="73"/>
      <c r="K922" s="377"/>
      <c r="L922" s="378"/>
      <c r="M922" s="73"/>
    </row>
    <row r="923" spans="3:13">
      <c r="C923" s="374"/>
      <c r="D923" s="375"/>
      <c r="E923" s="73"/>
      <c r="F923" s="73"/>
      <c r="G923" s="376"/>
      <c r="H923" s="73"/>
      <c r="I923" s="73"/>
      <c r="J923" s="73"/>
      <c r="K923" s="377"/>
      <c r="L923" s="378"/>
      <c r="M923" s="73"/>
    </row>
    <row r="924" spans="3:13">
      <c r="C924" s="374"/>
      <c r="D924" s="375"/>
      <c r="E924" s="73"/>
      <c r="F924" s="73"/>
      <c r="G924" s="376"/>
      <c r="H924" s="73"/>
      <c r="I924" s="73"/>
      <c r="J924" s="73"/>
      <c r="K924" s="377"/>
      <c r="L924" s="378"/>
      <c r="M924" s="73"/>
    </row>
    <row r="925" spans="3:13">
      <c r="C925" s="374"/>
      <c r="D925" s="375"/>
      <c r="E925" s="73"/>
      <c r="F925" s="73"/>
      <c r="G925" s="376"/>
      <c r="H925" s="73"/>
      <c r="I925" s="73"/>
      <c r="J925" s="73"/>
      <c r="K925" s="377"/>
      <c r="L925" s="378"/>
      <c r="M925" s="73"/>
    </row>
    <row r="926" spans="3:13">
      <c r="C926" s="374"/>
      <c r="D926" s="375"/>
      <c r="E926" s="73"/>
      <c r="F926" s="73"/>
      <c r="G926" s="376"/>
      <c r="H926" s="73"/>
      <c r="I926" s="73"/>
      <c r="J926" s="73"/>
      <c r="K926" s="377"/>
      <c r="L926" s="378"/>
      <c r="M926" s="73"/>
    </row>
    <row r="927" spans="3:13">
      <c r="C927" s="374"/>
      <c r="D927" s="375"/>
      <c r="E927" s="73"/>
      <c r="F927" s="73"/>
      <c r="G927" s="376"/>
      <c r="H927" s="73"/>
      <c r="I927" s="73"/>
      <c r="J927" s="73"/>
      <c r="K927" s="377"/>
      <c r="L927" s="378"/>
      <c r="M927" s="73"/>
    </row>
    <row r="928" spans="3:13">
      <c r="C928" s="374"/>
      <c r="D928" s="375"/>
      <c r="E928" s="73"/>
      <c r="F928" s="73"/>
      <c r="G928" s="376"/>
      <c r="H928" s="73"/>
      <c r="I928" s="73"/>
      <c r="J928" s="73"/>
      <c r="K928" s="377"/>
      <c r="L928" s="378"/>
      <c r="M928" s="73"/>
    </row>
    <row r="929" spans="3:13">
      <c r="C929" s="374"/>
      <c r="D929" s="375"/>
      <c r="E929" s="73"/>
      <c r="F929" s="73"/>
      <c r="G929" s="376"/>
      <c r="H929" s="73"/>
      <c r="I929" s="73"/>
      <c r="J929" s="73"/>
      <c r="K929" s="377"/>
      <c r="L929" s="378"/>
      <c r="M929" s="73"/>
    </row>
    <row r="930" spans="3:13">
      <c r="C930" s="374"/>
      <c r="D930" s="375"/>
      <c r="E930" s="73"/>
      <c r="F930" s="73"/>
      <c r="G930" s="376"/>
      <c r="H930" s="73"/>
      <c r="I930" s="73"/>
      <c r="J930" s="73"/>
      <c r="K930" s="377"/>
      <c r="L930" s="378"/>
      <c r="M930" s="73"/>
    </row>
    <row r="931" spans="3:13">
      <c r="C931" s="374"/>
      <c r="D931" s="375"/>
      <c r="E931" s="73"/>
      <c r="F931" s="73"/>
      <c r="G931" s="376"/>
      <c r="H931" s="73"/>
      <c r="I931" s="73"/>
      <c r="J931" s="73"/>
      <c r="K931" s="377"/>
      <c r="L931" s="378"/>
      <c r="M931" s="73"/>
    </row>
    <row r="932" spans="3:13">
      <c r="C932" s="374"/>
      <c r="D932" s="375"/>
      <c r="E932" s="73"/>
      <c r="F932" s="73"/>
      <c r="G932" s="376"/>
      <c r="H932" s="73"/>
      <c r="I932" s="73"/>
      <c r="J932" s="73"/>
      <c r="K932" s="377"/>
      <c r="L932" s="378"/>
      <c r="M932" s="73"/>
    </row>
    <row r="933" spans="3:13">
      <c r="C933" s="374"/>
      <c r="D933" s="375"/>
      <c r="E933" s="73"/>
      <c r="F933" s="73"/>
      <c r="G933" s="376"/>
      <c r="H933" s="73"/>
      <c r="I933" s="73"/>
      <c r="J933" s="73"/>
      <c r="K933" s="377"/>
      <c r="L933" s="378"/>
      <c r="M933" s="73"/>
    </row>
    <row r="934" spans="3:13">
      <c r="C934" s="374"/>
      <c r="D934" s="375"/>
      <c r="E934" s="73"/>
      <c r="F934" s="73"/>
      <c r="G934" s="376"/>
      <c r="H934" s="73"/>
      <c r="I934" s="73"/>
      <c r="J934" s="73"/>
      <c r="K934" s="377"/>
      <c r="L934" s="378"/>
      <c r="M934" s="73"/>
    </row>
    <row r="935" spans="3:13">
      <c r="C935" s="374"/>
      <c r="D935" s="375"/>
      <c r="E935" s="73"/>
      <c r="F935" s="73"/>
      <c r="G935" s="376"/>
      <c r="H935" s="73"/>
      <c r="I935" s="73"/>
      <c r="J935" s="73"/>
      <c r="K935" s="377"/>
      <c r="L935" s="378"/>
      <c r="M935" s="73"/>
    </row>
    <row r="936" spans="3:13">
      <c r="C936" s="374"/>
      <c r="D936" s="375"/>
      <c r="E936" s="73"/>
      <c r="F936" s="73"/>
      <c r="G936" s="376"/>
      <c r="H936" s="73"/>
      <c r="I936" s="73"/>
      <c r="J936" s="73"/>
      <c r="K936" s="377"/>
      <c r="L936" s="378"/>
      <c r="M936" s="73"/>
    </row>
    <row r="937" spans="3:13">
      <c r="C937" s="374"/>
      <c r="D937" s="375"/>
      <c r="E937" s="73"/>
      <c r="F937" s="73"/>
      <c r="G937" s="376"/>
      <c r="H937" s="73"/>
      <c r="I937" s="73"/>
      <c r="J937" s="73"/>
      <c r="K937" s="377"/>
      <c r="L937" s="378"/>
      <c r="M937" s="73"/>
    </row>
    <row r="938" spans="3:13">
      <c r="C938" s="374"/>
      <c r="D938" s="375"/>
      <c r="E938" s="73"/>
      <c r="F938" s="73"/>
      <c r="G938" s="376"/>
      <c r="H938" s="73"/>
      <c r="I938" s="73"/>
      <c r="J938" s="73"/>
      <c r="K938" s="377"/>
      <c r="L938" s="378"/>
      <c r="M938" s="73"/>
    </row>
    <row r="939" spans="3:13">
      <c r="C939" s="374"/>
      <c r="D939" s="375"/>
      <c r="E939" s="73"/>
      <c r="F939" s="73"/>
      <c r="G939" s="376"/>
      <c r="H939" s="73"/>
      <c r="I939" s="73"/>
      <c r="J939" s="73"/>
      <c r="K939" s="377"/>
      <c r="L939" s="378"/>
      <c r="M939" s="73"/>
    </row>
    <row r="940" spans="3:13">
      <c r="C940" s="374"/>
      <c r="D940" s="375"/>
      <c r="E940" s="73"/>
      <c r="F940" s="73"/>
      <c r="G940" s="376"/>
      <c r="H940" s="73"/>
      <c r="I940" s="73"/>
      <c r="J940" s="73"/>
      <c r="K940" s="377"/>
      <c r="L940" s="378"/>
      <c r="M940" s="73"/>
    </row>
    <row r="941" spans="3:13">
      <c r="C941" s="374"/>
      <c r="D941" s="375"/>
      <c r="E941" s="73"/>
      <c r="F941" s="73"/>
      <c r="G941" s="376"/>
      <c r="H941" s="73"/>
      <c r="I941" s="73"/>
      <c r="J941" s="73"/>
      <c r="K941" s="377"/>
      <c r="L941" s="378"/>
      <c r="M941" s="73"/>
    </row>
    <row r="942" spans="3:13">
      <c r="C942" s="374"/>
      <c r="D942" s="375"/>
      <c r="E942" s="73"/>
      <c r="F942" s="73"/>
      <c r="G942" s="376"/>
      <c r="H942" s="73"/>
      <c r="I942" s="73"/>
      <c r="J942" s="73"/>
      <c r="K942" s="377"/>
      <c r="L942" s="378"/>
      <c r="M942" s="73"/>
    </row>
    <row r="943" spans="3:13">
      <c r="C943" s="374"/>
      <c r="D943" s="375"/>
      <c r="E943" s="73"/>
      <c r="F943" s="73"/>
      <c r="G943" s="376"/>
      <c r="H943" s="73"/>
      <c r="I943" s="73"/>
      <c r="J943" s="73"/>
      <c r="K943" s="377"/>
      <c r="L943" s="378"/>
      <c r="M943" s="73"/>
    </row>
    <row r="944" spans="3:13">
      <c r="C944" s="374"/>
      <c r="D944" s="375"/>
      <c r="E944" s="73"/>
      <c r="F944" s="73"/>
      <c r="G944" s="376"/>
      <c r="H944" s="73"/>
      <c r="I944" s="73"/>
      <c r="J944" s="73"/>
      <c r="K944" s="377"/>
      <c r="L944" s="378"/>
      <c r="M944" s="73"/>
    </row>
    <row r="945" spans="3:13">
      <c r="C945" s="374"/>
      <c r="D945" s="375"/>
      <c r="E945" s="73"/>
      <c r="F945" s="73"/>
      <c r="G945" s="376"/>
      <c r="H945" s="73"/>
      <c r="I945" s="73"/>
      <c r="J945" s="73"/>
      <c r="K945" s="377"/>
      <c r="L945" s="378"/>
      <c r="M945" s="73"/>
    </row>
    <row r="946" spans="3:13">
      <c r="C946" s="374"/>
      <c r="D946" s="375"/>
      <c r="E946" s="73"/>
      <c r="F946" s="73"/>
      <c r="G946" s="376"/>
      <c r="H946" s="73"/>
      <c r="I946" s="73"/>
      <c r="J946" s="73"/>
      <c r="K946" s="377"/>
      <c r="L946" s="378"/>
      <c r="M946" s="73"/>
    </row>
    <row r="947" spans="3:13">
      <c r="C947" s="374"/>
      <c r="D947" s="375"/>
      <c r="E947" s="73"/>
      <c r="F947" s="73"/>
      <c r="G947" s="376"/>
      <c r="H947" s="73"/>
      <c r="I947" s="73"/>
      <c r="J947" s="73"/>
      <c r="K947" s="377"/>
      <c r="L947" s="378"/>
      <c r="M947" s="73"/>
    </row>
    <row r="948" spans="3:13">
      <c r="C948" s="374"/>
      <c r="D948" s="375"/>
      <c r="E948" s="73"/>
      <c r="F948" s="73"/>
      <c r="G948" s="376"/>
      <c r="H948" s="73"/>
      <c r="I948" s="73"/>
      <c r="J948" s="73"/>
      <c r="K948" s="377"/>
      <c r="L948" s="378"/>
      <c r="M948" s="73"/>
    </row>
    <row r="949" spans="3:13">
      <c r="C949" s="374"/>
      <c r="D949" s="375"/>
      <c r="E949" s="73"/>
      <c r="F949" s="73"/>
      <c r="G949" s="376"/>
      <c r="H949" s="73"/>
      <c r="I949" s="73"/>
      <c r="J949" s="73"/>
      <c r="K949" s="377"/>
      <c r="L949" s="378"/>
      <c r="M949" s="73"/>
    </row>
    <row r="950" spans="3:13">
      <c r="C950" s="374"/>
      <c r="D950" s="375"/>
      <c r="E950" s="73"/>
      <c r="F950" s="73"/>
      <c r="G950" s="376"/>
      <c r="H950" s="73"/>
      <c r="I950" s="73"/>
      <c r="J950" s="73"/>
      <c r="K950" s="377"/>
      <c r="L950" s="378"/>
      <c r="M950" s="73"/>
    </row>
    <row r="951" spans="3:13">
      <c r="C951" s="374"/>
      <c r="D951" s="375"/>
      <c r="E951" s="73"/>
      <c r="F951" s="73"/>
      <c r="G951" s="376"/>
      <c r="H951" s="73"/>
      <c r="I951" s="73"/>
      <c r="J951" s="73"/>
      <c r="K951" s="377"/>
      <c r="L951" s="378"/>
      <c r="M951" s="73"/>
    </row>
    <row r="952" spans="3:13">
      <c r="C952" s="374"/>
      <c r="D952" s="375"/>
      <c r="E952" s="73"/>
      <c r="F952" s="73"/>
      <c r="G952" s="376"/>
      <c r="H952" s="73"/>
      <c r="I952" s="73"/>
      <c r="J952" s="73"/>
      <c r="K952" s="377"/>
      <c r="L952" s="378"/>
      <c r="M952" s="73"/>
    </row>
    <row r="953" spans="3:13">
      <c r="C953" s="374"/>
      <c r="D953" s="375"/>
      <c r="E953" s="73"/>
      <c r="F953" s="73"/>
      <c r="G953" s="376"/>
      <c r="H953" s="73"/>
      <c r="I953" s="73"/>
      <c r="J953" s="73"/>
      <c r="K953" s="377"/>
      <c r="L953" s="378"/>
      <c r="M953" s="73"/>
    </row>
    <row r="954" spans="3:13">
      <c r="C954" s="374"/>
      <c r="D954" s="375"/>
      <c r="E954" s="73"/>
      <c r="F954" s="73"/>
      <c r="G954" s="376"/>
      <c r="H954" s="73"/>
      <c r="I954" s="73"/>
      <c r="J954" s="73"/>
      <c r="K954" s="377"/>
      <c r="L954" s="378"/>
      <c r="M954" s="73"/>
    </row>
    <row r="955" spans="3:13">
      <c r="C955" s="374"/>
      <c r="D955" s="375"/>
      <c r="E955" s="73"/>
      <c r="F955" s="73"/>
      <c r="G955" s="376"/>
      <c r="H955" s="73"/>
      <c r="I955" s="73"/>
      <c r="J955" s="73"/>
      <c r="K955" s="377"/>
      <c r="L955" s="378"/>
      <c r="M955" s="73"/>
    </row>
    <row r="956" spans="3:13">
      <c r="C956" s="374"/>
      <c r="D956" s="375"/>
      <c r="E956" s="73"/>
      <c r="F956" s="73"/>
      <c r="G956" s="376"/>
      <c r="H956" s="73"/>
      <c r="I956" s="73"/>
      <c r="J956" s="73"/>
      <c r="K956" s="377"/>
      <c r="L956" s="378"/>
      <c r="M956" s="73"/>
    </row>
    <row r="957" spans="3:13">
      <c r="C957" s="374"/>
      <c r="D957" s="375"/>
      <c r="E957" s="73"/>
      <c r="F957" s="73"/>
      <c r="G957" s="376"/>
      <c r="H957" s="73"/>
      <c r="I957" s="73"/>
      <c r="J957" s="73"/>
      <c r="K957" s="377"/>
      <c r="L957" s="378"/>
      <c r="M957" s="73"/>
    </row>
    <row r="958" spans="3:13">
      <c r="C958" s="374"/>
      <c r="D958" s="375"/>
      <c r="E958" s="73"/>
      <c r="F958" s="73"/>
      <c r="G958" s="376"/>
      <c r="H958" s="73"/>
      <c r="I958" s="73"/>
      <c r="J958" s="73"/>
      <c r="K958" s="377"/>
      <c r="L958" s="378"/>
      <c r="M958" s="73"/>
    </row>
    <row r="959" spans="3:13">
      <c r="C959" s="374"/>
      <c r="D959" s="375"/>
      <c r="E959" s="73"/>
      <c r="F959" s="73"/>
      <c r="G959" s="376"/>
      <c r="H959" s="73"/>
      <c r="I959" s="73"/>
      <c r="J959" s="73"/>
      <c r="K959" s="377"/>
      <c r="L959" s="378"/>
      <c r="M959" s="73"/>
    </row>
    <row r="960" spans="3:13">
      <c r="C960" s="374"/>
      <c r="D960" s="375"/>
      <c r="E960" s="73"/>
      <c r="F960" s="73"/>
      <c r="G960" s="376"/>
      <c r="H960" s="73"/>
      <c r="I960" s="73"/>
      <c r="J960" s="73"/>
      <c r="K960" s="377"/>
      <c r="L960" s="378"/>
      <c r="M960" s="73"/>
    </row>
    <row r="961" spans="3:13">
      <c r="C961" s="374"/>
      <c r="D961" s="375"/>
      <c r="E961" s="73"/>
      <c r="F961" s="73"/>
      <c r="G961" s="376"/>
      <c r="H961" s="73"/>
      <c r="I961" s="73"/>
      <c r="J961" s="73"/>
      <c r="K961" s="377"/>
      <c r="L961" s="378"/>
      <c r="M961" s="73"/>
    </row>
    <row r="962" spans="3:13">
      <c r="C962" s="374"/>
      <c r="D962" s="375"/>
      <c r="E962" s="73"/>
      <c r="F962" s="73"/>
      <c r="G962" s="376"/>
      <c r="H962" s="73"/>
      <c r="I962" s="73"/>
      <c r="J962" s="73"/>
      <c r="K962" s="377"/>
      <c r="L962" s="378"/>
      <c r="M962" s="73"/>
    </row>
    <row r="963" spans="3:13">
      <c r="C963" s="374"/>
      <c r="D963" s="375"/>
      <c r="E963" s="73"/>
      <c r="F963" s="73"/>
      <c r="G963" s="376"/>
      <c r="H963" s="73"/>
      <c r="I963" s="73"/>
      <c r="J963" s="73"/>
      <c r="K963" s="377"/>
      <c r="L963" s="378"/>
      <c r="M963" s="73"/>
    </row>
    <row r="964" spans="3:13">
      <c r="C964" s="374"/>
      <c r="D964" s="375"/>
      <c r="E964" s="73"/>
      <c r="F964" s="73"/>
      <c r="G964" s="376"/>
      <c r="H964" s="73"/>
      <c r="I964" s="73"/>
      <c r="J964" s="73"/>
      <c r="K964" s="377"/>
      <c r="L964" s="378"/>
      <c r="M964" s="73"/>
    </row>
    <row r="965" spans="3:13">
      <c r="C965" s="374"/>
      <c r="D965" s="375"/>
      <c r="E965" s="73"/>
      <c r="F965" s="73"/>
      <c r="G965" s="376"/>
      <c r="H965" s="73"/>
      <c r="I965" s="73"/>
      <c r="J965" s="73"/>
      <c r="K965" s="377"/>
      <c r="L965" s="378"/>
      <c r="M965" s="73"/>
    </row>
    <row r="966" spans="3:13">
      <c r="C966" s="374"/>
      <c r="D966" s="375"/>
      <c r="E966" s="73"/>
      <c r="F966" s="73"/>
      <c r="G966" s="376"/>
      <c r="H966" s="73"/>
      <c r="I966" s="73"/>
      <c r="J966" s="73"/>
      <c r="K966" s="377"/>
      <c r="L966" s="378"/>
      <c r="M966" s="73"/>
    </row>
    <row r="967" spans="3:13">
      <c r="C967" s="374"/>
      <c r="D967" s="375"/>
      <c r="E967" s="73"/>
      <c r="F967" s="73"/>
      <c r="G967" s="376"/>
      <c r="H967" s="73"/>
      <c r="I967" s="73"/>
      <c r="J967" s="73"/>
      <c r="K967" s="377"/>
      <c r="L967" s="378"/>
      <c r="M967" s="73"/>
    </row>
    <row r="968" spans="3:13">
      <c r="C968" s="374"/>
      <c r="D968" s="375"/>
      <c r="E968" s="73"/>
      <c r="F968" s="73"/>
      <c r="G968" s="376"/>
      <c r="H968" s="73"/>
      <c r="I968" s="73"/>
      <c r="J968" s="73"/>
      <c r="K968" s="377"/>
      <c r="L968" s="378"/>
      <c r="M968" s="73"/>
    </row>
    <row r="969" spans="3:13">
      <c r="C969" s="374"/>
      <c r="D969" s="375"/>
      <c r="E969" s="73"/>
      <c r="F969" s="73"/>
      <c r="G969" s="376"/>
      <c r="H969" s="73"/>
      <c r="I969" s="73"/>
      <c r="J969" s="73"/>
      <c r="K969" s="377"/>
      <c r="L969" s="378"/>
      <c r="M969" s="73"/>
    </row>
    <row r="970" spans="3:13">
      <c r="C970" s="374"/>
      <c r="D970" s="375"/>
      <c r="E970" s="73"/>
      <c r="F970" s="73"/>
      <c r="G970" s="376"/>
      <c r="H970" s="73"/>
      <c r="I970" s="73"/>
      <c r="J970" s="73"/>
      <c r="K970" s="377"/>
      <c r="L970" s="378"/>
      <c r="M970" s="73"/>
    </row>
    <row r="971" spans="3:13">
      <c r="C971" s="374"/>
      <c r="D971" s="375"/>
      <c r="E971" s="73"/>
      <c r="F971" s="73"/>
      <c r="G971" s="376"/>
      <c r="H971" s="73"/>
      <c r="I971" s="73"/>
      <c r="J971" s="73"/>
      <c r="K971" s="377"/>
      <c r="L971" s="378"/>
      <c r="M971" s="73"/>
    </row>
    <row r="972" spans="3:13">
      <c r="C972" s="374"/>
      <c r="D972" s="375"/>
      <c r="E972" s="73"/>
      <c r="F972" s="73"/>
      <c r="G972" s="376"/>
      <c r="H972" s="73"/>
      <c r="I972" s="73"/>
      <c r="J972" s="73"/>
      <c r="K972" s="377"/>
      <c r="L972" s="378"/>
      <c r="M972" s="73"/>
    </row>
    <row r="973" spans="3:13">
      <c r="C973" s="374"/>
      <c r="D973" s="375"/>
      <c r="E973" s="73"/>
      <c r="F973" s="73"/>
      <c r="G973" s="376"/>
      <c r="H973" s="73"/>
      <c r="I973" s="73"/>
      <c r="J973" s="73"/>
      <c r="K973" s="377"/>
      <c r="L973" s="378"/>
      <c r="M973" s="73"/>
    </row>
    <row r="974" spans="3:13">
      <c r="C974" s="374"/>
      <c r="D974" s="375"/>
      <c r="E974" s="73"/>
      <c r="F974" s="73"/>
      <c r="G974" s="376"/>
      <c r="H974" s="73"/>
      <c r="I974" s="73"/>
      <c r="J974" s="73"/>
      <c r="K974" s="377"/>
      <c r="L974" s="378"/>
      <c r="M974" s="73"/>
    </row>
    <row r="975" spans="3:13">
      <c r="C975" s="374"/>
      <c r="D975" s="375"/>
      <c r="E975" s="73"/>
      <c r="F975" s="73"/>
      <c r="G975" s="376"/>
      <c r="H975" s="73"/>
      <c r="I975" s="73"/>
      <c r="J975" s="73"/>
      <c r="K975" s="377"/>
      <c r="L975" s="378"/>
      <c r="M975" s="73"/>
    </row>
    <row r="976" spans="3:13">
      <c r="C976" s="374"/>
      <c r="D976" s="375"/>
      <c r="E976" s="73"/>
      <c r="F976" s="73"/>
      <c r="G976" s="376"/>
      <c r="H976" s="73"/>
      <c r="I976" s="73"/>
      <c r="J976" s="73"/>
      <c r="K976" s="377"/>
      <c r="L976" s="378"/>
      <c r="M976" s="73"/>
    </row>
    <row r="977" spans="3:13">
      <c r="C977" s="374"/>
      <c r="D977" s="375"/>
      <c r="E977" s="73"/>
      <c r="F977" s="73"/>
      <c r="G977" s="376"/>
      <c r="H977" s="73"/>
      <c r="I977" s="73"/>
      <c r="J977" s="73"/>
      <c r="K977" s="377"/>
      <c r="L977" s="378"/>
      <c r="M977" s="73"/>
    </row>
    <row r="978" spans="3:13">
      <c r="C978" s="374"/>
      <c r="D978" s="375"/>
      <c r="E978" s="73"/>
      <c r="F978" s="73"/>
      <c r="G978" s="376"/>
      <c r="H978" s="73"/>
      <c r="I978" s="73"/>
      <c r="J978" s="73"/>
      <c r="K978" s="377"/>
      <c r="L978" s="378"/>
      <c r="M978" s="73"/>
    </row>
    <row r="979" spans="3:13">
      <c r="C979" s="374"/>
      <c r="D979" s="375"/>
      <c r="E979" s="73"/>
      <c r="F979" s="73"/>
      <c r="G979" s="376"/>
      <c r="H979" s="73"/>
      <c r="I979" s="73"/>
      <c r="J979" s="73"/>
      <c r="K979" s="377"/>
      <c r="L979" s="378"/>
      <c r="M979" s="73"/>
    </row>
    <row r="980" spans="3:13">
      <c r="C980" s="374"/>
      <c r="D980" s="375"/>
      <c r="E980" s="73"/>
      <c r="F980" s="73"/>
      <c r="G980" s="376"/>
      <c r="H980" s="73"/>
      <c r="I980" s="73"/>
      <c r="J980" s="73"/>
      <c r="K980" s="377"/>
      <c r="L980" s="378"/>
      <c r="M980" s="73"/>
    </row>
    <row r="981" spans="3:13">
      <c r="C981" s="374"/>
      <c r="D981" s="375"/>
      <c r="E981" s="73"/>
      <c r="F981" s="73"/>
      <c r="G981" s="376"/>
      <c r="H981" s="73"/>
      <c r="I981" s="73"/>
      <c r="J981" s="73"/>
      <c r="K981" s="377"/>
      <c r="L981" s="378"/>
      <c r="M981" s="73"/>
    </row>
    <row r="982" spans="3:13">
      <c r="C982" s="374"/>
      <c r="D982" s="375"/>
      <c r="E982" s="73"/>
      <c r="F982" s="73"/>
      <c r="G982" s="376"/>
      <c r="H982" s="73"/>
      <c r="I982" s="73"/>
      <c r="J982" s="73"/>
      <c r="K982" s="377"/>
      <c r="L982" s="378"/>
      <c r="M982" s="73"/>
    </row>
    <row r="983" spans="3:13">
      <c r="C983" s="374"/>
      <c r="D983" s="375"/>
      <c r="E983" s="73"/>
      <c r="F983" s="73"/>
      <c r="G983" s="376"/>
      <c r="H983" s="73"/>
      <c r="I983" s="73"/>
      <c r="J983" s="73"/>
      <c r="K983" s="377"/>
      <c r="L983" s="378"/>
      <c r="M983" s="73"/>
    </row>
    <row r="984" spans="3:13">
      <c r="C984" s="374"/>
      <c r="D984" s="375"/>
      <c r="E984" s="73"/>
      <c r="F984" s="73"/>
      <c r="G984" s="376"/>
      <c r="H984" s="73"/>
      <c r="I984" s="73"/>
      <c r="J984" s="73"/>
      <c r="K984" s="377"/>
      <c r="L984" s="378"/>
      <c r="M984" s="73"/>
    </row>
    <row r="985" spans="3:13">
      <c r="C985" s="374"/>
      <c r="D985" s="375"/>
      <c r="E985" s="73"/>
      <c r="F985" s="73"/>
      <c r="G985" s="376"/>
      <c r="H985" s="73"/>
      <c r="I985" s="73"/>
      <c r="J985" s="73"/>
      <c r="K985" s="377"/>
      <c r="L985" s="378"/>
      <c r="M985" s="73"/>
    </row>
    <row r="986" spans="3:13">
      <c r="C986" s="374"/>
      <c r="D986" s="375"/>
      <c r="E986" s="73"/>
      <c r="F986" s="73"/>
      <c r="G986" s="376"/>
      <c r="H986" s="73"/>
      <c r="I986" s="73"/>
      <c r="J986" s="73"/>
      <c r="K986" s="377"/>
      <c r="L986" s="378"/>
      <c r="M986" s="73"/>
    </row>
    <row r="987" spans="3:13">
      <c r="C987" s="374"/>
      <c r="D987" s="375"/>
      <c r="E987" s="73"/>
      <c r="F987" s="73"/>
      <c r="G987" s="376"/>
      <c r="H987" s="73"/>
      <c r="I987" s="73"/>
      <c r="J987" s="73"/>
      <c r="K987" s="377"/>
      <c r="L987" s="378"/>
      <c r="M987" s="73"/>
    </row>
    <row r="988" spans="3:13">
      <c r="C988" s="374"/>
      <c r="D988" s="375"/>
      <c r="E988" s="73"/>
      <c r="F988" s="73"/>
      <c r="G988" s="376"/>
      <c r="H988" s="73"/>
      <c r="I988" s="73"/>
      <c r="J988" s="73"/>
      <c r="K988" s="377"/>
      <c r="L988" s="378"/>
      <c r="M988" s="73"/>
    </row>
    <row r="989" spans="3:13">
      <c r="C989" s="374"/>
      <c r="D989" s="375"/>
      <c r="E989" s="73"/>
      <c r="F989" s="73"/>
      <c r="G989" s="376"/>
      <c r="H989" s="73"/>
      <c r="I989" s="73"/>
      <c r="J989" s="73"/>
      <c r="K989" s="377"/>
      <c r="L989" s="378"/>
      <c r="M989" s="73"/>
    </row>
    <row r="990" spans="3:13">
      <c r="C990" s="374"/>
      <c r="D990" s="375"/>
      <c r="E990" s="73"/>
      <c r="F990" s="73"/>
      <c r="G990" s="376"/>
      <c r="H990" s="73"/>
      <c r="I990" s="73"/>
      <c r="J990" s="73"/>
      <c r="K990" s="377"/>
      <c r="L990" s="378"/>
      <c r="M990" s="73"/>
    </row>
    <row r="991" spans="3:13">
      <c r="C991" s="374"/>
      <c r="D991" s="375"/>
      <c r="E991" s="73"/>
      <c r="F991" s="73"/>
      <c r="G991" s="376"/>
      <c r="H991" s="73"/>
      <c r="I991" s="73"/>
      <c r="J991" s="73"/>
      <c r="K991" s="377"/>
      <c r="L991" s="378"/>
      <c r="M991" s="73"/>
    </row>
    <row r="992" spans="3:13">
      <c r="C992" s="374"/>
      <c r="D992" s="375"/>
      <c r="E992" s="73"/>
      <c r="F992" s="73"/>
      <c r="G992" s="376"/>
      <c r="H992" s="73"/>
      <c r="I992" s="73"/>
      <c r="J992" s="73"/>
      <c r="K992" s="377"/>
      <c r="L992" s="378"/>
      <c r="M992" s="73"/>
    </row>
    <row r="993" spans="3:13">
      <c r="C993" s="374"/>
      <c r="D993" s="375"/>
      <c r="E993" s="73"/>
      <c r="F993" s="73"/>
      <c r="G993" s="376"/>
      <c r="H993" s="73"/>
      <c r="I993" s="73"/>
      <c r="J993" s="73"/>
      <c r="K993" s="377"/>
      <c r="L993" s="378"/>
      <c r="M993" s="73"/>
    </row>
    <row r="994" spans="3:13">
      <c r="C994" s="374"/>
      <c r="D994" s="375"/>
      <c r="E994" s="73"/>
      <c r="F994" s="73"/>
      <c r="G994" s="376"/>
      <c r="H994" s="73"/>
      <c r="I994" s="73"/>
      <c r="J994" s="73"/>
      <c r="K994" s="377"/>
      <c r="L994" s="378"/>
      <c r="M994" s="73"/>
    </row>
    <row r="995" spans="3:13">
      <c r="C995" s="374"/>
      <c r="D995" s="375"/>
      <c r="E995" s="73"/>
      <c r="F995" s="73"/>
      <c r="G995" s="376"/>
      <c r="H995" s="73"/>
      <c r="I995" s="73"/>
      <c r="J995" s="73"/>
      <c r="K995" s="377"/>
      <c r="L995" s="378"/>
      <c r="M995" s="73"/>
    </row>
    <row r="996" spans="3:13">
      <c r="C996" s="374"/>
      <c r="D996" s="375"/>
      <c r="E996" s="73"/>
      <c r="F996" s="73"/>
      <c r="G996" s="376"/>
      <c r="H996" s="73"/>
      <c r="I996" s="73"/>
      <c r="J996" s="73"/>
      <c r="K996" s="377"/>
      <c r="L996" s="378"/>
      <c r="M996" s="73"/>
    </row>
    <row r="997" spans="3:13">
      <c r="C997" s="374"/>
      <c r="D997" s="375"/>
      <c r="E997" s="73"/>
      <c r="F997" s="73"/>
      <c r="G997" s="376"/>
      <c r="H997" s="73"/>
      <c r="I997" s="73"/>
      <c r="J997" s="73"/>
      <c r="K997" s="377"/>
      <c r="L997" s="378"/>
      <c r="M997" s="73"/>
    </row>
    <row r="998" spans="3:13">
      <c r="C998" s="374"/>
      <c r="D998" s="375"/>
      <c r="E998" s="73"/>
      <c r="F998" s="73"/>
      <c r="G998" s="376"/>
      <c r="H998" s="73"/>
      <c r="I998" s="73"/>
      <c r="J998" s="73"/>
      <c r="K998" s="377"/>
      <c r="L998" s="378"/>
      <c r="M998" s="73"/>
    </row>
    <row r="999" spans="3:13">
      <c r="C999" s="374"/>
      <c r="D999" s="375"/>
      <c r="E999" s="73"/>
      <c r="F999" s="73"/>
      <c r="G999" s="376"/>
      <c r="H999" s="73"/>
      <c r="I999" s="73"/>
      <c r="J999" s="73"/>
      <c r="K999" s="377"/>
      <c r="L999" s="378"/>
      <c r="M999" s="73"/>
    </row>
    <row r="1000" spans="3:13">
      <c r="C1000" s="374"/>
      <c r="D1000" s="375"/>
      <c r="E1000" s="73"/>
      <c r="F1000" s="73"/>
      <c r="G1000" s="376"/>
      <c r="H1000" s="73"/>
      <c r="I1000" s="73"/>
      <c r="J1000" s="73"/>
      <c r="K1000" s="377"/>
      <c r="L1000" s="378"/>
      <c r="M1000" s="73"/>
    </row>
    <row r="1001" spans="3:13">
      <c r="C1001" s="374"/>
      <c r="D1001" s="375"/>
      <c r="E1001" s="73"/>
      <c r="F1001" s="73"/>
      <c r="G1001" s="376"/>
      <c r="H1001" s="73"/>
      <c r="I1001" s="73"/>
      <c r="J1001" s="73"/>
      <c r="K1001" s="377"/>
      <c r="L1001" s="378"/>
      <c r="M1001" s="73"/>
    </row>
    <row r="1002" spans="3:13">
      <c r="C1002" s="374"/>
      <c r="D1002" s="375"/>
      <c r="E1002" s="73"/>
      <c r="F1002" s="73"/>
      <c r="G1002" s="376"/>
      <c r="H1002" s="73"/>
      <c r="I1002" s="73"/>
      <c r="J1002" s="73"/>
      <c r="K1002" s="377"/>
      <c r="L1002" s="378"/>
      <c r="M1002" s="73"/>
    </row>
    <row r="1003" spans="3:13">
      <c r="C1003" s="374"/>
      <c r="D1003" s="375"/>
      <c r="E1003" s="73"/>
      <c r="F1003" s="73"/>
      <c r="G1003" s="376"/>
      <c r="H1003" s="73"/>
      <c r="I1003" s="73"/>
      <c r="J1003" s="73"/>
      <c r="K1003" s="377"/>
      <c r="L1003" s="378"/>
      <c r="M1003" s="73"/>
    </row>
    <row r="1004" spans="3:13">
      <c r="C1004" s="374"/>
      <c r="D1004" s="375"/>
      <c r="E1004" s="73"/>
      <c r="F1004" s="73"/>
      <c r="G1004" s="376"/>
      <c r="H1004" s="73"/>
      <c r="I1004" s="73"/>
      <c r="J1004" s="73"/>
      <c r="K1004" s="377"/>
      <c r="L1004" s="378"/>
      <c r="M1004" s="73"/>
    </row>
    <row r="1005" spans="3:13">
      <c r="C1005" s="374"/>
      <c r="D1005" s="375"/>
      <c r="E1005" s="73"/>
      <c r="F1005" s="73"/>
      <c r="G1005" s="376"/>
      <c r="H1005" s="73"/>
      <c r="I1005" s="73"/>
      <c r="J1005" s="73"/>
      <c r="K1005" s="377"/>
      <c r="L1005" s="378"/>
      <c r="M1005" s="73"/>
    </row>
    <row r="1006" spans="3:13">
      <c r="C1006" s="374"/>
      <c r="D1006" s="375"/>
      <c r="E1006" s="73"/>
      <c r="F1006" s="73"/>
      <c r="G1006" s="376"/>
      <c r="H1006" s="73"/>
      <c r="I1006" s="73"/>
      <c r="J1006" s="73"/>
      <c r="K1006" s="377"/>
      <c r="L1006" s="378"/>
      <c r="M1006" s="73"/>
    </row>
    <row r="1007" spans="3:13">
      <c r="C1007" s="374"/>
      <c r="D1007" s="375"/>
      <c r="E1007" s="73"/>
      <c r="F1007" s="73"/>
      <c r="G1007" s="376"/>
      <c r="H1007" s="73"/>
      <c r="I1007" s="73"/>
      <c r="J1007" s="73"/>
      <c r="K1007" s="377"/>
      <c r="L1007" s="378"/>
      <c r="M1007" s="73"/>
    </row>
    <row r="1008" spans="3:13">
      <c r="C1008" s="374"/>
      <c r="D1008" s="375"/>
      <c r="E1008" s="73"/>
      <c r="F1008" s="73"/>
      <c r="G1008" s="376"/>
      <c r="H1008" s="73"/>
      <c r="I1008" s="73"/>
      <c r="J1008" s="73"/>
      <c r="K1008" s="377"/>
      <c r="L1008" s="378"/>
      <c r="M1008" s="73"/>
    </row>
    <row r="1009" spans="3:13">
      <c r="C1009" s="374"/>
      <c r="D1009" s="375"/>
      <c r="E1009" s="73"/>
      <c r="F1009" s="73"/>
      <c r="G1009" s="376"/>
      <c r="H1009" s="73"/>
      <c r="I1009" s="73"/>
      <c r="J1009" s="73"/>
      <c r="K1009" s="377"/>
      <c r="L1009" s="378"/>
      <c r="M1009" s="73"/>
    </row>
    <row r="1010" spans="3:13">
      <c r="C1010" s="374"/>
      <c r="D1010" s="375"/>
      <c r="E1010" s="73"/>
      <c r="F1010" s="73"/>
      <c r="G1010" s="376"/>
      <c r="H1010" s="73"/>
      <c r="I1010" s="73"/>
      <c r="J1010" s="73"/>
      <c r="K1010" s="377"/>
      <c r="L1010" s="378"/>
      <c r="M1010" s="73"/>
    </row>
    <row r="1011" spans="3:13">
      <c r="C1011" s="374"/>
      <c r="D1011" s="375"/>
      <c r="E1011" s="73"/>
      <c r="F1011" s="73"/>
      <c r="G1011" s="376"/>
      <c r="H1011" s="73"/>
      <c r="I1011" s="73"/>
      <c r="J1011" s="73"/>
      <c r="K1011" s="377"/>
      <c r="L1011" s="378"/>
      <c r="M1011" s="73"/>
    </row>
    <row r="1012" spans="3:13">
      <c r="C1012" s="374"/>
      <c r="D1012" s="375"/>
      <c r="E1012" s="73"/>
      <c r="F1012" s="73"/>
      <c r="G1012" s="376"/>
      <c r="H1012" s="73"/>
      <c r="I1012" s="73"/>
      <c r="J1012" s="73"/>
      <c r="K1012" s="377"/>
      <c r="L1012" s="378"/>
      <c r="M1012" s="73"/>
    </row>
    <row r="1013" spans="3:13">
      <c r="C1013" s="374"/>
      <c r="D1013" s="375"/>
      <c r="E1013" s="73"/>
      <c r="F1013" s="73"/>
      <c r="G1013" s="376"/>
      <c r="H1013" s="73"/>
      <c r="I1013" s="73"/>
      <c r="J1013" s="73"/>
      <c r="K1013" s="377"/>
      <c r="L1013" s="378"/>
      <c r="M1013" s="73"/>
    </row>
    <row r="1014" spans="3:13">
      <c r="C1014" s="374"/>
      <c r="D1014" s="375"/>
      <c r="E1014" s="73"/>
      <c r="F1014" s="73"/>
      <c r="G1014" s="376"/>
      <c r="H1014" s="73"/>
      <c r="I1014" s="73"/>
      <c r="J1014" s="73"/>
      <c r="K1014" s="377"/>
      <c r="L1014" s="378"/>
      <c r="M1014" s="73"/>
    </row>
    <row r="1015" spans="3:13">
      <c r="C1015" s="374"/>
      <c r="D1015" s="375"/>
      <c r="E1015" s="73"/>
      <c r="F1015" s="73"/>
      <c r="G1015" s="376"/>
      <c r="H1015" s="73"/>
      <c r="I1015" s="73"/>
      <c r="J1015" s="73"/>
      <c r="K1015" s="377"/>
      <c r="L1015" s="378"/>
      <c r="M1015" s="73"/>
    </row>
    <row r="1016" spans="3:13">
      <c r="C1016" s="374"/>
      <c r="D1016" s="375"/>
      <c r="E1016" s="73"/>
      <c r="F1016" s="73"/>
      <c r="G1016" s="376"/>
      <c r="H1016" s="73"/>
      <c r="I1016" s="73"/>
      <c r="J1016" s="73"/>
      <c r="K1016" s="377"/>
      <c r="L1016" s="378"/>
      <c r="M1016" s="73"/>
    </row>
    <row r="1017" spans="3:13">
      <c r="C1017" s="374"/>
      <c r="D1017" s="375"/>
      <c r="E1017" s="73"/>
      <c r="F1017" s="73"/>
      <c r="G1017" s="376"/>
      <c r="H1017" s="73"/>
      <c r="I1017" s="73"/>
      <c r="J1017" s="73"/>
      <c r="K1017" s="377"/>
      <c r="L1017" s="378"/>
      <c r="M1017" s="73"/>
    </row>
    <row r="1018" spans="3:13">
      <c r="C1018" s="374"/>
      <c r="D1018" s="375"/>
      <c r="E1018" s="73"/>
      <c r="F1018" s="73"/>
      <c r="G1018" s="376"/>
      <c r="H1018" s="73"/>
      <c r="I1018" s="73"/>
      <c r="J1018" s="73"/>
      <c r="K1018" s="377"/>
      <c r="L1018" s="378"/>
      <c r="M1018" s="73"/>
    </row>
    <row r="1019" spans="3:13">
      <c r="C1019" s="374"/>
      <c r="D1019" s="375"/>
      <c r="E1019" s="73"/>
      <c r="F1019" s="73"/>
      <c r="G1019" s="376"/>
      <c r="H1019" s="73"/>
      <c r="I1019" s="73"/>
      <c r="J1019" s="73"/>
      <c r="K1019" s="377"/>
      <c r="L1019" s="378"/>
      <c r="M1019" s="73"/>
    </row>
    <row r="1020" spans="3:13">
      <c r="C1020" s="374"/>
      <c r="D1020" s="375"/>
      <c r="E1020" s="73"/>
      <c r="F1020" s="73"/>
      <c r="G1020" s="376"/>
      <c r="H1020" s="73"/>
      <c r="I1020" s="73"/>
      <c r="J1020" s="73"/>
      <c r="K1020" s="377"/>
      <c r="L1020" s="378"/>
      <c r="M1020" s="73"/>
    </row>
    <row r="1021" spans="3:13">
      <c r="C1021" s="374"/>
      <c r="D1021" s="375"/>
      <c r="E1021" s="73"/>
      <c r="F1021" s="73"/>
      <c r="G1021" s="376"/>
      <c r="H1021" s="73"/>
      <c r="I1021" s="73"/>
      <c r="J1021" s="73"/>
      <c r="K1021" s="377"/>
      <c r="L1021" s="378"/>
      <c r="M1021" s="73"/>
    </row>
    <row r="1022" spans="3:13">
      <c r="C1022" s="374"/>
      <c r="D1022" s="375"/>
      <c r="E1022" s="73"/>
      <c r="F1022" s="73"/>
      <c r="G1022" s="376"/>
      <c r="H1022" s="73"/>
      <c r="I1022" s="73"/>
      <c r="J1022" s="73"/>
      <c r="K1022" s="377"/>
      <c r="L1022" s="378"/>
      <c r="M1022" s="73"/>
    </row>
    <row r="1023" spans="3:13">
      <c r="C1023" s="374"/>
      <c r="D1023" s="375"/>
      <c r="E1023" s="73"/>
      <c r="F1023" s="73"/>
      <c r="G1023" s="376"/>
      <c r="H1023" s="73"/>
      <c r="I1023" s="73"/>
      <c r="J1023" s="73"/>
      <c r="K1023" s="377"/>
      <c r="L1023" s="378"/>
      <c r="M1023" s="73"/>
    </row>
    <row r="1024" spans="3:13">
      <c r="C1024" s="374"/>
      <c r="D1024" s="375"/>
      <c r="E1024" s="73"/>
      <c r="F1024" s="73"/>
      <c r="G1024" s="376"/>
      <c r="H1024" s="73"/>
      <c r="I1024" s="73"/>
      <c r="J1024" s="73"/>
      <c r="K1024" s="377"/>
      <c r="L1024" s="378"/>
      <c r="M1024" s="73"/>
    </row>
    <row r="1025" spans="3:13">
      <c r="C1025" s="374"/>
      <c r="D1025" s="375"/>
      <c r="E1025" s="73"/>
      <c r="F1025" s="73"/>
      <c r="G1025" s="376"/>
      <c r="H1025" s="73"/>
      <c r="I1025" s="73"/>
      <c r="J1025" s="73"/>
      <c r="K1025" s="377"/>
      <c r="L1025" s="378"/>
      <c r="M1025" s="73"/>
    </row>
    <row r="1026" spans="3:13">
      <c r="C1026" s="374"/>
      <c r="D1026" s="375"/>
      <c r="E1026" s="73"/>
      <c r="F1026" s="73"/>
      <c r="G1026" s="376"/>
      <c r="H1026" s="73"/>
      <c r="I1026" s="73"/>
      <c r="J1026" s="73"/>
      <c r="K1026" s="377"/>
      <c r="L1026" s="378"/>
      <c r="M1026" s="73"/>
    </row>
    <row r="1027" spans="3:13">
      <c r="C1027" s="374"/>
      <c r="D1027" s="375"/>
      <c r="E1027" s="73"/>
      <c r="F1027" s="73"/>
      <c r="G1027" s="376"/>
      <c r="H1027" s="73"/>
      <c r="I1027" s="73"/>
      <c r="J1027" s="73"/>
      <c r="K1027" s="377"/>
      <c r="L1027" s="378"/>
      <c r="M1027" s="73"/>
    </row>
    <row r="1028" spans="3:13">
      <c r="C1028" s="374"/>
      <c r="D1028" s="375"/>
      <c r="E1028" s="73"/>
      <c r="F1028" s="73"/>
      <c r="G1028" s="376"/>
      <c r="H1028" s="73"/>
      <c r="I1028" s="73"/>
      <c r="J1028" s="73"/>
      <c r="K1028" s="377"/>
      <c r="L1028" s="378"/>
      <c r="M1028" s="73"/>
    </row>
    <row r="1029" spans="3:13">
      <c r="C1029" s="374"/>
      <c r="D1029" s="375"/>
      <c r="E1029" s="73"/>
      <c r="F1029" s="73"/>
      <c r="G1029" s="376"/>
      <c r="H1029" s="73"/>
      <c r="I1029" s="73"/>
      <c r="J1029" s="73"/>
      <c r="K1029" s="377"/>
      <c r="L1029" s="378"/>
      <c r="M1029" s="73"/>
    </row>
    <row r="1030" spans="3:13">
      <c r="C1030" s="374"/>
      <c r="D1030" s="375"/>
      <c r="E1030" s="73"/>
      <c r="F1030" s="73"/>
      <c r="G1030" s="376"/>
      <c r="H1030" s="73"/>
      <c r="I1030" s="73"/>
      <c r="J1030" s="73"/>
      <c r="K1030" s="377"/>
      <c r="L1030" s="378"/>
      <c r="M1030" s="73"/>
    </row>
    <row r="1031" spans="3:13">
      <c r="C1031" s="374"/>
      <c r="D1031" s="375"/>
      <c r="E1031" s="73"/>
      <c r="F1031" s="73"/>
      <c r="G1031" s="376"/>
      <c r="H1031" s="73"/>
      <c r="I1031" s="73"/>
      <c r="J1031" s="73"/>
      <c r="K1031" s="377"/>
      <c r="L1031" s="378"/>
      <c r="M1031" s="73"/>
    </row>
    <row r="1032" spans="3:13">
      <c r="C1032" s="374"/>
      <c r="D1032" s="375"/>
      <c r="E1032" s="73"/>
      <c r="F1032" s="73"/>
      <c r="G1032" s="376"/>
      <c r="H1032" s="73"/>
      <c r="I1032" s="73"/>
      <c r="J1032" s="73"/>
      <c r="K1032" s="377"/>
      <c r="L1032" s="378"/>
      <c r="M1032" s="73"/>
    </row>
    <row r="1033" spans="3:13">
      <c r="C1033" s="374"/>
      <c r="D1033" s="375"/>
      <c r="E1033" s="73"/>
      <c r="F1033" s="73"/>
      <c r="G1033" s="376"/>
      <c r="H1033" s="73"/>
      <c r="I1033" s="73"/>
      <c r="J1033" s="73"/>
      <c r="K1033" s="377"/>
      <c r="L1033" s="378"/>
      <c r="M1033" s="73"/>
    </row>
    <row r="1034" spans="3:13">
      <c r="C1034" s="374"/>
      <c r="D1034" s="375"/>
      <c r="E1034" s="73"/>
      <c r="F1034" s="73"/>
      <c r="G1034" s="376"/>
      <c r="H1034" s="73"/>
      <c r="I1034" s="73"/>
      <c r="J1034" s="73"/>
      <c r="K1034" s="377"/>
      <c r="L1034" s="378"/>
      <c r="M1034" s="73"/>
    </row>
    <row r="1035" spans="3:13">
      <c r="C1035" s="374"/>
      <c r="D1035" s="375"/>
      <c r="E1035" s="73"/>
      <c r="F1035" s="73"/>
      <c r="G1035" s="376"/>
      <c r="H1035" s="73"/>
      <c r="I1035" s="73"/>
      <c r="J1035" s="73"/>
      <c r="K1035" s="377"/>
      <c r="L1035" s="378"/>
      <c r="M1035" s="73"/>
    </row>
    <row r="1036" spans="3:13">
      <c r="C1036" s="374"/>
      <c r="D1036" s="375"/>
      <c r="E1036" s="73"/>
      <c r="F1036" s="73"/>
      <c r="G1036" s="376"/>
      <c r="H1036" s="73"/>
      <c r="I1036" s="73"/>
      <c r="J1036" s="73"/>
      <c r="K1036" s="377"/>
      <c r="L1036" s="378"/>
      <c r="M1036" s="73"/>
    </row>
    <row r="1037" spans="3:13">
      <c r="C1037" s="374"/>
      <c r="D1037" s="375"/>
      <c r="E1037" s="73"/>
      <c r="F1037" s="73"/>
      <c r="G1037" s="376"/>
      <c r="H1037" s="73"/>
      <c r="I1037" s="73"/>
      <c r="J1037" s="73"/>
      <c r="K1037" s="377"/>
      <c r="L1037" s="378"/>
      <c r="M1037" s="73"/>
    </row>
    <row r="1038" spans="3:13">
      <c r="C1038" s="374"/>
      <c r="D1038" s="375"/>
      <c r="E1038" s="73"/>
      <c r="F1038" s="73"/>
      <c r="G1038" s="376"/>
      <c r="H1038" s="73"/>
      <c r="I1038" s="73"/>
      <c r="J1038" s="73"/>
      <c r="K1038" s="377"/>
      <c r="L1038" s="378"/>
      <c r="M1038" s="73"/>
    </row>
    <row r="1039" spans="3:13">
      <c r="C1039" s="374"/>
      <c r="D1039" s="375"/>
      <c r="E1039" s="73"/>
      <c r="F1039" s="73"/>
      <c r="G1039" s="376"/>
      <c r="H1039" s="73"/>
      <c r="I1039" s="73"/>
      <c r="J1039" s="73"/>
      <c r="K1039" s="377"/>
      <c r="L1039" s="378"/>
      <c r="M1039" s="73"/>
    </row>
    <row r="1040" spans="3:13">
      <c r="C1040" s="374"/>
      <c r="D1040" s="375"/>
      <c r="E1040" s="73"/>
      <c r="F1040" s="73"/>
      <c r="G1040" s="376"/>
      <c r="H1040" s="73"/>
      <c r="I1040" s="73"/>
      <c r="J1040" s="73"/>
      <c r="K1040" s="377"/>
      <c r="L1040" s="378"/>
      <c r="M1040" s="73"/>
    </row>
    <row r="1041" spans="3:13">
      <c r="C1041" s="374"/>
      <c r="D1041" s="375"/>
      <c r="E1041" s="73"/>
      <c r="F1041" s="73"/>
      <c r="G1041" s="376"/>
      <c r="H1041" s="73"/>
      <c r="I1041" s="73"/>
      <c r="J1041" s="73"/>
      <c r="K1041" s="377"/>
      <c r="L1041" s="378"/>
      <c r="M1041" s="73"/>
    </row>
    <row r="1042" spans="3:13">
      <c r="C1042" s="374"/>
      <c r="D1042" s="375"/>
      <c r="E1042" s="73"/>
      <c r="F1042" s="73"/>
      <c r="G1042" s="376"/>
      <c r="H1042" s="73"/>
      <c r="I1042" s="73"/>
      <c r="J1042" s="73"/>
      <c r="K1042" s="377"/>
      <c r="L1042" s="378"/>
      <c r="M1042" s="73"/>
    </row>
    <row r="1043" spans="3:13">
      <c r="C1043" s="374"/>
      <c r="D1043" s="375"/>
      <c r="E1043" s="73"/>
      <c r="F1043" s="73"/>
      <c r="G1043" s="376"/>
      <c r="H1043" s="73"/>
      <c r="I1043" s="73"/>
      <c r="J1043" s="73"/>
      <c r="K1043" s="377"/>
      <c r="L1043" s="378"/>
      <c r="M1043" s="73"/>
    </row>
    <row r="1044" spans="3:13">
      <c r="C1044" s="374"/>
      <c r="D1044" s="375"/>
      <c r="E1044" s="73"/>
      <c r="F1044" s="73"/>
      <c r="G1044" s="376"/>
      <c r="H1044" s="73"/>
      <c r="I1044" s="73"/>
      <c r="J1044" s="73"/>
      <c r="K1044" s="377"/>
      <c r="L1044" s="378"/>
      <c r="M1044" s="73"/>
    </row>
    <row r="1045" spans="3:13">
      <c r="C1045" s="374"/>
      <c r="D1045" s="375"/>
      <c r="E1045" s="73"/>
      <c r="F1045" s="73"/>
      <c r="G1045" s="376"/>
      <c r="H1045" s="73"/>
      <c r="I1045" s="73"/>
      <c r="J1045" s="73"/>
      <c r="K1045" s="377"/>
      <c r="L1045" s="378"/>
      <c r="M1045" s="73"/>
    </row>
    <row r="1046" spans="3:13">
      <c r="C1046" s="374"/>
      <c r="D1046" s="375"/>
      <c r="E1046" s="73"/>
      <c r="F1046" s="73"/>
      <c r="G1046" s="376"/>
      <c r="H1046" s="73"/>
      <c r="I1046" s="73"/>
      <c r="J1046" s="73"/>
      <c r="K1046" s="377"/>
      <c r="L1046" s="378"/>
      <c r="M1046" s="73"/>
    </row>
    <row r="1047" spans="3:13">
      <c r="C1047" s="374"/>
      <c r="D1047" s="375"/>
      <c r="E1047" s="73"/>
      <c r="F1047" s="73"/>
      <c r="G1047" s="376"/>
      <c r="H1047" s="73"/>
      <c r="I1047" s="73"/>
      <c r="J1047" s="73"/>
      <c r="K1047" s="377"/>
      <c r="L1047" s="378"/>
      <c r="M1047" s="73"/>
    </row>
    <row r="1048" spans="3:13">
      <c r="C1048" s="374"/>
      <c r="D1048" s="375"/>
      <c r="E1048" s="73"/>
      <c r="F1048" s="73"/>
      <c r="G1048" s="376"/>
      <c r="H1048" s="73"/>
      <c r="I1048" s="73"/>
      <c r="J1048" s="73"/>
      <c r="K1048" s="377"/>
      <c r="L1048" s="378"/>
      <c r="M1048" s="73"/>
    </row>
    <row r="1049" spans="3:13">
      <c r="C1049" s="374"/>
      <c r="D1049" s="375"/>
      <c r="E1049" s="73"/>
      <c r="F1049" s="73"/>
      <c r="G1049" s="376"/>
      <c r="H1049" s="73"/>
      <c r="I1049" s="73"/>
      <c r="J1049" s="73"/>
      <c r="K1049" s="377"/>
      <c r="L1049" s="378"/>
      <c r="M1049" s="73"/>
    </row>
    <row r="1050" spans="3:13">
      <c r="C1050" s="374"/>
      <c r="D1050" s="375"/>
      <c r="E1050" s="73"/>
      <c r="F1050" s="73"/>
      <c r="G1050" s="376"/>
      <c r="H1050" s="73"/>
      <c r="I1050" s="73"/>
      <c r="J1050" s="73"/>
      <c r="K1050" s="377"/>
      <c r="L1050" s="378"/>
      <c r="M1050" s="73"/>
    </row>
    <row r="1051" spans="3:13">
      <c r="C1051" s="374"/>
      <c r="D1051" s="375"/>
      <c r="E1051" s="73"/>
      <c r="F1051" s="73"/>
      <c r="G1051" s="376"/>
      <c r="H1051" s="73"/>
      <c r="I1051" s="73"/>
      <c r="J1051" s="73"/>
      <c r="K1051" s="377"/>
      <c r="L1051" s="378"/>
      <c r="M1051" s="73"/>
    </row>
    <row r="1052" spans="3:13">
      <c r="C1052" s="374"/>
      <c r="D1052" s="375"/>
      <c r="E1052" s="73"/>
      <c r="F1052" s="73"/>
      <c r="G1052" s="376"/>
      <c r="H1052" s="73"/>
      <c r="I1052" s="73"/>
      <c r="J1052" s="73"/>
      <c r="K1052" s="377"/>
      <c r="L1052" s="378"/>
      <c r="M1052" s="73"/>
    </row>
    <row r="1053" spans="3:13">
      <c r="C1053" s="374"/>
      <c r="D1053" s="375"/>
      <c r="E1053" s="73"/>
      <c r="F1053" s="73"/>
      <c r="G1053" s="376"/>
      <c r="H1053" s="73"/>
      <c r="I1053" s="73"/>
      <c r="J1053" s="73"/>
      <c r="K1053" s="377"/>
      <c r="L1053" s="378"/>
      <c r="M1053" s="73"/>
    </row>
    <row r="1054" spans="3:13">
      <c r="C1054" s="374"/>
      <c r="D1054" s="375"/>
      <c r="E1054" s="73"/>
      <c r="F1054" s="73"/>
      <c r="G1054" s="376"/>
      <c r="H1054" s="73"/>
      <c r="I1054" s="73"/>
      <c r="J1054" s="73"/>
      <c r="K1054" s="377"/>
      <c r="L1054" s="378"/>
      <c r="M1054" s="73"/>
    </row>
    <row r="1055" spans="3:13">
      <c r="C1055" s="374"/>
      <c r="D1055" s="375"/>
      <c r="E1055" s="73"/>
      <c r="F1055" s="73"/>
      <c r="G1055" s="376"/>
      <c r="H1055" s="73"/>
      <c r="I1055" s="73"/>
      <c r="J1055" s="73"/>
      <c r="K1055" s="377"/>
      <c r="L1055" s="378"/>
      <c r="M1055" s="73"/>
    </row>
    <row r="1056" spans="3:13">
      <c r="C1056" s="374"/>
      <c r="D1056" s="375"/>
      <c r="E1056" s="73"/>
      <c r="F1056" s="73"/>
      <c r="G1056" s="376"/>
      <c r="H1056" s="73"/>
      <c r="I1056" s="73"/>
      <c r="J1056" s="73"/>
      <c r="K1056" s="377"/>
      <c r="L1056" s="378"/>
      <c r="M1056" s="73"/>
    </row>
    <row r="1057" spans="3:13">
      <c r="C1057" s="374"/>
      <c r="D1057" s="375"/>
      <c r="E1057" s="73"/>
      <c r="F1057" s="73"/>
      <c r="G1057" s="376"/>
      <c r="H1057" s="73"/>
      <c r="I1057" s="73"/>
      <c r="J1057" s="73"/>
      <c r="K1057" s="377"/>
      <c r="L1057" s="378"/>
      <c r="M1057" s="73"/>
    </row>
    <row r="1058" spans="3:13">
      <c r="C1058" s="374"/>
      <c r="D1058" s="375"/>
      <c r="E1058" s="73"/>
      <c r="F1058" s="73"/>
      <c r="G1058" s="376"/>
      <c r="H1058" s="73"/>
      <c r="I1058" s="73"/>
      <c r="J1058" s="73"/>
      <c r="K1058" s="377"/>
      <c r="L1058" s="378"/>
      <c r="M1058" s="73"/>
    </row>
    <row r="1059" spans="3:13">
      <c r="C1059" s="374"/>
      <c r="D1059" s="375"/>
      <c r="E1059" s="73"/>
      <c r="F1059" s="73"/>
      <c r="G1059" s="376"/>
      <c r="H1059" s="73"/>
      <c r="I1059" s="73"/>
      <c r="J1059" s="73"/>
      <c r="K1059" s="377"/>
      <c r="L1059" s="378"/>
      <c r="M1059" s="73"/>
    </row>
    <row r="1060" spans="3:13">
      <c r="C1060" s="374"/>
      <c r="D1060" s="375"/>
      <c r="E1060" s="73"/>
      <c r="F1060" s="73"/>
      <c r="G1060" s="376"/>
      <c r="H1060" s="73"/>
      <c r="I1060" s="73"/>
      <c r="J1060" s="73"/>
      <c r="K1060" s="377"/>
      <c r="L1060" s="378"/>
      <c r="M1060" s="73"/>
    </row>
    <row r="1061" spans="3:13">
      <c r="C1061" s="374"/>
      <c r="D1061" s="375"/>
      <c r="E1061" s="73"/>
      <c r="F1061" s="73"/>
      <c r="G1061" s="376"/>
      <c r="H1061" s="73"/>
      <c r="I1061" s="73"/>
      <c r="J1061" s="73"/>
      <c r="K1061" s="377"/>
      <c r="L1061" s="378"/>
      <c r="M1061" s="73"/>
    </row>
    <row r="1062" spans="3:13">
      <c r="C1062" s="374"/>
      <c r="D1062" s="375"/>
      <c r="E1062" s="73"/>
      <c r="F1062" s="73"/>
      <c r="G1062" s="376"/>
      <c r="H1062" s="73"/>
      <c r="I1062" s="73"/>
      <c r="J1062" s="73"/>
      <c r="K1062" s="377"/>
      <c r="L1062" s="378"/>
      <c r="M1062" s="73"/>
    </row>
    <row r="1063" spans="3:13">
      <c r="C1063" s="374"/>
      <c r="D1063" s="375"/>
      <c r="E1063" s="73"/>
      <c r="F1063" s="73"/>
      <c r="G1063" s="376"/>
      <c r="H1063" s="73"/>
      <c r="I1063" s="73"/>
      <c r="J1063" s="73"/>
      <c r="K1063" s="377"/>
      <c r="L1063" s="378"/>
      <c r="M1063" s="73"/>
    </row>
    <row r="1064" spans="3:13">
      <c r="C1064" s="374"/>
      <c r="D1064" s="375"/>
      <c r="E1064" s="73"/>
      <c r="F1064" s="73"/>
      <c r="G1064" s="376"/>
      <c r="H1064" s="73"/>
      <c r="I1064" s="73"/>
      <c r="J1064" s="73"/>
      <c r="K1064" s="377"/>
      <c r="L1064" s="378"/>
      <c r="M1064" s="73"/>
    </row>
    <row r="1065" spans="3:13">
      <c r="C1065" s="374"/>
      <c r="D1065" s="375"/>
      <c r="E1065" s="73"/>
      <c r="F1065" s="73"/>
      <c r="G1065" s="376"/>
      <c r="H1065" s="73"/>
      <c r="I1065" s="73"/>
      <c r="J1065" s="73"/>
      <c r="K1065" s="377"/>
      <c r="L1065" s="378"/>
      <c r="M1065" s="73"/>
    </row>
    <row r="1066" spans="3:13">
      <c r="C1066" s="374"/>
      <c r="D1066" s="375"/>
      <c r="E1066" s="73"/>
      <c r="F1066" s="73"/>
      <c r="G1066" s="376"/>
      <c r="H1066" s="73"/>
      <c r="I1066" s="73"/>
      <c r="J1066" s="73"/>
      <c r="K1066" s="377"/>
      <c r="L1066" s="378"/>
      <c r="M1066" s="73"/>
    </row>
    <row r="1067" spans="3:13">
      <c r="C1067" s="374"/>
      <c r="D1067" s="375"/>
      <c r="E1067" s="73"/>
      <c r="F1067" s="73"/>
      <c r="G1067" s="376"/>
      <c r="H1067" s="73"/>
      <c r="I1067" s="73"/>
      <c r="J1067" s="73"/>
      <c r="K1067" s="377"/>
      <c r="L1067" s="378"/>
      <c r="M1067" s="73"/>
    </row>
    <row r="1068" spans="3:13">
      <c r="C1068" s="374"/>
      <c r="D1068" s="375"/>
      <c r="E1068" s="73"/>
      <c r="F1068" s="73"/>
      <c r="G1068" s="376"/>
      <c r="H1068" s="73"/>
      <c r="I1068" s="73"/>
      <c r="J1068" s="73"/>
      <c r="K1068" s="377"/>
      <c r="L1068" s="378"/>
      <c r="M1068" s="73"/>
    </row>
    <row r="1069" spans="3:13">
      <c r="C1069" s="374"/>
      <c r="D1069" s="375"/>
      <c r="E1069" s="73"/>
      <c r="F1069" s="73"/>
      <c r="G1069" s="376"/>
      <c r="H1069" s="73"/>
      <c r="I1069" s="73"/>
      <c r="J1069" s="73"/>
      <c r="K1069" s="377"/>
      <c r="L1069" s="378"/>
      <c r="M1069" s="73"/>
    </row>
    <row r="1070" spans="3:13">
      <c r="C1070" s="374"/>
      <c r="D1070" s="375"/>
      <c r="E1070" s="73"/>
      <c r="F1070" s="73"/>
      <c r="G1070" s="376"/>
      <c r="H1070" s="73"/>
      <c r="I1070" s="73"/>
      <c r="J1070" s="73"/>
      <c r="K1070" s="377"/>
      <c r="L1070" s="378"/>
      <c r="M1070" s="73"/>
    </row>
    <row r="1071" spans="3:13">
      <c r="C1071" s="374"/>
      <c r="D1071" s="375"/>
      <c r="E1071" s="73"/>
      <c r="F1071" s="73"/>
      <c r="G1071" s="376"/>
      <c r="H1071" s="73"/>
      <c r="I1071" s="73"/>
      <c r="J1071" s="73"/>
      <c r="K1071" s="377"/>
      <c r="L1071" s="378"/>
      <c r="M1071" s="73"/>
    </row>
    <row r="1072" spans="3:13">
      <c r="C1072" s="374"/>
      <c r="D1072" s="375"/>
      <c r="E1072" s="73"/>
      <c r="F1072" s="73"/>
      <c r="G1072" s="376"/>
      <c r="H1072" s="73"/>
      <c r="I1072" s="73"/>
      <c r="J1072" s="73"/>
      <c r="K1072" s="377"/>
      <c r="L1072" s="378"/>
      <c r="M1072" s="73"/>
    </row>
    <row r="1073" spans="3:13">
      <c r="C1073" s="374"/>
      <c r="D1073" s="375"/>
      <c r="E1073" s="73"/>
      <c r="F1073" s="73"/>
      <c r="G1073" s="376"/>
      <c r="H1073" s="73"/>
      <c r="I1073" s="73"/>
      <c r="J1073" s="73"/>
      <c r="K1073" s="377"/>
      <c r="L1073" s="378"/>
      <c r="M1073" s="73"/>
    </row>
    <row r="1074" spans="3:13">
      <c r="C1074" s="374"/>
      <c r="D1074" s="375"/>
      <c r="E1074" s="73"/>
      <c r="F1074" s="73"/>
      <c r="G1074" s="376"/>
      <c r="H1074" s="73"/>
      <c r="I1074" s="73"/>
      <c r="J1074" s="73"/>
      <c r="K1074" s="377"/>
      <c r="L1074" s="378"/>
      <c r="M1074" s="73"/>
    </row>
    <row r="1075" spans="3:13">
      <c r="C1075" s="374"/>
      <c r="D1075" s="375"/>
      <c r="E1075" s="73"/>
      <c r="F1075" s="73"/>
      <c r="G1075" s="376"/>
      <c r="H1075" s="73"/>
      <c r="I1075" s="73"/>
      <c r="J1075" s="73"/>
      <c r="K1075" s="377"/>
      <c r="L1075" s="378"/>
      <c r="M1075" s="73"/>
    </row>
    <row r="1076" spans="3:13">
      <c r="C1076" s="374"/>
      <c r="D1076" s="375"/>
      <c r="E1076" s="73"/>
      <c r="F1076" s="73"/>
      <c r="G1076" s="376"/>
      <c r="H1076" s="73"/>
      <c r="I1076" s="73"/>
      <c r="J1076" s="73"/>
      <c r="K1076" s="377"/>
      <c r="L1076" s="378"/>
      <c r="M1076" s="73"/>
    </row>
    <row r="1077" spans="3:13">
      <c r="C1077" s="374"/>
      <c r="D1077" s="375"/>
      <c r="E1077" s="73"/>
      <c r="F1077" s="73"/>
      <c r="G1077" s="376"/>
      <c r="H1077" s="73"/>
      <c r="I1077" s="73"/>
      <c r="J1077" s="73"/>
      <c r="K1077" s="377"/>
      <c r="L1077" s="378"/>
      <c r="M1077" s="73"/>
    </row>
    <row r="1078" spans="3:13">
      <c r="C1078" s="374"/>
      <c r="D1078" s="375"/>
      <c r="E1078" s="73"/>
      <c r="F1078" s="73"/>
      <c r="G1078" s="376"/>
      <c r="H1078" s="73"/>
      <c r="I1078" s="73"/>
      <c r="J1078" s="73"/>
      <c r="K1078" s="377"/>
      <c r="L1078" s="378"/>
      <c r="M1078" s="73"/>
    </row>
    <row r="1079" spans="3:13">
      <c r="C1079" s="374"/>
      <c r="D1079" s="375"/>
      <c r="E1079" s="73"/>
      <c r="F1079" s="73"/>
      <c r="G1079" s="376"/>
      <c r="H1079" s="73"/>
      <c r="I1079" s="73"/>
      <c r="J1079" s="73"/>
      <c r="K1079" s="377"/>
      <c r="L1079" s="378"/>
      <c r="M1079" s="73"/>
    </row>
    <row r="1080" spans="3:13">
      <c r="C1080" s="374"/>
      <c r="D1080" s="375"/>
      <c r="E1080" s="73"/>
      <c r="F1080" s="73"/>
      <c r="G1080" s="376"/>
      <c r="H1080" s="73"/>
      <c r="I1080" s="73"/>
      <c r="J1080" s="73"/>
      <c r="K1080" s="377"/>
      <c r="L1080" s="378"/>
      <c r="M1080" s="73"/>
    </row>
    <row r="1081" spans="3:13">
      <c r="C1081" s="374"/>
      <c r="D1081" s="375"/>
      <c r="E1081" s="73"/>
      <c r="F1081" s="73"/>
      <c r="G1081" s="376"/>
      <c r="H1081" s="73"/>
      <c r="I1081" s="73"/>
      <c r="J1081" s="73"/>
      <c r="K1081" s="377"/>
      <c r="L1081" s="378"/>
      <c r="M1081" s="73"/>
    </row>
    <row r="1082" spans="3:13">
      <c r="C1082" s="374"/>
      <c r="D1082" s="375"/>
      <c r="E1082" s="73"/>
      <c r="F1082" s="73"/>
      <c r="G1082" s="376"/>
      <c r="H1082" s="73"/>
      <c r="I1082" s="73"/>
      <c r="J1082" s="73"/>
      <c r="K1082" s="377"/>
      <c r="L1082" s="378"/>
      <c r="M1082" s="73"/>
    </row>
    <row r="1083" spans="3:13">
      <c r="C1083" s="374"/>
      <c r="D1083" s="375"/>
      <c r="E1083" s="73"/>
      <c r="F1083" s="73"/>
      <c r="G1083" s="376"/>
      <c r="H1083" s="73"/>
      <c r="I1083" s="73"/>
      <c r="J1083" s="73"/>
      <c r="K1083" s="377"/>
      <c r="L1083" s="378"/>
      <c r="M1083" s="73"/>
    </row>
    <row r="1084" spans="3:13">
      <c r="C1084" s="374"/>
      <c r="D1084" s="375"/>
      <c r="E1084" s="73"/>
      <c r="F1084" s="73"/>
      <c r="G1084" s="376"/>
      <c r="H1084" s="73"/>
      <c r="I1084" s="73"/>
      <c r="J1084" s="73"/>
      <c r="K1084" s="377"/>
      <c r="L1084" s="378"/>
      <c r="M1084" s="73"/>
    </row>
    <row r="1085" spans="3:13">
      <c r="C1085" s="374"/>
      <c r="D1085" s="375"/>
      <c r="E1085" s="73"/>
      <c r="F1085" s="73"/>
      <c r="G1085" s="376"/>
      <c r="H1085" s="73"/>
      <c r="I1085" s="73"/>
      <c r="J1085" s="73"/>
      <c r="K1085" s="377"/>
      <c r="L1085" s="378"/>
      <c r="M1085" s="73"/>
    </row>
    <row r="1086" spans="3:13">
      <c r="C1086" s="374"/>
      <c r="D1086" s="375"/>
      <c r="E1086" s="73"/>
      <c r="F1086" s="73"/>
      <c r="G1086" s="376"/>
      <c r="H1086" s="73"/>
      <c r="I1086" s="73"/>
      <c r="J1086" s="73"/>
      <c r="K1086" s="377"/>
      <c r="L1086" s="378"/>
      <c r="M1086" s="73"/>
    </row>
    <row r="1087" spans="3:13">
      <c r="C1087" s="374"/>
      <c r="D1087" s="375"/>
      <c r="E1087" s="73"/>
      <c r="F1087" s="73"/>
      <c r="G1087" s="376"/>
      <c r="H1087" s="73"/>
      <c r="I1087" s="73"/>
      <c r="J1087" s="73"/>
      <c r="K1087" s="377"/>
      <c r="L1087" s="378"/>
      <c r="M1087" s="73"/>
    </row>
    <row r="1088" spans="3:13">
      <c r="C1088" s="374"/>
      <c r="D1088" s="375"/>
      <c r="E1088" s="73"/>
      <c r="F1088" s="73"/>
      <c r="G1088" s="376"/>
      <c r="H1088" s="73"/>
      <c r="I1088" s="73"/>
      <c r="J1088" s="73"/>
      <c r="K1088" s="377"/>
      <c r="L1088" s="378"/>
      <c r="M1088" s="73"/>
    </row>
    <row r="1089" spans="3:13">
      <c r="C1089" s="374"/>
      <c r="D1089" s="375"/>
      <c r="E1089" s="73"/>
      <c r="F1089" s="73"/>
      <c r="G1089" s="376"/>
      <c r="H1089" s="73"/>
      <c r="I1089" s="73"/>
      <c r="J1089" s="73"/>
      <c r="K1089" s="377"/>
      <c r="L1089" s="378"/>
      <c r="M1089" s="73"/>
    </row>
    <row r="1090" spans="3:13">
      <c r="C1090" s="374"/>
      <c r="D1090" s="375"/>
      <c r="E1090" s="73"/>
      <c r="F1090" s="73"/>
      <c r="G1090" s="376"/>
      <c r="H1090" s="73"/>
      <c r="I1090" s="73"/>
      <c r="J1090" s="73"/>
      <c r="K1090" s="377"/>
      <c r="L1090" s="378"/>
      <c r="M1090" s="73"/>
    </row>
    <row r="1091" spans="3:13">
      <c r="C1091" s="374"/>
      <c r="D1091" s="375"/>
      <c r="E1091" s="73"/>
      <c r="F1091" s="73"/>
      <c r="G1091" s="376"/>
      <c r="H1091" s="73"/>
      <c r="I1091" s="73"/>
      <c r="J1091" s="73"/>
      <c r="K1091" s="377"/>
      <c r="L1091" s="378"/>
      <c r="M1091" s="73"/>
    </row>
    <row r="1092" spans="3:13">
      <c r="C1092" s="374"/>
      <c r="D1092" s="375"/>
      <c r="E1092" s="73"/>
      <c r="F1092" s="73"/>
      <c r="G1092" s="376"/>
      <c r="H1092" s="73"/>
      <c r="I1092" s="73"/>
      <c r="J1092" s="73"/>
      <c r="K1092" s="377"/>
      <c r="L1092" s="378"/>
      <c r="M1092" s="73"/>
    </row>
    <row r="1093" spans="3:13">
      <c r="C1093" s="374"/>
      <c r="D1093" s="375"/>
      <c r="E1093" s="73"/>
      <c r="F1093" s="73"/>
      <c r="G1093" s="376"/>
      <c r="H1093" s="73"/>
      <c r="I1093" s="73"/>
      <c r="J1093" s="73"/>
      <c r="K1093" s="377"/>
      <c r="L1093" s="378"/>
      <c r="M1093" s="73"/>
    </row>
    <row r="1094" spans="3:13">
      <c r="C1094" s="374"/>
      <c r="D1094" s="375"/>
      <c r="E1094" s="73"/>
      <c r="F1094" s="73"/>
      <c r="G1094" s="376"/>
      <c r="H1094" s="73"/>
      <c r="I1094" s="73"/>
      <c r="J1094" s="73"/>
      <c r="K1094" s="377"/>
      <c r="L1094" s="378"/>
      <c r="M1094" s="73"/>
    </row>
    <row r="1095" spans="3:13">
      <c r="C1095" s="374"/>
      <c r="D1095" s="375"/>
      <c r="E1095" s="73"/>
      <c r="F1095" s="73"/>
      <c r="G1095" s="376"/>
      <c r="H1095" s="73"/>
      <c r="I1095" s="73"/>
      <c r="J1095" s="73"/>
      <c r="K1095" s="377"/>
      <c r="L1095" s="378"/>
      <c r="M1095" s="73"/>
    </row>
    <row r="1096" spans="3:13">
      <c r="C1096" s="374"/>
      <c r="D1096" s="375"/>
      <c r="E1096" s="73"/>
      <c r="F1096" s="73"/>
      <c r="G1096" s="376"/>
      <c r="H1096" s="73"/>
      <c r="I1096" s="73"/>
      <c r="J1096" s="73"/>
      <c r="K1096" s="377"/>
      <c r="L1096" s="378"/>
      <c r="M1096" s="73"/>
    </row>
    <row r="1097" spans="3:13">
      <c r="C1097" s="374"/>
      <c r="D1097" s="375"/>
      <c r="E1097" s="73"/>
      <c r="F1097" s="73"/>
      <c r="G1097" s="376"/>
      <c r="H1097" s="73"/>
      <c r="I1097" s="73"/>
      <c r="J1097" s="73"/>
      <c r="K1097" s="377"/>
      <c r="L1097" s="378"/>
      <c r="M1097" s="73"/>
    </row>
    <row r="1098" spans="3:13">
      <c r="C1098" s="374"/>
      <c r="D1098" s="375"/>
      <c r="E1098" s="73"/>
      <c r="F1098" s="73"/>
      <c r="G1098" s="376"/>
      <c r="H1098" s="73"/>
      <c r="I1098" s="73"/>
      <c r="J1098" s="73"/>
      <c r="K1098" s="377"/>
      <c r="L1098" s="378"/>
      <c r="M1098" s="73"/>
    </row>
    <row r="1099" spans="3:13">
      <c r="C1099" s="374"/>
      <c r="D1099" s="375"/>
      <c r="E1099" s="73"/>
      <c r="F1099" s="73"/>
      <c r="G1099" s="376"/>
      <c r="H1099" s="73"/>
      <c r="I1099" s="73"/>
      <c r="J1099" s="73"/>
      <c r="K1099" s="377"/>
      <c r="L1099" s="378"/>
      <c r="M1099" s="73"/>
    </row>
    <row r="1100" spans="3:13">
      <c r="C1100" s="374"/>
      <c r="D1100" s="375"/>
      <c r="E1100" s="73"/>
      <c r="F1100" s="73"/>
      <c r="G1100" s="376"/>
      <c r="H1100" s="73"/>
      <c r="I1100" s="73"/>
      <c r="J1100" s="73"/>
      <c r="K1100" s="377"/>
      <c r="L1100" s="378"/>
      <c r="M1100" s="73"/>
    </row>
    <row r="1101" spans="3:13">
      <c r="C1101" s="374"/>
      <c r="D1101" s="375"/>
      <c r="E1101" s="73"/>
      <c r="F1101" s="73"/>
      <c r="G1101" s="376"/>
      <c r="H1101" s="73"/>
      <c r="I1101" s="73"/>
      <c r="J1101" s="73"/>
      <c r="K1101" s="377"/>
      <c r="L1101" s="378"/>
      <c r="M1101" s="73"/>
    </row>
    <row r="1102" spans="3:13">
      <c r="C1102" s="374"/>
      <c r="D1102" s="375"/>
      <c r="E1102" s="73"/>
      <c r="F1102" s="73"/>
      <c r="G1102" s="376"/>
      <c r="H1102" s="73"/>
      <c r="I1102" s="73"/>
      <c r="J1102" s="73"/>
      <c r="K1102" s="377"/>
      <c r="L1102" s="378"/>
      <c r="M1102" s="73"/>
    </row>
    <row r="1103" spans="3:13">
      <c r="C1103" s="374"/>
      <c r="D1103" s="375"/>
      <c r="E1103" s="73"/>
      <c r="F1103" s="73"/>
      <c r="G1103" s="376"/>
      <c r="H1103" s="73"/>
      <c r="I1103" s="73"/>
      <c r="J1103" s="73"/>
      <c r="K1103" s="377"/>
      <c r="L1103" s="378"/>
      <c r="M1103" s="73"/>
    </row>
    <row r="1104" spans="3:13">
      <c r="C1104" s="374"/>
      <c r="D1104" s="375"/>
      <c r="E1104" s="73"/>
      <c r="F1104" s="73"/>
      <c r="G1104" s="376"/>
      <c r="H1104" s="73"/>
      <c r="I1104" s="73"/>
      <c r="J1104" s="73"/>
      <c r="K1104" s="377"/>
      <c r="L1104" s="378"/>
      <c r="M1104" s="73"/>
    </row>
    <row r="1105" spans="3:13">
      <c r="C1105" s="374"/>
      <c r="D1105" s="375"/>
      <c r="E1105" s="73"/>
      <c r="F1105" s="73"/>
      <c r="G1105" s="376"/>
      <c r="H1105" s="73"/>
      <c r="I1105" s="73"/>
      <c r="J1105" s="73"/>
      <c r="K1105" s="377"/>
      <c r="L1105" s="378"/>
      <c r="M1105" s="73"/>
    </row>
    <row r="1106" spans="3:13">
      <c r="C1106" s="374"/>
      <c r="D1106" s="375"/>
      <c r="E1106" s="73"/>
      <c r="F1106" s="73"/>
      <c r="G1106" s="376"/>
      <c r="H1106" s="73"/>
      <c r="I1106" s="73"/>
      <c r="J1106" s="73"/>
      <c r="K1106" s="377"/>
      <c r="L1106" s="378"/>
      <c r="M1106" s="73"/>
    </row>
    <row r="1107" spans="3:13">
      <c r="C1107" s="374"/>
      <c r="D1107" s="375"/>
      <c r="E1107" s="73"/>
      <c r="F1107" s="73"/>
      <c r="G1107" s="376"/>
      <c r="H1107" s="73"/>
      <c r="I1107" s="73"/>
      <c r="J1107" s="73"/>
      <c r="K1107" s="377"/>
      <c r="L1107" s="378"/>
      <c r="M1107" s="73"/>
    </row>
    <row r="1108" spans="3:13">
      <c r="C1108" s="374"/>
      <c r="D1108" s="375"/>
      <c r="E1108" s="73"/>
      <c r="F1108" s="73"/>
      <c r="G1108" s="376"/>
      <c r="H1108" s="73"/>
      <c r="I1108" s="73"/>
      <c r="J1108" s="73"/>
      <c r="K1108" s="377"/>
      <c r="L1108" s="378"/>
      <c r="M1108" s="73"/>
    </row>
    <row r="1109" spans="3:13">
      <c r="C1109" s="374"/>
      <c r="D1109" s="375"/>
      <c r="E1109" s="73"/>
      <c r="F1109" s="73"/>
      <c r="G1109" s="376"/>
      <c r="H1109" s="73"/>
      <c r="I1109" s="73"/>
      <c r="J1109" s="73"/>
      <c r="K1109" s="377"/>
      <c r="L1109" s="378"/>
      <c r="M1109" s="73"/>
    </row>
    <row r="1110" spans="3:13">
      <c r="C1110" s="374"/>
      <c r="D1110" s="375"/>
      <c r="E1110" s="73"/>
      <c r="F1110" s="73"/>
      <c r="G1110" s="376"/>
      <c r="H1110" s="73"/>
      <c r="I1110" s="73"/>
      <c r="J1110" s="73"/>
      <c r="K1110" s="377"/>
      <c r="L1110" s="378"/>
      <c r="M1110" s="73"/>
    </row>
    <row r="1111" spans="3:13">
      <c r="C1111" s="374"/>
      <c r="D1111" s="375"/>
      <c r="E1111" s="73"/>
      <c r="F1111" s="73"/>
      <c r="G1111" s="376"/>
      <c r="H1111" s="73"/>
      <c r="I1111" s="73"/>
      <c r="J1111" s="73"/>
      <c r="K1111" s="377"/>
      <c r="L1111" s="378"/>
      <c r="M1111" s="73"/>
    </row>
    <row r="1112" spans="3:13">
      <c r="C1112" s="374"/>
      <c r="D1112" s="375"/>
      <c r="E1112" s="73"/>
      <c r="F1112" s="73"/>
      <c r="G1112" s="376"/>
      <c r="H1112" s="73"/>
      <c r="I1112" s="73"/>
      <c r="J1112" s="73"/>
      <c r="K1112" s="377"/>
      <c r="L1112" s="378"/>
      <c r="M1112" s="73"/>
    </row>
    <row r="1113" spans="3:13">
      <c r="C1113" s="374"/>
      <c r="D1113" s="375"/>
      <c r="E1113" s="73"/>
      <c r="F1113" s="73"/>
      <c r="G1113" s="376"/>
      <c r="H1113" s="73"/>
      <c r="I1113" s="73"/>
      <c r="J1113" s="73"/>
      <c r="K1113" s="377"/>
      <c r="L1113" s="378"/>
      <c r="M1113" s="73"/>
    </row>
    <row r="1114" spans="3:13">
      <c r="C1114" s="374"/>
      <c r="D1114" s="375"/>
      <c r="E1114" s="73"/>
      <c r="F1114" s="73"/>
      <c r="G1114" s="376"/>
      <c r="H1114" s="73"/>
      <c r="I1114" s="73"/>
      <c r="J1114" s="73"/>
      <c r="K1114" s="377"/>
      <c r="L1114" s="378"/>
      <c r="M1114" s="73"/>
    </row>
    <row r="1115" spans="3:13">
      <c r="C1115" s="374"/>
      <c r="D1115" s="375"/>
      <c r="E1115" s="73"/>
      <c r="F1115" s="73"/>
      <c r="G1115" s="376"/>
      <c r="H1115" s="73"/>
      <c r="I1115" s="73"/>
      <c r="J1115" s="73"/>
      <c r="K1115" s="377"/>
      <c r="L1115" s="378"/>
      <c r="M1115" s="73"/>
    </row>
    <row r="1116" spans="3:13">
      <c r="C1116" s="374"/>
      <c r="D1116" s="375"/>
      <c r="E1116" s="73"/>
      <c r="F1116" s="73"/>
      <c r="G1116" s="376"/>
      <c r="H1116" s="73"/>
      <c r="I1116" s="73"/>
      <c r="J1116" s="73"/>
      <c r="K1116" s="377"/>
      <c r="L1116" s="378"/>
      <c r="M1116" s="73"/>
    </row>
    <row r="1117" spans="3:13">
      <c r="C1117" s="374"/>
      <c r="D1117" s="375"/>
      <c r="E1117" s="73"/>
      <c r="F1117" s="73"/>
      <c r="G1117" s="376"/>
      <c r="H1117" s="73"/>
      <c r="I1117" s="73"/>
      <c r="J1117" s="73"/>
      <c r="K1117" s="377"/>
      <c r="L1117" s="378"/>
      <c r="M1117" s="73"/>
    </row>
    <row r="1118" spans="3:13">
      <c r="C1118" s="374"/>
      <c r="D1118" s="375"/>
      <c r="E1118" s="73"/>
      <c r="F1118" s="73"/>
      <c r="G1118" s="376"/>
      <c r="H1118" s="73"/>
      <c r="I1118" s="73"/>
      <c r="J1118" s="73"/>
      <c r="K1118" s="377"/>
      <c r="L1118" s="378"/>
      <c r="M1118" s="73"/>
    </row>
    <row r="1119" spans="3:13">
      <c r="C1119" s="374"/>
      <c r="D1119" s="375"/>
      <c r="E1119" s="73"/>
      <c r="F1119" s="73"/>
      <c r="G1119" s="376"/>
      <c r="H1119" s="73"/>
      <c r="I1119" s="73"/>
      <c r="J1119" s="73"/>
      <c r="K1119" s="377"/>
      <c r="L1119" s="378"/>
      <c r="M1119" s="73"/>
    </row>
    <row r="1120" spans="3:13">
      <c r="C1120" s="374"/>
      <c r="D1120" s="375"/>
      <c r="E1120" s="73"/>
      <c r="F1120" s="73"/>
      <c r="G1120" s="376"/>
      <c r="H1120" s="73"/>
      <c r="I1120" s="73"/>
      <c r="J1120" s="73"/>
      <c r="K1120" s="377"/>
      <c r="L1120" s="378"/>
      <c r="M1120" s="73"/>
    </row>
    <row r="1121" spans="3:13">
      <c r="C1121" s="374"/>
      <c r="D1121" s="375"/>
      <c r="E1121" s="73"/>
      <c r="F1121" s="73"/>
      <c r="G1121" s="376"/>
      <c r="H1121" s="73"/>
      <c r="I1121" s="73"/>
      <c r="J1121" s="73"/>
      <c r="K1121" s="377"/>
      <c r="L1121" s="378"/>
      <c r="M1121" s="73"/>
    </row>
    <row r="1122" spans="3:13">
      <c r="C1122" s="374"/>
      <c r="D1122" s="375"/>
      <c r="E1122" s="73"/>
      <c r="F1122" s="73"/>
      <c r="G1122" s="376"/>
      <c r="H1122" s="73"/>
      <c r="I1122" s="73"/>
      <c r="J1122" s="73"/>
      <c r="K1122" s="377"/>
      <c r="L1122" s="378"/>
      <c r="M1122" s="73"/>
    </row>
    <row r="1123" spans="3:13">
      <c r="C1123" s="374"/>
      <c r="D1123" s="375"/>
      <c r="E1123" s="73"/>
      <c r="F1123" s="73"/>
      <c r="G1123" s="376"/>
      <c r="H1123" s="73"/>
      <c r="I1123" s="73"/>
      <c r="J1123" s="73"/>
      <c r="K1123" s="377"/>
      <c r="L1123" s="378"/>
      <c r="M1123" s="73"/>
    </row>
    <row r="1124" spans="3:13">
      <c r="C1124" s="374"/>
      <c r="D1124" s="375"/>
      <c r="E1124" s="73"/>
      <c r="F1124" s="73"/>
      <c r="G1124" s="376"/>
      <c r="H1124" s="73"/>
      <c r="I1124" s="73"/>
      <c r="J1124" s="73"/>
      <c r="K1124" s="377"/>
      <c r="L1124" s="378"/>
      <c r="M1124" s="73"/>
    </row>
    <row r="1125" spans="3:13">
      <c r="C1125" s="374"/>
      <c r="D1125" s="375"/>
      <c r="E1125" s="73"/>
      <c r="F1125" s="73"/>
      <c r="G1125" s="376"/>
      <c r="H1125" s="73"/>
      <c r="I1125" s="73"/>
      <c r="J1125" s="73"/>
      <c r="K1125" s="377"/>
      <c r="L1125" s="378"/>
      <c r="M1125" s="73"/>
    </row>
    <row r="1126" spans="3:13">
      <c r="C1126" s="374"/>
      <c r="D1126" s="375"/>
      <c r="E1126" s="73"/>
      <c r="F1126" s="73"/>
      <c r="G1126" s="376"/>
      <c r="H1126" s="73"/>
      <c r="I1126" s="73"/>
      <c r="J1126" s="73"/>
      <c r="K1126" s="377"/>
      <c r="L1126" s="378"/>
      <c r="M1126" s="73"/>
    </row>
    <row r="1127" spans="3:13">
      <c r="C1127" s="374"/>
      <c r="D1127" s="375"/>
      <c r="E1127" s="73"/>
      <c r="F1127" s="73"/>
      <c r="G1127" s="376"/>
      <c r="H1127" s="73"/>
      <c r="I1127" s="73"/>
      <c r="J1127" s="73"/>
      <c r="K1127" s="377"/>
      <c r="L1127" s="378"/>
      <c r="M1127" s="73"/>
    </row>
    <row r="1128" spans="3:13">
      <c r="C1128" s="374"/>
      <c r="D1128" s="375"/>
      <c r="E1128" s="73"/>
      <c r="F1128" s="73"/>
      <c r="G1128" s="376"/>
      <c r="H1128" s="73"/>
      <c r="I1128" s="73"/>
      <c r="J1128" s="73"/>
      <c r="K1128" s="377"/>
      <c r="L1128" s="378"/>
      <c r="M1128" s="73"/>
    </row>
    <row r="1129" spans="3:13">
      <c r="C1129" s="374"/>
      <c r="D1129" s="375"/>
      <c r="E1129" s="73"/>
      <c r="F1129" s="73"/>
      <c r="G1129" s="376"/>
      <c r="H1129" s="73"/>
      <c r="I1129" s="73"/>
      <c r="J1129" s="73"/>
      <c r="K1129" s="377"/>
      <c r="L1129" s="378"/>
      <c r="M1129" s="73"/>
    </row>
    <row r="1130" spans="3:13">
      <c r="C1130" s="374"/>
      <c r="D1130" s="375"/>
      <c r="E1130" s="73"/>
      <c r="F1130" s="73"/>
      <c r="G1130" s="376"/>
      <c r="H1130" s="73"/>
      <c r="I1130" s="73"/>
      <c r="J1130" s="73"/>
      <c r="K1130" s="377"/>
      <c r="L1130" s="378"/>
      <c r="M1130" s="73"/>
    </row>
    <row r="1131" spans="3:13">
      <c r="C1131" s="374"/>
      <c r="D1131" s="375"/>
      <c r="E1131" s="73"/>
      <c r="F1131" s="73"/>
      <c r="G1131" s="376"/>
      <c r="H1131" s="73"/>
      <c r="I1131" s="73"/>
      <c r="J1131" s="73"/>
      <c r="K1131" s="377"/>
      <c r="L1131" s="378"/>
      <c r="M1131" s="73"/>
    </row>
    <row r="1132" spans="3:13">
      <c r="C1132" s="374"/>
      <c r="D1132" s="375"/>
      <c r="E1132" s="73"/>
      <c r="F1132" s="73"/>
      <c r="G1132" s="376"/>
      <c r="H1132" s="73"/>
      <c r="I1132" s="73"/>
      <c r="J1132" s="73"/>
      <c r="K1132" s="377"/>
      <c r="L1132" s="378"/>
      <c r="M1132" s="73"/>
    </row>
    <row r="1133" spans="3:13">
      <c r="C1133" s="374"/>
      <c r="D1133" s="375"/>
      <c r="E1133" s="73"/>
      <c r="F1133" s="73"/>
      <c r="G1133" s="376"/>
      <c r="H1133" s="73"/>
      <c r="I1133" s="73"/>
      <c r="J1133" s="73"/>
      <c r="K1133" s="377"/>
      <c r="L1133" s="378"/>
      <c r="M1133" s="73"/>
    </row>
    <row r="1134" spans="3:13">
      <c r="C1134" s="374"/>
      <c r="D1134" s="375"/>
      <c r="E1134" s="73"/>
      <c r="F1134" s="73"/>
      <c r="G1134" s="376"/>
      <c r="H1134" s="73"/>
      <c r="I1134" s="73"/>
      <c r="J1134" s="73"/>
      <c r="K1134" s="377"/>
      <c r="L1134" s="378"/>
      <c r="M1134" s="73"/>
    </row>
    <row r="1135" spans="3:13">
      <c r="C1135" s="374"/>
      <c r="D1135" s="375"/>
      <c r="E1135" s="73"/>
      <c r="F1135" s="73"/>
      <c r="G1135" s="376"/>
      <c r="H1135" s="73"/>
      <c r="I1135" s="73"/>
      <c r="J1135" s="73"/>
      <c r="K1135" s="377"/>
      <c r="L1135" s="378"/>
      <c r="M1135" s="73"/>
    </row>
    <row r="1136" spans="3:13">
      <c r="C1136" s="374"/>
      <c r="D1136" s="375"/>
      <c r="E1136" s="73"/>
      <c r="F1136" s="73"/>
      <c r="G1136" s="376"/>
      <c r="H1136" s="73"/>
      <c r="I1136" s="73"/>
      <c r="J1136" s="73"/>
      <c r="K1136" s="377"/>
      <c r="L1136" s="378"/>
      <c r="M1136" s="73"/>
    </row>
    <row r="1137" spans="3:13">
      <c r="C1137" s="374"/>
      <c r="D1137" s="375"/>
      <c r="E1137" s="73"/>
      <c r="F1137" s="73"/>
      <c r="G1137" s="376"/>
      <c r="H1137" s="73"/>
      <c r="I1137" s="73"/>
      <c r="J1137" s="73"/>
      <c r="K1137" s="377"/>
      <c r="L1137" s="378"/>
      <c r="M1137" s="73"/>
    </row>
    <row r="1138" spans="3:13">
      <c r="C1138" s="374"/>
      <c r="D1138" s="375"/>
      <c r="E1138" s="73"/>
      <c r="F1138" s="73"/>
      <c r="G1138" s="376"/>
      <c r="H1138" s="73"/>
      <c r="I1138" s="73"/>
      <c r="J1138" s="73"/>
      <c r="K1138" s="377"/>
      <c r="L1138" s="378"/>
      <c r="M1138" s="73"/>
    </row>
    <row r="1139" spans="3:13">
      <c r="C1139" s="374"/>
      <c r="D1139" s="375"/>
      <c r="E1139" s="73"/>
      <c r="F1139" s="73"/>
      <c r="G1139" s="376"/>
      <c r="H1139" s="73"/>
      <c r="I1139" s="73"/>
      <c r="J1139" s="73"/>
      <c r="K1139" s="377"/>
      <c r="L1139" s="378"/>
      <c r="M1139" s="73"/>
    </row>
    <row r="1140" spans="3:13">
      <c r="C1140" s="374"/>
      <c r="D1140" s="375"/>
      <c r="E1140" s="73"/>
      <c r="F1140" s="73"/>
      <c r="G1140" s="376"/>
      <c r="H1140" s="73"/>
      <c r="I1140" s="73"/>
      <c r="J1140" s="73"/>
      <c r="K1140" s="377"/>
      <c r="L1140" s="378"/>
      <c r="M1140" s="73"/>
    </row>
    <row r="1141" spans="3:13">
      <c r="C1141" s="374"/>
      <c r="D1141" s="375"/>
      <c r="E1141" s="73"/>
      <c r="F1141" s="73"/>
      <c r="G1141" s="376"/>
      <c r="H1141" s="73"/>
      <c r="I1141" s="73"/>
      <c r="J1141" s="73"/>
      <c r="K1141" s="377"/>
      <c r="L1141" s="378"/>
      <c r="M1141" s="73"/>
    </row>
    <row r="1142" spans="3:13">
      <c r="C1142" s="374"/>
      <c r="D1142" s="375"/>
      <c r="E1142" s="73"/>
      <c r="F1142" s="73"/>
      <c r="G1142" s="376"/>
      <c r="H1142" s="73"/>
      <c r="I1142" s="73"/>
      <c r="J1142" s="73"/>
      <c r="K1142" s="377"/>
      <c r="L1142" s="378"/>
      <c r="M1142" s="73"/>
    </row>
    <row r="1143" spans="3:13">
      <c r="C1143" s="374"/>
      <c r="D1143" s="375"/>
      <c r="E1143" s="73"/>
      <c r="F1143" s="73"/>
      <c r="G1143" s="376"/>
      <c r="H1143" s="73"/>
      <c r="I1143" s="73"/>
      <c r="J1143" s="73"/>
      <c r="K1143" s="377"/>
      <c r="L1143" s="378"/>
      <c r="M1143" s="73"/>
    </row>
    <row r="1144" spans="3:13">
      <c r="C1144" s="374"/>
      <c r="D1144" s="375"/>
      <c r="E1144" s="73"/>
      <c r="F1144" s="73"/>
      <c r="G1144" s="376"/>
      <c r="H1144" s="73"/>
      <c r="I1144" s="73"/>
      <c r="J1144" s="73"/>
      <c r="K1144" s="377"/>
      <c r="L1144" s="378"/>
      <c r="M1144" s="73"/>
    </row>
    <row r="1145" spans="3:13">
      <c r="C1145" s="374"/>
      <c r="D1145" s="375"/>
      <c r="E1145" s="73"/>
      <c r="F1145" s="73"/>
      <c r="G1145" s="376"/>
      <c r="H1145" s="73"/>
      <c r="I1145" s="73"/>
      <c r="J1145" s="73"/>
      <c r="K1145" s="377"/>
      <c r="L1145" s="378"/>
      <c r="M1145" s="73"/>
    </row>
    <row r="1146" spans="3:13">
      <c r="C1146" s="374"/>
      <c r="D1146" s="375"/>
      <c r="E1146" s="73"/>
      <c r="F1146" s="73"/>
      <c r="G1146" s="376"/>
      <c r="H1146" s="73"/>
      <c r="I1146" s="73"/>
      <c r="J1146" s="73"/>
      <c r="K1146" s="377"/>
      <c r="L1146" s="378"/>
      <c r="M1146" s="73"/>
    </row>
    <row r="1147" spans="3:13">
      <c r="C1147" s="374"/>
      <c r="D1147" s="375"/>
      <c r="E1147" s="73"/>
      <c r="F1147" s="73"/>
      <c r="G1147" s="376"/>
      <c r="H1147" s="73"/>
      <c r="I1147" s="73"/>
      <c r="J1147" s="73"/>
      <c r="K1147" s="377"/>
      <c r="L1147" s="378"/>
      <c r="M1147" s="73"/>
    </row>
    <row r="1148" spans="3:13">
      <c r="C1148" s="374"/>
      <c r="D1148" s="375"/>
      <c r="E1148" s="73"/>
      <c r="F1148" s="73"/>
      <c r="G1148" s="376"/>
      <c r="H1148" s="73"/>
      <c r="I1148" s="73"/>
      <c r="J1148" s="73"/>
      <c r="K1148" s="377"/>
      <c r="L1148" s="378"/>
      <c r="M1148" s="73"/>
    </row>
    <row r="1149" spans="3:13">
      <c r="C1149" s="374"/>
      <c r="D1149" s="375"/>
      <c r="E1149" s="73"/>
      <c r="F1149" s="73"/>
      <c r="G1149" s="376"/>
      <c r="H1149" s="73"/>
      <c r="I1149" s="73"/>
      <c r="J1149" s="73"/>
      <c r="K1149" s="377"/>
      <c r="L1149" s="378"/>
      <c r="M1149" s="73"/>
    </row>
    <row r="1150" spans="3:13">
      <c r="C1150" s="374"/>
      <c r="D1150" s="375"/>
      <c r="E1150" s="73"/>
      <c r="F1150" s="73"/>
      <c r="G1150" s="376"/>
      <c r="H1150" s="73"/>
      <c r="I1150" s="73"/>
      <c r="J1150" s="73"/>
      <c r="K1150" s="377"/>
      <c r="L1150" s="378"/>
      <c r="M1150" s="73"/>
    </row>
    <row r="1151" spans="3:13">
      <c r="C1151" s="374"/>
      <c r="D1151" s="375"/>
      <c r="E1151" s="73"/>
      <c r="F1151" s="73"/>
      <c r="G1151" s="376"/>
      <c r="H1151" s="73"/>
      <c r="I1151" s="73"/>
      <c r="J1151" s="73"/>
      <c r="K1151" s="377"/>
      <c r="L1151" s="378"/>
      <c r="M1151" s="73"/>
    </row>
    <row r="1152" spans="3:13">
      <c r="C1152" s="374"/>
      <c r="D1152" s="375"/>
      <c r="E1152" s="73"/>
      <c r="F1152" s="73"/>
      <c r="G1152" s="376"/>
      <c r="H1152" s="73"/>
      <c r="I1152" s="73"/>
      <c r="J1152" s="73"/>
      <c r="K1152" s="377"/>
      <c r="L1152" s="378"/>
      <c r="M1152" s="73"/>
    </row>
    <row r="1153" spans="3:13">
      <c r="C1153" s="374"/>
      <c r="D1153" s="375"/>
      <c r="E1153" s="73"/>
      <c r="F1153" s="73"/>
      <c r="G1153" s="376"/>
      <c r="H1153" s="73"/>
      <c r="I1153" s="73"/>
      <c r="J1153" s="73"/>
      <c r="K1153" s="377"/>
      <c r="L1153" s="378"/>
      <c r="M1153" s="73"/>
    </row>
    <row r="1154" spans="3:13">
      <c r="C1154" s="374"/>
      <c r="D1154" s="375"/>
      <c r="E1154" s="73"/>
      <c r="F1154" s="73"/>
      <c r="G1154" s="376"/>
      <c r="H1154" s="73"/>
      <c r="I1154" s="73"/>
      <c r="J1154" s="73"/>
      <c r="K1154" s="377"/>
      <c r="L1154" s="378"/>
      <c r="M1154" s="73"/>
    </row>
    <row r="1155" spans="3:13">
      <c r="C1155" s="374"/>
      <c r="D1155" s="375"/>
      <c r="E1155" s="73"/>
      <c r="F1155" s="73"/>
      <c r="G1155" s="376"/>
      <c r="H1155" s="73"/>
      <c r="I1155" s="73"/>
      <c r="J1155" s="73"/>
      <c r="K1155" s="377"/>
      <c r="L1155" s="378"/>
      <c r="M1155" s="73"/>
    </row>
    <row r="1156" spans="3:13">
      <c r="C1156" s="374"/>
      <c r="D1156" s="375"/>
      <c r="E1156" s="73"/>
      <c r="F1156" s="73"/>
      <c r="G1156" s="376"/>
      <c r="H1156" s="73"/>
      <c r="I1156" s="73"/>
      <c r="J1156" s="73"/>
      <c r="K1156" s="377"/>
      <c r="L1156" s="378"/>
      <c r="M1156" s="73"/>
    </row>
    <row r="1157" spans="3:13">
      <c r="C1157" s="374"/>
      <c r="D1157" s="375"/>
      <c r="E1157" s="73"/>
      <c r="F1157" s="73"/>
      <c r="G1157" s="376"/>
      <c r="H1157" s="73"/>
      <c r="I1157" s="73"/>
      <c r="J1157" s="73"/>
      <c r="K1157" s="377"/>
      <c r="L1157" s="378"/>
      <c r="M1157" s="73"/>
    </row>
    <row r="1158" spans="3:13">
      <c r="C1158" s="374"/>
      <c r="D1158" s="375"/>
      <c r="E1158" s="73"/>
      <c r="F1158" s="73"/>
      <c r="G1158" s="376"/>
      <c r="H1158" s="73"/>
      <c r="I1158" s="73"/>
      <c r="J1158" s="73"/>
      <c r="K1158" s="377"/>
      <c r="L1158" s="378"/>
      <c r="M1158" s="73"/>
    </row>
    <row r="1159" spans="3:13">
      <c r="C1159" s="374"/>
      <c r="D1159" s="375"/>
      <c r="E1159" s="73"/>
      <c r="F1159" s="73"/>
      <c r="G1159" s="376"/>
      <c r="H1159" s="73"/>
      <c r="I1159" s="73"/>
      <c r="J1159" s="73"/>
      <c r="K1159" s="377"/>
      <c r="L1159" s="378"/>
      <c r="M1159" s="73"/>
    </row>
    <row r="1160" spans="3:13">
      <c r="C1160" s="374"/>
      <c r="D1160" s="375"/>
      <c r="E1160" s="73"/>
      <c r="F1160" s="73"/>
      <c r="G1160" s="376"/>
      <c r="H1160" s="73"/>
      <c r="I1160" s="73"/>
      <c r="J1160" s="73"/>
      <c r="K1160" s="377"/>
      <c r="L1160" s="378"/>
      <c r="M1160" s="73"/>
    </row>
    <row r="1161" spans="3:13">
      <c r="C1161" s="374"/>
      <c r="D1161" s="375"/>
      <c r="E1161" s="73"/>
      <c r="F1161" s="73"/>
      <c r="G1161" s="376"/>
      <c r="H1161" s="73"/>
      <c r="I1161" s="73"/>
      <c r="J1161" s="73"/>
      <c r="K1161" s="377"/>
      <c r="L1161" s="378"/>
      <c r="M1161" s="73"/>
    </row>
    <row r="1162" spans="3:13">
      <c r="C1162" s="374"/>
      <c r="D1162" s="375"/>
      <c r="E1162" s="73"/>
      <c r="F1162" s="73"/>
      <c r="G1162" s="376"/>
      <c r="H1162" s="73"/>
      <c r="I1162" s="73"/>
      <c r="J1162" s="73"/>
      <c r="K1162" s="377"/>
      <c r="L1162" s="378"/>
      <c r="M1162" s="73"/>
    </row>
    <row r="1163" spans="3:13">
      <c r="C1163" s="374"/>
      <c r="D1163" s="375"/>
      <c r="E1163" s="73"/>
      <c r="F1163" s="73"/>
      <c r="G1163" s="376"/>
      <c r="H1163" s="73"/>
      <c r="I1163" s="73"/>
      <c r="J1163" s="73"/>
      <c r="K1163" s="377"/>
      <c r="L1163" s="378"/>
      <c r="M1163" s="73"/>
    </row>
    <row r="1164" spans="3:13">
      <c r="C1164" s="374"/>
      <c r="D1164" s="375"/>
      <c r="E1164" s="73"/>
      <c r="F1164" s="73"/>
      <c r="G1164" s="376"/>
      <c r="H1164" s="73"/>
      <c r="I1164" s="73"/>
      <c r="J1164" s="73"/>
      <c r="K1164" s="377"/>
      <c r="L1164" s="378"/>
      <c r="M1164" s="73"/>
    </row>
    <row r="1165" spans="3:13">
      <c r="C1165" s="374"/>
      <c r="D1165" s="375"/>
      <c r="E1165" s="73"/>
      <c r="F1165" s="73"/>
      <c r="G1165" s="376"/>
      <c r="H1165" s="73"/>
      <c r="I1165" s="73"/>
      <c r="J1165" s="73"/>
      <c r="K1165" s="377"/>
      <c r="L1165" s="378"/>
      <c r="M1165" s="73"/>
    </row>
    <row r="1166" spans="3:13">
      <c r="C1166" s="374"/>
      <c r="D1166" s="375"/>
      <c r="E1166" s="73"/>
      <c r="F1166" s="73"/>
      <c r="G1166" s="376"/>
      <c r="H1166" s="73"/>
      <c r="I1166" s="73"/>
      <c r="J1166" s="73"/>
      <c r="K1166" s="377"/>
      <c r="L1166" s="378"/>
      <c r="M1166" s="73"/>
    </row>
    <row r="1167" spans="3:13">
      <c r="C1167" s="374"/>
      <c r="D1167" s="375"/>
      <c r="E1167" s="73"/>
      <c r="F1167" s="73"/>
      <c r="G1167" s="376"/>
      <c r="H1167" s="73"/>
      <c r="I1167" s="73"/>
      <c r="J1167" s="73"/>
      <c r="K1167" s="377"/>
      <c r="L1167" s="378"/>
      <c r="M1167" s="73"/>
    </row>
    <row r="1168" spans="3:13">
      <c r="C1168" s="374"/>
      <c r="D1168" s="375"/>
      <c r="E1168" s="73"/>
      <c r="F1168" s="73"/>
      <c r="G1168" s="376"/>
      <c r="H1168" s="73"/>
      <c r="I1168" s="73"/>
      <c r="J1168" s="73"/>
      <c r="K1168" s="377"/>
      <c r="L1168" s="378"/>
      <c r="M1168" s="73"/>
    </row>
    <row r="1169" spans="3:13">
      <c r="C1169" s="374"/>
      <c r="D1169" s="375"/>
      <c r="E1169" s="73"/>
      <c r="F1169" s="73"/>
      <c r="G1169" s="376"/>
      <c r="H1169" s="73"/>
      <c r="I1169" s="73"/>
      <c r="J1169" s="73"/>
      <c r="K1169" s="377"/>
      <c r="L1169" s="378"/>
      <c r="M1169" s="73"/>
    </row>
    <row r="1170" spans="3:13">
      <c r="C1170" s="374"/>
      <c r="D1170" s="375"/>
      <c r="E1170" s="73"/>
      <c r="F1170" s="73"/>
      <c r="G1170" s="376"/>
      <c r="H1170" s="73"/>
      <c r="I1170" s="73"/>
      <c r="J1170" s="73"/>
      <c r="K1170" s="377"/>
      <c r="L1170" s="378"/>
      <c r="M1170" s="73"/>
    </row>
    <row r="1171" spans="3:13">
      <c r="C1171" s="374"/>
      <c r="D1171" s="375"/>
      <c r="E1171" s="73"/>
      <c r="F1171" s="73"/>
      <c r="G1171" s="376"/>
      <c r="H1171" s="73"/>
      <c r="I1171" s="73"/>
      <c r="J1171" s="73"/>
      <c r="K1171" s="377"/>
      <c r="L1171" s="378"/>
      <c r="M1171" s="73"/>
    </row>
    <row r="1172" spans="3:13">
      <c r="C1172" s="374"/>
      <c r="D1172" s="375"/>
      <c r="E1172" s="73"/>
      <c r="F1172" s="73"/>
      <c r="G1172" s="376"/>
      <c r="H1172" s="73"/>
      <c r="I1172" s="73"/>
      <c r="J1172" s="73"/>
      <c r="K1172" s="377"/>
      <c r="L1172" s="378"/>
      <c r="M1172" s="73"/>
    </row>
    <row r="1173" spans="3:13">
      <c r="C1173" s="374"/>
      <c r="D1173" s="375"/>
      <c r="E1173" s="73"/>
      <c r="F1173" s="73"/>
      <c r="G1173" s="376"/>
      <c r="H1173" s="73"/>
      <c r="I1173" s="73"/>
      <c r="J1173" s="73"/>
      <c r="K1173" s="377"/>
      <c r="L1173" s="378"/>
      <c r="M1173" s="73"/>
    </row>
    <row r="1174" spans="3:13">
      <c r="C1174" s="374"/>
      <c r="D1174" s="375"/>
      <c r="E1174" s="73"/>
      <c r="F1174" s="73"/>
      <c r="G1174" s="376"/>
      <c r="H1174" s="73"/>
      <c r="I1174" s="73"/>
      <c r="J1174" s="73"/>
      <c r="K1174" s="377"/>
      <c r="L1174" s="378"/>
      <c r="M1174" s="73"/>
    </row>
    <row r="1175" spans="3:13">
      <c r="C1175" s="374"/>
      <c r="D1175" s="375"/>
      <c r="E1175" s="73"/>
      <c r="F1175" s="73"/>
      <c r="G1175" s="376"/>
      <c r="H1175" s="73"/>
      <c r="I1175" s="73"/>
      <c r="J1175" s="73"/>
      <c r="K1175" s="377"/>
      <c r="L1175" s="378"/>
      <c r="M1175" s="73"/>
    </row>
    <row r="1176" spans="3:13">
      <c r="C1176" s="374"/>
      <c r="D1176" s="375"/>
      <c r="E1176" s="73"/>
      <c r="F1176" s="73"/>
      <c r="G1176" s="376"/>
      <c r="H1176" s="73"/>
      <c r="I1176" s="73"/>
      <c r="J1176" s="73"/>
      <c r="K1176" s="377"/>
      <c r="L1176" s="378"/>
      <c r="M1176" s="73"/>
    </row>
    <row r="1177" spans="3:13">
      <c r="C1177" s="374"/>
      <c r="D1177" s="375"/>
      <c r="E1177" s="73"/>
      <c r="F1177" s="73"/>
      <c r="G1177" s="376"/>
      <c r="H1177" s="73"/>
      <c r="I1177" s="73"/>
      <c r="J1177" s="73"/>
      <c r="K1177" s="377"/>
      <c r="L1177" s="378"/>
      <c r="M1177" s="73"/>
    </row>
    <row r="1178" spans="3:13">
      <c r="C1178" s="374"/>
      <c r="D1178" s="375"/>
      <c r="E1178" s="73"/>
      <c r="F1178" s="73"/>
      <c r="G1178" s="376"/>
      <c r="H1178" s="73"/>
      <c r="I1178" s="73"/>
      <c r="J1178" s="73"/>
      <c r="K1178" s="377"/>
      <c r="L1178" s="378"/>
      <c r="M1178" s="73"/>
    </row>
    <row r="1179" spans="3:13">
      <c r="C1179" s="374"/>
      <c r="D1179" s="375"/>
      <c r="E1179" s="73"/>
      <c r="F1179" s="73"/>
      <c r="G1179" s="376"/>
      <c r="H1179" s="73"/>
      <c r="I1179" s="73"/>
      <c r="J1179" s="73"/>
      <c r="K1179" s="377"/>
      <c r="L1179" s="378"/>
      <c r="M1179" s="73"/>
    </row>
    <row r="1180" spans="3:13">
      <c r="C1180" s="374"/>
      <c r="D1180" s="375"/>
      <c r="E1180" s="73"/>
      <c r="F1180" s="73"/>
      <c r="G1180" s="376"/>
      <c r="H1180" s="73"/>
      <c r="I1180" s="73"/>
      <c r="J1180" s="73"/>
      <c r="K1180" s="377"/>
      <c r="L1180" s="378"/>
      <c r="M1180" s="73"/>
    </row>
    <row r="1181" spans="3:13">
      <c r="C1181" s="374"/>
      <c r="D1181" s="375"/>
      <c r="E1181" s="73"/>
      <c r="F1181" s="73"/>
      <c r="G1181" s="376"/>
      <c r="H1181" s="73"/>
      <c r="I1181" s="73"/>
      <c r="J1181" s="73"/>
      <c r="K1181" s="377"/>
      <c r="L1181" s="378"/>
      <c r="M1181" s="73"/>
    </row>
    <row r="1182" spans="3:13">
      <c r="C1182" s="374"/>
      <c r="D1182" s="375"/>
      <c r="E1182" s="73"/>
      <c r="F1182" s="73"/>
      <c r="G1182" s="376"/>
      <c r="H1182" s="73"/>
      <c r="I1182" s="73"/>
      <c r="J1182" s="73"/>
      <c r="K1182" s="377"/>
      <c r="L1182" s="378"/>
      <c r="M1182" s="73"/>
    </row>
    <row r="1183" spans="3:13">
      <c r="C1183" s="374"/>
      <c r="D1183" s="375"/>
      <c r="E1183" s="73"/>
      <c r="F1183" s="73"/>
      <c r="G1183" s="376"/>
      <c r="H1183" s="73"/>
      <c r="I1183" s="73"/>
      <c r="J1183" s="73"/>
      <c r="K1183" s="377"/>
      <c r="L1183" s="378"/>
      <c r="M1183" s="73"/>
    </row>
    <row r="1184" spans="3:13">
      <c r="C1184" s="374"/>
      <c r="D1184" s="375"/>
      <c r="E1184" s="73"/>
      <c r="F1184" s="73"/>
      <c r="G1184" s="376"/>
      <c r="H1184" s="73"/>
      <c r="I1184" s="73"/>
      <c r="J1184" s="73"/>
      <c r="K1184" s="377"/>
      <c r="L1184" s="378"/>
      <c r="M1184" s="73"/>
    </row>
    <row r="1185" spans="3:13">
      <c r="C1185" s="374"/>
      <c r="D1185" s="375"/>
      <c r="E1185" s="73"/>
      <c r="F1185" s="73"/>
      <c r="G1185" s="376"/>
      <c r="H1185" s="73"/>
      <c r="I1185" s="73"/>
      <c r="J1185" s="73"/>
      <c r="K1185" s="377"/>
      <c r="L1185" s="378"/>
      <c r="M1185" s="73"/>
    </row>
    <row r="1186" spans="3:13">
      <c r="C1186" s="374"/>
      <c r="D1186" s="375"/>
      <c r="E1186" s="73"/>
      <c r="F1186" s="73"/>
      <c r="G1186" s="376"/>
      <c r="H1186" s="73"/>
      <c r="I1186" s="73"/>
      <c r="J1186" s="73"/>
      <c r="K1186" s="377"/>
      <c r="L1186" s="378"/>
      <c r="M1186" s="73"/>
    </row>
    <row r="1187" spans="3:13">
      <c r="C1187" s="374"/>
      <c r="D1187" s="375"/>
      <c r="E1187" s="73"/>
      <c r="F1187" s="73"/>
      <c r="G1187" s="376"/>
      <c r="H1187" s="73"/>
      <c r="I1187" s="73"/>
      <c r="J1187" s="73"/>
      <c r="K1187" s="377"/>
      <c r="L1187" s="378"/>
      <c r="M1187" s="73"/>
    </row>
    <row r="1188" spans="3:13">
      <c r="C1188" s="374"/>
      <c r="D1188" s="375"/>
      <c r="E1188" s="73"/>
      <c r="F1188" s="73"/>
      <c r="G1188" s="376"/>
      <c r="H1188" s="73"/>
      <c r="I1188" s="73"/>
      <c r="J1188" s="73"/>
      <c r="K1188" s="377"/>
      <c r="L1188" s="378"/>
      <c r="M1188" s="73"/>
    </row>
    <row r="1189" spans="3:13">
      <c r="C1189" s="374"/>
      <c r="D1189" s="375"/>
      <c r="E1189" s="73"/>
      <c r="F1189" s="73"/>
      <c r="G1189" s="376"/>
      <c r="H1189" s="73"/>
      <c r="I1189" s="73"/>
      <c r="J1189" s="73"/>
      <c r="K1189" s="377"/>
      <c r="L1189" s="378"/>
      <c r="M1189" s="73"/>
    </row>
    <row r="1190" spans="3:13">
      <c r="C1190" s="374"/>
      <c r="D1190" s="375"/>
      <c r="E1190" s="73"/>
      <c r="F1190" s="73"/>
      <c r="G1190" s="376"/>
      <c r="H1190" s="73"/>
      <c r="I1190" s="73"/>
      <c r="J1190" s="73"/>
      <c r="K1190" s="377"/>
      <c r="L1190" s="378"/>
      <c r="M1190" s="73"/>
    </row>
    <row r="1191" spans="3:13">
      <c r="C1191" s="374"/>
      <c r="D1191" s="375"/>
      <c r="E1191" s="73"/>
      <c r="F1191" s="73"/>
      <c r="G1191" s="376"/>
      <c r="H1191" s="73"/>
      <c r="I1191" s="73"/>
      <c r="J1191" s="73"/>
      <c r="K1191" s="377"/>
      <c r="L1191" s="378"/>
      <c r="M1191" s="73"/>
    </row>
    <row r="1192" spans="3:13">
      <c r="C1192" s="374"/>
      <c r="D1192" s="375"/>
      <c r="E1192" s="73"/>
      <c r="F1192" s="73"/>
      <c r="G1192" s="376"/>
      <c r="H1192" s="73"/>
      <c r="I1192" s="73"/>
      <c r="J1192" s="73"/>
      <c r="K1192" s="377"/>
      <c r="L1192" s="378"/>
      <c r="M1192" s="73"/>
    </row>
    <row r="1193" spans="3:13">
      <c r="C1193" s="374"/>
      <c r="D1193" s="375"/>
      <c r="E1193" s="73"/>
      <c r="F1193" s="73"/>
      <c r="G1193" s="376"/>
      <c r="H1193" s="73"/>
      <c r="I1193" s="73"/>
      <c r="J1193" s="73"/>
      <c r="K1193" s="377"/>
      <c r="L1193" s="378"/>
      <c r="M1193" s="73"/>
    </row>
    <row r="1194" spans="3:13">
      <c r="C1194" s="374"/>
      <c r="D1194" s="375"/>
      <c r="E1194" s="73"/>
      <c r="F1194" s="73"/>
      <c r="G1194" s="376"/>
      <c r="H1194" s="73"/>
      <c r="I1194" s="73"/>
      <c r="J1194" s="73"/>
      <c r="K1194" s="377"/>
      <c r="L1194" s="378"/>
      <c r="M1194" s="73"/>
    </row>
    <row r="1195" spans="3:13">
      <c r="C1195" s="374"/>
      <c r="D1195" s="375"/>
      <c r="E1195" s="73"/>
      <c r="F1195" s="73"/>
      <c r="G1195" s="376"/>
      <c r="H1195" s="73"/>
      <c r="I1195" s="73"/>
      <c r="J1195" s="73"/>
      <c r="K1195" s="377"/>
      <c r="L1195" s="378"/>
      <c r="M1195" s="73"/>
    </row>
    <row r="1196" spans="3:13">
      <c r="C1196" s="374"/>
      <c r="D1196" s="375"/>
      <c r="E1196" s="73"/>
      <c r="F1196" s="73"/>
      <c r="G1196" s="376"/>
      <c r="H1196" s="73"/>
      <c r="I1196" s="73"/>
      <c r="J1196" s="73"/>
      <c r="K1196" s="377"/>
      <c r="L1196" s="378"/>
      <c r="M1196" s="73"/>
    </row>
    <row r="1197" spans="3:13">
      <c r="C1197" s="374"/>
      <c r="D1197" s="375"/>
      <c r="E1197" s="73"/>
      <c r="F1197" s="73"/>
      <c r="G1197" s="376"/>
      <c r="H1197" s="73"/>
      <c r="I1197" s="73"/>
      <c r="J1197" s="73"/>
      <c r="K1197" s="377"/>
      <c r="L1197" s="378"/>
      <c r="M1197" s="73"/>
    </row>
    <row r="1198" spans="3:13">
      <c r="C1198" s="374"/>
      <c r="D1198" s="375"/>
      <c r="E1198" s="73"/>
      <c r="F1198" s="73"/>
      <c r="G1198" s="376"/>
      <c r="H1198" s="73"/>
      <c r="I1198" s="73"/>
      <c r="J1198" s="73"/>
      <c r="K1198" s="377"/>
      <c r="L1198" s="378"/>
      <c r="M1198" s="73"/>
    </row>
    <row r="1199" spans="3:13">
      <c r="C1199" s="374"/>
      <c r="D1199" s="375"/>
      <c r="E1199" s="73"/>
      <c r="F1199" s="73"/>
      <c r="G1199" s="376"/>
      <c r="H1199" s="73"/>
      <c r="I1199" s="73"/>
      <c r="J1199" s="73"/>
      <c r="K1199" s="377"/>
      <c r="L1199" s="378"/>
      <c r="M1199" s="73"/>
    </row>
    <row r="1200" spans="3:13">
      <c r="C1200" s="374"/>
      <c r="D1200" s="375"/>
      <c r="E1200" s="73"/>
      <c r="F1200" s="73"/>
      <c r="G1200" s="376"/>
      <c r="H1200" s="73"/>
      <c r="I1200" s="73"/>
      <c r="J1200" s="73"/>
      <c r="K1200" s="377"/>
      <c r="L1200" s="378"/>
      <c r="M1200" s="73"/>
    </row>
    <row r="1201" spans="3:13">
      <c r="C1201" s="374"/>
      <c r="D1201" s="375"/>
      <c r="E1201" s="73"/>
      <c r="F1201" s="73"/>
      <c r="G1201" s="376"/>
      <c r="H1201" s="73"/>
      <c r="I1201" s="73"/>
      <c r="J1201" s="73"/>
      <c r="K1201" s="377"/>
      <c r="L1201" s="378"/>
      <c r="M1201" s="73"/>
    </row>
    <row r="1202" spans="3:13">
      <c r="C1202" s="374"/>
      <c r="D1202" s="375"/>
      <c r="E1202" s="73"/>
      <c r="F1202" s="73"/>
      <c r="G1202" s="376"/>
      <c r="H1202" s="73"/>
      <c r="I1202" s="73"/>
      <c r="J1202" s="73"/>
      <c r="K1202" s="377"/>
      <c r="L1202" s="378"/>
      <c r="M1202" s="73"/>
    </row>
    <row r="1203" spans="3:13">
      <c r="C1203" s="374"/>
      <c r="D1203" s="375"/>
      <c r="E1203" s="73"/>
      <c r="F1203" s="73"/>
      <c r="G1203" s="376"/>
      <c r="H1203" s="73"/>
      <c r="I1203" s="73"/>
      <c r="J1203" s="73"/>
      <c r="K1203" s="377"/>
      <c r="L1203" s="378"/>
      <c r="M1203" s="73"/>
    </row>
    <row r="1204" spans="3:13">
      <c r="C1204" s="374"/>
      <c r="D1204" s="375"/>
      <c r="E1204" s="73"/>
      <c r="F1204" s="73"/>
      <c r="G1204" s="376"/>
      <c r="H1204" s="73"/>
      <c r="I1204" s="73"/>
      <c r="J1204" s="73"/>
      <c r="K1204" s="377"/>
      <c r="L1204" s="378"/>
      <c r="M1204" s="73"/>
    </row>
    <row r="1205" spans="3:13">
      <c r="C1205" s="374"/>
      <c r="D1205" s="375"/>
      <c r="E1205" s="73"/>
      <c r="F1205" s="73"/>
      <c r="G1205" s="376"/>
      <c r="H1205" s="73"/>
      <c r="I1205" s="73"/>
      <c r="J1205" s="73"/>
      <c r="K1205" s="377"/>
      <c r="L1205" s="378"/>
      <c r="M1205" s="73"/>
    </row>
    <row r="1206" spans="3:13">
      <c r="C1206" s="374"/>
      <c r="D1206" s="375"/>
      <c r="E1206" s="73"/>
      <c r="F1206" s="73"/>
      <c r="G1206" s="376"/>
      <c r="H1206" s="73"/>
      <c r="I1206" s="73"/>
      <c r="J1206" s="73"/>
      <c r="K1206" s="377"/>
      <c r="L1206" s="378"/>
      <c r="M1206" s="73"/>
    </row>
    <row r="1207" spans="3:13">
      <c r="C1207" s="374"/>
      <c r="D1207" s="375"/>
      <c r="E1207" s="73"/>
      <c r="F1207" s="73"/>
      <c r="G1207" s="376"/>
      <c r="H1207" s="73"/>
      <c r="I1207" s="73"/>
      <c r="J1207" s="73"/>
      <c r="K1207" s="377"/>
      <c r="L1207" s="378"/>
      <c r="M1207" s="73"/>
    </row>
    <row r="1208" spans="3:13">
      <c r="C1208" s="374"/>
      <c r="D1208" s="375"/>
      <c r="E1208" s="73"/>
      <c r="F1208" s="73"/>
      <c r="G1208" s="376"/>
      <c r="H1208" s="73"/>
      <c r="I1208" s="73"/>
      <c r="J1208" s="73"/>
      <c r="K1208" s="377"/>
      <c r="L1208" s="378"/>
      <c r="M1208" s="73"/>
    </row>
    <row r="1209" spans="3:13">
      <c r="C1209" s="374"/>
      <c r="D1209" s="375"/>
      <c r="E1209" s="73"/>
      <c r="F1209" s="73"/>
      <c r="G1209" s="376"/>
      <c r="H1209" s="73"/>
      <c r="I1209" s="73"/>
      <c r="J1209" s="73"/>
      <c r="K1209" s="377"/>
      <c r="L1209" s="378"/>
      <c r="M1209" s="73"/>
    </row>
    <row r="1210" spans="3:13">
      <c r="C1210" s="374"/>
      <c r="D1210" s="375"/>
      <c r="E1210" s="73"/>
      <c r="F1210" s="73"/>
      <c r="G1210" s="376"/>
      <c r="H1210" s="73"/>
      <c r="I1210" s="73"/>
      <c r="J1210" s="73"/>
      <c r="K1210" s="377"/>
      <c r="L1210" s="378"/>
      <c r="M1210" s="73"/>
    </row>
    <row r="1211" spans="3:13">
      <c r="C1211" s="374"/>
      <c r="D1211" s="375"/>
      <c r="E1211" s="73"/>
      <c r="F1211" s="73"/>
      <c r="G1211" s="376"/>
      <c r="H1211" s="73"/>
      <c r="I1211" s="73"/>
      <c r="J1211" s="73"/>
      <c r="K1211" s="377"/>
      <c r="L1211" s="378"/>
      <c r="M1211" s="73"/>
    </row>
    <row r="1212" spans="3:13">
      <c r="C1212" s="374"/>
      <c r="D1212" s="375"/>
      <c r="E1212" s="73"/>
      <c r="F1212" s="73"/>
      <c r="G1212" s="376"/>
      <c r="H1212" s="73"/>
      <c r="I1212" s="73"/>
      <c r="J1212" s="73"/>
      <c r="K1212" s="377"/>
      <c r="L1212" s="378"/>
      <c r="M1212" s="73"/>
    </row>
    <row r="1213" spans="3:13">
      <c r="C1213" s="374"/>
      <c r="D1213" s="375"/>
      <c r="E1213" s="73"/>
      <c r="F1213" s="73"/>
      <c r="G1213" s="376"/>
      <c r="H1213" s="73"/>
      <c r="I1213" s="73"/>
      <c r="J1213" s="73"/>
      <c r="K1213" s="377"/>
      <c r="L1213" s="378"/>
      <c r="M1213" s="73"/>
    </row>
    <row r="1214" spans="3:13">
      <c r="C1214" s="374"/>
      <c r="D1214" s="375"/>
      <c r="E1214" s="73"/>
      <c r="F1214" s="73"/>
      <c r="G1214" s="376"/>
      <c r="H1214" s="73"/>
      <c r="I1214" s="73"/>
      <c r="J1214" s="73"/>
      <c r="K1214" s="377"/>
      <c r="L1214" s="378"/>
      <c r="M1214" s="73"/>
    </row>
    <row r="1215" spans="3:13">
      <c r="C1215" s="374"/>
      <c r="D1215" s="375"/>
      <c r="E1215" s="73"/>
      <c r="F1215" s="73"/>
      <c r="G1215" s="376"/>
      <c r="H1215" s="73"/>
      <c r="I1215" s="73"/>
      <c r="J1215" s="73"/>
      <c r="K1215" s="377"/>
      <c r="L1215" s="378"/>
      <c r="M1215" s="73"/>
    </row>
    <row r="1216" spans="3:13">
      <c r="C1216" s="374"/>
      <c r="D1216" s="375"/>
      <c r="E1216" s="73"/>
      <c r="F1216" s="73"/>
      <c r="G1216" s="376"/>
      <c r="H1216" s="73"/>
      <c r="I1216" s="73"/>
      <c r="J1216" s="73"/>
      <c r="K1216" s="377"/>
      <c r="L1216" s="378"/>
      <c r="M1216" s="73"/>
    </row>
    <row r="1217" spans="3:13">
      <c r="C1217" s="374"/>
      <c r="D1217" s="375"/>
      <c r="E1217" s="73"/>
      <c r="F1217" s="73"/>
      <c r="G1217" s="376"/>
      <c r="H1217" s="73"/>
      <c r="I1217" s="73"/>
      <c r="J1217" s="73"/>
      <c r="K1217" s="377"/>
      <c r="L1217" s="378"/>
      <c r="M1217" s="73"/>
    </row>
    <row r="1218" spans="3:13">
      <c r="C1218" s="374"/>
      <c r="D1218" s="375"/>
      <c r="E1218" s="73"/>
      <c r="F1218" s="73"/>
      <c r="G1218" s="376"/>
      <c r="H1218" s="73"/>
      <c r="I1218" s="73"/>
      <c r="J1218" s="73"/>
      <c r="K1218" s="377"/>
      <c r="L1218" s="378"/>
      <c r="M1218" s="73"/>
    </row>
    <row r="1219" spans="3:13">
      <c r="C1219" s="374"/>
      <c r="D1219" s="375"/>
      <c r="E1219" s="73"/>
      <c r="F1219" s="73"/>
      <c r="G1219" s="376"/>
      <c r="H1219" s="73"/>
      <c r="I1219" s="73"/>
      <c r="J1219" s="73"/>
      <c r="K1219" s="377"/>
      <c r="L1219" s="378"/>
      <c r="M1219" s="73"/>
    </row>
    <row r="1220" spans="3:13">
      <c r="C1220" s="374"/>
      <c r="D1220" s="375"/>
      <c r="E1220" s="73"/>
      <c r="F1220" s="73"/>
      <c r="G1220" s="376"/>
      <c r="H1220" s="73"/>
      <c r="I1220" s="73"/>
      <c r="J1220" s="73"/>
      <c r="K1220" s="377"/>
      <c r="L1220" s="378"/>
      <c r="M1220" s="73"/>
    </row>
    <row r="1221" spans="3:13">
      <c r="C1221" s="374"/>
      <c r="D1221" s="375"/>
      <c r="E1221" s="73"/>
      <c r="F1221" s="73"/>
      <c r="G1221" s="376"/>
      <c r="H1221" s="73"/>
      <c r="I1221" s="73"/>
      <c r="J1221" s="73"/>
      <c r="K1221" s="377"/>
      <c r="L1221" s="378"/>
      <c r="M1221" s="73"/>
    </row>
    <row r="1222" spans="3:13">
      <c r="C1222" s="374"/>
      <c r="D1222" s="375"/>
      <c r="E1222" s="73"/>
      <c r="F1222" s="73"/>
      <c r="G1222" s="376"/>
      <c r="H1222" s="73"/>
      <c r="I1222" s="73"/>
      <c r="J1222" s="73"/>
      <c r="K1222" s="377"/>
      <c r="L1222" s="378"/>
      <c r="M1222" s="73"/>
    </row>
    <row r="1223" spans="3:13">
      <c r="C1223" s="374"/>
      <c r="D1223" s="375"/>
      <c r="E1223" s="73"/>
      <c r="F1223" s="73"/>
      <c r="G1223" s="376"/>
      <c r="H1223" s="73"/>
      <c r="I1223" s="73"/>
      <c r="J1223" s="73"/>
      <c r="K1223" s="377"/>
      <c r="L1223" s="378"/>
      <c r="M1223" s="73"/>
    </row>
    <row r="1224" spans="3:13">
      <c r="C1224" s="374"/>
      <c r="D1224" s="375"/>
      <c r="E1224" s="73"/>
      <c r="F1224" s="73"/>
      <c r="G1224" s="376"/>
      <c r="H1224" s="73"/>
      <c r="I1224" s="73"/>
      <c r="J1224" s="73"/>
      <c r="K1224" s="377"/>
      <c r="L1224" s="378"/>
      <c r="M1224" s="73"/>
    </row>
    <row r="1225" spans="3:13">
      <c r="C1225" s="374"/>
      <c r="D1225" s="375"/>
      <c r="E1225" s="73"/>
      <c r="F1225" s="73"/>
      <c r="G1225" s="376"/>
      <c r="H1225" s="73"/>
      <c r="I1225" s="73"/>
      <c r="J1225" s="73"/>
      <c r="K1225" s="377"/>
      <c r="L1225" s="378"/>
      <c r="M1225" s="73"/>
    </row>
    <row r="1226" spans="3:13">
      <c r="C1226" s="374"/>
      <c r="D1226" s="375"/>
      <c r="E1226" s="73"/>
      <c r="F1226" s="73"/>
      <c r="G1226" s="376"/>
      <c r="H1226" s="73"/>
      <c r="I1226" s="73"/>
      <c r="J1226" s="73"/>
      <c r="K1226" s="377"/>
      <c r="L1226" s="378"/>
      <c r="M1226" s="73"/>
    </row>
    <row r="1227" spans="3:13">
      <c r="C1227" s="374"/>
      <c r="D1227" s="375"/>
      <c r="E1227" s="73"/>
      <c r="F1227" s="73"/>
      <c r="G1227" s="376"/>
      <c r="H1227" s="73"/>
      <c r="I1227" s="73"/>
      <c r="J1227" s="73"/>
      <c r="K1227" s="377"/>
      <c r="L1227" s="378"/>
      <c r="M1227" s="73"/>
    </row>
    <row r="1228" spans="3:13">
      <c r="C1228" s="374"/>
      <c r="D1228" s="375"/>
      <c r="E1228" s="73"/>
      <c r="F1228" s="73"/>
      <c r="G1228" s="376"/>
      <c r="H1228" s="73"/>
      <c r="I1228" s="73"/>
      <c r="J1228" s="73"/>
      <c r="K1228" s="377"/>
      <c r="L1228" s="378"/>
      <c r="M1228" s="73"/>
    </row>
    <row r="1229" spans="3:13">
      <c r="C1229" s="374"/>
      <c r="D1229" s="375"/>
      <c r="E1229" s="73"/>
      <c r="F1229" s="73"/>
      <c r="G1229" s="376"/>
      <c r="H1229" s="73"/>
      <c r="I1229" s="73"/>
      <c r="J1229" s="73"/>
      <c r="K1229" s="377"/>
      <c r="L1229" s="378"/>
      <c r="M1229" s="73"/>
    </row>
    <row r="1230" spans="3:13">
      <c r="C1230" s="374"/>
      <c r="D1230" s="375"/>
      <c r="E1230" s="73"/>
      <c r="F1230" s="73"/>
      <c r="G1230" s="376"/>
      <c r="H1230" s="73"/>
      <c r="I1230" s="73"/>
      <c r="J1230" s="73"/>
      <c r="K1230" s="377"/>
      <c r="L1230" s="378"/>
      <c r="M1230" s="73"/>
    </row>
    <row r="1231" spans="3:13">
      <c r="C1231" s="374"/>
      <c r="D1231" s="375"/>
      <c r="E1231" s="73"/>
      <c r="F1231" s="73"/>
      <c r="G1231" s="376"/>
      <c r="H1231" s="73"/>
      <c r="I1231" s="73"/>
      <c r="J1231" s="73"/>
      <c r="K1231" s="377"/>
      <c r="L1231" s="378"/>
      <c r="M1231" s="73"/>
    </row>
    <row r="1232" spans="3:13">
      <c r="C1232" s="374"/>
      <c r="D1232" s="375"/>
      <c r="E1232" s="73"/>
      <c r="F1232" s="73"/>
      <c r="G1232" s="376"/>
      <c r="H1232" s="73"/>
      <c r="I1232" s="73"/>
      <c r="J1232" s="73"/>
      <c r="K1232" s="377"/>
      <c r="L1232" s="378"/>
      <c r="M1232" s="73"/>
    </row>
    <row r="1233" spans="3:13">
      <c r="C1233" s="374"/>
      <c r="D1233" s="375"/>
      <c r="E1233" s="73"/>
      <c r="F1233" s="73"/>
      <c r="G1233" s="376"/>
      <c r="H1233" s="73"/>
      <c r="I1233" s="73"/>
      <c r="J1233" s="73"/>
      <c r="K1233" s="377"/>
      <c r="L1233" s="378"/>
      <c r="M1233" s="73"/>
    </row>
    <row r="1234" spans="3:13">
      <c r="C1234" s="374"/>
      <c r="D1234" s="375"/>
      <c r="E1234" s="73"/>
      <c r="F1234" s="73"/>
      <c r="G1234" s="376"/>
      <c r="H1234" s="73"/>
      <c r="I1234" s="73"/>
      <c r="J1234" s="73"/>
      <c r="K1234" s="377"/>
      <c r="L1234" s="378"/>
      <c r="M1234" s="73"/>
    </row>
    <row r="1235" spans="3:13">
      <c r="C1235" s="374"/>
      <c r="D1235" s="375"/>
      <c r="E1235" s="73"/>
      <c r="F1235" s="73"/>
      <c r="G1235" s="376"/>
      <c r="H1235" s="73"/>
      <c r="I1235" s="73"/>
      <c r="J1235" s="73"/>
      <c r="K1235" s="377"/>
      <c r="L1235" s="378"/>
      <c r="M1235" s="73"/>
    </row>
    <row r="1236" spans="3:13">
      <c r="C1236" s="374"/>
      <c r="D1236" s="375"/>
      <c r="E1236" s="73"/>
      <c r="F1236" s="73"/>
      <c r="G1236" s="376"/>
      <c r="H1236" s="73"/>
      <c r="I1236" s="73"/>
      <c r="J1236" s="73"/>
      <c r="K1236" s="377"/>
      <c r="L1236" s="378"/>
      <c r="M1236" s="73"/>
    </row>
    <row r="1237" spans="3:13">
      <c r="C1237" s="374"/>
      <c r="D1237" s="375"/>
      <c r="E1237" s="73"/>
      <c r="F1237" s="73"/>
      <c r="G1237" s="376"/>
      <c r="H1237" s="73"/>
      <c r="I1237" s="73"/>
      <c r="J1237" s="73"/>
      <c r="K1237" s="377"/>
      <c r="L1237" s="378"/>
      <c r="M1237" s="73"/>
    </row>
    <row r="1238" spans="3:13">
      <c r="C1238" s="374"/>
      <c r="D1238" s="375"/>
      <c r="E1238" s="73"/>
      <c r="F1238" s="73"/>
      <c r="G1238" s="376"/>
      <c r="H1238" s="73"/>
      <c r="I1238" s="73"/>
      <c r="J1238" s="73"/>
      <c r="K1238" s="377"/>
      <c r="L1238" s="378"/>
      <c r="M1238" s="73"/>
    </row>
    <row r="1239" spans="3:13">
      <c r="C1239" s="374"/>
      <c r="D1239" s="375"/>
      <c r="E1239" s="73"/>
      <c r="F1239" s="73"/>
      <c r="G1239" s="376"/>
      <c r="H1239" s="73"/>
      <c r="I1239" s="73"/>
      <c r="J1239" s="73"/>
      <c r="K1239" s="377"/>
      <c r="L1239" s="378"/>
      <c r="M1239" s="73"/>
    </row>
    <row r="1240" spans="3:13">
      <c r="C1240" s="374"/>
      <c r="D1240" s="375"/>
      <c r="E1240" s="73"/>
      <c r="F1240" s="73"/>
      <c r="G1240" s="376"/>
      <c r="H1240" s="73"/>
      <c r="I1240" s="73"/>
      <c r="J1240" s="73"/>
      <c r="K1240" s="377"/>
      <c r="L1240" s="378"/>
      <c r="M1240" s="73"/>
    </row>
    <row r="1241" spans="3:13">
      <c r="C1241" s="374"/>
      <c r="D1241" s="375"/>
      <c r="E1241" s="73"/>
      <c r="F1241" s="73"/>
      <c r="G1241" s="376"/>
      <c r="H1241" s="73"/>
      <c r="I1241" s="73"/>
      <c r="J1241" s="73"/>
      <c r="K1241" s="377"/>
      <c r="L1241" s="378"/>
      <c r="M1241" s="73"/>
    </row>
    <row r="1242" spans="3:13">
      <c r="C1242" s="374"/>
      <c r="D1242" s="375"/>
      <c r="E1242" s="73"/>
      <c r="F1242" s="73"/>
      <c r="G1242" s="376"/>
      <c r="H1242" s="73"/>
      <c r="I1242" s="73"/>
      <c r="J1242" s="73"/>
      <c r="K1242" s="377"/>
      <c r="L1242" s="378"/>
      <c r="M1242" s="73"/>
    </row>
    <row r="1243" spans="3:13">
      <c r="C1243" s="374"/>
      <c r="D1243" s="375"/>
      <c r="E1243" s="73"/>
      <c r="F1243" s="73"/>
      <c r="G1243" s="376"/>
      <c r="H1243" s="73"/>
      <c r="I1243" s="73"/>
      <c r="J1243" s="73"/>
      <c r="K1243" s="377"/>
      <c r="L1243" s="378"/>
      <c r="M1243" s="73"/>
    </row>
    <row r="1244" spans="3:13">
      <c r="C1244" s="374"/>
      <c r="D1244" s="375"/>
      <c r="E1244" s="73"/>
      <c r="F1244" s="73"/>
      <c r="G1244" s="376"/>
      <c r="H1244" s="73"/>
      <c r="I1244" s="73"/>
      <c r="J1244" s="73"/>
      <c r="K1244" s="377"/>
      <c r="L1244" s="378"/>
      <c r="M1244" s="73"/>
    </row>
    <row r="1245" spans="3:13">
      <c r="C1245" s="374"/>
      <c r="D1245" s="375"/>
      <c r="E1245" s="73"/>
      <c r="F1245" s="73"/>
      <c r="G1245" s="376"/>
      <c r="H1245" s="73"/>
      <c r="I1245" s="73"/>
      <c r="J1245" s="73"/>
      <c r="K1245" s="377"/>
      <c r="L1245" s="378"/>
      <c r="M1245" s="73"/>
    </row>
    <row r="1246" spans="3:13">
      <c r="C1246" s="374"/>
      <c r="D1246" s="375"/>
      <c r="E1246" s="73"/>
      <c r="F1246" s="73"/>
      <c r="G1246" s="376"/>
      <c r="H1246" s="73"/>
      <c r="I1246" s="73"/>
      <c r="J1246" s="73"/>
      <c r="K1246" s="377"/>
      <c r="L1246" s="378"/>
      <c r="M1246" s="73"/>
    </row>
    <row r="1247" spans="3:13">
      <c r="C1247" s="374"/>
      <c r="D1247" s="375"/>
      <c r="E1247" s="73"/>
      <c r="F1247" s="73"/>
      <c r="G1247" s="376"/>
      <c r="H1247" s="73"/>
      <c r="I1247" s="73"/>
      <c r="J1247" s="73"/>
      <c r="K1247" s="377"/>
      <c r="L1247" s="378"/>
      <c r="M1247" s="73"/>
    </row>
    <row r="1248" spans="3:13">
      <c r="C1248" s="374"/>
      <c r="D1248" s="375"/>
      <c r="E1248" s="73"/>
      <c r="F1248" s="73"/>
      <c r="G1248" s="376"/>
      <c r="H1248" s="73"/>
      <c r="I1248" s="73"/>
      <c r="J1248" s="73"/>
      <c r="K1248" s="377"/>
      <c r="L1248" s="378"/>
      <c r="M1248" s="73"/>
    </row>
    <row r="1249" spans="3:13">
      <c r="C1249" s="374"/>
      <c r="D1249" s="375"/>
      <c r="E1249" s="73"/>
      <c r="F1249" s="73"/>
      <c r="G1249" s="376"/>
      <c r="H1249" s="73"/>
      <c r="I1249" s="73"/>
      <c r="J1249" s="73"/>
      <c r="K1249" s="377"/>
      <c r="L1249" s="378"/>
      <c r="M1249" s="73"/>
    </row>
    <row r="1250" spans="3:13">
      <c r="C1250" s="374"/>
      <c r="D1250" s="375"/>
      <c r="E1250" s="73"/>
      <c r="F1250" s="73"/>
      <c r="G1250" s="376"/>
      <c r="H1250" s="73"/>
      <c r="I1250" s="73"/>
      <c r="J1250" s="73"/>
      <c r="K1250" s="377"/>
      <c r="L1250" s="378"/>
      <c r="M1250" s="73"/>
    </row>
    <row r="1251" spans="3:13">
      <c r="C1251" s="374"/>
      <c r="D1251" s="375"/>
      <c r="E1251" s="73"/>
      <c r="F1251" s="73"/>
      <c r="G1251" s="376"/>
      <c r="H1251" s="73"/>
      <c r="I1251" s="73"/>
      <c r="J1251" s="73"/>
      <c r="K1251" s="377"/>
      <c r="L1251" s="378"/>
      <c r="M1251" s="73"/>
    </row>
    <row r="1252" spans="3:13">
      <c r="C1252" s="374"/>
      <c r="D1252" s="375"/>
      <c r="E1252" s="73"/>
      <c r="F1252" s="73"/>
      <c r="G1252" s="376"/>
      <c r="H1252" s="73"/>
      <c r="I1252" s="73"/>
      <c r="J1252" s="73"/>
      <c r="K1252" s="377"/>
      <c r="L1252" s="378"/>
      <c r="M1252" s="73"/>
    </row>
    <row r="1253" spans="3:13">
      <c r="C1253" s="374"/>
      <c r="D1253" s="375"/>
      <c r="E1253" s="73"/>
      <c r="F1253" s="73"/>
      <c r="G1253" s="376"/>
      <c r="H1253" s="73"/>
      <c r="I1253" s="73"/>
      <c r="J1253" s="73"/>
      <c r="K1253" s="377"/>
      <c r="L1253" s="378"/>
      <c r="M1253" s="73"/>
    </row>
    <row r="1254" spans="3:13">
      <c r="C1254" s="374"/>
      <c r="D1254" s="375"/>
      <c r="E1254" s="73"/>
      <c r="F1254" s="73"/>
      <c r="G1254" s="376"/>
      <c r="H1254" s="73"/>
      <c r="I1254" s="73"/>
      <c r="J1254" s="73"/>
      <c r="K1254" s="377"/>
      <c r="L1254" s="378"/>
      <c r="M1254" s="73"/>
    </row>
    <row r="1255" spans="3:13">
      <c r="C1255" s="374"/>
      <c r="D1255" s="375"/>
      <c r="E1255" s="73"/>
      <c r="F1255" s="73"/>
      <c r="G1255" s="376"/>
      <c r="H1255" s="73"/>
      <c r="I1255" s="73"/>
      <c r="J1255" s="73"/>
      <c r="K1255" s="377"/>
      <c r="L1255" s="378"/>
      <c r="M1255" s="73"/>
    </row>
    <row r="1256" spans="3:13">
      <c r="C1256" s="374"/>
      <c r="D1256" s="375"/>
      <c r="E1256" s="73"/>
      <c r="F1256" s="73"/>
      <c r="G1256" s="376"/>
      <c r="H1256" s="73"/>
      <c r="I1256" s="73"/>
      <c r="J1256" s="73"/>
      <c r="K1256" s="377"/>
      <c r="L1256" s="378"/>
      <c r="M1256" s="73"/>
    </row>
    <row r="1257" spans="3:13">
      <c r="C1257" s="374"/>
      <c r="D1257" s="375"/>
      <c r="E1257" s="73"/>
      <c r="F1257" s="73"/>
      <c r="G1257" s="376"/>
      <c r="H1257" s="73"/>
      <c r="I1257" s="73"/>
      <c r="J1257" s="73"/>
      <c r="K1257" s="377"/>
      <c r="L1257" s="378"/>
      <c r="M1257" s="73"/>
    </row>
    <row r="1258" spans="3:13">
      <c r="C1258" s="374"/>
      <c r="D1258" s="375"/>
      <c r="E1258" s="73"/>
      <c r="F1258" s="73"/>
      <c r="G1258" s="376"/>
      <c r="H1258" s="73"/>
      <c r="I1258" s="73"/>
      <c r="J1258" s="73"/>
      <c r="K1258" s="377"/>
      <c r="L1258" s="378"/>
      <c r="M1258" s="73"/>
    </row>
    <row r="1259" spans="3:13">
      <c r="C1259" s="374"/>
      <c r="D1259" s="375"/>
      <c r="E1259" s="73"/>
      <c r="F1259" s="73"/>
      <c r="G1259" s="376"/>
      <c r="H1259" s="73"/>
      <c r="I1259" s="73"/>
      <c r="J1259" s="73"/>
      <c r="K1259" s="377"/>
      <c r="L1259" s="378"/>
      <c r="M1259" s="73"/>
    </row>
    <row r="1260" spans="3:13">
      <c r="C1260" s="374"/>
      <c r="D1260" s="375"/>
      <c r="E1260" s="73"/>
      <c r="F1260" s="73"/>
      <c r="G1260" s="376"/>
      <c r="H1260" s="73"/>
      <c r="I1260" s="73"/>
      <c r="J1260" s="73"/>
      <c r="K1260" s="377"/>
      <c r="L1260" s="378"/>
      <c r="M1260" s="73"/>
    </row>
    <row r="1261" spans="3:13">
      <c r="C1261" s="374"/>
      <c r="D1261" s="375"/>
      <c r="E1261" s="73"/>
      <c r="F1261" s="73"/>
      <c r="G1261" s="376"/>
      <c r="H1261" s="73"/>
      <c r="I1261" s="73"/>
      <c r="J1261" s="73"/>
      <c r="K1261" s="377"/>
      <c r="L1261" s="378"/>
      <c r="M1261" s="73"/>
    </row>
    <row r="1262" spans="3:13">
      <c r="C1262" s="374"/>
      <c r="D1262" s="375"/>
      <c r="E1262" s="73"/>
      <c r="F1262" s="73"/>
      <c r="G1262" s="376"/>
      <c r="H1262" s="73"/>
      <c r="I1262" s="73"/>
      <c r="J1262" s="73"/>
      <c r="K1262" s="377"/>
      <c r="L1262" s="378"/>
      <c r="M1262" s="73"/>
    </row>
    <row r="1263" spans="3:13">
      <c r="C1263" s="374"/>
      <c r="D1263" s="375"/>
      <c r="E1263" s="73"/>
      <c r="F1263" s="73"/>
      <c r="G1263" s="376"/>
      <c r="H1263" s="73"/>
      <c r="I1263" s="73"/>
      <c r="J1263" s="73"/>
      <c r="K1263" s="377"/>
      <c r="L1263" s="378"/>
      <c r="M1263" s="73"/>
    </row>
    <row r="1264" spans="3:13">
      <c r="C1264" s="374"/>
      <c r="D1264" s="375"/>
      <c r="E1264" s="73"/>
      <c r="F1264" s="73"/>
      <c r="G1264" s="376"/>
      <c r="H1264" s="73"/>
      <c r="I1264" s="73"/>
      <c r="J1264" s="73"/>
      <c r="K1264" s="377"/>
      <c r="L1264" s="378"/>
      <c r="M1264" s="73"/>
    </row>
    <row r="1265" spans="3:13">
      <c r="C1265" s="374"/>
      <c r="D1265" s="375"/>
      <c r="E1265" s="73"/>
      <c r="F1265" s="73"/>
      <c r="G1265" s="376"/>
      <c r="H1265" s="73"/>
      <c r="I1265" s="73"/>
      <c r="J1265" s="73"/>
      <c r="K1265" s="377"/>
      <c r="L1265" s="378"/>
      <c r="M1265" s="73"/>
    </row>
    <row r="1266" spans="3:13">
      <c r="C1266" s="374"/>
      <c r="D1266" s="375"/>
      <c r="E1266" s="73"/>
      <c r="F1266" s="73"/>
      <c r="G1266" s="376"/>
      <c r="H1266" s="73"/>
      <c r="I1266" s="73"/>
      <c r="J1266" s="73"/>
      <c r="K1266" s="377"/>
      <c r="L1266" s="378"/>
      <c r="M1266" s="73"/>
    </row>
    <row r="1267" spans="3:13">
      <c r="C1267" s="374"/>
      <c r="D1267" s="375"/>
      <c r="E1267" s="73"/>
      <c r="F1267" s="73"/>
      <c r="G1267" s="376"/>
      <c r="H1267" s="73"/>
      <c r="I1267" s="73"/>
      <c r="J1267" s="73"/>
      <c r="K1267" s="377"/>
      <c r="L1267" s="378"/>
      <c r="M1267" s="73"/>
    </row>
    <row r="1268" spans="3:13">
      <c r="C1268" s="374"/>
      <c r="D1268" s="375"/>
      <c r="E1268" s="73"/>
      <c r="F1268" s="73"/>
      <c r="G1268" s="376"/>
      <c r="H1268" s="73"/>
      <c r="I1268" s="73"/>
      <c r="J1268" s="73"/>
      <c r="K1268" s="377"/>
      <c r="L1268" s="378"/>
      <c r="M1268" s="73"/>
    </row>
    <row r="1269" spans="3:13">
      <c r="C1269" s="374"/>
      <c r="D1269" s="375"/>
      <c r="E1269" s="73"/>
      <c r="F1269" s="73"/>
      <c r="G1269" s="376"/>
      <c r="H1269" s="73"/>
      <c r="I1269" s="73"/>
      <c r="J1269" s="73"/>
      <c r="K1269" s="377"/>
      <c r="L1269" s="378"/>
      <c r="M1269" s="73"/>
    </row>
    <row r="1270" spans="3:13">
      <c r="C1270" s="374"/>
      <c r="D1270" s="375"/>
      <c r="E1270" s="73"/>
      <c r="F1270" s="73"/>
      <c r="G1270" s="376"/>
      <c r="H1270" s="73"/>
      <c r="I1270" s="73"/>
      <c r="J1270" s="73"/>
      <c r="K1270" s="377"/>
      <c r="L1270" s="378"/>
      <c r="M1270" s="73"/>
    </row>
    <row r="1271" spans="3:13">
      <c r="C1271" s="374"/>
      <c r="D1271" s="375"/>
      <c r="E1271" s="73"/>
      <c r="F1271" s="73"/>
      <c r="G1271" s="376"/>
      <c r="H1271" s="73"/>
      <c r="I1271" s="73"/>
      <c r="J1271" s="73"/>
      <c r="K1271" s="377"/>
      <c r="L1271" s="378"/>
      <c r="M1271" s="73"/>
    </row>
    <row r="1272" spans="3:13">
      <c r="C1272" s="374"/>
      <c r="D1272" s="375"/>
      <c r="E1272" s="73"/>
      <c r="F1272" s="73"/>
      <c r="G1272" s="376"/>
      <c r="H1272" s="73"/>
      <c r="I1272" s="73"/>
      <c r="J1272" s="73"/>
      <c r="K1272" s="377"/>
      <c r="L1272" s="378"/>
      <c r="M1272" s="73"/>
    </row>
    <row r="1273" spans="3:13">
      <c r="C1273" s="374"/>
      <c r="D1273" s="375"/>
      <c r="E1273" s="73"/>
      <c r="F1273" s="73"/>
      <c r="G1273" s="376"/>
      <c r="H1273" s="73"/>
      <c r="I1273" s="73"/>
      <c r="J1273" s="73"/>
      <c r="K1273" s="377"/>
      <c r="L1273" s="378"/>
      <c r="M1273" s="73"/>
    </row>
    <row r="1274" spans="3:13">
      <c r="C1274" s="374"/>
      <c r="D1274" s="375"/>
      <c r="E1274" s="73"/>
      <c r="F1274" s="73"/>
      <c r="G1274" s="376"/>
      <c r="H1274" s="73"/>
      <c r="I1274" s="73"/>
      <c r="J1274" s="73"/>
      <c r="K1274" s="377"/>
      <c r="L1274" s="378"/>
      <c r="M1274" s="73"/>
    </row>
    <row r="1275" spans="3:13">
      <c r="C1275" s="374"/>
      <c r="D1275" s="375"/>
      <c r="E1275" s="73"/>
      <c r="F1275" s="73"/>
      <c r="G1275" s="376"/>
      <c r="H1275" s="73"/>
      <c r="I1275" s="73"/>
      <c r="J1275" s="73"/>
      <c r="K1275" s="377"/>
      <c r="L1275" s="378"/>
      <c r="M1275" s="73"/>
    </row>
    <row r="1276" spans="3:13">
      <c r="C1276" s="374"/>
      <c r="D1276" s="375"/>
      <c r="E1276" s="73"/>
      <c r="F1276" s="73"/>
      <c r="G1276" s="376"/>
      <c r="H1276" s="73"/>
      <c r="I1276" s="73"/>
      <c r="J1276" s="73"/>
      <c r="K1276" s="377"/>
      <c r="L1276" s="378"/>
      <c r="M1276" s="73"/>
    </row>
    <row r="1277" spans="3:13">
      <c r="C1277" s="374"/>
      <c r="D1277" s="375"/>
      <c r="E1277" s="73"/>
      <c r="F1277" s="73"/>
      <c r="G1277" s="376"/>
      <c r="H1277" s="73"/>
      <c r="I1277" s="73"/>
      <c r="J1277" s="73"/>
      <c r="K1277" s="377"/>
      <c r="L1277" s="378"/>
      <c r="M1277" s="73"/>
    </row>
    <row r="1278" spans="3:13">
      <c r="C1278" s="374"/>
      <c r="D1278" s="375"/>
      <c r="E1278" s="73"/>
      <c r="F1278" s="73"/>
      <c r="G1278" s="376"/>
      <c r="H1278" s="73"/>
      <c r="I1278" s="73"/>
      <c r="J1278" s="73"/>
      <c r="K1278" s="377"/>
      <c r="L1278" s="378"/>
      <c r="M1278" s="73"/>
    </row>
    <row r="1279" spans="3:13">
      <c r="C1279" s="374"/>
      <c r="D1279" s="375"/>
      <c r="E1279" s="73"/>
      <c r="F1279" s="73"/>
      <c r="G1279" s="376"/>
      <c r="H1279" s="73"/>
      <c r="I1279" s="73"/>
      <c r="J1279" s="73"/>
      <c r="K1279" s="377"/>
      <c r="L1279" s="378"/>
      <c r="M1279" s="73"/>
    </row>
    <row r="1280" spans="3:13">
      <c r="C1280" s="374"/>
      <c r="D1280" s="375"/>
      <c r="E1280" s="73"/>
      <c r="F1280" s="73"/>
      <c r="G1280" s="376"/>
      <c r="H1280" s="73"/>
      <c r="I1280" s="73"/>
      <c r="J1280" s="73"/>
      <c r="K1280" s="377"/>
      <c r="L1280" s="378"/>
      <c r="M1280" s="73"/>
    </row>
    <row r="1281" spans="3:13">
      <c r="C1281" s="374"/>
      <c r="D1281" s="375"/>
      <c r="E1281" s="73"/>
      <c r="F1281" s="73"/>
      <c r="G1281" s="376"/>
      <c r="H1281" s="73"/>
      <c r="I1281" s="73"/>
      <c r="J1281" s="73"/>
      <c r="K1281" s="377"/>
      <c r="L1281" s="378"/>
      <c r="M1281" s="73"/>
    </row>
    <row r="1282" spans="3:13">
      <c r="C1282" s="374"/>
      <c r="D1282" s="375"/>
      <c r="E1282" s="73"/>
      <c r="F1282" s="73"/>
      <c r="G1282" s="376"/>
      <c r="H1282" s="73"/>
      <c r="I1282" s="73"/>
      <c r="J1282" s="73"/>
      <c r="K1282" s="377"/>
      <c r="L1282" s="378"/>
      <c r="M1282" s="73"/>
    </row>
    <row r="1283" spans="3:13">
      <c r="C1283" s="374"/>
      <c r="D1283" s="375"/>
      <c r="E1283" s="73"/>
      <c r="F1283" s="73"/>
      <c r="G1283" s="376"/>
      <c r="H1283" s="73"/>
      <c r="I1283" s="73"/>
      <c r="J1283" s="73"/>
      <c r="K1283" s="377"/>
      <c r="L1283" s="378"/>
      <c r="M1283" s="73"/>
    </row>
    <row r="1284" spans="3:13">
      <c r="C1284" s="374"/>
      <c r="D1284" s="375"/>
      <c r="E1284" s="73"/>
      <c r="F1284" s="73"/>
      <c r="G1284" s="376"/>
      <c r="H1284" s="73"/>
      <c r="I1284" s="73"/>
      <c r="J1284" s="73"/>
      <c r="K1284" s="377"/>
      <c r="L1284" s="378"/>
      <c r="M1284" s="73"/>
    </row>
    <row r="1285" spans="3:13">
      <c r="C1285" s="374"/>
      <c r="D1285" s="375"/>
      <c r="E1285" s="73"/>
      <c r="F1285" s="73"/>
      <c r="G1285" s="376"/>
      <c r="H1285" s="73"/>
      <c r="I1285" s="73"/>
      <c r="J1285" s="73"/>
      <c r="K1285" s="377"/>
      <c r="L1285" s="378"/>
      <c r="M1285" s="73"/>
    </row>
    <row r="1286" spans="3:13">
      <c r="C1286" s="374"/>
      <c r="D1286" s="375"/>
      <c r="E1286" s="73"/>
      <c r="F1286" s="73"/>
      <c r="G1286" s="376"/>
      <c r="H1286" s="73"/>
      <c r="I1286" s="73"/>
      <c r="J1286" s="73"/>
      <c r="K1286" s="377"/>
      <c r="L1286" s="378"/>
      <c r="M1286" s="73"/>
    </row>
    <row r="1287" spans="3:13">
      <c r="C1287" s="374"/>
      <c r="D1287" s="375"/>
      <c r="E1287" s="73"/>
      <c r="F1287" s="73"/>
      <c r="G1287" s="376"/>
      <c r="H1287" s="73"/>
      <c r="I1287" s="73"/>
      <c r="J1287" s="73"/>
      <c r="K1287" s="377"/>
      <c r="L1287" s="378"/>
      <c r="M1287" s="73"/>
    </row>
    <row r="1288" spans="3:13">
      <c r="C1288" s="374"/>
      <c r="D1288" s="375"/>
      <c r="E1288" s="73"/>
      <c r="F1288" s="73"/>
      <c r="G1288" s="376"/>
      <c r="H1288" s="73"/>
      <c r="I1288" s="73"/>
      <c r="J1288" s="73"/>
      <c r="K1288" s="377"/>
      <c r="L1288" s="378"/>
      <c r="M1288" s="73"/>
    </row>
    <row r="1289" spans="3:13">
      <c r="C1289" s="374"/>
      <c r="D1289" s="375"/>
      <c r="E1289" s="73"/>
      <c r="F1289" s="73"/>
      <c r="G1289" s="376"/>
      <c r="H1289" s="73"/>
      <c r="I1289" s="73"/>
      <c r="J1289" s="73"/>
      <c r="K1289" s="377"/>
      <c r="L1289" s="378"/>
      <c r="M1289" s="73"/>
    </row>
    <row r="1290" spans="3:13">
      <c r="C1290" s="374"/>
      <c r="D1290" s="375"/>
      <c r="E1290" s="73"/>
      <c r="F1290" s="73"/>
      <c r="G1290" s="376"/>
      <c r="H1290" s="73"/>
      <c r="I1290" s="73"/>
      <c r="J1290" s="73"/>
      <c r="K1290" s="377"/>
      <c r="L1290" s="378"/>
      <c r="M1290" s="73"/>
    </row>
    <row r="1291" spans="3:13">
      <c r="C1291" s="374"/>
      <c r="D1291" s="375"/>
      <c r="E1291" s="73"/>
      <c r="F1291" s="73"/>
      <c r="G1291" s="376"/>
      <c r="H1291" s="73"/>
      <c r="I1291" s="73"/>
      <c r="J1291" s="73"/>
      <c r="K1291" s="377"/>
      <c r="L1291" s="378"/>
      <c r="M1291" s="73"/>
    </row>
    <row r="1292" spans="3:13">
      <c r="C1292" s="374"/>
      <c r="D1292" s="375"/>
      <c r="E1292" s="73"/>
      <c r="F1292" s="73"/>
      <c r="G1292" s="376"/>
      <c r="H1292" s="73"/>
      <c r="I1292" s="73"/>
      <c r="J1292" s="73"/>
      <c r="K1292" s="377"/>
      <c r="L1292" s="378"/>
      <c r="M1292" s="73"/>
    </row>
    <row r="1293" spans="3:13">
      <c r="C1293" s="374"/>
      <c r="D1293" s="375"/>
      <c r="E1293" s="73"/>
      <c r="F1293" s="73"/>
      <c r="G1293" s="376"/>
      <c r="H1293" s="73"/>
      <c r="I1293" s="73"/>
      <c r="J1293" s="73"/>
      <c r="K1293" s="377"/>
      <c r="L1293" s="378"/>
      <c r="M1293" s="73"/>
    </row>
    <row r="1294" spans="3:13">
      <c r="C1294" s="374"/>
      <c r="D1294" s="375"/>
      <c r="E1294" s="73"/>
      <c r="F1294" s="73"/>
      <c r="G1294" s="376"/>
      <c r="H1294" s="73"/>
      <c r="I1294" s="73"/>
      <c r="J1294" s="73"/>
      <c r="K1294" s="377"/>
      <c r="L1294" s="378"/>
      <c r="M1294" s="73"/>
    </row>
    <row r="1295" spans="3:13">
      <c r="C1295" s="374"/>
      <c r="D1295" s="375"/>
      <c r="E1295" s="73"/>
      <c r="F1295" s="73"/>
      <c r="G1295" s="376"/>
      <c r="H1295" s="73"/>
      <c r="I1295" s="73"/>
      <c r="J1295" s="73"/>
      <c r="K1295" s="377"/>
      <c r="L1295" s="378"/>
      <c r="M1295" s="73"/>
    </row>
    <row r="1296" spans="3:13">
      <c r="C1296" s="374"/>
      <c r="D1296" s="375"/>
      <c r="E1296" s="73"/>
      <c r="F1296" s="73"/>
      <c r="G1296" s="376"/>
      <c r="H1296" s="73"/>
      <c r="I1296" s="73"/>
      <c r="J1296" s="73"/>
      <c r="K1296" s="377"/>
      <c r="L1296" s="378"/>
      <c r="M1296" s="73"/>
    </row>
    <row r="1297" spans="3:13">
      <c r="C1297" s="374"/>
      <c r="D1297" s="375"/>
      <c r="E1297" s="73"/>
      <c r="F1297" s="73"/>
      <c r="G1297" s="376"/>
      <c r="H1297" s="73"/>
      <c r="I1297" s="73"/>
      <c r="J1297" s="73"/>
      <c r="K1297" s="377"/>
      <c r="L1297" s="378"/>
      <c r="M1297" s="73"/>
    </row>
    <row r="1298" spans="3:13">
      <c r="C1298" s="374"/>
      <c r="D1298" s="375"/>
      <c r="E1298" s="73"/>
      <c r="F1298" s="73"/>
      <c r="G1298" s="376"/>
      <c r="H1298" s="73"/>
      <c r="I1298" s="73"/>
      <c r="J1298" s="73"/>
      <c r="K1298" s="377"/>
      <c r="L1298" s="378"/>
      <c r="M1298" s="73"/>
    </row>
    <row r="1299" spans="3:13">
      <c r="C1299" s="374"/>
      <c r="D1299" s="375"/>
      <c r="E1299" s="73"/>
      <c r="F1299" s="73"/>
      <c r="G1299" s="376"/>
      <c r="H1299" s="73"/>
      <c r="I1299" s="73"/>
      <c r="J1299" s="73"/>
      <c r="K1299" s="377"/>
      <c r="L1299" s="378"/>
      <c r="M1299" s="73"/>
    </row>
    <row r="1300" spans="3:13">
      <c r="C1300" s="374"/>
      <c r="D1300" s="375"/>
      <c r="E1300" s="73"/>
      <c r="F1300" s="73"/>
      <c r="G1300" s="376"/>
      <c r="H1300" s="73"/>
      <c r="I1300" s="73"/>
      <c r="J1300" s="73"/>
      <c r="K1300" s="377"/>
      <c r="L1300" s="378"/>
      <c r="M1300" s="73"/>
    </row>
    <row r="1301" spans="3:13">
      <c r="C1301" s="374"/>
      <c r="D1301" s="375"/>
      <c r="E1301" s="73"/>
      <c r="F1301" s="73"/>
      <c r="G1301" s="376"/>
      <c r="H1301" s="73"/>
      <c r="I1301" s="73"/>
      <c r="J1301" s="73"/>
      <c r="K1301" s="377"/>
      <c r="L1301" s="378"/>
      <c r="M1301" s="73"/>
    </row>
    <row r="1302" spans="3:13">
      <c r="C1302" s="374"/>
      <c r="D1302" s="375"/>
      <c r="E1302" s="73"/>
      <c r="F1302" s="73"/>
      <c r="G1302" s="376"/>
      <c r="H1302" s="73"/>
      <c r="I1302" s="73"/>
      <c r="J1302" s="73"/>
      <c r="K1302" s="377"/>
      <c r="L1302" s="378"/>
      <c r="M1302" s="73"/>
    </row>
    <row r="1303" spans="3:13">
      <c r="C1303" s="374"/>
      <c r="D1303" s="375"/>
      <c r="E1303" s="73"/>
      <c r="F1303" s="73"/>
      <c r="G1303" s="376"/>
      <c r="H1303" s="73"/>
      <c r="I1303" s="73"/>
      <c r="J1303" s="73"/>
      <c r="K1303" s="377"/>
      <c r="L1303" s="378"/>
      <c r="M1303" s="73"/>
    </row>
    <row r="1304" spans="3:13">
      <c r="C1304" s="374"/>
      <c r="D1304" s="375"/>
      <c r="E1304" s="73"/>
      <c r="F1304" s="73"/>
      <c r="G1304" s="376"/>
      <c r="H1304" s="73"/>
      <c r="I1304" s="73"/>
      <c r="J1304" s="73"/>
      <c r="K1304" s="377"/>
      <c r="L1304" s="378"/>
      <c r="M1304" s="73"/>
    </row>
    <row r="1305" spans="3:13">
      <c r="C1305" s="374"/>
      <c r="D1305" s="375"/>
      <c r="E1305" s="73"/>
      <c r="F1305" s="73"/>
      <c r="G1305" s="376"/>
      <c r="H1305" s="73"/>
      <c r="I1305" s="73"/>
      <c r="J1305" s="73"/>
      <c r="K1305" s="377"/>
      <c r="L1305" s="378"/>
      <c r="M1305" s="73"/>
    </row>
    <row r="1306" spans="3:13">
      <c r="C1306" s="374"/>
      <c r="D1306" s="375"/>
      <c r="E1306" s="73"/>
      <c r="F1306" s="73"/>
      <c r="G1306" s="376"/>
      <c r="H1306" s="73"/>
      <c r="I1306" s="73"/>
      <c r="J1306" s="73"/>
      <c r="K1306" s="377"/>
      <c r="L1306" s="378"/>
      <c r="M1306" s="73"/>
    </row>
    <row r="1307" spans="3:13">
      <c r="C1307" s="374"/>
      <c r="D1307" s="375"/>
      <c r="E1307" s="73"/>
      <c r="F1307" s="73"/>
      <c r="G1307" s="376"/>
      <c r="H1307" s="73"/>
      <c r="I1307" s="73"/>
      <c r="J1307" s="73"/>
      <c r="K1307" s="377"/>
      <c r="L1307" s="378"/>
      <c r="M1307" s="73"/>
    </row>
    <row r="1308" spans="3:13">
      <c r="C1308" s="374"/>
      <c r="D1308" s="375"/>
      <c r="E1308" s="73"/>
      <c r="F1308" s="73"/>
      <c r="G1308" s="376"/>
      <c r="H1308" s="73"/>
      <c r="I1308" s="73"/>
      <c r="J1308" s="73"/>
      <c r="K1308" s="377"/>
      <c r="L1308" s="378"/>
      <c r="M1308" s="73"/>
    </row>
    <row r="1309" spans="3:13">
      <c r="C1309" s="374"/>
      <c r="D1309" s="375"/>
      <c r="E1309" s="73"/>
      <c r="F1309" s="73"/>
      <c r="G1309" s="376"/>
      <c r="H1309" s="73"/>
      <c r="I1309" s="73"/>
      <c r="J1309" s="73"/>
      <c r="K1309" s="377"/>
      <c r="L1309" s="378"/>
      <c r="M1309" s="73"/>
    </row>
    <row r="1310" spans="3:13">
      <c r="C1310" s="374"/>
      <c r="D1310" s="375"/>
      <c r="E1310" s="73"/>
      <c r="F1310" s="73"/>
      <c r="G1310" s="376"/>
      <c r="H1310" s="73"/>
      <c r="I1310" s="73"/>
      <c r="J1310" s="73"/>
      <c r="K1310" s="377"/>
      <c r="L1310" s="378"/>
      <c r="M1310" s="73"/>
    </row>
    <row r="1311" spans="3:13">
      <c r="C1311" s="374"/>
      <c r="D1311" s="375"/>
      <c r="E1311" s="73"/>
      <c r="F1311" s="73"/>
      <c r="G1311" s="376"/>
      <c r="H1311" s="73"/>
      <c r="I1311" s="73"/>
      <c r="J1311" s="73"/>
      <c r="K1311" s="377"/>
      <c r="L1311" s="378"/>
      <c r="M1311" s="73"/>
    </row>
    <row r="1312" spans="3:13">
      <c r="C1312" s="374"/>
      <c r="D1312" s="375"/>
      <c r="E1312" s="73"/>
      <c r="F1312" s="73"/>
      <c r="G1312" s="376"/>
      <c r="H1312" s="73"/>
      <c r="I1312" s="73"/>
      <c r="J1312" s="73"/>
      <c r="K1312" s="377"/>
      <c r="L1312" s="378"/>
      <c r="M1312" s="73"/>
    </row>
    <row r="1313" spans="3:13">
      <c r="C1313" s="374"/>
      <c r="D1313" s="375"/>
      <c r="E1313" s="73"/>
      <c r="F1313" s="73"/>
      <c r="G1313" s="376"/>
      <c r="H1313" s="73"/>
      <c r="I1313" s="73"/>
      <c r="J1313" s="73"/>
      <c r="K1313" s="377"/>
      <c r="L1313" s="378"/>
      <c r="M1313" s="73"/>
    </row>
    <row r="1314" spans="3:13">
      <c r="C1314" s="374"/>
      <c r="D1314" s="375"/>
      <c r="E1314" s="73"/>
      <c r="F1314" s="73"/>
      <c r="G1314" s="376"/>
      <c r="H1314" s="73"/>
      <c r="I1314" s="73"/>
      <c r="J1314" s="73"/>
      <c r="K1314" s="377"/>
      <c r="L1314" s="378"/>
      <c r="M1314" s="73"/>
    </row>
    <row r="1315" spans="3:13">
      <c r="C1315" s="374"/>
      <c r="D1315" s="375"/>
      <c r="E1315" s="73"/>
      <c r="F1315" s="73"/>
      <c r="G1315" s="376"/>
      <c r="H1315" s="73"/>
      <c r="I1315" s="73"/>
      <c r="J1315" s="73"/>
      <c r="K1315" s="377"/>
      <c r="L1315" s="378"/>
      <c r="M1315" s="73"/>
    </row>
    <row r="1316" spans="3:13">
      <c r="C1316" s="374"/>
      <c r="D1316" s="375"/>
      <c r="E1316" s="73"/>
      <c r="F1316" s="73"/>
      <c r="G1316" s="376"/>
      <c r="H1316" s="73"/>
      <c r="I1316" s="73"/>
      <c r="J1316" s="73"/>
      <c r="K1316" s="377"/>
      <c r="L1316" s="378"/>
      <c r="M1316" s="73"/>
    </row>
    <row r="1317" spans="3:13">
      <c r="C1317" s="374"/>
      <c r="D1317" s="375"/>
      <c r="E1317" s="73"/>
      <c r="F1317" s="73"/>
      <c r="G1317" s="376"/>
      <c r="H1317" s="73"/>
      <c r="I1317" s="73"/>
      <c r="J1317" s="73"/>
      <c r="K1317" s="377"/>
      <c r="L1317" s="378"/>
      <c r="M1317" s="73"/>
    </row>
    <row r="1318" spans="3:13">
      <c r="C1318" s="374"/>
      <c r="D1318" s="375"/>
      <c r="E1318" s="73"/>
      <c r="F1318" s="73"/>
      <c r="G1318" s="376"/>
      <c r="H1318" s="73"/>
      <c r="I1318" s="73"/>
      <c r="J1318" s="73"/>
      <c r="K1318" s="377"/>
      <c r="L1318" s="378"/>
      <c r="M1318" s="73"/>
    </row>
    <row r="1319" spans="3:13">
      <c r="C1319" s="374"/>
      <c r="D1319" s="375"/>
      <c r="E1319" s="73"/>
      <c r="F1319" s="73"/>
      <c r="G1319" s="376"/>
      <c r="H1319" s="73"/>
      <c r="I1319" s="73"/>
      <c r="J1319" s="73"/>
      <c r="K1319" s="377"/>
      <c r="L1319" s="378"/>
      <c r="M1319" s="73"/>
    </row>
    <row r="1320" spans="3:13">
      <c r="C1320" s="374"/>
      <c r="D1320" s="375"/>
      <c r="E1320" s="73"/>
      <c r="F1320" s="73"/>
      <c r="G1320" s="376"/>
      <c r="H1320" s="73"/>
      <c r="I1320" s="73"/>
      <c r="J1320" s="73"/>
      <c r="K1320" s="377"/>
      <c r="L1320" s="378"/>
      <c r="M1320" s="73"/>
    </row>
    <row r="1321" spans="3:13">
      <c r="C1321" s="374"/>
      <c r="D1321" s="375"/>
      <c r="E1321" s="73"/>
      <c r="F1321" s="73"/>
      <c r="G1321" s="376"/>
      <c r="H1321" s="73"/>
      <c r="I1321" s="73"/>
      <c r="J1321" s="73"/>
      <c r="K1321" s="377"/>
      <c r="L1321" s="378"/>
      <c r="M1321" s="73"/>
    </row>
    <row r="1322" spans="3:13">
      <c r="C1322" s="374"/>
      <c r="D1322" s="375"/>
      <c r="E1322" s="73"/>
      <c r="F1322" s="73"/>
      <c r="G1322" s="376"/>
      <c r="H1322" s="73"/>
      <c r="I1322" s="73"/>
      <c r="J1322" s="73"/>
      <c r="K1322" s="377"/>
      <c r="L1322" s="378"/>
      <c r="M1322" s="73"/>
    </row>
    <row r="1323" spans="3:13">
      <c r="C1323" s="374"/>
      <c r="D1323" s="375"/>
      <c r="E1323" s="73"/>
      <c r="F1323" s="73"/>
      <c r="G1323" s="376"/>
      <c r="H1323" s="73"/>
      <c r="I1323" s="73"/>
      <c r="J1323" s="73"/>
      <c r="K1323" s="377"/>
      <c r="L1323" s="378"/>
      <c r="M1323" s="73"/>
    </row>
    <row r="1324" spans="3:13">
      <c r="C1324" s="374"/>
      <c r="D1324" s="375"/>
      <c r="E1324" s="73"/>
      <c r="F1324" s="73"/>
      <c r="G1324" s="376"/>
      <c r="H1324" s="73"/>
      <c r="I1324" s="73"/>
      <c r="J1324" s="73"/>
      <c r="K1324" s="377"/>
      <c r="L1324" s="378"/>
      <c r="M1324" s="73"/>
    </row>
    <row r="1325" spans="3:13">
      <c r="C1325" s="374"/>
      <c r="D1325" s="375"/>
      <c r="E1325" s="73"/>
      <c r="F1325" s="73"/>
      <c r="G1325" s="376"/>
      <c r="H1325" s="73"/>
      <c r="I1325" s="73"/>
      <c r="J1325" s="73"/>
      <c r="K1325" s="377"/>
      <c r="L1325" s="378"/>
      <c r="M1325" s="73"/>
    </row>
    <row r="1326" spans="3:13">
      <c r="C1326" s="374"/>
      <c r="D1326" s="375"/>
      <c r="E1326" s="73"/>
      <c r="F1326" s="73"/>
      <c r="G1326" s="376"/>
      <c r="H1326" s="73"/>
      <c r="I1326" s="73"/>
      <c r="J1326" s="73"/>
      <c r="K1326" s="377"/>
      <c r="L1326" s="378"/>
      <c r="M1326" s="73"/>
    </row>
    <row r="1327" spans="3:13">
      <c r="C1327" s="374"/>
      <c r="D1327" s="375"/>
      <c r="E1327" s="73"/>
      <c r="F1327" s="73"/>
      <c r="G1327" s="376"/>
      <c r="H1327" s="73"/>
      <c r="I1327" s="73"/>
      <c r="J1327" s="73"/>
      <c r="K1327" s="377"/>
      <c r="L1327" s="378"/>
      <c r="M1327" s="73"/>
    </row>
    <row r="1328" spans="3:13">
      <c r="C1328" s="374"/>
      <c r="D1328" s="375"/>
      <c r="E1328" s="73"/>
      <c r="F1328" s="73"/>
      <c r="G1328" s="376"/>
      <c r="H1328" s="73"/>
      <c r="I1328" s="73"/>
      <c r="J1328" s="73"/>
      <c r="K1328" s="377"/>
      <c r="L1328" s="378"/>
      <c r="M1328" s="73"/>
    </row>
    <row r="1329" spans="3:13">
      <c r="C1329" s="374"/>
      <c r="D1329" s="375"/>
      <c r="E1329" s="73"/>
      <c r="F1329" s="73"/>
      <c r="G1329" s="376"/>
      <c r="H1329" s="73"/>
      <c r="I1329" s="73"/>
      <c r="J1329" s="73"/>
      <c r="K1329" s="377"/>
      <c r="L1329" s="378"/>
      <c r="M1329" s="73"/>
    </row>
    <row r="1330" spans="3:13">
      <c r="C1330" s="374"/>
      <c r="D1330" s="375"/>
      <c r="E1330" s="73"/>
      <c r="F1330" s="73"/>
      <c r="G1330" s="376"/>
      <c r="H1330" s="73"/>
      <c r="I1330" s="73"/>
      <c r="J1330" s="73"/>
      <c r="K1330" s="377"/>
      <c r="L1330" s="378"/>
      <c r="M1330" s="73"/>
    </row>
    <row r="1331" spans="3:13">
      <c r="C1331" s="374"/>
      <c r="D1331" s="375"/>
      <c r="E1331" s="73"/>
      <c r="F1331" s="73"/>
      <c r="G1331" s="376"/>
      <c r="H1331" s="73"/>
      <c r="I1331" s="73"/>
      <c r="J1331" s="73"/>
      <c r="K1331" s="377"/>
      <c r="L1331" s="378"/>
      <c r="M1331" s="73"/>
    </row>
    <row r="1332" spans="3:13">
      <c r="C1332" s="374"/>
      <c r="D1332" s="375"/>
      <c r="E1332" s="73"/>
      <c r="F1332" s="73"/>
      <c r="G1332" s="376"/>
      <c r="H1332" s="73"/>
      <c r="I1332" s="73"/>
      <c r="J1332" s="73"/>
      <c r="K1332" s="377"/>
      <c r="L1332" s="378"/>
      <c r="M1332" s="73"/>
    </row>
    <row r="1333" spans="3:13">
      <c r="C1333" s="374"/>
      <c r="D1333" s="375"/>
      <c r="E1333" s="73"/>
      <c r="F1333" s="73"/>
      <c r="G1333" s="376"/>
      <c r="H1333" s="73"/>
      <c r="I1333" s="73"/>
      <c r="J1333" s="73"/>
      <c r="K1333" s="377"/>
      <c r="L1333" s="378"/>
      <c r="M1333" s="73"/>
    </row>
    <row r="1334" spans="3:13">
      <c r="C1334" s="374"/>
      <c r="D1334" s="375"/>
      <c r="E1334" s="73"/>
      <c r="F1334" s="73"/>
      <c r="G1334" s="376"/>
      <c r="H1334" s="73"/>
      <c r="I1334" s="73"/>
      <c r="J1334" s="73"/>
      <c r="K1334" s="377"/>
      <c r="L1334" s="378"/>
      <c r="M1334" s="73"/>
    </row>
    <row r="1335" spans="3:13">
      <c r="C1335" s="374"/>
      <c r="D1335" s="375"/>
      <c r="E1335" s="73"/>
      <c r="F1335" s="73"/>
      <c r="G1335" s="376"/>
      <c r="H1335" s="73"/>
      <c r="I1335" s="73"/>
      <c r="J1335" s="73"/>
      <c r="K1335" s="377"/>
      <c r="L1335" s="378"/>
      <c r="M1335" s="73"/>
    </row>
    <row r="1336" spans="3:13">
      <c r="C1336" s="374"/>
      <c r="D1336" s="375"/>
      <c r="E1336" s="73"/>
      <c r="F1336" s="73"/>
      <c r="G1336" s="376"/>
      <c r="H1336" s="73"/>
      <c r="I1336" s="73"/>
      <c r="J1336" s="73"/>
      <c r="K1336" s="377"/>
      <c r="L1336" s="378"/>
      <c r="M1336" s="73"/>
    </row>
    <row r="1337" spans="3:13">
      <c r="C1337" s="374"/>
      <c r="D1337" s="375"/>
      <c r="E1337" s="73"/>
      <c r="F1337" s="73"/>
      <c r="G1337" s="376"/>
      <c r="H1337" s="73"/>
      <c r="I1337" s="73"/>
      <c r="J1337" s="73"/>
      <c r="K1337" s="377"/>
      <c r="L1337" s="378"/>
      <c r="M1337" s="73"/>
    </row>
    <row r="1338" spans="3:13">
      <c r="C1338" s="374"/>
      <c r="D1338" s="375"/>
      <c r="E1338" s="73"/>
      <c r="F1338" s="73"/>
      <c r="G1338" s="376"/>
      <c r="H1338" s="73"/>
      <c r="I1338" s="73"/>
      <c r="J1338" s="73"/>
      <c r="K1338" s="377"/>
      <c r="L1338" s="378"/>
      <c r="M1338" s="73"/>
    </row>
    <row r="1339" spans="3:13">
      <c r="C1339" s="374"/>
      <c r="D1339" s="375"/>
      <c r="E1339" s="73"/>
      <c r="F1339" s="73"/>
      <c r="G1339" s="376"/>
      <c r="H1339" s="73"/>
      <c r="I1339" s="73"/>
      <c r="J1339" s="73"/>
      <c r="K1339" s="377"/>
      <c r="L1339" s="378"/>
      <c r="M1339" s="73"/>
    </row>
    <row r="1340" spans="3:13">
      <c r="C1340" s="374"/>
      <c r="D1340" s="375"/>
      <c r="E1340" s="73"/>
      <c r="F1340" s="73"/>
      <c r="G1340" s="376"/>
      <c r="H1340" s="73"/>
      <c r="I1340" s="73"/>
      <c r="J1340" s="73"/>
      <c r="K1340" s="377"/>
      <c r="L1340" s="378"/>
      <c r="M1340" s="73"/>
    </row>
    <row r="1341" spans="3:13">
      <c r="C1341" s="374"/>
      <c r="D1341" s="375"/>
      <c r="E1341" s="73"/>
      <c r="F1341" s="73"/>
      <c r="G1341" s="376"/>
      <c r="H1341" s="73"/>
      <c r="I1341" s="73"/>
      <c r="J1341" s="73"/>
      <c r="K1341" s="377"/>
      <c r="L1341" s="378"/>
      <c r="M1341" s="73"/>
    </row>
    <row r="1342" spans="3:13">
      <c r="C1342" s="374"/>
      <c r="D1342" s="375"/>
      <c r="E1342" s="73"/>
      <c r="F1342" s="73"/>
      <c r="G1342" s="376"/>
      <c r="H1342" s="73"/>
      <c r="I1342" s="73"/>
      <c r="J1342" s="73"/>
      <c r="K1342" s="377"/>
      <c r="L1342" s="378"/>
      <c r="M1342" s="73"/>
    </row>
    <row r="1343" spans="3:13">
      <c r="C1343" s="374"/>
      <c r="D1343" s="375"/>
      <c r="E1343" s="73"/>
      <c r="F1343" s="73"/>
      <c r="G1343" s="376"/>
      <c r="H1343" s="73"/>
      <c r="I1343" s="73"/>
      <c r="J1343" s="73"/>
      <c r="K1343" s="377"/>
      <c r="L1343" s="378"/>
      <c r="M1343" s="73"/>
    </row>
    <row r="1344" spans="3:13">
      <c r="C1344" s="374"/>
      <c r="D1344" s="375"/>
      <c r="E1344" s="73"/>
      <c r="F1344" s="73"/>
      <c r="G1344" s="376"/>
      <c r="H1344" s="73"/>
      <c r="I1344" s="73"/>
      <c r="J1344" s="73"/>
      <c r="K1344" s="377"/>
      <c r="L1344" s="378"/>
      <c r="M1344" s="73"/>
    </row>
    <row r="1345" spans="3:13">
      <c r="C1345" s="374"/>
      <c r="D1345" s="375"/>
      <c r="E1345" s="73"/>
      <c r="F1345" s="73"/>
      <c r="G1345" s="376"/>
      <c r="H1345" s="73"/>
      <c r="I1345" s="73"/>
      <c r="J1345" s="73"/>
      <c r="K1345" s="377"/>
      <c r="L1345" s="378"/>
      <c r="M1345" s="73"/>
    </row>
    <row r="1346" spans="3:13">
      <c r="C1346" s="374"/>
      <c r="D1346" s="375"/>
      <c r="E1346" s="73"/>
      <c r="F1346" s="73"/>
      <c r="G1346" s="376"/>
      <c r="H1346" s="73"/>
      <c r="I1346" s="73"/>
      <c r="J1346" s="73"/>
      <c r="K1346" s="377"/>
      <c r="L1346" s="378"/>
      <c r="M1346" s="73"/>
    </row>
    <row r="1347" spans="3:13">
      <c r="C1347" s="374"/>
      <c r="D1347" s="375"/>
      <c r="E1347" s="73"/>
      <c r="F1347" s="73"/>
      <c r="G1347" s="376"/>
      <c r="H1347" s="73"/>
      <c r="I1347" s="73"/>
      <c r="J1347" s="73"/>
      <c r="K1347" s="377"/>
      <c r="L1347" s="378"/>
      <c r="M1347" s="73"/>
    </row>
    <row r="1348" spans="3:13">
      <c r="C1348" s="374"/>
      <c r="D1348" s="375"/>
      <c r="E1348" s="73"/>
      <c r="F1348" s="73"/>
      <c r="G1348" s="376"/>
      <c r="H1348" s="73"/>
      <c r="I1348" s="73"/>
      <c r="J1348" s="73"/>
      <c r="K1348" s="377"/>
      <c r="L1348" s="378"/>
      <c r="M1348" s="73"/>
    </row>
    <row r="1349" spans="3:13">
      <c r="C1349" s="374"/>
      <c r="D1349" s="375"/>
      <c r="E1349" s="73"/>
      <c r="F1349" s="73"/>
      <c r="G1349" s="376"/>
      <c r="H1349" s="73"/>
      <c r="I1349" s="73"/>
      <c r="J1349" s="73"/>
      <c r="K1349" s="377"/>
      <c r="L1349" s="378"/>
      <c r="M1349" s="73"/>
    </row>
    <row r="1350" spans="3:13">
      <c r="C1350" s="374"/>
      <c r="D1350" s="375"/>
      <c r="E1350" s="73"/>
      <c r="F1350" s="73"/>
      <c r="G1350" s="376"/>
      <c r="H1350" s="73"/>
      <c r="I1350" s="73"/>
      <c r="J1350" s="73"/>
      <c r="K1350" s="377"/>
      <c r="L1350" s="378"/>
      <c r="M1350" s="73"/>
    </row>
    <row r="1351" spans="3:13">
      <c r="C1351" s="374"/>
      <c r="D1351" s="375"/>
      <c r="E1351" s="73"/>
      <c r="F1351" s="73"/>
      <c r="G1351" s="376"/>
      <c r="H1351" s="73"/>
      <c r="I1351" s="73"/>
      <c r="J1351" s="73"/>
      <c r="K1351" s="377"/>
      <c r="L1351" s="378"/>
      <c r="M1351" s="73"/>
    </row>
    <row r="1352" spans="3:13">
      <c r="C1352" s="374"/>
      <c r="D1352" s="375"/>
      <c r="E1352" s="73"/>
      <c r="F1352" s="73"/>
      <c r="G1352" s="376"/>
      <c r="H1352" s="73"/>
      <c r="I1352" s="73"/>
      <c r="J1352" s="73"/>
      <c r="K1352" s="377"/>
      <c r="L1352" s="378"/>
      <c r="M1352" s="73"/>
    </row>
    <row r="1353" spans="3:13">
      <c r="C1353" s="374"/>
      <c r="D1353" s="375"/>
      <c r="E1353" s="73"/>
      <c r="F1353" s="73"/>
      <c r="G1353" s="376"/>
      <c r="H1353" s="73"/>
      <c r="I1353" s="73"/>
      <c r="J1353" s="73"/>
      <c r="K1353" s="377"/>
      <c r="L1353" s="378"/>
      <c r="M1353" s="73"/>
    </row>
    <row r="1354" spans="3:13">
      <c r="C1354" s="374"/>
      <c r="D1354" s="375"/>
      <c r="E1354" s="73"/>
      <c r="F1354" s="73"/>
      <c r="G1354" s="376"/>
      <c r="H1354" s="73"/>
      <c r="I1354" s="73"/>
      <c r="J1354" s="73"/>
      <c r="K1354" s="377"/>
      <c r="L1354" s="378"/>
      <c r="M1354" s="73"/>
    </row>
    <row r="1355" spans="3:13">
      <c r="C1355" s="374"/>
      <c r="D1355" s="375"/>
      <c r="E1355" s="73"/>
      <c r="F1355" s="73"/>
      <c r="G1355" s="376"/>
      <c r="H1355" s="73"/>
      <c r="I1355" s="73"/>
      <c r="J1355" s="73"/>
      <c r="K1355" s="377"/>
      <c r="L1355" s="378"/>
      <c r="M1355" s="73"/>
    </row>
    <row r="1356" spans="3:13">
      <c r="C1356" s="374"/>
      <c r="D1356" s="375"/>
      <c r="E1356" s="73"/>
      <c r="F1356" s="73"/>
      <c r="G1356" s="376"/>
      <c r="H1356" s="73"/>
      <c r="I1356" s="73"/>
      <c r="J1356" s="73"/>
      <c r="K1356" s="377"/>
      <c r="L1356" s="378"/>
      <c r="M1356" s="73"/>
    </row>
    <row r="1357" spans="3:13">
      <c r="C1357" s="374"/>
      <c r="D1357" s="375"/>
      <c r="E1357" s="73"/>
      <c r="F1357" s="73"/>
      <c r="G1357" s="376"/>
      <c r="H1357" s="73"/>
      <c r="I1357" s="73"/>
      <c r="J1357" s="73"/>
      <c r="K1357" s="377"/>
      <c r="L1357" s="378"/>
      <c r="M1357" s="73"/>
    </row>
    <row r="1358" spans="3:13">
      <c r="C1358" s="374"/>
      <c r="D1358" s="375"/>
      <c r="E1358" s="73"/>
      <c r="F1358" s="73"/>
      <c r="G1358" s="376"/>
      <c r="H1358" s="73"/>
      <c r="I1358" s="73"/>
      <c r="J1358" s="73"/>
      <c r="K1358" s="377"/>
      <c r="L1358" s="378"/>
      <c r="M1358" s="73"/>
    </row>
    <row r="1359" spans="3:13">
      <c r="C1359" s="374"/>
      <c r="D1359" s="375"/>
      <c r="E1359" s="73"/>
      <c r="F1359" s="73"/>
      <c r="G1359" s="376"/>
      <c r="H1359" s="73"/>
      <c r="I1359" s="73"/>
      <c r="J1359" s="73"/>
      <c r="K1359" s="377"/>
      <c r="L1359" s="378"/>
      <c r="M1359" s="73"/>
    </row>
    <row r="1360" spans="3:13">
      <c r="C1360" s="374"/>
      <c r="D1360" s="375"/>
      <c r="E1360" s="73"/>
      <c r="F1360" s="73"/>
      <c r="G1360" s="376"/>
      <c r="H1360" s="73"/>
      <c r="I1360" s="73"/>
      <c r="J1360" s="73"/>
      <c r="K1360" s="377"/>
      <c r="L1360" s="378"/>
      <c r="M1360" s="73"/>
    </row>
    <row r="1361" spans="3:13">
      <c r="C1361" s="374"/>
      <c r="D1361" s="375"/>
      <c r="E1361" s="73"/>
      <c r="F1361" s="73"/>
      <c r="G1361" s="376"/>
      <c r="H1361" s="73"/>
      <c r="I1361" s="73"/>
      <c r="J1361" s="73"/>
      <c r="K1361" s="377"/>
      <c r="L1361" s="378"/>
      <c r="M1361" s="73"/>
    </row>
    <row r="1362" spans="3:13">
      <c r="C1362" s="374"/>
      <c r="D1362" s="375"/>
      <c r="E1362" s="73"/>
      <c r="F1362" s="73"/>
      <c r="G1362" s="376"/>
      <c r="H1362" s="73"/>
      <c r="I1362" s="73"/>
      <c r="J1362" s="73"/>
      <c r="K1362" s="377"/>
      <c r="L1362" s="378"/>
      <c r="M1362" s="73"/>
    </row>
    <row r="1363" spans="3:13">
      <c r="C1363" s="374"/>
      <c r="D1363" s="375"/>
      <c r="E1363" s="73"/>
      <c r="F1363" s="73"/>
      <c r="G1363" s="376"/>
      <c r="H1363" s="73"/>
      <c r="I1363" s="73"/>
      <c r="J1363" s="73"/>
      <c r="K1363" s="377"/>
      <c r="L1363" s="378"/>
      <c r="M1363" s="73"/>
    </row>
    <row r="1364" spans="3:13">
      <c r="C1364" s="374"/>
      <c r="D1364" s="375"/>
      <c r="E1364" s="73"/>
      <c r="F1364" s="73"/>
      <c r="G1364" s="376"/>
      <c r="H1364" s="73"/>
      <c r="I1364" s="73"/>
      <c r="J1364" s="73"/>
      <c r="K1364" s="377"/>
      <c r="L1364" s="378"/>
      <c r="M1364" s="73"/>
    </row>
    <row r="1365" spans="3:13">
      <c r="C1365" s="374"/>
      <c r="D1365" s="375"/>
      <c r="E1365" s="73"/>
      <c r="F1365" s="73"/>
      <c r="G1365" s="376"/>
      <c r="H1365" s="73"/>
      <c r="I1365" s="73"/>
      <c r="J1365" s="73"/>
      <c r="K1365" s="377"/>
      <c r="L1365" s="378"/>
      <c r="M1365" s="73"/>
    </row>
    <row r="1366" spans="3:13">
      <c r="C1366" s="374"/>
      <c r="D1366" s="375"/>
      <c r="E1366" s="73"/>
      <c r="F1366" s="73"/>
      <c r="G1366" s="376"/>
      <c r="H1366" s="73"/>
      <c r="I1366" s="73"/>
      <c r="J1366" s="73"/>
      <c r="K1366" s="377"/>
      <c r="L1366" s="378"/>
      <c r="M1366" s="73"/>
    </row>
    <row r="1367" spans="3:13">
      <c r="C1367" s="374"/>
      <c r="D1367" s="375"/>
      <c r="E1367" s="73"/>
      <c r="F1367" s="73"/>
      <c r="G1367" s="376"/>
      <c r="H1367" s="73"/>
      <c r="I1367" s="73"/>
      <c r="J1367" s="73"/>
      <c r="K1367" s="377"/>
      <c r="L1367" s="378"/>
      <c r="M1367" s="73"/>
    </row>
    <row r="1368" spans="3:13">
      <c r="C1368" s="374"/>
      <c r="D1368" s="375"/>
      <c r="E1368" s="73"/>
      <c r="F1368" s="73"/>
      <c r="G1368" s="376"/>
      <c r="H1368" s="73"/>
      <c r="I1368" s="73"/>
      <c r="J1368" s="73"/>
      <c r="K1368" s="377"/>
      <c r="L1368" s="378"/>
      <c r="M1368" s="73"/>
    </row>
    <row r="1369" spans="3:13">
      <c r="C1369" s="374"/>
      <c r="D1369" s="375"/>
      <c r="E1369" s="73"/>
      <c r="F1369" s="73"/>
      <c r="G1369" s="376"/>
      <c r="H1369" s="73"/>
      <c r="I1369" s="73"/>
      <c r="J1369" s="73"/>
      <c r="K1369" s="377"/>
      <c r="L1369" s="378"/>
      <c r="M1369" s="73"/>
    </row>
    <row r="1370" spans="3:13">
      <c r="C1370" s="374"/>
      <c r="D1370" s="375"/>
      <c r="E1370" s="73"/>
      <c r="F1370" s="73"/>
      <c r="G1370" s="376"/>
      <c r="H1370" s="73"/>
      <c r="I1370" s="73"/>
      <c r="J1370" s="73"/>
      <c r="K1370" s="377"/>
      <c r="L1370" s="378"/>
      <c r="M1370" s="73"/>
    </row>
    <row r="1371" spans="3:13">
      <c r="C1371" s="374"/>
      <c r="D1371" s="375"/>
      <c r="E1371" s="73"/>
      <c r="F1371" s="73"/>
      <c r="G1371" s="376"/>
      <c r="H1371" s="73"/>
      <c r="I1371" s="73"/>
      <c r="J1371" s="73"/>
      <c r="K1371" s="377"/>
      <c r="L1371" s="378"/>
      <c r="M1371" s="73"/>
    </row>
    <row r="1372" spans="3:13">
      <c r="C1372" s="374"/>
      <c r="D1372" s="375"/>
      <c r="E1372" s="73"/>
      <c r="F1372" s="73"/>
      <c r="G1372" s="376"/>
      <c r="H1372" s="73"/>
      <c r="I1372" s="73"/>
      <c r="J1372" s="73"/>
      <c r="K1372" s="377"/>
      <c r="L1372" s="378"/>
      <c r="M1372" s="73"/>
    </row>
    <row r="1373" spans="3:13">
      <c r="C1373" s="374"/>
      <c r="D1373" s="375"/>
      <c r="E1373" s="73"/>
      <c r="F1373" s="73"/>
      <c r="G1373" s="376"/>
      <c r="H1373" s="73"/>
      <c r="I1373" s="73"/>
      <c r="J1373" s="73"/>
      <c r="K1373" s="377"/>
      <c r="L1373" s="378"/>
      <c r="M1373" s="73"/>
    </row>
    <row r="1374" spans="3:13">
      <c r="C1374" s="374"/>
      <c r="D1374" s="375"/>
      <c r="E1374" s="73"/>
      <c r="F1374" s="73"/>
      <c r="G1374" s="376"/>
      <c r="H1374" s="73"/>
      <c r="I1374" s="73"/>
      <c r="J1374" s="73"/>
      <c r="K1374" s="377"/>
      <c r="L1374" s="378"/>
      <c r="M1374" s="73"/>
    </row>
    <row r="1375" spans="3:13">
      <c r="C1375" s="374"/>
      <c r="D1375" s="375"/>
      <c r="E1375" s="73"/>
      <c r="F1375" s="73"/>
      <c r="G1375" s="376"/>
      <c r="H1375" s="73"/>
      <c r="I1375" s="73"/>
      <c r="J1375" s="73"/>
      <c r="K1375" s="377"/>
      <c r="L1375" s="378"/>
      <c r="M1375" s="73"/>
    </row>
    <row r="1376" spans="3:13">
      <c r="C1376" s="374"/>
      <c r="D1376" s="375"/>
      <c r="E1376" s="73"/>
      <c r="F1376" s="73"/>
      <c r="G1376" s="376"/>
      <c r="H1376" s="73"/>
      <c r="I1376" s="73"/>
      <c r="J1376" s="73"/>
      <c r="K1376" s="377"/>
      <c r="L1376" s="378"/>
      <c r="M1376" s="73"/>
    </row>
    <row r="1377" spans="3:13">
      <c r="C1377" s="374"/>
      <c r="D1377" s="375"/>
      <c r="E1377" s="73"/>
      <c r="F1377" s="73"/>
      <c r="G1377" s="376"/>
      <c r="H1377" s="73"/>
      <c r="I1377" s="73"/>
      <c r="J1377" s="73"/>
      <c r="K1377" s="377"/>
      <c r="L1377" s="378"/>
      <c r="M1377" s="73"/>
    </row>
    <row r="1378" spans="3:13">
      <c r="C1378" s="374"/>
      <c r="D1378" s="375"/>
      <c r="E1378" s="73"/>
      <c r="F1378" s="73"/>
      <c r="G1378" s="376"/>
      <c r="H1378" s="73"/>
      <c r="I1378" s="73"/>
      <c r="J1378" s="73"/>
      <c r="K1378" s="377"/>
      <c r="L1378" s="378"/>
      <c r="M1378" s="73"/>
    </row>
    <row r="1379" spans="3:13">
      <c r="C1379" s="374"/>
      <c r="D1379" s="375"/>
      <c r="E1379" s="73"/>
      <c r="F1379" s="73"/>
      <c r="G1379" s="376"/>
      <c r="H1379" s="73"/>
      <c r="I1379" s="73"/>
      <c r="J1379" s="73"/>
      <c r="K1379" s="377"/>
      <c r="L1379" s="378"/>
      <c r="M1379" s="73"/>
    </row>
    <row r="1380" spans="3:13">
      <c r="C1380" s="374"/>
      <c r="D1380" s="375"/>
      <c r="E1380" s="73"/>
      <c r="F1380" s="73"/>
      <c r="G1380" s="376"/>
      <c r="H1380" s="73"/>
      <c r="I1380" s="73"/>
      <c r="J1380" s="73"/>
      <c r="K1380" s="377"/>
      <c r="L1380" s="378"/>
      <c r="M1380" s="73"/>
    </row>
    <row r="1381" spans="3:13">
      <c r="C1381" s="374"/>
      <c r="D1381" s="375"/>
      <c r="E1381" s="73"/>
      <c r="F1381" s="73"/>
      <c r="G1381" s="376"/>
      <c r="H1381" s="73"/>
      <c r="I1381" s="73"/>
      <c r="J1381" s="73"/>
      <c r="K1381" s="377"/>
      <c r="L1381" s="378"/>
      <c r="M1381" s="73"/>
    </row>
    <row r="1382" spans="3:13">
      <c r="C1382" s="374"/>
      <c r="D1382" s="375"/>
      <c r="E1382" s="73"/>
      <c r="F1382" s="73"/>
      <c r="G1382" s="376"/>
      <c r="H1382" s="73"/>
      <c r="I1382" s="73"/>
      <c r="J1382" s="73"/>
      <c r="K1382" s="377"/>
      <c r="L1382" s="378"/>
      <c r="M1382" s="73"/>
    </row>
    <row r="1383" spans="3:13">
      <c r="C1383" s="374"/>
      <c r="D1383" s="375"/>
      <c r="E1383" s="73"/>
      <c r="F1383" s="73"/>
      <c r="G1383" s="376"/>
      <c r="H1383" s="73"/>
      <c r="I1383" s="73"/>
      <c r="J1383" s="73"/>
      <c r="K1383" s="377"/>
      <c r="L1383" s="378"/>
      <c r="M1383" s="73"/>
    </row>
    <row r="1384" spans="3:13">
      <c r="C1384" s="374"/>
      <c r="D1384" s="375"/>
      <c r="E1384" s="73"/>
      <c r="F1384" s="73"/>
      <c r="G1384" s="376"/>
      <c r="H1384" s="73"/>
      <c r="I1384" s="73"/>
      <c r="J1384" s="73"/>
      <c r="K1384" s="377"/>
      <c r="L1384" s="378"/>
      <c r="M1384" s="73"/>
    </row>
    <row r="1385" spans="3:13">
      <c r="C1385" s="374"/>
      <c r="D1385" s="375"/>
      <c r="E1385" s="73"/>
      <c r="F1385" s="73"/>
      <c r="G1385" s="376"/>
      <c r="H1385" s="73"/>
      <c r="I1385" s="73"/>
      <c r="J1385" s="73"/>
      <c r="K1385" s="377"/>
      <c r="L1385" s="378"/>
      <c r="M1385" s="73"/>
    </row>
    <row r="1386" spans="3:13">
      <c r="C1386" s="374"/>
      <c r="D1386" s="375"/>
      <c r="E1386" s="73"/>
      <c r="F1386" s="73"/>
      <c r="G1386" s="376"/>
      <c r="H1386" s="73"/>
      <c r="I1386" s="73"/>
      <c r="J1386" s="73"/>
      <c r="K1386" s="377"/>
      <c r="L1386" s="378"/>
      <c r="M1386" s="73"/>
    </row>
    <row r="1387" spans="3:13">
      <c r="C1387" s="374"/>
      <c r="D1387" s="375"/>
      <c r="E1387" s="73"/>
      <c r="F1387" s="73"/>
      <c r="G1387" s="376"/>
      <c r="H1387" s="73"/>
      <c r="I1387" s="73"/>
      <c r="J1387" s="73"/>
      <c r="K1387" s="377"/>
      <c r="L1387" s="378"/>
      <c r="M1387" s="73"/>
    </row>
    <row r="1388" spans="3:13">
      <c r="C1388" s="374"/>
      <c r="D1388" s="375"/>
      <c r="E1388" s="73"/>
      <c r="F1388" s="73"/>
      <c r="G1388" s="376"/>
      <c r="H1388" s="73"/>
      <c r="I1388" s="73"/>
      <c r="J1388" s="73"/>
      <c r="K1388" s="377"/>
      <c r="L1388" s="378"/>
      <c r="M1388" s="73"/>
    </row>
    <row r="1389" spans="3:13">
      <c r="C1389" s="374"/>
      <c r="D1389" s="375"/>
      <c r="E1389" s="73"/>
      <c r="F1389" s="73"/>
      <c r="G1389" s="376"/>
      <c r="H1389" s="73"/>
      <c r="I1389" s="73"/>
      <c r="J1389" s="73"/>
      <c r="K1389" s="377"/>
      <c r="L1389" s="378"/>
      <c r="M1389" s="73"/>
    </row>
    <row r="1390" spans="3:13">
      <c r="C1390" s="374"/>
      <c r="D1390" s="375"/>
      <c r="E1390" s="73"/>
      <c r="F1390" s="73"/>
      <c r="G1390" s="376"/>
      <c r="H1390" s="73"/>
      <c r="I1390" s="73"/>
      <c r="J1390" s="73"/>
      <c r="K1390" s="377"/>
      <c r="L1390" s="378"/>
      <c r="M1390" s="73"/>
    </row>
    <row r="1391" spans="3:13">
      <c r="C1391" s="374"/>
      <c r="D1391" s="375"/>
      <c r="E1391" s="73"/>
      <c r="F1391" s="73"/>
      <c r="G1391" s="376"/>
      <c r="H1391" s="73"/>
      <c r="I1391" s="73"/>
      <c r="J1391" s="73"/>
      <c r="K1391" s="377"/>
      <c r="L1391" s="378"/>
      <c r="M1391" s="73"/>
    </row>
    <row r="1392" spans="3:13">
      <c r="C1392" s="374"/>
      <c r="D1392" s="375"/>
      <c r="E1392" s="73"/>
      <c r="F1392" s="73"/>
      <c r="G1392" s="376"/>
      <c r="H1392" s="73"/>
      <c r="I1392" s="73"/>
      <c r="J1392" s="73"/>
      <c r="K1392" s="377"/>
      <c r="L1392" s="378"/>
      <c r="M1392" s="73"/>
    </row>
    <row r="1393" spans="3:13">
      <c r="C1393" s="374"/>
      <c r="D1393" s="375"/>
      <c r="E1393" s="73"/>
      <c r="F1393" s="73"/>
      <c r="G1393" s="376"/>
      <c r="H1393" s="73"/>
      <c r="I1393" s="73"/>
      <c r="J1393" s="73"/>
      <c r="K1393" s="377"/>
      <c r="L1393" s="378"/>
      <c r="M1393" s="73"/>
    </row>
    <row r="1394" spans="3:13">
      <c r="C1394" s="374"/>
      <c r="D1394" s="375"/>
      <c r="E1394" s="73"/>
      <c r="F1394" s="73"/>
      <c r="G1394" s="376"/>
      <c r="H1394" s="73"/>
      <c r="I1394" s="73"/>
      <c r="J1394" s="73"/>
      <c r="K1394" s="377"/>
      <c r="L1394" s="378"/>
      <c r="M1394" s="73"/>
    </row>
    <row r="1395" spans="3:13">
      <c r="C1395" s="374"/>
      <c r="D1395" s="375"/>
      <c r="E1395" s="73"/>
      <c r="F1395" s="73"/>
      <c r="G1395" s="376"/>
      <c r="H1395" s="73"/>
      <c r="I1395" s="73"/>
      <c r="J1395" s="73"/>
      <c r="K1395" s="377"/>
      <c r="L1395" s="378"/>
      <c r="M1395" s="73"/>
    </row>
    <row r="1396" spans="3:13">
      <c r="C1396" s="374"/>
      <c r="D1396" s="375"/>
      <c r="E1396" s="73"/>
      <c r="F1396" s="73"/>
      <c r="G1396" s="376"/>
      <c r="H1396" s="73"/>
      <c r="I1396" s="73"/>
      <c r="J1396" s="73"/>
      <c r="K1396" s="377"/>
      <c r="L1396" s="378"/>
      <c r="M1396" s="73"/>
    </row>
    <row r="1397" spans="3:13">
      <c r="C1397" s="374"/>
      <c r="D1397" s="375"/>
      <c r="E1397" s="73"/>
      <c r="F1397" s="73"/>
      <c r="G1397" s="376"/>
      <c r="H1397" s="73"/>
      <c r="I1397" s="73"/>
      <c r="J1397" s="73"/>
      <c r="K1397" s="377"/>
      <c r="L1397" s="378"/>
      <c r="M1397" s="73"/>
    </row>
    <row r="1398" spans="3:13">
      <c r="C1398" s="374"/>
      <c r="D1398" s="375"/>
      <c r="E1398" s="73"/>
      <c r="F1398" s="73"/>
      <c r="G1398" s="376"/>
      <c r="H1398" s="73"/>
      <c r="I1398" s="73"/>
      <c r="J1398" s="73"/>
      <c r="K1398" s="377"/>
      <c r="L1398" s="378"/>
      <c r="M1398" s="73"/>
    </row>
    <row r="1399" spans="3:13">
      <c r="C1399" s="374"/>
      <c r="D1399" s="375"/>
      <c r="E1399" s="73"/>
      <c r="F1399" s="73"/>
      <c r="G1399" s="376"/>
      <c r="H1399" s="73"/>
      <c r="I1399" s="73"/>
      <c r="J1399" s="73"/>
      <c r="K1399" s="377"/>
      <c r="L1399" s="378"/>
      <c r="M1399" s="73"/>
    </row>
    <row r="1400" spans="3:13">
      <c r="C1400" s="374"/>
      <c r="D1400" s="375"/>
      <c r="E1400" s="73"/>
      <c r="F1400" s="73"/>
      <c r="G1400" s="376"/>
      <c r="H1400" s="73"/>
      <c r="I1400" s="73"/>
      <c r="J1400" s="73"/>
      <c r="K1400" s="377"/>
      <c r="L1400" s="378"/>
      <c r="M1400" s="73"/>
    </row>
    <row r="1401" spans="3:13">
      <c r="C1401" s="374"/>
      <c r="D1401" s="375"/>
      <c r="E1401" s="73"/>
      <c r="F1401" s="73"/>
      <c r="G1401" s="376"/>
      <c r="H1401" s="73"/>
      <c r="I1401" s="73"/>
      <c r="J1401" s="73"/>
      <c r="K1401" s="377"/>
      <c r="L1401" s="378"/>
      <c r="M1401" s="73"/>
    </row>
    <row r="1402" spans="3:13">
      <c r="C1402" s="374"/>
      <c r="D1402" s="375"/>
      <c r="E1402" s="73"/>
      <c r="F1402" s="73"/>
      <c r="G1402" s="376"/>
      <c r="H1402" s="73"/>
      <c r="I1402" s="73"/>
      <c r="J1402" s="73"/>
      <c r="K1402" s="377"/>
      <c r="L1402" s="378"/>
      <c r="M1402" s="73"/>
    </row>
    <row r="1403" spans="3:13">
      <c r="C1403" s="374"/>
      <c r="D1403" s="375"/>
      <c r="E1403" s="73"/>
      <c r="F1403" s="73"/>
      <c r="G1403" s="376"/>
      <c r="H1403" s="73"/>
      <c r="I1403" s="73"/>
      <c r="J1403" s="73"/>
      <c r="K1403" s="377"/>
      <c r="L1403" s="378"/>
      <c r="M1403" s="73"/>
    </row>
    <row r="1404" spans="3:13">
      <c r="C1404" s="374"/>
      <c r="D1404" s="375"/>
      <c r="E1404" s="73"/>
      <c r="F1404" s="73"/>
      <c r="G1404" s="376"/>
      <c r="H1404" s="73"/>
      <c r="I1404" s="73"/>
      <c r="J1404" s="73"/>
      <c r="K1404" s="377"/>
      <c r="L1404" s="378"/>
      <c r="M1404" s="73"/>
    </row>
    <row r="1405" spans="3:13">
      <c r="C1405" s="374"/>
      <c r="D1405" s="375"/>
      <c r="E1405" s="73"/>
      <c r="F1405" s="73"/>
      <c r="G1405" s="376"/>
      <c r="H1405" s="73"/>
      <c r="I1405" s="73"/>
      <c r="J1405" s="73"/>
      <c r="K1405" s="377"/>
      <c r="L1405" s="378"/>
      <c r="M1405" s="73"/>
    </row>
    <row r="1406" spans="3:13">
      <c r="C1406" s="374"/>
      <c r="D1406" s="375"/>
      <c r="E1406" s="73"/>
      <c r="F1406" s="73"/>
      <c r="G1406" s="376"/>
      <c r="H1406" s="73"/>
      <c r="I1406" s="73"/>
      <c r="J1406" s="73"/>
      <c r="K1406" s="377"/>
      <c r="L1406" s="378"/>
      <c r="M1406" s="73"/>
    </row>
    <row r="1407" spans="3:13">
      <c r="C1407" s="374"/>
      <c r="D1407" s="375"/>
      <c r="E1407" s="73"/>
      <c r="F1407" s="73"/>
      <c r="G1407" s="376"/>
      <c r="H1407" s="73"/>
      <c r="I1407" s="73"/>
      <c r="J1407" s="73"/>
      <c r="K1407" s="377"/>
      <c r="L1407" s="378"/>
      <c r="M1407" s="73"/>
    </row>
    <row r="1408" spans="3:13">
      <c r="C1408" s="374"/>
      <c r="D1408" s="375"/>
      <c r="E1408" s="73"/>
      <c r="F1408" s="73"/>
      <c r="G1408" s="376"/>
      <c r="H1408" s="73"/>
      <c r="I1408" s="73"/>
      <c r="J1408" s="73"/>
      <c r="K1408" s="377"/>
      <c r="L1408" s="378"/>
      <c r="M1408" s="73"/>
    </row>
    <row r="1409" spans="3:13">
      <c r="C1409" s="374"/>
      <c r="D1409" s="375"/>
      <c r="E1409" s="73"/>
      <c r="F1409" s="73"/>
      <c r="G1409" s="376"/>
      <c r="H1409" s="73"/>
      <c r="I1409" s="73"/>
      <c r="J1409" s="73"/>
      <c r="K1409" s="377"/>
      <c r="L1409" s="378"/>
      <c r="M1409" s="73"/>
    </row>
    <row r="1410" spans="3:13">
      <c r="C1410" s="374"/>
      <c r="D1410" s="375"/>
      <c r="E1410" s="73"/>
      <c r="F1410" s="73"/>
      <c r="G1410" s="376"/>
      <c r="H1410" s="73"/>
      <c r="I1410" s="73"/>
      <c r="J1410" s="73"/>
      <c r="K1410" s="377"/>
      <c r="L1410" s="378"/>
      <c r="M1410" s="73"/>
    </row>
    <row r="1411" spans="3:13">
      <c r="C1411" s="374"/>
      <c r="D1411" s="375"/>
      <c r="E1411" s="73"/>
      <c r="F1411" s="73"/>
      <c r="G1411" s="376"/>
      <c r="H1411" s="73"/>
      <c r="I1411" s="73"/>
      <c r="J1411" s="73"/>
      <c r="K1411" s="377"/>
      <c r="L1411" s="378"/>
      <c r="M1411" s="73"/>
    </row>
    <row r="1412" spans="3:13">
      <c r="C1412" s="374"/>
      <c r="D1412" s="375"/>
      <c r="E1412" s="73"/>
      <c r="F1412" s="73"/>
      <c r="G1412" s="376"/>
      <c r="H1412" s="73"/>
      <c r="I1412" s="73"/>
      <c r="J1412" s="73"/>
      <c r="K1412" s="377"/>
      <c r="L1412" s="378"/>
      <c r="M1412" s="73"/>
    </row>
    <row r="1413" spans="3:13">
      <c r="C1413" s="374"/>
      <c r="D1413" s="375"/>
      <c r="E1413" s="73"/>
      <c r="F1413" s="73"/>
      <c r="G1413" s="376"/>
      <c r="H1413" s="73"/>
      <c r="I1413" s="73"/>
      <c r="J1413" s="73"/>
      <c r="K1413" s="377"/>
      <c r="L1413" s="378"/>
      <c r="M1413" s="73"/>
    </row>
    <row r="1414" spans="3:13">
      <c r="C1414" s="374"/>
      <c r="D1414" s="375"/>
      <c r="E1414" s="73"/>
      <c r="F1414" s="73"/>
      <c r="G1414" s="376"/>
      <c r="H1414" s="73"/>
      <c r="I1414" s="73"/>
      <c r="J1414" s="73"/>
      <c r="K1414" s="377"/>
      <c r="L1414" s="378"/>
      <c r="M1414" s="73"/>
    </row>
    <row r="1415" spans="3:13">
      <c r="C1415" s="374"/>
      <c r="D1415" s="375"/>
      <c r="E1415" s="73"/>
      <c r="F1415" s="73"/>
      <c r="G1415" s="376"/>
      <c r="H1415" s="73"/>
      <c r="I1415" s="73"/>
      <c r="J1415" s="73"/>
      <c r="K1415" s="377"/>
      <c r="L1415" s="378"/>
      <c r="M1415" s="73"/>
    </row>
    <row r="1416" spans="3:13">
      <c r="C1416" s="374"/>
      <c r="D1416" s="375"/>
      <c r="E1416" s="73"/>
      <c r="F1416" s="73"/>
      <c r="G1416" s="376"/>
      <c r="H1416" s="73"/>
      <c r="I1416" s="73"/>
      <c r="J1416" s="73"/>
      <c r="K1416" s="377"/>
      <c r="L1416" s="378"/>
      <c r="M1416" s="73"/>
    </row>
    <row r="1417" spans="3:13">
      <c r="C1417" s="374"/>
      <c r="D1417" s="375"/>
      <c r="E1417" s="73"/>
      <c r="F1417" s="73"/>
      <c r="G1417" s="376"/>
      <c r="H1417" s="73"/>
      <c r="I1417" s="73"/>
      <c r="J1417" s="73"/>
      <c r="K1417" s="377"/>
      <c r="L1417" s="378"/>
      <c r="M1417" s="73"/>
    </row>
    <row r="1418" spans="3:13">
      <c r="C1418" s="374"/>
      <c r="D1418" s="375"/>
      <c r="E1418" s="73"/>
      <c r="F1418" s="73"/>
      <c r="G1418" s="376"/>
      <c r="H1418" s="73"/>
      <c r="I1418" s="73"/>
      <c r="J1418" s="73"/>
      <c r="K1418" s="377"/>
      <c r="L1418" s="378"/>
      <c r="M1418" s="73"/>
    </row>
    <row r="1419" spans="3:13">
      <c r="C1419" s="374"/>
      <c r="D1419" s="375"/>
      <c r="E1419" s="73"/>
      <c r="F1419" s="73"/>
      <c r="G1419" s="376"/>
      <c r="H1419" s="73"/>
      <c r="I1419" s="73"/>
      <c r="J1419" s="73"/>
      <c r="K1419" s="377"/>
      <c r="L1419" s="378"/>
      <c r="M1419" s="73"/>
    </row>
    <row r="1420" spans="3:13">
      <c r="C1420" s="374"/>
      <c r="D1420" s="375"/>
      <c r="E1420" s="73"/>
      <c r="F1420" s="73"/>
      <c r="G1420" s="376"/>
      <c r="H1420" s="73"/>
      <c r="I1420" s="73"/>
      <c r="J1420" s="73"/>
      <c r="K1420" s="377"/>
      <c r="L1420" s="378"/>
      <c r="M1420" s="73"/>
    </row>
    <row r="1421" spans="3:13">
      <c r="C1421" s="374"/>
      <c r="D1421" s="375"/>
      <c r="E1421" s="73"/>
      <c r="F1421" s="73"/>
      <c r="G1421" s="376"/>
      <c r="H1421" s="73"/>
      <c r="I1421" s="73"/>
      <c r="J1421" s="73"/>
      <c r="K1421" s="377"/>
      <c r="L1421" s="378"/>
      <c r="M1421" s="73"/>
    </row>
    <row r="1422" spans="3:13">
      <c r="C1422" s="374"/>
      <c r="D1422" s="375"/>
      <c r="E1422" s="73"/>
      <c r="F1422" s="73"/>
      <c r="G1422" s="376"/>
      <c r="H1422" s="73"/>
      <c r="I1422" s="73"/>
      <c r="J1422" s="73"/>
      <c r="K1422" s="377"/>
      <c r="L1422" s="378"/>
      <c r="M1422" s="73"/>
    </row>
    <row r="1423" spans="3:13">
      <c r="C1423" s="374"/>
      <c r="D1423" s="375"/>
      <c r="E1423" s="73"/>
      <c r="F1423" s="73"/>
      <c r="G1423" s="376"/>
      <c r="H1423" s="73"/>
      <c r="I1423" s="73"/>
      <c r="J1423" s="73"/>
      <c r="K1423" s="377"/>
      <c r="L1423" s="378"/>
      <c r="M1423" s="73"/>
    </row>
    <row r="1424" spans="3:13">
      <c r="C1424" s="374"/>
      <c r="D1424" s="375"/>
      <c r="E1424" s="73"/>
      <c r="F1424" s="73"/>
      <c r="G1424" s="376"/>
      <c r="H1424" s="73"/>
      <c r="I1424" s="73"/>
      <c r="J1424" s="73"/>
      <c r="K1424" s="377"/>
      <c r="L1424" s="378"/>
      <c r="M1424" s="73"/>
    </row>
    <row r="1425" spans="3:13">
      <c r="C1425" s="374"/>
      <c r="D1425" s="375"/>
      <c r="E1425" s="73"/>
      <c r="F1425" s="73"/>
      <c r="G1425" s="376"/>
      <c r="H1425" s="73"/>
      <c r="I1425" s="73"/>
      <c r="J1425" s="73"/>
      <c r="K1425" s="377"/>
      <c r="L1425" s="378"/>
      <c r="M1425" s="73"/>
    </row>
    <row r="1426" spans="3:13">
      <c r="C1426" s="374"/>
      <c r="D1426" s="375"/>
      <c r="E1426" s="73"/>
      <c r="F1426" s="73"/>
      <c r="G1426" s="376"/>
      <c r="H1426" s="73"/>
      <c r="I1426" s="73"/>
      <c r="J1426" s="73"/>
      <c r="K1426" s="377"/>
      <c r="L1426" s="378"/>
      <c r="M1426" s="73"/>
    </row>
    <row r="1427" spans="3:13">
      <c r="C1427" s="374"/>
      <c r="D1427" s="375"/>
      <c r="E1427" s="73"/>
      <c r="F1427" s="73"/>
      <c r="G1427" s="376"/>
      <c r="H1427" s="73"/>
      <c r="I1427" s="73"/>
      <c r="J1427" s="73"/>
      <c r="K1427" s="377"/>
      <c r="L1427" s="378"/>
      <c r="M1427" s="73"/>
    </row>
    <row r="1428" spans="3:13">
      <c r="C1428" s="374"/>
      <c r="D1428" s="375"/>
      <c r="E1428" s="73"/>
      <c r="F1428" s="73"/>
      <c r="G1428" s="376"/>
      <c r="H1428" s="73"/>
      <c r="I1428" s="73"/>
      <c r="J1428" s="73"/>
      <c r="K1428" s="377"/>
      <c r="L1428" s="378"/>
      <c r="M1428" s="73"/>
    </row>
    <row r="1429" spans="3:13">
      <c r="C1429" s="374"/>
      <c r="D1429" s="375"/>
      <c r="E1429" s="73"/>
      <c r="F1429" s="73"/>
      <c r="G1429" s="376"/>
      <c r="H1429" s="73"/>
      <c r="I1429" s="73"/>
      <c r="J1429" s="73"/>
      <c r="K1429" s="377"/>
      <c r="L1429" s="378"/>
      <c r="M1429" s="73"/>
    </row>
    <row r="1430" spans="3:13">
      <c r="C1430" s="374"/>
      <c r="D1430" s="375"/>
      <c r="E1430" s="73"/>
      <c r="F1430" s="73"/>
      <c r="G1430" s="376"/>
      <c r="H1430" s="73"/>
      <c r="I1430" s="73"/>
      <c r="J1430" s="73"/>
      <c r="K1430" s="377"/>
      <c r="L1430" s="378"/>
      <c r="M1430" s="73"/>
    </row>
    <row r="1431" spans="3:13">
      <c r="C1431" s="374"/>
      <c r="D1431" s="375"/>
      <c r="E1431" s="73"/>
      <c r="F1431" s="73"/>
      <c r="G1431" s="376"/>
      <c r="H1431" s="73"/>
      <c r="I1431" s="73"/>
      <c r="J1431" s="73"/>
      <c r="K1431" s="377"/>
      <c r="L1431" s="378"/>
      <c r="M1431" s="73"/>
    </row>
    <row r="1432" spans="3:13">
      <c r="C1432" s="374"/>
      <c r="D1432" s="375"/>
      <c r="E1432" s="73"/>
      <c r="F1432" s="73"/>
      <c r="G1432" s="376"/>
      <c r="H1432" s="73"/>
      <c r="I1432" s="73"/>
      <c r="J1432" s="73"/>
      <c r="K1432" s="377"/>
      <c r="L1432" s="378"/>
      <c r="M1432" s="73"/>
    </row>
    <row r="1433" spans="3:13">
      <c r="C1433" s="374"/>
      <c r="D1433" s="375"/>
      <c r="E1433" s="73"/>
      <c r="F1433" s="73"/>
      <c r="G1433" s="376"/>
      <c r="H1433" s="73"/>
      <c r="I1433" s="73"/>
      <c r="J1433" s="73"/>
      <c r="K1433" s="377"/>
      <c r="L1433" s="378"/>
      <c r="M1433" s="73"/>
    </row>
    <row r="1434" spans="3:13">
      <c r="C1434" s="374"/>
      <c r="D1434" s="375"/>
      <c r="E1434" s="73"/>
      <c r="F1434" s="73"/>
      <c r="G1434" s="376"/>
      <c r="H1434" s="73"/>
      <c r="I1434" s="73"/>
      <c r="J1434" s="73"/>
      <c r="K1434" s="377"/>
      <c r="L1434" s="378"/>
      <c r="M1434" s="73"/>
    </row>
    <row r="1435" spans="3:13">
      <c r="C1435" s="374"/>
      <c r="D1435" s="375"/>
      <c r="E1435" s="73"/>
      <c r="F1435" s="73"/>
      <c r="G1435" s="376"/>
      <c r="H1435" s="73"/>
      <c r="I1435" s="73"/>
      <c r="J1435" s="73"/>
      <c r="K1435" s="377"/>
      <c r="L1435" s="378"/>
      <c r="M1435" s="73"/>
    </row>
    <row r="1436" spans="3:13">
      <c r="C1436" s="374"/>
      <c r="D1436" s="375"/>
      <c r="E1436" s="73"/>
      <c r="F1436" s="73"/>
      <c r="G1436" s="376"/>
      <c r="H1436" s="73"/>
      <c r="I1436" s="73"/>
      <c r="J1436" s="73"/>
      <c r="K1436" s="377"/>
      <c r="L1436" s="378"/>
      <c r="M1436" s="73"/>
    </row>
    <row r="1437" spans="3:13">
      <c r="C1437" s="374"/>
      <c r="D1437" s="375"/>
      <c r="E1437" s="73"/>
      <c r="F1437" s="73"/>
      <c r="G1437" s="376"/>
      <c r="H1437" s="73"/>
      <c r="I1437" s="73"/>
      <c r="J1437" s="73"/>
      <c r="K1437" s="377"/>
      <c r="L1437" s="378"/>
      <c r="M1437" s="73"/>
    </row>
    <row r="1438" spans="3:13">
      <c r="C1438" s="374"/>
      <c r="D1438" s="375"/>
      <c r="E1438" s="73"/>
      <c r="F1438" s="73"/>
      <c r="G1438" s="376"/>
      <c r="H1438" s="73"/>
      <c r="I1438" s="73"/>
      <c r="J1438" s="73"/>
      <c r="K1438" s="377"/>
      <c r="L1438" s="378"/>
      <c r="M1438" s="73"/>
    </row>
    <row r="1439" spans="3:13">
      <c r="C1439" s="374"/>
      <c r="D1439" s="375"/>
      <c r="E1439" s="73"/>
      <c r="F1439" s="73"/>
      <c r="G1439" s="376"/>
      <c r="H1439" s="73"/>
      <c r="I1439" s="73"/>
      <c r="J1439" s="73"/>
      <c r="K1439" s="377"/>
      <c r="L1439" s="378"/>
      <c r="M1439" s="73"/>
    </row>
    <row r="1440" spans="3:13">
      <c r="C1440" s="374"/>
      <c r="D1440" s="375"/>
      <c r="E1440" s="73"/>
      <c r="F1440" s="73"/>
      <c r="G1440" s="376"/>
      <c r="H1440" s="73"/>
      <c r="I1440" s="73"/>
      <c r="J1440" s="73"/>
      <c r="K1440" s="377"/>
      <c r="L1440" s="378"/>
      <c r="M1440" s="73"/>
    </row>
    <row r="1441" spans="3:13">
      <c r="C1441" s="374"/>
      <c r="D1441" s="375"/>
      <c r="E1441" s="73"/>
      <c r="F1441" s="73"/>
      <c r="G1441" s="376"/>
      <c r="H1441" s="73"/>
      <c r="I1441" s="73"/>
      <c r="J1441" s="73"/>
      <c r="K1441" s="377"/>
      <c r="L1441" s="378"/>
      <c r="M1441" s="73"/>
    </row>
    <row r="1442" spans="3:13">
      <c r="C1442" s="374"/>
      <c r="D1442" s="375"/>
      <c r="E1442" s="73"/>
      <c r="F1442" s="73"/>
      <c r="G1442" s="376"/>
      <c r="H1442" s="73"/>
      <c r="I1442" s="73"/>
      <c r="J1442" s="73"/>
      <c r="K1442" s="377"/>
      <c r="L1442" s="378"/>
      <c r="M1442" s="73"/>
    </row>
    <row r="1443" spans="3:13">
      <c r="C1443" s="374"/>
      <c r="D1443" s="375"/>
      <c r="E1443" s="73"/>
      <c r="F1443" s="73"/>
      <c r="G1443" s="376"/>
      <c r="H1443" s="73"/>
      <c r="I1443" s="73"/>
      <c r="J1443" s="73"/>
      <c r="K1443" s="377"/>
      <c r="L1443" s="378"/>
      <c r="M1443" s="73"/>
    </row>
    <row r="1444" spans="3:13">
      <c r="C1444" s="374"/>
      <c r="D1444" s="375"/>
      <c r="E1444" s="73"/>
      <c r="F1444" s="73"/>
      <c r="G1444" s="376"/>
      <c r="H1444" s="73"/>
      <c r="I1444" s="73"/>
      <c r="J1444" s="73"/>
      <c r="K1444" s="377"/>
      <c r="L1444" s="378"/>
      <c r="M1444" s="73"/>
    </row>
    <row r="1445" spans="3:13">
      <c r="C1445" s="374"/>
      <c r="D1445" s="375"/>
      <c r="E1445" s="73"/>
      <c r="F1445" s="73"/>
      <c r="G1445" s="376"/>
      <c r="H1445" s="73"/>
      <c r="I1445" s="73"/>
      <c r="J1445" s="73"/>
      <c r="K1445" s="377"/>
      <c r="L1445" s="378"/>
      <c r="M1445" s="73"/>
    </row>
    <row r="1446" spans="3:13">
      <c r="C1446" s="374"/>
      <c r="D1446" s="375"/>
      <c r="E1446" s="73"/>
      <c r="F1446" s="73"/>
      <c r="G1446" s="376"/>
      <c r="H1446" s="73"/>
      <c r="I1446" s="73"/>
      <c r="J1446" s="73"/>
      <c r="K1446" s="377"/>
      <c r="L1446" s="378"/>
      <c r="M1446" s="73"/>
    </row>
    <row r="1447" spans="3:13">
      <c r="C1447" s="374"/>
      <c r="D1447" s="375"/>
      <c r="E1447" s="73"/>
      <c r="F1447" s="73"/>
      <c r="G1447" s="376"/>
      <c r="H1447" s="73"/>
      <c r="I1447" s="73"/>
      <c r="J1447" s="73"/>
      <c r="K1447" s="377"/>
      <c r="L1447" s="378"/>
      <c r="M1447" s="73"/>
    </row>
    <row r="1448" spans="3:13">
      <c r="C1448" s="374"/>
      <c r="D1448" s="375"/>
      <c r="E1448" s="73"/>
      <c r="F1448" s="73"/>
      <c r="G1448" s="376"/>
      <c r="H1448" s="73"/>
      <c r="I1448" s="73"/>
      <c r="J1448" s="73"/>
      <c r="K1448" s="377"/>
      <c r="L1448" s="378"/>
      <c r="M1448" s="73"/>
    </row>
    <row r="1449" spans="3:13">
      <c r="C1449" s="374"/>
      <c r="D1449" s="375"/>
      <c r="E1449" s="73"/>
      <c r="F1449" s="73"/>
      <c r="G1449" s="376"/>
      <c r="H1449" s="73"/>
      <c r="I1449" s="73"/>
      <c r="J1449" s="73"/>
      <c r="K1449" s="377"/>
      <c r="L1449" s="378"/>
      <c r="M1449" s="73"/>
    </row>
    <row r="1450" spans="3:13">
      <c r="C1450" s="374"/>
      <c r="D1450" s="375"/>
      <c r="E1450" s="73"/>
      <c r="F1450" s="73"/>
      <c r="G1450" s="376"/>
      <c r="H1450" s="73"/>
      <c r="I1450" s="73"/>
      <c r="J1450" s="73"/>
      <c r="K1450" s="377"/>
      <c r="L1450" s="378"/>
      <c r="M1450" s="73"/>
    </row>
    <row r="1451" spans="3:13">
      <c r="C1451" s="374"/>
      <c r="D1451" s="375"/>
      <c r="E1451" s="73"/>
      <c r="F1451" s="73"/>
      <c r="G1451" s="376"/>
      <c r="H1451" s="73"/>
      <c r="I1451" s="73"/>
      <c r="J1451" s="73"/>
      <c r="K1451" s="377"/>
      <c r="L1451" s="378"/>
      <c r="M1451" s="73"/>
    </row>
    <row r="1452" spans="3:13">
      <c r="C1452" s="374"/>
      <c r="D1452" s="375"/>
      <c r="E1452" s="73"/>
      <c r="F1452" s="73"/>
      <c r="G1452" s="376"/>
      <c r="H1452" s="73"/>
      <c r="I1452" s="73"/>
      <c r="J1452" s="73"/>
      <c r="K1452" s="377"/>
      <c r="L1452" s="378"/>
      <c r="M1452" s="73"/>
    </row>
    <row r="1453" spans="3:13">
      <c r="C1453" s="374"/>
      <c r="D1453" s="375"/>
      <c r="E1453" s="73"/>
      <c r="F1453" s="73"/>
      <c r="G1453" s="376"/>
      <c r="H1453" s="73"/>
      <c r="I1453" s="73"/>
      <c r="J1453" s="73"/>
      <c r="K1453" s="377"/>
      <c r="L1453" s="378"/>
      <c r="M1453" s="73"/>
    </row>
    <row r="1454" spans="3:13">
      <c r="C1454" s="374"/>
      <c r="D1454" s="375"/>
      <c r="E1454" s="73"/>
      <c r="F1454" s="73"/>
      <c r="G1454" s="376"/>
      <c r="H1454" s="73"/>
      <c r="I1454" s="73"/>
      <c r="J1454" s="73"/>
      <c r="K1454" s="377"/>
      <c r="L1454" s="378"/>
      <c r="M1454" s="73"/>
    </row>
    <row r="1455" spans="3:13">
      <c r="C1455" s="374"/>
      <c r="D1455" s="375"/>
      <c r="E1455" s="73"/>
      <c r="F1455" s="73"/>
      <c r="G1455" s="376"/>
      <c r="H1455" s="73"/>
      <c r="I1455" s="73"/>
      <c r="J1455" s="73"/>
      <c r="K1455" s="377"/>
      <c r="L1455" s="378"/>
      <c r="M1455" s="73"/>
    </row>
    <row r="1456" spans="3:13">
      <c r="C1456" s="374"/>
      <c r="D1456" s="375"/>
      <c r="E1456" s="73"/>
      <c r="F1456" s="73"/>
      <c r="G1456" s="376"/>
      <c r="H1456" s="73"/>
      <c r="I1456" s="73"/>
      <c r="J1456" s="73"/>
      <c r="K1456" s="377"/>
      <c r="L1456" s="378"/>
      <c r="M1456" s="73"/>
    </row>
    <row r="1457" spans="3:13">
      <c r="C1457" s="374"/>
      <c r="D1457" s="375"/>
      <c r="E1457" s="73"/>
      <c r="F1457" s="73"/>
      <c r="G1457" s="376"/>
      <c r="H1457" s="73"/>
      <c r="I1457" s="73"/>
      <c r="J1457" s="73"/>
      <c r="K1457" s="377"/>
      <c r="L1457" s="378"/>
      <c r="M1457" s="73"/>
    </row>
    <row r="1458" spans="3:13">
      <c r="C1458" s="374"/>
      <c r="D1458" s="375"/>
      <c r="E1458" s="73"/>
      <c r="F1458" s="73"/>
      <c r="G1458" s="376"/>
      <c r="H1458" s="73"/>
      <c r="I1458" s="73"/>
      <c r="J1458" s="73"/>
      <c r="K1458" s="377"/>
      <c r="L1458" s="378"/>
      <c r="M1458" s="73"/>
    </row>
    <row r="1459" spans="3:13">
      <c r="C1459" s="374"/>
      <c r="D1459" s="375"/>
      <c r="E1459" s="73"/>
      <c r="F1459" s="73"/>
      <c r="G1459" s="376"/>
      <c r="H1459" s="73"/>
      <c r="I1459" s="73"/>
      <c r="J1459" s="73"/>
      <c r="K1459" s="377"/>
      <c r="L1459" s="378"/>
      <c r="M1459" s="73"/>
    </row>
    <row r="1460" spans="3:13">
      <c r="C1460" s="374"/>
      <c r="D1460" s="375"/>
      <c r="E1460" s="73"/>
      <c r="F1460" s="73"/>
      <c r="G1460" s="376"/>
      <c r="H1460" s="73"/>
      <c r="I1460" s="73"/>
      <c r="J1460" s="73"/>
      <c r="K1460" s="377"/>
      <c r="L1460" s="378"/>
      <c r="M1460" s="73"/>
    </row>
    <row r="1461" spans="3:13">
      <c r="C1461" s="374"/>
      <c r="D1461" s="375"/>
      <c r="E1461" s="73"/>
      <c r="F1461" s="73"/>
      <c r="G1461" s="376"/>
      <c r="H1461" s="73"/>
      <c r="I1461" s="73"/>
      <c r="J1461" s="73"/>
      <c r="K1461" s="377"/>
      <c r="L1461" s="378"/>
      <c r="M1461" s="73"/>
    </row>
    <row r="1462" spans="3:13">
      <c r="C1462" s="374"/>
      <c r="D1462" s="375"/>
      <c r="E1462" s="73"/>
      <c r="F1462" s="73"/>
      <c r="G1462" s="376"/>
      <c r="H1462" s="73"/>
      <c r="I1462" s="73"/>
      <c r="J1462" s="73"/>
      <c r="K1462" s="377"/>
      <c r="L1462" s="378"/>
      <c r="M1462" s="73"/>
    </row>
    <row r="1463" spans="3:13">
      <c r="C1463" s="374"/>
      <c r="D1463" s="375"/>
      <c r="E1463" s="73"/>
      <c r="F1463" s="73"/>
      <c r="G1463" s="376"/>
      <c r="H1463" s="73"/>
      <c r="I1463" s="73"/>
      <c r="J1463" s="73"/>
      <c r="K1463" s="377"/>
      <c r="L1463" s="378"/>
      <c r="M1463" s="73"/>
    </row>
    <row r="1464" spans="3:13">
      <c r="C1464" s="374"/>
      <c r="D1464" s="375"/>
      <c r="E1464" s="73"/>
      <c r="F1464" s="73"/>
      <c r="G1464" s="376"/>
      <c r="H1464" s="73"/>
      <c r="I1464" s="73"/>
      <c r="J1464" s="73"/>
      <c r="K1464" s="377"/>
      <c r="L1464" s="378"/>
      <c r="M1464" s="73"/>
    </row>
    <row r="1465" spans="3:13">
      <c r="C1465" s="374"/>
      <c r="D1465" s="375"/>
      <c r="E1465" s="73"/>
      <c r="F1465" s="73"/>
      <c r="G1465" s="376"/>
      <c r="H1465" s="73"/>
      <c r="I1465" s="73"/>
      <c r="J1465" s="73"/>
      <c r="K1465" s="377"/>
      <c r="L1465" s="378"/>
      <c r="M1465" s="73"/>
    </row>
    <row r="1466" spans="3:13">
      <c r="C1466" s="374"/>
      <c r="D1466" s="375"/>
      <c r="E1466" s="73"/>
      <c r="F1466" s="73"/>
      <c r="G1466" s="376"/>
      <c r="H1466" s="73"/>
      <c r="I1466" s="73"/>
      <c r="J1466" s="73"/>
      <c r="K1466" s="377"/>
      <c r="L1466" s="378"/>
      <c r="M1466" s="73"/>
    </row>
    <row r="1467" spans="3:13">
      <c r="C1467" s="374"/>
      <c r="D1467" s="375"/>
      <c r="E1467" s="73"/>
      <c r="F1467" s="73"/>
      <c r="G1467" s="376"/>
      <c r="H1467" s="73"/>
      <c r="I1467" s="73"/>
      <c r="J1467" s="73"/>
      <c r="K1467" s="377"/>
      <c r="L1467" s="378"/>
      <c r="M1467" s="73"/>
    </row>
    <row r="1468" spans="3:13">
      <c r="C1468" s="374"/>
      <c r="D1468" s="375"/>
      <c r="E1468" s="73"/>
      <c r="F1468" s="73"/>
      <c r="G1468" s="376"/>
      <c r="H1468" s="73"/>
      <c r="I1468" s="73"/>
      <c r="J1468" s="73"/>
      <c r="K1468" s="377"/>
      <c r="L1468" s="378"/>
      <c r="M1468" s="73"/>
    </row>
    <row r="1469" spans="3:13">
      <c r="C1469" s="374"/>
      <c r="D1469" s="375"/>
      <c r="E1469" s="73"/>
      <c r="F1469" s="73"/>
      <c r="G1469" s="376"/>
      <c r="H1469" s="73"/>
      <c r="I1469" s="73"/>
      <c r="J1469" s="73"/>
      <c r="K1469" s="377"/>
      <c r="L1469" s="378"/>
      <c r="M1469" s="73"/>
    </row>
    <row r="1470" spans="3:13">
      <c r="C1470" s="374"/>
      <c r="D1470" s="375"/>
      <c r="E1470" s="73"/>
      <c r="F1470" s="73"/>
      <c r="G1470" s="376"/>
      <c r="H1470" s="73"/>
      <c r="I1470" s="73"/>
      <c r="J1470" s="73"/>
      <c r="K1470" s="377"/>
      <c r="L1470" s="378"/>
      <c r="M1470" s="73"/>
    </row>
    <row r="1471" spans="3:13">
      <c r="C1471" s="374"/>
      <c r="D1471" s="375"/>
      <c r="E1471" s="73"/>
      <c r="F1471" s="73"/>
      <c r="G1471" s="376"/>
      <c r="H1471" s="73"/>
      <c r="I1471" s="73"/>
      <c r="J1471" s="73"/>
      <c r="K1471" s="377"/>
      <c r="L1471" s="378"/>
      <c r="M1471" s="73"/>
    </row>
    <row r="1472" spans="3:13">
      <c r="C1472" s="374"/>
      <c r="D1472" s="375"/>
      <c r="E1472" s="73"/>
      <c r="F1472" s="73"/>
      <c r="G1472" s="376"/>
      <c r="H1472" s="73"/>
      <c r="I1472" s="73"/>
      <c r="J1472" s="73"/>
      <c r="K1472" s="377"/>
      <c r="L1472" s="378"/>
      <c r="M1472" s="73"/>
    </row>
    <row r="1473" spans="3:13">
      <c r="C1473" s="374"/>
      <c r="D1473" s="375"/>
      <c r="E1473" s="73"/>
      <c r="F1473" s="73"/>
      <c r="G1473" s="376"/>
      <c r="H1473" s="73"/>
      <c r="I1473" s="73"/>
      <c r="J1473" s="73"/>
      <c r="K1473" s="377"/>
      <c r="L1473" s="378"/>
      <c r="M1473" s="73"/>
    </row>
    <row r="1474" spans="3:13">
      <c r="C1474" s="374"/>
      <c r="D1474" s="375"/>
      <c r="E1474" s="73"/>
      <c r="F1474" s="73"/>
      <c r="G1474" s="376"/>
      <c r="H1474" s="73"/>
      <c r="I1474" s="73"/>
      <c r="J1474" s="73"/>
      <c r="K1474" s="377"/>
      <c r="L1474" s="378"/>
      <c r="M1474" s="73"/>
    </row>
    <row r="1475" spans="3:13">
      <c r="C1475" s="374"/>
      <c r="D1475" s="375"/>
      <c r="E1475" s="73"/>
      <c r="F1475" s="73"/>
      <c r="G1475" s="376"/>
      <c r="H1475" s="73"/>
      <c r="I1475" s="73"/>
      <c r="J1475" s="73"/>
      <c r="K1475" s="377"/>
      <c r="L1475" s="378"/>
      <c r="M1475" s="73"/>
    </row>
    <row r="1476" spans="3:13">
      <c r="C1476" s="374"/>
      <c r="D1476" s="375"/>
      <c r="E1476" s="73"/>
      <c r="F1476" s="73"/>
      <c r="G1476" s="376"/>
      <c r="H1476" s="73"/>
      <c r="I1476" s="73"/>
      <c r="J1476" s="73"/>
      <c r="K1476" s="377"/>
      <c r="L1476" s="378"/>
      <c r="M1476" s="73"/>
    </row>
    <row r="1477" spans="3:13">
      <c r="C1477" s="374"/>
      <c r="D1477" s="375"/>
      <c r="E1477" s="73"/>
      <c r="F1477" s="73"/>
      <c r="G1477" s="376"/>
      <c r="H1477" s="73"/>
      <c r="I1477" s="73"/>
      <c r="J1477" s="73"/>
      <c r="K1477" s="377"/>
      <c r="L1477" s="378"/>
      <c r="M1477" s="73"/>
    </row>
    <row r="1478" spans="3:13">
      <c r="C1478" s="374"/>
      <c r="D1478" s="375"/>
      <c r="E1478" s="73"/>
      <c r="F1478" s="73"/>
      <c r="G1478" s="376"/>
      <c r="H1478" s="73"/>
      <c r="I1478" s="73"/>
      <c r="J1478" s="73"/>
      <c r="K1478" s="377"/>
      <c r="L1478" s="378"/>
      <c r="M1478" s="73"/>
    </row>
    <row r="1479" spans="3:13">
      <c r="C1479" s="374"/>
      <c r="D1479" s="375"/>
      <c r="E1479" s="73"/>
      <c r="F1479" s="73"/>
      <c r="G1479" s="376"/>
      <c r="H1479" s="73"/>
      <c r="I1479" s="73"/>
      <c r="J1479" s="73"/>
      <c r="K1479" s="377"/>
      <c r="L1479" s="378"/>
      <c r="M1479" s="73"/>
    </row>
    <row r="1480" spans="3:13">
      <c r="C1480" s="374"/>
      <c r="D1480" s="375"/>
      <c r="E1480" s="73"/>
      <c r="F1480" s="73"/>
      <c r="G1480" s="376"/>
      <c r="H1480" s="73"/>
      <c r="I1480" s="73"/>
      <c r="J1480" s="73"/>
      <c r="K1480" s="377"/>
      <c r="L1480" s="378"/>
      <c r="M1480" s="73"/>
    </row>
    <row r="1481" spans="3:13">
      <c r="C1481" s="374"/>
      <c r="D1481" s="375"/>
      <c r="E1481" s="73"/>
      <c r="F1481" s="73"/>
      <c r="G1481" s="376"/>
      <c r="H1481" s="73"/>
      <c r="I1481" s="73"/>
      <c r="J1481" s="73"/>
      <c r="K1481" s="377"/>
      <c r="L1481" s="378"/>
      <c r="M1481" s="73"/>
    </row>
    <row r="1482" spans="3:13">
      <c r="C1482" s="374"/>
      <c r="D1482" s="375"/>
      <c r="E1482" s="73"/>
      <c r="F1482" s="73"/>
      <c r="G1482" s="376"/>
      <c r="H1482" s="73"/>
      <c r="I1482" s="73"/>
      <c r="J1482" s="73"/>
      <c r="K1482" s="377"/>
      <c r="L1482" s="378"/>
      <c r="M1482" s="73"/>
    </row>
    <row r="1483" spans="3:13">
      <c r="C1483" s="374"/>
      <c r="D1483" s="375"/>
      <c r="E1483" s="73"/>
      <c r="F1483" s="73"/>
      <c r="G1483" s="376"/>
      <c r="H1483" s="73"/>
      <c r="I1483" s="73"/>
      <c r="J1483" s="73"/>
      <c r="K1483" s="377"/>
      <c r="L1483" s="378"/>
      <c r="M1483" s="73"/>
    </row>
    <row r="1484" spans="3:13">
      <c r="C1484" s="374"/>
      <c r="D1484" s="375"/>
      <c r="E1484" s="73"/>
      <c r="F1484" s="73"/>
      <c r="G1484" s="376"/>
      <c r="H1484" s="73"/>
      <c r="I1484" s="73"/>
      <c r="J1484" s="73"/>
      <c r="K1484" s="377"/>
      <c r="L1484" s="378"/>
      <c r="M1484" s="73"/>
    </row>
    <row r="1485" spans="3:13">
      <c r="C1485" s="374"/>
      <c r="D1485" s="375"/>
      <c r="E1485" s="73"/>
      <c r="F1485" s="73"/>
      <c r="G1485" s="376"/>
      <c r="H1485" s="73"/>
      <c r="I1485" s="73"/>
      <c r="J1485" s="73"/>
      <c r="K1485" s="377"/>
      <c r="L1485" s="378"/>
      <c r="M1485" s="73"/>
    </row>
    <row r="1486" spans="3:13">
      <c r="C1486" s="374"/>
      <c r="D1486" s="375"/>
      <c r="E1486" s="73"/>
      <c r="F1486" s="73"/>
      <c r="G1486" s="376"/>
      <c r="H1486" s="73"/>
      <c r="I1486" s="73"/>
      <c r="J1486" s="73"/>
      <c r="K1486" s="377"/>
      <c r="L1486" s="378"/>
      <c r="M1486" s="73"/>
    </row>
    <row r="1487" spans="3:13">
      <c r="C1487" s="374"/>
      <c r="D1487" s="375"/>
      <c r="E1487" s="73"/>
      <c r="F1487" s="73"/>
      <c r="G1487" s="376"/>
      <c r="H1487" s="73"/>
      <c r="I1487" s="73"/>
      <c r="J1487" s="73"/>
      <c r="K1487" s="377"/>
      <c r="L1487" s="378"/>
      <c r="M1487" s="73"/>
    </row>
    <row r="1488" spans="3:13">
      <c r="C1488" s="374"/>
      <c r="D1488" s="375"/>
      <c r="E1488" s="73"/>
      <c r="F1488" s="73"/>
      <c r="G1488" s="376"/>
      <c r="H1488" s="73"/>
      <c r="I1488" s="73"/>
      <c r="J1488" s="73"/>
      <c r="K1488" s="377"/>
      <c r="L1488" s="378"/>
      <c r="M1488" s="73"/>
    </row>
    <row r="1489" spans="3:13">
      <c r="C1489" s="374"/>
      <c r="D1489" s="375"/>
      <c r="E1489" s="73"/>
      <c r="F1489" s="73"/>
      <c r="G1489" s="376"/>
      <c r="H1489" s="73"/>
      <c r="I1489" s="73"/>
      <c r="J1489" s="73"/>
      <c r="K1489" s="377"/>
      <c r="L1489" s="378"/>
      <c r="M1489" s="73"/>
    </row>
    <row r="1490" spans="3:13">
      <c r="C1490" s="374"/>
      <c r="D1490" s="375"/>
      <c r="E1490" s="73"/>
      <c r="F1490" s="73"/>
      <c r="G1490" s="376"/>
      <c r="H1490" s="73"/>
      <c r="I1490" s="73"/>
      <c r="J1490" s="73"/>
      <c r="K1490" s="377"/>
      <c r="L1490" s="378"/>
      <c r="M1490" s="73"/>
    </row>
    <row r="1491" spans="3:13">
      <c r="C1491" s="374"/>
      <c r="D1491" s="375"/>
      <c r="E1491" s="73"/>
      <c r="F1491" s="73"/>
      <c r="G1491" s="376"/>
      <c r="H1491" s="73"/>
      <c r="I1491" s="73"/>
      <c r="J1491" s="73"/>
      <c r="K1491" s="377"/>
      <c r="L1491" s="378"/>
      <c r="M1491" s="73"/>
    </row>
    <row r="1492" spans="3:13">
      <c r="C1492" s="374"/>
      <c r="D1492" s="375"/>
      <c r="E1492" s="73"/>
      <c r="F1492" s="73"/>
      <c r="G1492" s="376"/>
      <c r="H1492" s="73"/>
      <c r="I1492" s="73"/>
      <c r="J1492" s="73"/>
      <c r="K1492" s="377"/>
      <c r="L1492" s="378"/>
      <c r="M1492" s="73"/>
    </row>
    <row r="1493" spans="3:13">
      <c r="C1493" s="374"/>
      <c r="D1493" s="375"/>
      <c r="E1493" s="73"/>
      <c r="F1493" s="73"/>
      <c r="G1493" s="376"/>
      <c r="H1493" s="73"/>
      <c r="I1493" s="73"/>
      <c r="J1493" s="73"/>
      <c r="K1493" s="377"/>
      <c r="L1493" s="378"/>
      <c r="M1493" s="73"/>
    </row>
    <row r="1494" spans="3:13">
      <c r="C1494" s="374"/>
      <c r="D1494" s="375"/>
      <c r="E1494" s="73"/>
      <c r="F1494" s="73"/>
      <c r="G1494" s="376"/>
      <c r="H1494" s="73"/>
      <c r="I1494" s="73"/>
      <c r="J1494" s="73"/>
      <c r="K1494" s="377"/>
      <c r="L1494" s="378"/>
      <c r="M1494" s="73"/>
    </row>
    <row r="1495" spans="3:13">
      <c r="C1495" s="374"/>
      <c r="D1495" s="375"/>
      <c r="E1495" s="73"/>
      <c r="F1495" s="73"/>
      <c r="G1495" s="376"/>
      <c r="H1495" s="73"/>
      <c r="I1495" s="73"/>
      <c r="J1495" s="73"/>
      <c r="K1495" s="377"/>
      <c r="L1495" s="378"/>
      <c r="M1495" s="73"/>
    </row>
    <row r="1496" spans="3:13">
      <c r="C1496" s="374"/>
      <c r="D1496" s="375"/>
      <c r="E1496" s="73"/>
      <c r="F1496" s="73"/>
      <c r="G1496" s="376"/>
      <c r="H1496" s="73"/>
      <c r="I1496" s="73"/>
      <c r="J1496" s="73"/>
      <c r="K1496" s="377"/>
      <c r="L1496" s="378"/>
      <c r="M1496" s="73"/>
    </row>
    <row r="1497" spans="3:13">
      <c r="C1497" s="374"/>
      <c r="D1497" s="375"/>
      <c r="E1497" s="73"/>
      <c r="F1497" s="73"/>
      <c r="G1497" s="376"/>
      <c r="H1497" s="73"/>
      <c r="I1497" s="73"/>
      <c r="J1497" s="73"/>
      <c r="K1497" s="377"/>
      <c r="L1497" s="378"/>
      <c r="M1497" s="73"/>
    </row>
    <row r="1498" spans="3:13">
      <c r="C1498" s="374"/>
      <c r="D1498" s="375"/>
      <c r="E1498" s="73"/>
      <c r="F1498" s="73"/>
      <c r="G1498" s="376"/>
      <c r="H1498" s="73"/>
      <c r="I1498" s="73"/>
      <c r="J1498" s="73"/>
      <c r="K1498" s="377"/>
      <c r="L1498" s="378"/>
      <c r="M1498" s="73"/>
    </row>
    <row r="1499" spans="3:13">
      <c r="C1499" s="374"/>
      <c r="D1499" s="375"/>
      <c r="E1499" s="73"/>
      <c r="F1499" s="73"/>
      <c r="G1499" s="376"/>
      <c r="H1499" s="73"/>
      <c r="I1499" s="73"/>
      <c r="J1499" s="73"/>
      <c r="K1499" s="377"/>
      <c r="L1499" s="378"/>
      <c r="M1499" s="73"/>
    </row>
    <row r="1500" spans="3:13">
      <c r="C1500" s="374"/>
      <c r="D1500" s="375"/>
      <c r="E1500" s="73"/>
      <c r="F1500" s="73"/>
      <c r="G1500" s="376"/>
      <c r="H1500" s="73"/>
      <c r="I1500" s="73"/>
      <c r="J1500" s="73"/>
      <c r="K1500" s="377"/>
      <c r="L1500" s="378"/>
      <c r="M1500" s="73"/>
    </row>
    <row r="1501" spans="3:13">
      <c r="C1501" s="374"/>
      <c r="D1501" s="375"/>
      <c r="E1501" s="73"/>
      <c r="F1501" s="73"/>
      <c r="G1501" s="376"/>
      <c r="H1501" s="73"/>
      <c r="I1501" s="73"/>
      <c r="J1501" s="73"/>
      <c r="K1501" s="377"/>
      <c r="L1501" s="378"/>
      <c r="M1501" s="73"/>
    </row>
    <row r="1502" spans="3:13">
      <c r="C1502" s="374"/>
      <c r="D1502" s="375"/>
      <c r="E1502" s="73"/>
      <c r="F1502" s="73"/>
      <c r="G1502" s="376"/>
      <c r="H1502" s="73"/>
      <c r="I1502" s="73"/>
      <c r="J1502" s="73"/>
      <c r="K1502" s="377"/>
      <c r="L1502" s="378"/>
      <c r="M1502" s="73"/>
    </row>
    <row r="1503" spans="3:13">
      <c r="C1503" s="374"/>
      <c r="D1503" s="375"/>
      <c r="E1503" s="73"/>
      <c r="F1503" s="73"/>
      <c r="G1503" s="376"/>
      <c r="H1503" s="73"/>
      <c r="I1503" s="73"/>
      <c r="J1503" s="73"/>
      <c r="K1503" s="377"/>
      <c r="L1503" s="378"/>
      <c r="M1503" s="73"/>
    </row>
    <row r="1504" spans="3:13">
      <c r="C1504" s="374"/>
      <c r="D1504" s="375"/>
      <c r="E1504" s="73"/>
      <c r="F1504" s="73"/>
      <c r="G1504" s="376"/>
      <c r="H1504" s="73"/>
      <c r="I1504" s="73"/>
      <c r="J1504" s="73"/>
      <c r="K1504" s="377"/>
      <c r="L1504" s="378"/>
      <c r="M1504" s="73"/>
    </row>
    <row r="1505" spans="3:13">
      <c r="C1505" s="374"/>
      <c r="D1505" s="375"/>
      <c r="E1505" s="73"/>
      <c r="F1505" s="73"/>
      <c r="G1505" s="376"/>
      <c r="H1505" s="73"/>
      <c r="I1505" s="73"/>
      <c r="J1505" s="73"/>
      <c r="K1505" s="377"/>
      <c r="L1505" s="378"/>
      <c r="M1505" s="73"/>
    </row>
    <row r="1506" spans="3:13">
      <c r="C1506" s="374"/>
      <c r="D1506" s="375"/>
      <c r="E1506" s="73"/>
      <c r="F1506" s="73"/>
      <c r="G1506" s="376"/>
      <c r="H1506" s="73"/>
      <c r="I1506" s="73"/>
      <c r="J1506" s="73"/>
      <c r="K1506" s="377"/>
      <c r="L1506" s="378"/>
      <c r="M1506" s="73"/>
    </row>
    <row r="1507" spans="3:13">
      <c r="C1507" s="374"/>
      <c r="D1507" s="375"/>
      <c r="E1507" s="73"/>
      <c r="F1507" s="73"/>
      <c r="G1507" s="376"/>
      <c r="H1507" s="73"/>
      <c r="I1507" s="73"/>
      <c r="J1507" s="73"/>
      <c r="K1507" s="377"/>
      <c r="L1507" s="378"/>
      <c r="M1507" s="73"/>
    </row>
    <row r="1508" spans="3:13">
      <c r="C1508" s="374"/>
      <c r="D1508" s="375"/>
      <c r="E1508" s="73"/>
      <c r="F1508" s="73"/>
      <c r="G1508" s="376"/>
      <c r="H1508" s="73"/>
      <c r="I1508" s="73"/>
      <c r="J1508" s="73"/>
      <c r="K1508" s="377"/>
      <c r="L1508" s="378"/>
      <c r="M1508" s="73"/>
    </row>
    <row r="1509" spans="3:13">
      <c r="C1509" s="374"/>
      <c r="D1509" s="375"/>
      <c r="E1509" s="73"/>
      <c r="F1509" s="73"/>
      <c r="G1509" s="376"/>
      <c r="H1509" s="73"/>
      <c r="I1509" s="73"/>
      <c r="J1509" s="73"/>
      <c r="K1509" s="377"/>
      <c r="L1509" s="378"/>
      <c r="M1509" s="73"/>
    </row>
    <row r="1510" spans="3:13">
      <c r="C1510" s="374"/>
      <c r="D1510" s="375"/>
      <c r="E1510" s="73"/>
      <c r="F1510" s="73"/>
      <c r="G1510" s="376"/>
      <c r="H1510" s="73"/>
      <c r="I1510" s="73"/>
      <c r="J1510" s="73"/>
      <c r="K1510" s="377"/>
      <c r="L1510" s="378"/>
      <c r="M1510" s="73"/>
    </row>
    <row r="1511" spans="3:13">
      <c r="C1511" s="374"/>
      <c r="D1511" s="375"/>
      <c r="E1511" s="73"/>
      <c r="F1511" s="73"/>
      <c r="G1511" s="376"/>
      <c r="H1511" s="73"/>
      <c r="I1511" s="73"/>
      <c r="J1511" s="73"/>
      <c r="K1511" s="377"/>
      <c r="L1511" s="378"/>
      <c r="M1511" s="73"/>
    </row>
    <row r="1512" spans="3:13">
      <c r="C1512" s="374"/>
      <c r="D1512" s="375"/>
      <c r="E1512" s="73"/>
      <c r="F1512" s="73"/>
      <c r="G1512" s="376"/>
      <c r="H1512" s="73"/>
      <c r="I1512" s="73"/>
      <c r="J1512" s="73"/>
      <c r="K1512" s="377"/>
      <c r="L1512" s="378"/>
      <c r="M1512" s="73"/>
    </row>
    <row r="1513" spans="3:13">
      <c r="C1513" s="374"/>
      <c r="D1513" s="375"/>
      <c r="E1513" s="73"/>
      <c r="F1513" s="73"/>
      <c r="G1513" s="376"/>
      <c r="H1513" s="73"/>
      <c r="I1513" s="73"/>
      <c r="J1513" s="73"/>
      <c r="K1513" s="377"/>
      <c r="L1513" s="378"/>
      <c r="M1513" s="73"/>
    </row>
    <row r="1514" spans="3:13">
      <c r="C1514" s="374"/>
      <c r="D1514" s="375"/>
      <c r="E1514" s="73"/>
      <c r="F1514" s="73"/>
      <c r="G1514" s="376"/>
      <c r="H1514" s="73"/>
      <c r="I1514" s="73"/>
      <c r="J1514" s="73"/>
      <c r="K1514" s="377"/>
      <c r="L1514" s="378"/>
      <c r="M1514" s="73"/>
    </row>
    <row r="1515" spans="3:13">
      <c r="C1515" s="374"/>
      <c r="D1515" s="375"/>
      <c r="E1515" s="73"/>
      <c r="F1515" s="73"/>
      <c r="G1515" s="376"/>
      <c r="H1515" s="73"/>
      <c r="I1515" s="73"/>
      <c r="J1515" s="73"/>
      <c r="K1515" s="377"/>
      <c r="L1515" s="378"/>
      <c r="M1515" s="73"/>
    </row>
    <row r="1516" spans="3:13">
      <c r="C1516" s="374"/>
      <c r="D1516" s="375"/>
      <c r="E1516" s="73"/>
      <c r="F1516" s="73"/>
      <c r="G1516" s="376"/>
      <c r="H1516" s="73"/>
      <c r="I1516" s="73"/>
      <c r="J1516" s="73"/>
      <c r="K1516" s="377"/>
      <c r="L1516" s="378"/>
      <c r="M1516" s="73"/>
    </row>
    <row r="1517" spans="3:13">
      <c r="C1517" s="374"/>
      <c r="D1517" s="375"/>
      <c r="E1517" s="73"/>
      <c r="F1517" s="73"/>
      <c r="G1517" s="376"/>
      <c r="H1517" s="73"/>
      <c r="I1517" s="73"/>
      <c r="J1517" s="73"/>
      <c r="K1517" s="377"/>
      <c r="L1517" s="378"/>
      <c r="M1517" s="73"/>
    </row>
    <row r="1518" spans="3:13">
      <c r="C1518" s="374"/>
      <c r="D1518" s="375"/>
      <c r="E1518" s="73"/>
      <c r="F1518" s="73"/>
      <c r="G1518" s="376"/>
      <c r="H1518" s="73"/>
      <c r="I1518" s="73"/>
      <c r="J1518" s="73"/>
      <c r="K1518" s="377"/>
      <c r="L1518" s="378"/>
      <c r="M1518" s="73"/>
    </row>
    <row r="1519" spans="3:13">
      <c r="C1519" s="374"/>
      <c r="D1519" s="375"/>
      <c r="E1519" s="73"/>
      <c r="F1519" s="73"/>
      <c r="G1519" s="376"/>
      <c r="H1519" s="73"/>
      <c r="I1519" s="73"/>
      <c r="J1519" s="73"/>
      <c r="K1519" s="377"/>
      <c r="L1519" s="378"/>
      <c r="M1519" s="73"/>
    </row>
    <row r="1520" spans="3:13">
      <c r="C1520" s="374"/>
      <c r="D1520" s="375"/>
      <c r="E1520" s="73"/>
      <c r="F1520" s="73"/>
      <c r="G1520" s="376"/>
      <c r="H1520" s="73"/>
      <c r="I1520" s="73"/>
      <c r="J1520" s="73"/>
      <c r="K1520" s="377"/>
      <c r="L1520" s="378"/>
      <c r="M1520" s="73"/>
    </row>
    <row r="1521" spans="3:13">
      <c r="C1521" s="374"/>
      <c r="D1521" s="375"/>
      <c r="E1521" s="73"/>
      <c r="F1521" s="73"/>
      <c r="G1521" s="376"/>
      <c r="H1521" s="73"/>
      <c r="I1521" s="73"/>
      <c r="J1521" s="73"/>
      <c r="K1521" s="377"/>
      <c r="L1521" s="378"/>
      <c r="M1521" s="73"/>
    </row>
    <row r="1522" spans="3:13">
      <c r="C1522" s="374"/>
      <c r="D1522" s="375"/>
      <c r="E1522" s="73"/>
      <c r="F1522" s="73"/>
      <c r="G1522" s="376"/>
      <c r="H1522" s="73"/>
      <c r="I1522" s="73"/>
      <c r="J1522" s="73"/>
      <c r="K1522" s="377"/>
      <c r="L1522" s="378"/>
      <c r="M1522" s="73"/>
    </row>
    <row r="1523" spans="3:13">
      <c r="C1523" s="374"/>
      <c r="D1523" s="375"/>
      <c r="E1523" s="73"/>
      <c r="F1523" s="73"/>
      <c r="G1523" s="376"/>
      <c r="H1523" s="73"/>
      <c r="I1523" s="73"/>
      <c r="J1523" s="73"/>
      <c r="K1523" s="377"/>
      <c r="L1523" s="378"/>
      <c r="M1523" s="73"/>
    </row>
    <row r="1524" spans="3:13">
      <c r="C1524" s="374"/>
      <c r="D1524" s="375"/>
      <c r="E1524" s="73"/>
      <c r="F1524" s="73"/>
      <c r="G1524" s="376"/>
      <c r="H1524" s="73"/>
      <c r="I1524" s="73"/>
      <c r="J1524" s="73"/>
      <c r="K1524" s="377"/>
      <c r="L1524" s="378"/>
      <c r="M1524" s="73"/>
    </row>
    <row r="1525" spans="3:13">
      <c r="C1525" s="374"/>
      <c r="D1525" s="375"/>
      <c r="E1525" s="73"/>
      <c r="F1525" s="73"/>
      <c r="G1525" s="376"/>
      <c r="H1525" s="73"/>
      <c r="I1525" s="73"/>
      <c r="J1525" s="73"/>
      <c r="K1525" s="377"/>
      <c r="L1525" s="378"/>
      <c r="M1525" s="73"/>
    </row>
    <row r="1526" spans="3:13">
      <c r="C1526" s="374"/>
      <c r="D1526" s="375"/>
      <c r="E1526" s="73"/>
      <c r="F1526" s="73"/>
      <c r="G1526" s="376"/>
      <c r="H1526" s="73"/>
      <c r="I1526" s="73"/>
      <c r="J1526" s="73"/>
      <c r="K1526" s="377"/>
      <c r="L1526" s="378"/>
      <c r="M1526" s="73"/>
    </row>
    <row r="1527" spans="3:13">
      <c r="C1527" s="374"/>
      <c r="D1527" s="375"/>
      <c r="E1527" s="73"/>
      <c r="F1527" s="73"/>
      <c r="G1527" s="376"/>
      <c r="H1527" s="73"/>
      <c r="I1527" s="73"/>
      <c r="J1527" s="73"/>
      <c r="K1527" s="377"/>
      <c r="L1527" s="378"/>
      <c r="M1527" s="73"/>
    </row>
    <row r="1528" spans="3:13">
      <c r="C1528" s="374"/>
      <c r="D1528" s="375"/>
      <c r="E1528" s="73"/>
      <c r="F1528" s="73"/>
      <c r="G1528" s="376"/>
      <c r="H1528" s="73"/>
      <c r="I1528" s="73"/>
      <c r="J1528" s="73"/>
      <c r="K1528" s="377"/>
      <c r="L1528" s="378"/>
      <c r="M1528" s="73"/>
    </row>
    <row r="1529" spans="3:13">
      <c r="C1529" s="374"/>
      <c r="D1529" s="375"/>
      <c r="E1529" s="73"/>
      <c r="F1529" s="73"/>
      <c r="G1529" s="376"/>
      <c r="H1529" s="73"/>
      <c r="I1529" s="73"/>
      <c r="J1529" s="73"/>
      <c r="K1529" s="377"/>
      <c r="L1529" s="378"/>
      <c r="M1529" s="73"/>
    </row>
    <row r="1530" spans="3:13">
      <c r="C1530" s="374"/>
      <c r="D1530" s="375"/>
      <c r="E1530" s="73"/>
      <c r="F1530" s="73"/>
      <c r="G1530" s="376"/>
      <c r="H1530" s="73"/>
      <c r="I1530" s="73"/>
      <c r="J1530" s="73"/>
      <c r="K1530" s="377"/>
      <c r="L1530" s="378"/>
      <c r="M1530" s="73"/>
    </row>
    <row r="1531" spans="3:13">
      <c r="C1531" s="374"/>
      <c r="D1531" s="375"/>
      <c r="E1531" s="73"/>
      <c r="F1531" s="73"/>
      <c r="G1531" s="376"/>
      <c r="H1531" s="73"/>
      <c r="I1531" s="73"/>
      <c r="J1531" s="73"/>
      <c r="K1531" s="377"/>
      <c r="L1531" s="378"/>
      <c r="M1531" s="73"/>
    </row>
    <row r="1532" spans="3:13">
      <c r="C1532" s="374"/>
      <c r="D1532" s="375"/>
      <c r="E1532" s="73"/>
      <c r="F1532" s="73"/>
      <c r="G1532" s="376"/>
      <c r="H1532" s="73"/>
      <c r="I1532" s="73"/>
      <c r="J1532" s="73"/>
      <c r="K1532" s="377"/>
      <c r="L1532" s="378"/>
      <c r="M1532" s="73"/>
    </row>
    <row r="1533" spans="3:13">
      <c r="C1533" s="374"/>
      <c r="D1533" s="375"/>
      <c r="E1533" s="73"/>
      <c r="F1533" s="73"/>
      <c r="G1533" s="376"/>
      <c r="H1533" s="73"/>
      <c r="I1533" s="73"/>
      <c r="J1533" s="73"/>
      <c r="K1533" s="377"/>
      <c r="L1533" s="378"/>
      <c r="M1533" s="73"/>
    </row>
    <row r="1534" spans="3:13">
      <c r="C1534" s="374"/>
      <c r="D1534" s="375"/>
      <c r="E1534" s="73"/>
      <c r="F1534" s="73"/>
      <c r="G1534" s="376"/>
      <c r="H1534" s="73"/>
      <c r="I1534" s="73"/>
      <c r="J1534" s="73"/>
      <c r="K1534" s="377"/>
      <c r="L1534" s="378"/>
      <c r="M1534" s="73"/>
    </row>
    <row r="1535" spans="3:13">
      <c r="C1535" s="374"/>
      <c r="D1535" s="375"/>
      <c r="E1535" s="73"/>
      <c r="F1535" s="73"/>
      <c r="G1535" s="376"/>
      <c r="H1535" s="73"/>
      <c r="I1535" s="73"/>
      <c r="J1535" s="73"/>
      <c r="K1535" s="377"/>
      <c r="L1535" s="378"/>
      <c r="M1535" s="73"/>
    </row>
    <row r="1536" spans="3:13">
      <c r="C1536" s="374"/>
      <c r="D1536" s="375"/>
      <c r="E1536" s="73"/>
      <c r="F1536" s="73"/>
      <c r="G1536" s="376"/>
      <c r="H1536" s="73"/>
      <c r="I1536" s="73"/>
      <c r="J1536" s="73"/>
      <c r="K1536" s="377"/>
      <c r="L1536" s="378"/>
      <c r="M1536" s="73"/>
    </row>
    <row r="1537" spans="3:13">
      <c r="C1537" s="374"/>
      <c r="D1537" s="375"/>
      <c r="E1537" s="73"/>
      <c r="F1537" s="73"/>
      <c r="G1537" s="376"/>
      <c r="H1537" s="73"/>
      <c r="I1537" s="73"/>
      <c r="J1537" s="73"/>
      <c r="K1537" s="377"/>
      <c r="L1537" s="378"/>
      <c r="M1537" s="73"/>
    </row>
    <row r="1538" spans="3:13">
      <c r="C1538" s="374"/>
      <c r="D1538" s="375"/>
      <c r="E1538" s="73"/>
      <c r="F1538" s="73"/>
      <c r="G1538" s="376"/>
      <c r="H1538" s="73"/>
      <c r="I1538" s="73"/>
      <c r="J1538" s="73"/>
      <c r="K1538" s="377"/>
      <c r="L1538" s="378"/>
      <c r="M1538" s="73"/>
    </row>
    <row r="1539" spans="3:13">
      <c r="C1539" s="374"/>
      <c r="D1539" s="375"/>
      <c r="E1539" s="73"/>
      <c r="F1539" s="73"/>
      <c r="G1539" s="376"/>
      <c r="H1539" s="73"/>
      <c r="I1539" s="73"/>
      <c r="J1539" s="73"/>
      <c r="K1539" s="377"/>
      <c r="L1539" s="378"/>
      <c r="M1539" s="73"/>
    </row>
    <row r="1540" spans="3:13">
      <c r="C1540" s="374"/>
      <c r="D1540" s="375"/>
      <c r="E1540" s="73"/>
      <c r="F1540" s="73"/>
      <c r="G1540" s="376"/>
      <c r="H1540" s="73"/>
      <c r="I1540" s="73"/>
      <c r="J1540" s="73"/>
      <c r="K1540" s="377"/>
      <c r="L1540" s="378"/>
      <c r="M1540" s="73"/>
    </row>
    <row r="1541" spans="3:13">
      <c r="C1541" s="374"/>
      <c r="D1541" s="375"/>
      <c r="E1541" s="73"/>
      <c r="F1541" s="73"/>
      <c r="G1541" s="376"/>
      <c r="H1541" s="73"/>
      <c r="I1541" s="73"/>
      <c r="J1541" s="73"/>
      <c r="K1541" s="377"/>
      <c r="L1541" s="378"/>
      <c r="M1541" s="73"/>
    </row>
    <row r="1542" spans="3:13">
      <c r="C1542" s="374"/>
      <c r="D1542" s="375"/>
      <c r="E1542" s="73"/>
      <c r="F1542" s="73"/>
      <c r="G1542" s="376"/>
      <c r="H1542" s="73"/>
      <c r="I1542" s="73"/>
      <c r="J1542" s="73"/>
      <c r="K1542" s="377"/>
      <c r="L1542" s="378"/>
      <c r="M1542" s="73"/>
    </row>
    <row r="1543" spans="3:13">
      <c r="C1543" s="374"/>
      <c r="D1543" s="375"/>
      <c r="E1543" s="73"/>
      <c r="F1543" s="73"/>
      <c r="G1543" s="376"/>
      <c r="H1543" s="73"/>
      <c r="I1543" s="73"/>
      <c r="J1543" s="73"/>
      <c r="K1543" s="377"/>
      <c r="L1543" s="378"/>
      <c r="M1543" s="73"/>
    </row>
    <row r="1544" spans="3:13">
      <c r="C1544" s="374"/>
      <c r="D1544" s="375"/>
      <c r="E1544" s="73"/>
      <c r="F1544" s="73"/>
      <c r="G1544" s="376"/>
      <c r="H1544" s="73"/>
      <c r="I1544" s="73"/>
      <c r="J1544" s="73"/>
      <c r="K1544" s="377"/>
      <c r="L1544" s="378"/>
      <c r="M1544" s="73"/>
    </row>
    <row r="1545" spans="3:13">
      <c r="C1545" s="374"/>
      <c r="D1545" s="375"/>
      <c r="E1545" s="73"/>
      <c r="F1545" s="73"/>
      <c r="G1545" s="376"/>
      <c r="H1545" s="73"/>
      <c r="I1545" s="73"/>
      <c r="J1545" s="73"/>
      <c r="K1545" s="377"/>
      <c r="L1545" s="378"/>
      <c r="M1545" s="73"/>
    </row>
    <row r="1546" spans="3:13">
      <c r="C1546" s="374"/>
      <c r="D1546" s="375"/>
      <c r="E1546" s="73"/>
      <c r="F1546" s="73"/>
      <c r="G1546" s="376"/>
      <c r="H1546" s="73"/>
      <c r="I1546" s="73"/>
      <c r="J1546" s="73"/>
      <c r="K1546" s="377"/>
      <c r="L1546" s="378"/>
      <c r="M1546" s="73"/>
    </row>
    <row r="1547" spans="3:13">
      <c r="C1547" s="374"/>
      <c r="D1547" s="375"/>
      <c r="E1547" s="73"/>
      <c r="F1547" s="73"/>
      <c r="G1547" s="376"/>
      <c r="H1547" s="73"/>
      <c r="I1547" s="73"/>
      <c r="J1547" s="73"/>
      <c r="K1547" s="377"/>
      <c r="L1547" s="378"/>
      <c r="M1547" s="73"/>
    </row>
    <row r="1548" spans="3:13">
      <c r="C1548" s="374"/>
      <c r="D1548" s="375"/>
      <c r="E1548" s="73"/>
      <c r="F1548" s="73"/>
      <c r="G1548" s="376"/>
      <c r="H1548" s="73"/>
      <c r="I1548" s="73"/>
      <c r="J1548" s="73"/>
      <c r="K1548" s="377"/>
      <c r="L1548" s="378"/>
      <c r="M1548" s="73"/>
    </row>
    <row r="1549" spans="3:13">
      <c r="C1549" s="374"/>
      <c r="D1549" s="375"/>
      <c r="E1549" s="73"/>
      <c r="F1549" s="73"/>
      <c r="G1549" s="376"/>
      <c r="H1549" s="73"/>
      <c r="I1549" s="73"/>
      <c r="J1549" s="73"/>
      <c r="K1549" s="377"/>
      <c r="L1549" s="378"/>
      <c r="M1549" s="73"/>
    </row>
    <row r="1550" spans="3:13">
      <c r="C1550" s="374"/>
      <c r="D1550" s="375"/>
      <c r="E1550" s="73"/>
      <c r="F1550" s="73"/>
      <c r="G1550" s="376"/>
      <c r="H1550" s="73"/>
      <c r="I1550" s="73"/>
      <c r="J1550" s="73"/>
      <c r="K1550" s="377"/>
      <c r="L1550" s="378"/>
      <c r="M1550" s="73"/>
    </row>
    <row r="1551" spans="3:13">
      <c r="C1551" s="374"/>
      <c r="D1551" s="375"/>
      <c r="E1551" s="73"/>
      <c r="F1551" s="73"/>
      <c r="G1551" s="376"/>
      <c r="H1551" s="73"/>
      <c r="I1551" s="73"/>
      <c r="J1551" s="73"/>
      <c r="K1551" s="377"/>
      <c r="L1551" s="378"/>
      <c r="M1551" s="73"/>
    </row>
    <row r="1552" spans="3:13">
      <c r="C1552" s="374"/>
      <c r="D1552" s="375"/>
      <c r="E1552" s="73"/>
      <c r="F1552" s="73"/>
      <c r="G1552" s="376"/>
      <c r="H1552" s="73"/>
      <c r="I1552" s="73"/>
      <c r="J1552" s="73"/>
      <c r="K1552" s="377"/>
      <c r="L1552" s="378"/>
      <c r="M1552" s="73"/>
    </row>
    <row r="1553" spans="3:13">
      <c r="C1553" s="374"/>
      <c r="D1553" s="375"/>
      <c r="E1553" s="73"/>
      <c r="F1553" s="73"/>
      <c r="G1553" s="376"/>
      <c r="H1553" s="73"/>
      <c r="I1553" s="73"/>
      <c r="J1553" s="73"/>
      <c r="K1553" s="377"/>
      <c r="L1553" s="378"/>
      <c r="M1553" s="73"/>
    </row>
    <row r="1554" spans="3:13">
      <c r="C1554" s="374"/>
      <c r="D1554" s="375"/>
      <c r="E1554" s="73"/>
      <c r="F1554" s="73"/>
      <c r="G1554" s="376"/>
      <c r="H1554" s="73"/>
      <c r="I1554" s="73"/>
      <c r="J1554" s="73"/>
      <c r="K1554" s="377"/>
      <c r="L1554" s="378"/>
      <c r="M1554" s="73"/>
    </row>
    <row r="1555" spans="3:13">
      <c r="C1555" s="374"/>
      <c r="D1555" s="375"/>
      <c r="E1555" s="73"/>
      <c r="F1555" s="73"/>
      <c r="G1555" s="376"/>
      <c r="H1555" s="73"/>
      <c r="I1555" s="73"/>
      <c r="J1555" s="73"/>
      <c r="K1555" s="377"/>
      <c r="L1555" s="378"/>
      <c r="M1555" s="73"/>
    </row>
    <row r="1556" spans="3:13">
      <c r="C1556" s="374"/>
      <c r="D1556" s="375"/>
      <c r="E1556" s="73"/>
      <c r="F1556" s="73"/>
      <c r="G1556" s="376"/>
      <c r="H1556" s="73"/>
      <c r="I1556" s="73"/>
      <c r="J1556" s="73"/>
      <c r="K1556" s="377"/>
      <c r="L1556" s="378"/>
      <c r="M1556" s="73"/>
    </row>
    <row r="1557" spans="3:13">
      <c r="C1557" s="374"/>
      <c r="D1557" s="375"/>
      <c r="E1557" s="73"/>
      <c r="F1557" s="73"/>
      <c r="G1557" s="376"/>
      <c r="H1557" s="73"/>
      <c r="I1557" s="73"/>
      <c r="J1557" s="73"/>
      <c r="K1557" s="377"/>
      <c r="L1557" s="378"/>
      <c r="M1557" s="73"/>
    </row>
    <row r="1558" spans="3:13">
      <c r="C1558" s="374"/>
      <c r="D1558" s="375"/>
      <c r="E1558" s="73"/>
      <c r="F1558" s="73"/>
      <c r="G1558" s="376"/>
      <c r="H1558" s="73"/>
      <c r="I1558" s="73"/>
      <c r="J1558" s="73"/>
      <c r="K1558" s="377"/>
      <c r="L1558" s="378"/>
      <c r="M1558" s="73"/>
    </row>
    <row r="1559" spans="3:13">
      <c r="C1559" s="374"/>
      <c r="D1559" s="375"/>
      <c r="E1559" s="73"/>
      <c r="F1559" s="73"/>
      <c r="G1559" s="376"/>
      <c r="H1559" s="73"/>
      <c r="I1559" s="73"/>
      <c r="J1559" s="73"/>
      <c r="K1559" s="377"/>
      <c r="L1559" s="378"/>
      <c r="M1559" s="73"/>
    </row>
    <row r="1560" spans="3:13">
      <c r="C1560" s="374"/>
      <c r="D1560" s="375"/>
      <c r="E1560" s="73"/>
      <c r="F1560" s="73"/>
      <c r="G1560" s="376"/>
      <c r="H1560" s="73"/>
      <c r="I1560" s="73"/>
      <c r="J1560" s="73"/>
      <c r="K1560" s="377"/>
      <c r="L1560" s="378"/>
      <c r="M1560" s="73"/>
    </row>
    <row r="1561" spans="3:13">
      <c r="C1561" s="374"/>
      <c r="D1561" s="375"/>
      <c r="E1561" s="73"/>
      <c r="F1561" s="73"/>
      <c r="G1561" s="376"/>
      <c r="H1561" s="73"/>
      <c r="I1561" s="73"/>
      <c r="J1561" s="73"/>
      <c r="K1561" s="377"/>
      <c r="L1561" s="378"/>
      <c r="M1561" s="73"/>
    </row>
    <row r="1562" spans="3:13">
      <c r="C1562" s="374"/>
      <c r="D1562" s="375"/>
      <c r="E1562" s="73"/>
      <c r="F1562" s="73"/>
      <c r="G1562" s="376"/>
      <c r="H1562" s="73"/>
      <c r="I1562" s="73"/>
      <c r="J1562" s="73"/>
      <c r="K1562" s="377"/>
      <c r="L1562" s="378"/>
      <c r="M1562" s="73"/>
    </row>
    <row r="1563" spans="3:13">
      <c r="C1563" s="374"/>
      <c r="D1563" s="375"/>
      <c r="E1563" s="73"/>
      <c r="F1563" s="73"/>
      <c r="G1563" s="376"/>
      <c r="H1563" s="73"/>
      <c r="I1563" s="73"/>
      <c r="J1563" s="73"/>
      <c r="K1563" s="377"/>
      <c r="L1563" s="378"/>
      <c r="M1563" s="73"/>
    </row>
    <row r="1564" spans="3:13">
      <c r="C1564" s="374"/>
      <c r="D1564" s="375"/>
      <c r="E1564" s="73"/>
      <c r="F1564" s="73"/>
      <c r="G1564" s="376"/>
      <c r="H1564" s="73"/>
      <c r="I1564" s="73"/>
      <c r="J1564" s="73"/>
      <c r="K1564" s="377"/>
      <c r="L1564" s="378"/>
      <c r="M1564" s="73"/>
    </row>
    <row r="1565" spans="3:13">
      <c r="C1565" s="374"/>
      <c r="D1565" s="375"/>
      <c r="E1565" s="73"/>
      <c r="F1565" s="73"/>
      <c r="G1565" s="376"/>
      <c r="H1565" s="73"/>
      <c r="I1565" s="73"/>
      <c r="J1565" s="73"/>
      <c r="K1565" s="377"/>
      <c r="L1565" s="378"/>
      <c r="M1565" s="73"/>
    </row>
    <row r="1566" spans="3:13">
      <c r="C1566" s="374"/>
      <c r="D1566" s="375"/>
      <c r="E1566" s="73"/>
      <c r="F1566" s="73"/>
      <c r="G1566" s="376"/>
      <c r="H1566" s="73"/>
      <c r="I1566" s="73"/>
      <c r="J1566" s="73"/>
      <c r="K1566" s="377"/>
      <c r="L1566" s="378"/>
      <c r="M1566" s="73"/>
    </row>
    <row r="1567" spans="3:13">
      <c r="C1567" s="374"/>
      <c r="D1567" s="375"/>
      <c r="E1567" s="73"/>
      <c r="F1567" s="73"/>
      <c r="G1567" s="376"/>
      <c r="H1567" s="73"/>
      <c r="I1567" s="73"/>
      <c r="J1567" s="73"/>
      <c r="K1567" s="377"/>
      <c r="L1567" s="378"/>
      <c r="M1567" s="73"/>
    </row>
    <row r="1568" spans="3:13">
      <c r="C1568" s="374"/>
      <c r="D1568" s="375"/>
      <c r="E1568" s="73"/>
      <c r="F1568" s="73"/>
      <c r="G1568" s="376"/>
      <c r="H1568" s="73"/>
      <c r="I1568" s="73"/>
      <c r="J1568" s="73"/>
      <c r="K1568" s="377"/>
      <c r="L1568" s="378"/>
      <c r="M1568" s="73"/>
    </row>
    <row r="1569" spans="3:13">
      <c r="C1569" s="374"/>
      <c r="D1569" s="375"/>
      <c r="E1569" s="73"/>
      <c r="F1569" s="73"/>
      <c r="G1569" s="376"/>
      <c r="H1569" s="73"/>
      <c r="I1569" s="73"/>
      <c r="J1569" s="73"/>
      <c r="K1569" s="377"/>
      <c r="L1569" s="378"/>
      <c r="M1569" s="73"/>
    </row>
    <row r="1570" spans="3:13">
      <c r="C1570" s="374"/>
      <c r="D1570" s="375"/>
      <c r="E1570" s="73"/>
      <c r="F1570" s="73"/>
      <c r="G1570" s="376"/>
      <c r="H1570" s="73"/>
      <c r="I1570" s="73"/>
      <c r="J1570" s="73"/>
      <c r="K1570" s="377"/>
      <c r="L1570" s="378"/>
      <c r="M1570" s="73"/>
    </row>
    <row r="1571" spans="3:13">
      <c r="C1571" s="374"/>
      <c r="D1571" s="375"/>
      <c r="E1571" s="73"/>
      <c r="F1571" s="73"/>
      <c r="G1571" s="376"/>
      <c r="H1571" s="73"/>
      <c r="I1571" s="73"/>
      <c r="J1571" s="73"/>
      <c r="K1571" s="377"/>
      <c r="L1571" s="378"/>
      <c r="M1571" s="73"/>
    </row>
    <row r="1572" spans="3:13">
      <c r="C1572" s="374"/>
      <c r="D1572" s="375"/>
      <c r="E1572" s="73"/>
      <c r="F1572" s="73"/>
      <c r="G1572" s="376"/>
      <c r="H1572" s="73"/>
      <c r="I1572" s="73"/>
      <c r="J1572" s="73"/>
      <c r="K1572" s="377"/>
      <c r="L1572" s="378"/>
      <c r="M1572" s="73"/>
    </row>
    <row r="1573" spans="3:13">
      <c r="C1573" s="374"/>
      <c r="D1573" s="375"/>
      <c r="E1573" s="73"/>
      <c r="F1573" s="73"/>
      <c r="G1573" s="376"/>
      <c r="H1573" s="73"/>
      <c r="I1573" s="73"/>
      <c r="J1573" s="73"/>
      <c r="K1573" s="377"/>
      <c r="L1573" s="378"/>
      <c r="M1573" s="73"/>
    </row>
    <row r="1574" spans="3:13">
      <c r="C1574" s="374"/>
      <c r="D1574" s="375"/>
      <c r="E1574" s="73"/>
      <c r="F1574" s="73"/>
      <c r="G1574" s="376"/>
      <c r="H1574" s="73"/>
      <c r="I1574" s="73"/>
      <c r="J1574" s="73"/>
      <c r="K1574" s="377"/>
      <c r="L1574" s="378"/>
      <c r="M1574" s="73"/>
    </row>
    <row r="1575" spans="3:13">
      <c r="C1575" s="374"/>
      <c r="D1575" s="375"/>
      <c r="E1575" s="73"/>
      <c r="F1575" s="73"/>
      <c r="G1575" s="376"/>
      <c r="H1575" s="73"/>
      <c r="I1575" s="73"/>
      <c r="J1575" s="73"/>
      <c r="K1575" s="377"/>
      <c r="L1575" s="378"/>
      <c r="M1575" s="73"/>
    </row>
    <row r="1576" spans="3:13">
      <c r="C1576" s="374"/>
      <c r="D1576" s="375"/>
      <c r="E1576" s="73"/>
      <c r="F1576" s="73"/>
      <c r="G1576" s="376"/>
      <c r="H1576" s="73"/>
      <c r="I1576" s="73"/>
      <c r="J1576" s="73"/>
      <c r="K1576" s="377"/>
      <c r="L1576" s="378"/>
      <c r="M1576" s="73"/>
    </row>
    <row r="1577" spans="3:13">
      <c r="C1577" s="374"/>
      <c r="D1577" s="375"/>
      <c r="E1577" s="73"/>
      <c r="F1577" s="73"/>
      <c r="G1577" s="376"/>
      <c r="H1577" s="73"/>
      <c r="I1577" s="73"/>
      <c r="J1577" s="73"/>
      <c r="K1577" s="377"/>
      <c r="L1577" s="378"/>
      <c r="M1577" s="73"/>
    </row>
    <row r="1578" spans="3:13">
      <c r="C1578" s="374"/>
      <c r="D1578" s="375"/>
      <c r="E1578" s="73"/>
      <c r="F1578" s="73"/>
      <c r="G1578" s="376"/>
      <c r="H1578" s="73"/>
      <c r="I1578" s="73"/>
      <c r="J1578" s="73"/>
      <c r="K1578" s="377"/>
      <c r="L1578" s="378"/>
      <c r="M1578" s="73"/>
    </row>
    <row r="1579" spans="3:13">
      <c r="C1579" s="374"/>
      <c r="D1579" s="375"/>
      <c r="E1579" s="73"/>
      <c r="F1579" s="73"/>
      <c r="G1579" s="376"/>
      <c r="H1579" s="73"/>
      <c r="I1579" s="73"/>
      <c r="J1579" s="73"/>
      <c r="K1579" s="377"/>
      <c r="L1579" s="378"/>
      <c r="M1579" s="73"/>
    </row>
    <row r="1580" spans="3:13">
      <c r="C1580" s="374"/>
      <c r="D1580" s="375"/>
      <c r="E1580" s="73"/>
      <c r="F1580" s="73"/>
      <c r="G1580" s="376"/>
      <c r="H1580" s="73"/>
      <c r="I1580" s="73"/>
      <c r="J1580" s="73"/>
      <c r="K1580" s="377"/>
      <c r="L1580" s="378"/>
      <c r="M1580" s="73"/>
    </row>
    <row r="1581" spans="3:13">
      <c r="C1581" s="374"/>
      <c r="D1581" s="375"/>
      <c r="E1581" s="73"/>
      <c r="F1581" s="73"/>
      <c r="G1581" s="376"/>
      <c r="H1581" s="73"/>
      <c r="I1581" s="73"/>
      <c r="J1581" s="73"/>
      <c r="K1581" s="377"/>
      <c r="L1581" s="378"/>
      <c r="M1581" s="73"/>
    </row>
    <row r="1582" spans="3:13">
      <c r="C1582" s="374"/>
      <c r="D1582" s="375"/>
      <c r="E1582" s="73"/>
      <c r="F1582" s="73"/>
      <c r="G1582" s="376"/>
      <c r="H1582" s="73"/>
      <c r="I1582" s="73"/>
      <c r="J1582" s="73"/>
      <c r="K1582" s="377"/>
      <c r="L1582" s="378"/>
      <c r="M1582" s="73"/>
    </row>
    <row r="1583" spans="3:13">
      <c r="C1583" s="374"/>
      <c r="D1583" s="375"/>
      <c r="E1583" s="73"/>
      <c r="F1583" s="73"/>
      <c r="G1583" s="376"/>
      <c r="H1583" s="73"/>
      <c r="I1583" s="73"/>
      <c r="J1583" s="73"/>
      <c r="K1583" s="377"/>
      <c r="L1583" s="378"/>
      <c r="M1583" s="73"/>
    </row>
    <row r="1584" spans="3:13">
      <c r="C1584" s="374"/>
      <c r="D1584" s="375"/>
      <c r="E1584" s="73"/>
      <c r="F1584" s="73"/>
      <c r="G1584" s="376"/>
      <c r="H1584" s="73"/>
      <c r="I1584" s="73"/>
      <c r="J1584" s="73"/>
      <c r="K1584" s="377"/>
      <c r="L1584" s="378"/>
      <c r="M1584" s="73"/>
    </row>
    <row r="1585" spans="3:13">
      <c r="C1585" s="374"/>
      <c r="D1585" s="375"/>
      <c r="E1585" s="73"/>
      <c r="F1585" s="73"/>
      <c r="G1585" s="376"/>
      <c r="H1585" s="73"/>
      <c r="I1585" s="73"/>
      <c r="J1585" s="73"/>
      <c r="K1585" s="377"/>
      <c r="L1585" s="378"/>
      <c r="M1585" s="73"/>
    </row>
    <row r="1586" spans="3:13">
      <c r="C1586" s="374"/>
      <c r="D1586" s="375"/>
      <c r="E1586" s="73"/>
      <c r="F1586" s="73"/>
      <c r="G1586" s="376"/>
      <c r="H1586" s="73"/>
      <c r="I1586" s="73"/>
      <c r="J1586" s="73"/>
      <c r="K1586" s="377"/>
      <c r="L1586" s="378"/>
      <c r="M1586" s="73"/>
    </row>
    <row r="1587" spans="3:13">
      <c r="C1587" s="374"/>
      <c r="D1587" s="375"/>
      <c r="E1587" s="73"/>
      <c r="F1587" s="73"/>
      <c r="G1587" s="376"/>
      <c r="H1587" s="73"/>
      <c r="I1587" s="73"/>
      <c r="J1587" s="73"/>
      <c r="K1587" s="377"/>
      <c r="L1587" s="378"/>
      <c r="M1587" s="73"/>
    </row>
    <row r="1588" spans="3:13">
      <c r="C1588" s="374"/>
      <c r="D1588" s="375"/>
      <c r="E1588" s="73"/>
      <c r="F1588" s="73"/>
      <c r="G1588" s="376"/>
      <c r="H1588" s="73"/>
      <c r="I1588" s="73"/>
      <c r="J1588" s="73"/>
      <c r="K1588" s="377"/>
      <c r="L1588" s="378"/>
      <c r="M1588" s="73"/>
    </row>
    <row r="1589" spans="3:13">
      <c r="C1589" s="374"/>
      <c r="D1589" s="375"/>
      <c r="E1589" s="73"/>
      <c r="F1589" s="73"/>
      <c r="G1589" s="376"/>
      <c r="H1589" s="73"/>
      <c r="I1589" s="73"/>
      <c r="J1589" s="73"/>
      <c r="K1589" s="377"/>
      <c r="L1589" s="378"/>
      <c r="M1589" s="73"/>
    </row>
    <row r="1590" spans="3:13">
      <c r="C1590" s="374"/>
      <c r="D1590" s="375"/>
      <c r="E1590" s="73"/>
      <c r="F1590" s="73"/>
      <c r="G1590" s="376"/>
      <c r="H1590" s="73"/>
      <c r="I1590" s="73"/>
      <c r="J1590" s="73"/>
      <c r="K1590" s="377"/>
      <c r="L1590" s="378"/>
      <c r="M1590" s="73"/>
    </row>
    <row r="1591" spans="3:13">
      <c r="C1591" s="374"/>
      <c r="D1591" s="375"/>
      <c r="E1591" s="73"/>
      <c r="F1591" s="73"/>
      <c r="G1591" s="376"/>
      <c r="H1591" s="73"/>
      <c r="I1591" s="73"/>
      <c r="J1591" s="73"/>
      <c r="K1591" s="377"/>
      <c r="L1591" s="378"/>
      <c r="M1591" s="73"/>
    </row>
    <row r="1592" spans="3:13">
      <c r="C1592" s="374"/>
      <c r="D1592" s="375"/>
      <c r="E1592" s="73"/>
      <c r="F1592" s="73"/>
      <c r="G1592" s="376"/>
      <c r="H1592" s="73"/>
      <c r="I1592" s="73"/>
      <c r="J1592" s="73"/>
      <c r="K1592" s="377"/>
      <c r="L1592" s="378"/>
      <c r="M1592" s="73"/>
    </row>
    <row r="1593" spans="3:13">
      <c r="C1593" s="374"/>
      <c r="D1593" s="375"/>
      <c r="E1593" s="73"/>
      <c r="F1593" s="73"/>
      <c r="G1593" s="376"/>
      <c r="H1593" s="73"/>
      <c r="I1593" s="73"/>
      <c r="J1593" s="73"/>
      <c r="K1593" s="377"/>
      <c r="L1593" s="378"/>
      <c r="M1593" s="73"/>
    </row>
    <row r="1594" spans="3:13">
      <c r="C1594" s="374"/>
      <c r="D1594" s="375"/>
      <c r="E1594" s="73"/>
      <c r="F1594" s="73"/>
      <c r="G1594" s="376"/>
      <c r="H1594" s="73"/>
      <c r="I1594" s="73"/>
      <c r="J1594" s="73"/>
      <c r="K1594" s="377"/>
      <c r="L1594" s="378"/>
      <c r="M1594" s="73"/>
    </row>
    <row r="1595" spans="3:13">
      <c r="C1595" s="374"/>
      <c r="D1595" s="375"/>
      <c r="E1595" s="73"/>
      <c r="F1595" s="73"/>
      <c r="G1595" s="376"/>
      <c r="H1595" s="73"/>
      <c r="I1595" s="73"/>
      <c r="J1595" s="73"/>
      <c r="K1595" s="377"/>
      <c r="L1595" s="378"/>
      <c r="M1595" s="73"/>
    </row>
    <row r="1596" spans="3:13">
      <c r="C1596" s="374"/>
      <c r="D1596" s="375"/>
      <c r="E1596" s="73"/>
      <c r="F1596" s="73"/>
      <c r="G1596" s="376"/>
      <c r="H1596" s="73"/>
      <c r="I1596" s="73"/>
      <c r="J1596" s="73"/>
      <c r="K1596" s="377"/>
      <c r="L1596" s="378"/>
      <c r="M1596" s="73"/>
    </row>
    <row r="1597" spans="3:13">
      <c r="C1597" s="374"/>
      <c r="D1597" s="375"/>
      <c r="E1597" s="73"/>
      <c r="F1597" s="73"/>
      <c r="G1597" s="376"/>
      <c r="H1597" s="73"/>
      <c r="I1597" s="73"/>
      <c r="J1597" s="73"/>
      <c r="K1597" s="377"/>
      <c r="L1597" s="378"/>
      <c r="M1597" s="73"/>
    </row>
    <row r="1598" spans="3:13">
      <c r="C1598" s="374"/>
      <c r="D1598" s="375"/>
      <c r="E1598" s="73"/>
      <c r="F1598" s="73"/>
      <c r="G1598" s="376"/>
      <c r="H1598" s="73"/>
      <c r="I1598" s="73"/>
      <c r="J1598" s="73"/>
      <c r="K1598" s="377"/>
      <c r="L1598" s="378"/>
      <c r="M1598" s="73"/>
    </row>
    <row r="1599" spans="3:13">
      <c r="C1599" s="374"/>
      <c r="D1599" s="375"/>
      <c r="E1599" s="73"/>
      <c r="F1599" s="73"/>
      <c r="G1599" s="376"/>
      <c r="H1599" s="73"/>
      <c r="I1599" s="73"/>
      <c r="J1599" s="73"/>
      <c r="K1599" s="377"/>
      <c r="L1599" s="378"/>
      <c r="M1599" s="73"/>
    </row>
    <row r="1600" spans="3:13">
      <c r="C1600" s="374"/>
      <c r="D1600" s="375"/>
      <c r="E1600" s="73"/>
      <c r="F1600" s="73"/>
      <c r="G1600" s="376"/>
      <c r="H1600" s="73"/>
      <c r="I1600" s="73"/>
      <c r="J1600" s="73"/>
      <c r="K1600" s="377"/>
      <c r="L1600" s="378"/>
      <c r="M1600" s="73"/>
    </row>
    <row r="1601" spans="3:13">
      <c r="C1601" s="374"/>
      <c r="D1601" s="375"/>
      <c r="E1601" s="73"/>
      <c r="F1601" s="73"/>
      <c r="G1601" s="376"/>
      <c r="H1601" s="73"/>
      <c r="I1601" s="73"/>
      <c r="J1601" s="73"/>
      <c r="K1601" s="377"/>
      <c r="L1601" s="378"/>
      <c r="M1601" s="73"/>
    </row>
    <row r="1602" spans="3:13">
      <c r="C1602" s="374"/>
      <c r="D1602" s="375"/>
      <c r="E1602" s="73"/>
      <c r="F1602" s="73"/>
      <c r="G1602" s="376"/>
      <c r="H1602" s="73"/>
      <c r="I1602" s="73"/>
      <c r="J1602" s="73"/>
      <c r="K1602" s="377"/>
      <c r="L1602" s="378"/>
      <c r="M1602" s="73"/>
    </row>
    <row r="1603" spans="3:13">
      <c r="C1603" s="374"/>
      <c r="D1603" s="375"/>
      <c r="E1603" s="73"/>
      <c r="F1603" s="73"/>
      <c r="G1603" s="376"/>
      <c r="H1603" s="73"/>
      <c r="I1603" s="73"/>
      <c r="J1603" s="73"/>
      <c r="K1603" s="377"/>
      <c r="L1603" s="378"/>
      <c r="M1603" s="73"/>
    </row>
    <row r="1604" spans="3:13">
      <c r="C1604" s="374"/>
      <c r="D1604" s="375"/>
      <c r="E1604" s="73"/>
      <c r="F1604" s="73"/>
      <c r="G1604" s="376"/>
      <c r="H1604" s="73"/>
      <c r="I1604" s="73"/>
      <c r="J1604" s="73"/>
      <c r="K1604" s="377"/>
      <c r="L1604" s="378"/>
      <c r="M1604" s="73"/>
    </row>
    <row r="1605" spans="3:13">
      <c r="C1605" s="374"/>
      <c r="D1605" s="375"/>
      <c r="E1605" s="73"/>
      <c r="F1605" s="73"/>
      <c r="G1605" s="376"/>
      <c r="H1605" s="73"/>
      <c r="I1605" s="73"/>
      <c r="J1605" s="73"/>
      <c r="K1605" s="377"/>
      <c r="L1605" s="378"/>
      <c r="M1605" s="73"/>
    </row>
    <row r="1606" spans="3:13">
      <c r="C1606" s="374"/>
      <c r="D1606" s="375"/>
      <c r="E1606" s="73"/>
      <c r="F1606" s="73"/>
      <c r="G1606" s="376"/>
      <c r="H1606" s="73"/>
      <c r="I1606" s="73"/>
      <c r="J1606" s="73"/>
      <c r="K1606" s="377"/>
      <c r="L1606" s="378"/>
      <c r="M1606" s="73"/>
    </row>
    <row r="1607" spans="3:13">
      <c r="C1607" s="374"/>
      <c r="D1607" s="375"/>
      <c r="E1607" s="73"/>
      <c r="F1607" s="73"/>
      <c r="G1607" s="376"/>
      <c r="H1607" s="73"/>
      <c r="I1607" s="73"/>
      <c r="J1607" s="73"/>
      <c r="K1607" s="377"/>
      <c r="L1607" s="378"/>
      <c r="M1607" s="73"/>
    </row>
    <row r="1608" spans="3:13">
      <c r="C1608" s="374"/>
      <c r="D1608" s="375"/>
      <c r="E1608" s="73"/>
      <c r="F1608" s="73"/>
      <c r="G1608" s="376"/>
      <c r="H1608" s="73"/>
      <c r="I1608" s="73"/>
      <c r="J1608" s="73"/>
      <c r="K1608" s="377"/>
      <c r="L1608" s="378"/>
      <c r="M1608" s="73"/>
    </row>
    <row r="1609" spans="3:13">
      <c r="C1609" s="374"/>
      <c r="D1609" s="375"/>
      <c r="E1609" s="73"/>
      <c r="F1609" s="73"/>
      <c r="G1609" s="376"/>
      <c r="H1609" s="73"/>
      <c r="I1609" s="73"/>
      <c r="J1609" s="73"/>
      <c r="K1609" s="377"/>
      <c r="L1609" s="378"/>
      <c r="M1609" s="73"/>
    </row>
    <row r="1610" spans="3:13">
      <c r="C1610" s="374"/>
      <c r="D1610" s="375"/>
      <c r="E1610" s="73"/>
      <c r="F1610" s="73"/>
      <c r="G1610" s="376"/>
      <c r="H1610" s="73"/>
      <c r="I1610" s="73"/>
      <c r="J1610" s="73"/>
      <c r="K1610" s="377"/>
      <c r="L1610" s="378"/>
      <c r="M1610" s="73"/>
    </row>
    <row r="1611" spans="3:13">
      <c r="C1611" s="374"/>
      <c r="D1611" s="375"/>
      <c r="E1611" s="73"/>
      <c r="F1611" s="73"/>
      <c r="G1611" s="376"/>
      <c r="H1611" s="73"/>
      <c r="I1611" s="73"/>
      <c r="J1611" s="73"/>
      <c r="K1611" s="377"/>
      <c r="L1611" s="378"/>
      <c r="M1611" s="73"/>
    </row>
    <row r="1612" spans="3:13">
      <c r="C1612" s="374"/>
      <c r="D1612" s="375"/>
      <c r="E1612" s="73"/>
      <c r="F1612" s="73"/>
      <c r="G1612" s="376"/>
      <c r="H1612" s="73"/>
      <c r="I1612" s="73"/>
      <c r="J1612" s="73"/>
      <c r="K1612" s="377"/>
      <c r="L1612" s="378"/>
      <c r="M1612" s="73"/>
    </row>
    <row r="1613" spans="3:13">
      <c r="C1613" s="374"/>
      <c r="D1613" s="375"/>
      <c r="E1613" s="73"/>
      <c r="F1613" s="73"/>
      <c r="G1613" s="376"/>
      <c r="H1613" s="73"/>
      <c r="I1613" s="73"/>
      <c r="J1613" s="73"/>
      <c r="K1613" s="377"/>
      <c r="L1613" s="378"/>
      <c r="M1613" s="73"/>
    </row>
    <row r="1614" spans="3:13">
      <c r="C1614" s="374"/>
      <c r="D1614" s="375"/>
      <c r="E1614" s="73"/>
      <c r="F1614" s="73"/>
      <c r="G1614" s="376"/>
      <c r="H1614" s="73"/>
      <c r="I1614" s="73"/>
      <c r="J1614" s="73"/>
      <c r="K1614" s="377"/>
      <c r="L1614" s="378"/>
      <c r="M1614" s="73"/>
    </row>
    <row r="1615" spans="3:13">
      <c r="C1615" s="374"/>
      <c r="D1615" s="375"/>
      <c r="E1615" s="73"/>
      <c r="F1615" s="73"/>
      <c r="G1615" s="376"/>
      <c r="H1615" s="73"/>
      <c r="I1615" s="73"/>
      <c r="J1615" s="73"/>
      <c r="K1615" s="377"/>
      <c r="L1615" s="378"/>
      <c r="M1615" s="73"/>
    </row>
    <row r="1616" spans="3:13">
      <c r="C1616" s="374"/>
      <c r="D1616" s="375"/>
      <c r="E1616" s="73"/>
      <c r="F1616" s="73"/>
      <c r="G1616" s="376"/>
      <c r="H1616" s="73"/>
      <c r="I1616" s="73"/>
      <c r="J1616" s="73"/>
      <c r="K1616" s="377"/>
      <c r="L1616" s="378"/>
      <c r="M1616" s="73"/>
    </row>
    <row r="1617" spans="3:13">
      <c r="C1617" s="374"/>
      <c r="D1617" s="375"/>
      <c r="E1617" s="73"/>
      <c r="F1617" s="73"/>
      <c r="G1617" s="376"/>
      <c r="H1617" s="73"/>
      <c r="I1617" s="73"/>
      <c r="J1617" s="73"/>
      <c r="K1617" s="377"/>
      <c r="L1617" s="378"/>
      <c r="M1617" s="73"/>
    </row>
    <row r="1618" spans="3:13">
      <c r="C1618" s="374"/>
      <c r="D1618" s="375"/>
      <c r="E1618" s="73"/>
      <c r="F1618" s="73"/>
      <c r="G1618" s="376"/>
      <c r="H1618" s="73"/>
      <c r="I1618" s="73"/>
      <c r="J1618" s="73"/>
      <c r="K1618" s="377"/>
      <c r="L1618" s="378"/>
      <c r="M1618" s="73"/>
    </row>
    <row r="1619" spans="3:13">
      <c r="C1619" s="374"/>
      <c r="D1619" s="375"/>
      <c r="E1619" s="73"/>
      <c r="F1619" s="73"/>
      <c r="G1619" s="376"/>
      <c r="H1619" s="73"/>
      <c r="I1619" s="73"/>
      <c r="J1619" s="73"/>
      <c r="K1619" s="377"/>
      <c r="L1619" s="378"/>
      <c r="M1619" s="73"/>
    </row>
    <row r="1620" spans="3:13">
      <c r="C1620" s="374"/>
      <c r="D1620" s="375"/>
      <c r="E1620" s="73"/>
      <c r="F1620" s="73"/>
      <c r="G1620" s="376"/>
      <c r="H1620" s="73"/>
      <c r="I1620" s="73"/>
      <c r="J1620" s="73"/>
      <c r="K1620" s="377"/>
      <c r="L1620" s="378"/>
      <c r="M1620" s="73"/>
    </row>
    <row r="1621" spans="3:13">
      <c r="C1621" s="374"/>
      <c r="D1621" s="375"/>
      <c r="E1621" s="73"/>
      <c r="F1621" s="73"/>
      <c r="G1621" s="376"/>
      <c r="H1621" s="73"/>
      <c r="I1621" s="73"/>
      <c r="J1621" s="73"/>
      <c r="K1621" s="377"/>
      <c r="L1621" s="378"/>
      <c r="M1621" s="73"/>
    </row>
    <row r="1622" spans="3:13">
      <c r="C1622" s="374"/>
      <c r="D1622" s="375"/>
      <c r="E1622" s="73"/>
      <c r="F1622" s="73"/>
      <c r="G1622" s="376"/>
      <c r="H1622" s="73"/>
      <c r="I1622" s="73"/>
      <c r="J1622" s="73"/>
      <c r="K1622" s="377"/>
      <c r="L1622" s="378"/>
      <c r="M1622" s="73"/>
    </row>
    <row r="1623" spans="3:13">
      <c r="C1623" s="374"/>
      <c r="D1623" s="375"/>
      <c r="E1623" s="73"/>
      <c r="F1623" s="73"/>
      <c r="G1623" s="376"/>
      <c r="H1623" s="73"/>
      <c r="I1623" s="73"/>
      <c r="J1623" s="73"/>
      <c r="K1623" s="377"/>
      <c r="L1623" s="378"/>
      <c r="M1623" s="73"/>
    </row>
    <row r="1624" spans="3:13">
      <c r="C1624" s="374"/>
      <c r="D1624" s="375"/>
      <c r="E1624" s="73"/>
      <c r="F1624" s="73"/>
      <c r="G1624" s="376"/>
      <c r="H1624" s="73"/>
      <c r="I1624" s="73"/>
      <c r="J1624" s="73"/>
      <c r="K1624" s="377"/>
      <c r="L1624" s="378"/>
      <c r="M1624" s="73"/>
    </row>
    <row r="1625" spans="3:13">
      <c r="C1625" s="374"/>
      <c r="D1625" s="375"/>
      <c r="E1625" s="73"/>
      <c r="F1625" s="73"/>
      <c r="G1625" s="376"/>
      <c r="H1625" s="73"/>
      <c r="I1625" s="73"/>
      <c r="J1625" s="73"/>
      <c r="K1625" s="377"/>
      <c r="L1625" s="378"/>
      <c r="M1625" s="73"/>
    </row>
    <row r="1626" spans="3:13">
      <c r="C1626" s="374"/>
      <c r="D1626" s="375"/>
      <c r="E1626" s="73"/>
      <c r="F1626" s="73"/>
      <c r="G1626" s="376"/>
      <c r="H1626" s="73"/>
      <c r="I1626" s="73"/>
      <c r="J1626" s="73"/>
      <c r="K1626" s="377"/>
      <c r="L1626" s="378"/>
      <c r="M1626" s="73"/>
    </row>
    <row r="1627" spans="3:13">
      <c r="C1627" s="374"/>
      <c r="D1627" s="375"/>
      <c r="E1627" s="73"/>
      <c r="F1627" s="73"/>
      <c r="G1627" s="376"/>
      <c r="H1627" s="73"/>
      <c r="I1627" s="73"/>
      <c r="J1627" s="73"/>
      <c r="K1627" s="377"/>
      <c r="L1627" s="378"/>
      <c r="M1627" s="73"/>
    </row>
    <row r="1628" spans="3:13">
      <c r="C1628" s="374"/>
      <c r="D1628" s="375"/>
      <c r="E1628" s="73"/>
      <c r="F1628" s="73"/>
      <c r="G1628" s="376"/>
      <c r="H1628" s="73"/>
      <c r="I1628" s="73"/>
      <c r="J1628" s="73"/>
      <c r="K1628" s="377"/>
      <c r="L1628" s="378"/>
      <c r="M1628" s="73"/>
    </row>
    <row r="1629" spans="3:13">
      <c r="C1629" s="374"/>
      <c r="D1629" s="375"/>
      <c r="E1629" s="73"/>
      <c r="F1629" s="73"/>
      <c r="G1629" s="376"/>
      <c r="H1629" s="73"/>
      <c r="I1629" s="73"/>
      <c r="J1629" s="73"/>
      <c r="K1629" s="377"/>
      <c r="L1629" s="378"/>
      <c r="M1629" s="73"/>
    </row>
    <row r="1630" spans="3:13">
      <c r="C1630" s="374"/>
      <c r="D1630" s="375"/>
      <c r="E1630" s="73"/>
      <c r="F1630" s="73"/>
      <c r="G1630" s="376"/>
      <c r="H1630" s="73"/>
      <c r="I1630" s="73"/>
      <c r="J1630" s="73"/>
      <c r="K1630" s="377"/>
      <c r="L1630" s="378"/>
      <c r="M1630" s="73"/>
    </row>
    <row r="1631" spans="3:13">
      <c r="C1631" s="374"/>
      <c r="D1631" s="375"/>
      <c r="E1631" s="73"/>
      <c r="F1631" s="73"/>
      <c r="G1631" s="376"/>
      <c r="H1631" s="73"/>
      <c r="I1631" s="73"/>
      <c r="J1631" s="73"/>
      <c r="K1631" s="377"/>
      <c r="L1631" s="378"/>
      <c r="M1631" s="73"/>
    </row>
    <row r="1632" spans="3:13">
      <c r="C1632" s="374"/>
      <c r="D1632" s="375"/>
      <c r="E1632" s="73"/>
      <c r="F1632" s="73"/>
      <c r="G1632" s="376"/>
      <c r="H1632" s="73"/>
      <c r="I1632" s="73"/>
      <c r="J1632" s="73"/>
      <c r="K1632" s="377"/>
      <c r="L1632" s="378"/>
      <c r="M1632" s="73"/>
    </row>
    <row r="1633" spans="3:13">
      <c r="C1633" s="374"/>
      <c r="D1633" s="375"/>
      <c r="E1633" s="73"/>
      <c r="F1633" s="73"/>
      <c r="G1633" s="376"/>
      <c r="H1633" s="73"/>
      <c r="I1633" s="73"/>
      <c r="J1633" s="73"/>
      <c r="K1633" s="377"/>
      <c r="L1633" s="378"/>
      <c r="M1633" s="73"/>
    </row>
    <row r="1634" spans="3:13">
      <c r="C1634" s="374"/>
      <c r="D1634" s="375"/>
      <c r="E1634" s="73"/>
      <c r="F1634" s="73"/>
      <c r="G1634" s="376"/>
      <c r="H1634" s="73"/>
      <c r="I1634" s="73"/>
      <c r="J1634" s="73"/>
      <c r="K1634" s="377"/>
      <c r="L1634" s="378"/>
      <c r="M1634" s="73"/>
    </row>
    <row r="1635" spans="3:13">
      <c r="C1635" s="374"/>
      <c r="D1635" s="375"/>
      <c r="E1635" s="73"/>
      <c r="F1635" s="73"/>
      <c r="G1635" s="376"/>
      <c r="H1635" s="73"/>
      <c r="I1635" s="73"/>
      <c r="J1635" s="73"/>
      <c r="K1635" s="377"/>
      <c r="L1635" s="378"/>
      <c r="M1635" s="73"/>
    </row>
    <row r="1636" spans="3:13">
      <c r="C1636" s="374"/>
      <c r="D1636" s="375"/>
      <c r="E1636" s="73"/>
      <c r="F1636" s="73"/>
      <c r="G1636" s="376"/>
      <c r="H1636" s="73"/>
      <c r="I1636" s="73"/>
      <c r="J1636" s="73"/>
      <c r="K1636" s="377"/>
      <c r="L1636" s="378"/>
      <c r="M1636" s="73"/>
    </row>
    <row r="1637" spans="3:13">
      <c r="C1637" s="374"/>
      <c r="D1637" s="375"/>
      <c r="E1637" s="73"/>
      <c r="F1637" s="73"/>
      <c r="G1637" s="376"/>
      <c r="H1637" s="73"/>
      <c r="I1637" s="73"/>
      <c r="J1637" s="73"/>
      <c r="K1637" s="377"/>
      <c r="L1637" s="378"/>
      <c r="M1637" s="73"/>
    </row>
    <row r="1638" spans="3:13">
      <c r="C1638" s="374"/>
      <c r="D1638" s="375"/>
      <c r="E1638" s="73"/>
      <c r="F1638" s="73"/>
      <c r="G1638" s="376"/>
      <c r="H1638" s="73"/>
      <c r="I1638" s="73"/>
      <c r="J1638" s="73"/>
      <c r="K1638" s="377"/>
      <c r="L1638" s="378"/>
      <c r="M1638" s="73"/>
    </row>
    <row r="1639" spans="3:13">
      <c r="C1639" s="374"/>
      <c r="D1639" s="375"/>
      <c r="E1639" s="73"/>
      <c r="F1639" s="73"/>
      <c r="G1639" s="376"/>
      <c r="H1639" s="73"/>
      <c r="I1639" s="73"/>
      <c r="J1639" s="73"/>
      <c r="K1639" s="377"/>
      <c r="L1639" s="378"/>
      <c r="M1639" s="73"/>
    </row>
    <row r="1640" spans="3:13">
      <c r="C1640" s="374"/>
      <c r="D1640" s="375"/>
      <c r="E1640" s="73"/>
      <c r="F1640" s="73"/>
      <c r="G1640" s="376"/>
      <c r="H1640" s="73"/>
      <c r="I1640" s="73"/>
      <c r="J1640" s="73"/>
      <c r="K1640" s="377"/>
      <c r="L1640" s="378"/>
      <c r="M1640" s="73"/>
    </row>
    <row r="1641" spans="3:13">
      <c r="C1641" s="374"/>
      <c r="D1641" s="375"/>
      <c r="E1641" s="73"/>
      <c r="F1641" s="73"/>
      <c r="G1641" s="376"/>
      <c r="H1641" s="73"/>
      <c r="I1641" s="73"/>
      <c r="J1641" s="73"/>
      <c r="K1641" s="377"/>
      <c r="L1641" s="378"/>
      <c r="M1641" s="73"/>
    </row>
    <row r="1642" spans="3:13">
      <c r="C1642" s="374"/>
      <c r="D1642" s="375"/>
      <c r="E1642" s="73"/>
      <c r="F1642" s="73"/>
      <c r="G1642" s="376"/>
      <c r="H1642" s="73"/>
      <c r="I1642" s="73"/>
      <c r="J1642" s="73"/>
      <c r="K1642" s="377"/>
      <c r="L1642" s="378"/>
      <c r="M1642" s="73"/>
    </row>
    <row r="1643" spans="3:13">
      <c r="C1643" s="374"/>
      <c r="D1643" s="375"/>
      <c r="E1643" s="73"/>
      <c r="F1643" s="73"/>
      <c r="G1643" s="376"/>
      <c r="H1643" s="73"/>
      <c r="I1643" s="73"/>
      <c r="J1643" s="73"/>
      <c r="K1643" s="377"/>
      <c r="L1643" s="378"/>
      <c r="M1643" s="73"/>
    </row>
    <row r="1644" spans="3:13">
      <c r="C1644" s="374"/>
      <c r="D1644" s="375"/>
      <c r="E1644" s="73"/>
      <c r="F1644" s="73"/>
      <c r="G1644" s="376"/>
      <c r="H1644" s="73"/>
      <c r="I1644" s="73"/>
      <c r="J1644" s="73"/>
      <c r="K1644" s="377"/>
      <c r="L1644" s="378"/>
      <c r="M1644" s="73"/>
    </row>
    <row r="1645" spans="3:13">
      <c r="C1645" s="374"/>
      <c r="D1645" s="375"/>
      <c r="E1645" s="73"/>
      <c r="F1645" s="73"/>
      <c r="G1645" s="376"/>
      <c r="H1645" s="73"/>
      <c r="I1645" s="73"/>
      <c r="J1645" s="73"/>
      <c r="K1645" s="377"/>
      <c r="L1645" s="378"/>
      <c r="M1645" s="73"/>
    </row>
    <row r="1646" spans="3:13">
      <c r="C1646" s="374"/>
      <c r="D1646" s="375"/>
      <c r="E1646" s="73"/>
      <c r="F1646" s="73"/>
      <c r="G1646" s="376"/>
      <c r="H1646" s="73"/>
      <c r="I1646" s="73"/>
      <c r="J1646" s="73"/>
      <c r="K1646" s="377"/>
      <c r="L1646" s="378"/>
      <c r="M1646" s="73"/>
    </row>
    <row r="1647" spans="3:13">
      <c r="C1647" s="374"/>
      <c r="D1647" s="375"/>
      <c r="E1647" s="73"/>
      <c r="F1647" s="73"/>
      <c r="G1647" s="376"/>
      <c r="H1647" s="73"/>
      <c r="I1647" s="73"/>
      <c r="J1647" s="73"/>
      <c r="K1647" s="377"/>
      <c r="L1647" s="378"/>
      <c r="M1647" s="73"/>
    </row>
  </sheetData>
  <mergeCells count="22">
    <mergeCell ref="A208:A224"/>
    <mergeCell ref="A225:A241"/>
    <mergeCell ref="A242:A258"/>
    <mergeCell ref="A259:A275"/>
    <mergeCell ref="A106:A122"/>
    <mergeCell ref="A123:A139"/>
    <mergeCell ref="A140:A156"/>
    <mergeCell ref="A157:A173"/>
    <mergeCell ref="A174:A190"/>
    <mergeCell ref="A191:A207"/>
    <mergeCell ref="A4:A20"/>
    <mergeCell ref="A21:A37"/>
    <mergeCell ref="A38:A54"/>
    <mergeCell ref="A55:A71"/>
    <mergeCell ref="A72:A88"/>
    <mergeCell ref="A89:A105"/>
    <mergeCell ref="C1:C2"/>
    <mergeCell ref="E1:F1"/>
    <mergeCell ref="H1:H2"/>
    <mergeCell ref="I1:J1"/>
    <mergeCell ref="K1:K2"/>
    <mergeCell ref="L1:L2"/>
  </mergeCells>
  <dataValidations count="4">
    <dataValidation type="list" allowBlank="1" showInputMessage="1" showErrorMessage="1" sqref="E242:E255 E225:E238 E208:E221 E191:E204 E174:E187 E157:E170 E140:E153 E259:E271 E123:E136 E106:E119 E89:E102 E72:E85 E55:E68 E38:E51 E21:E34 E5:E17">
      <formula1>$B$3:$B$18</formula1>
    </dataValidation>
    <dataValidation type="list" allowBlank="1" showInputMessage="1" showErrorMessage="1" sqref="F242:F255 F225:F238 F208:F221 F191:F204 F174:F187 F157:F170 F140:F153 F259:F271 F123:F136 F106:F119 F89:F102 F72:F85 F55:F68 F38:F51 F21:F34 F4:F17">
      <formula1>$A$3:$A$18</formula1>
    </dataValidation>
    <dataValidation type="list" allowBlank="1" showInputMessage="1" showErrorMessage="1" sqref="H260:H271">
      <formula1>$J$2:$J$7</formula1>
    </dataValidation>
    <dataValidation type="list" allowBlank="1" showInputMessage="1" showErrorMessage="1" sqref="H718:H1647 H9:H259 H273:H275">
      <formula1>$J$2:$J$6</formula1>
    </dataValidation>
  </dataValidations>
  <pageMargins left="0.7" right="0.7" top="0.75" bottom="0.75" header="0.3" footer="0.3"/>
  <pageSetup paperSize="9" orientation="portrait" horizontalDpi="0" verticalDpi="0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7"/>
  </sheetPr>
  <dimension ref="A1:H50"/>
  <sheetViews>
    <sheetView zoomScale="98" workbookViewId="0">
      <selection activeCell="J6" sqref="J6"/>
    </sheetView>
  </sheetViews>
  <sheetFormatPr baseColWidth="10" defaultColWidth="10.77734375" defaultRowHeight="14.4"/>
  <cols>
    <col min="2" max="2" width="16.109375" bestFit="1" customWidth="1"/>
    <col min="3" max="3" width="23.33203125" bestFit="1" customWidth="1"/>
    <col min="6" max="6" width="13.33203125" bestFit="1" customWidth="1"/>
    <col min="7" max="7" width="15.77734375" bestFit="1" customWidth="1"/>
    <col min="8" max="8" width="16" bestFit="1" customWidth="1"/>
  </cols>
  <sheetData>
    <row r="1" spans="1:8" s="380" customFormat="1" ht="18">
      <c r="A1" s="379" t="s">
        <v>138</v>
      </c>
      <c r="B1" s="379"/>
      <c r="C1" s="380" t="s">
        <v>139</v>
      </c>
      <c r="D1" s="381" t="s">
        <v>140</v>
      </c>
      <c r="E1" s="381"/>
    </row>
    <row r="2" spans="1:8" ht="21">
      <c r="A2" s="382" t="s">
        <v>141</v>
      </c>
      <c r="B2" s="382" t="s">
        <v>142</v>
      </c>
      <c r="C2" s="383" t="s">
        <v>143</v>
      </c>
      <c r="D2" s="382" t="s">
        <v>144</v>
      </c>
      <c r="E2" s="382" t="s">
        <v>145</v>
      </c>
      <c r="F2" s="383" t="s">
        <v>146</v>
      </c>
      <c r="G2" s="383" t="s">
        <v>147</v>
      </c>
      <c r="H2" s="383" t="s">
        <v>148</v>
      </c>
    </row>
    <row r="3" spans="1:8" ht="21">
      <c r="A3" s="384">
        <v>1</v>
      </c>
      <c r="B3" s="385">
        <v>42648</v>
      </c>
      <c r="C3" s="383" t="s">
        <v>54</v>
      </c>
      <c r="D3" s="386">
        <v>3.3333333333333333E-2</v>
      </c>
      <c r="E3" s="386">
        <v>0</v>
      </c>
      <c r="F3" s="387">
        <f>D3</f>
        <v>3.3333333333333333E-2</v>
      </c>
      <c r="G3" s="388">
        <f>E3</f>
        <v>0</v>
      </c>
      <c r="H3" s="389">
        <f>F3+G3</f>
        <v>3.3333333333333333E-2</v>
      </c>
    </row>
    <row r="4" spans="1:8" ht="21">
      <c r="A4" s="384">
        <v>2</v>
      </c>
      <c r="B4" s="385">
        <v>42657</v>
      </c>
      <c r="C4" s="383" t="s">
        <v>54</v>
      </c>
      <c r="D4" s="386">
        <v>3.3333333333333333E-2</v>
      </c>
      <c r="E4" s="386">
        <v>0</v>
      </c>
      <c r="F4" s="387">
        <f t="shared" ref="F4:G19" si="0">F3+D4</f>
        <v>6.6666666666666666E-2</v>
      </c>
      <c r="G4" s="388">
        <f t="shared" ref="G4:G9" si="1">E3+E4</f>
        <v>0</v>
      </c>
      <c r="H4" s="389">
        <f t="shared" ref="H4:H24" si="2">F4+G4</f>
        <v>6.6666666666666666E-2</v>
      </c>
    </row>
    <row r="5" spans="1:8" ht="21">
      <c r="A5" s="384">
        <v>3</v>
      </c>
      <c r="B5" s="385">
        <v>42685</v>
      </c>
      <c r="C5" s="383" t="s">
        <v>54</v>
      </c>
      <c r="D5" s="386">
        <v>2.0833333333333332E-2</v>
      </c>
      <c r="E5" s="386">
        <v>0</v>
      </c>
      <c r="F5" s="387">
        <f t="shared" si="0"/>
        <v>8.7499999999999994E-2</v>
      </c>
      <c r="G5" s="388">
        <f t="shared" si="1"/>
        <v>0</v>
      </c>
      <c r="H5" s="389">
        <f t="shared" si="2"/>
        <v>8.7499999999999994E-2</v>
      </c>
    </row>
    <row r="6" spans="1:8" ht="21">
      <c r="A6" s="384">
        <v>4</v>
      </c>
      <c r="B6" s="385">
        <v>42697</v>
      </c>
      <c r="C6" s="383" t="s">
        <v>54</v>
      </c>
      <c r="D6" s="386">
        <v>2.9166666666666664E-2</v>
      </c>
      <c r="E6" s="386">
        <v>0</v>
      </c>
      <c r="F6" s="387">
        <f t="shared" si="0"/>
        <v>0.11666666666666665</v>
      </c>
      <c r="G6" s="388">
        <f t="shared" si="1"/>
        <v>0</v>
      </c>
      <c r="H6" s="389">
        <f t="shared" si="2"/>
        <v>0.11666666666666665</v>
      </c>
    </row>
    <row r="7" spans="1:8" ht="21">
      <c r="A7" s="384">
        <v>5</v>
      </c>
      <c r="B7" s="385">
        <v>42712</v>
      </c>
      <c r="C7" s="383" t="s">
        <v>54</v>
      </c>
      <c r="D7" s="386">
        <v>3.3333333333333333E-2</v>
      </c>
      <c r="E7" s="386">
        <v>0</v>
      </c>
      <c r="F7" s="387">
        <f t="shared" si="0"/>
        <v>0.15</v>
      </c>
      <c r="G7" s="388">
        <f t="shared" si="1"/>
        <v>0</v>
      </c>
      <c r="H7" s="389">
        <f t="shared" si="2"/>
        <v>0.15</v>
      </c>
    </row>
    <row r="8" spans="1:8" ht="21">
      <c r="A8" s="384">
        <v>6</v>
      </c>
      <c r="B8" s="385">
        <v>42724</v>
      </c>
      <c r="C8" s="383" t="s">
        <v>54</v>
      </c>
      <c r="D8" s="386">
        <v>2.9166666666666664E-2</v>
      </c>
      <c r="E8" s="386">
        <v>0</v>
      </c>
      <c r="F8" s="387">
        <f t="shared" si="0"/>
        <v>0.17916666666666667</v>
      </c>
      <c r="G8" s="388">
        <f t="shared" si="1"/>
        <v>0</v>
      </c>
      <c r="H8" s="389">
        <f t="shared" si="2"/>
        <v>0.17916666666666667</v>
      </c>
    </row>
    <row r="9" spans="1:8" ht="21">
      <c r="A9" s="390" t="s">
        <v>149</v>
      </c>
      <c r="B9" s="385" t="s">
        <v>150</v>
      </c>
      <c r="C9" s="383" t="s">
        <v>54</v>
      </c>
      <c r="D9" s="386">
        <v>2.4999999999999998E-2</v>
      </c>
      <c r="E9" s="386">
        <v>1.2499999999999999E-2</v>
      </c>
      <c r="F9" s="387">
        <f t="shared" si="0"/>
        <v>0.20416666666666666</v>
      </c>
      <c r="G9" s="388">
        <f t="shared" si="1"/>
        <v>1.2499999999999999E-2</v>
      </c>
      <c r="H9" s="389">
        <f t="shared" si="2"/>
        <v>0.21666666666666667</v>
      </c>
    </row>
    <row r="10" spans="1:8" ht="21">
      <c r="A10" s="384">
        <v>9</v>
      </c>
      <c r="B10" s="385">
        <v>42740</v>
      </c>
      <c r="C10" s="383" t="s">
        <v>54</v>
      </c>
      <c r="D10" s="386">
        <v>2.9166666666666664E-2</v>
      </c>
      <c r="E10" s="386">
        <v>0</v>
      </c>
      <c r="F10" s="387">
        <f t="shared" si="0"/>
        <v>0.23333333333333334</v>
      </c>
      <c r="G10" s="388">
        <f t="shared" si="0"/>
        <v>1.2499999999999999E-2</v>
      </c>
      <c r="H10" s="389">
        <f t="shared" si="2"/>
        <v>0.24583333333333335</v>
      </c>
    </row>
    <row r="11" spans="1:8" ht="21">
      <c r="A11" s="390" t="s">
        <v>151</v>
      </c>
      <c r="B11" s="385" t="s">
        <v>152</v>
      </c>
      <c r="C11" s="383" t="s">
        <v>54</v>
      </c>
      <c r="D11" s="386">
        <v>3.3333333333333333E-2</v>
      </c>
      <c r="E11" s="386">
        <v>0</v>
      </c>
      <c r="F11" s="387">
        <f t="shared" si="0"/>
        <v>0.26666666666666666</v>
      </c>
      <c r="G11" s="388">
        <f t="shared" si="0"/>
        <v>1.2499999999999999E-2</v>
      </c>
      <c r="H11" s="389">
        <f t="shared" si="2"/>
        <v>0.27916666666666667</v>
      </c>
    </row>
    <row r="12" spans="1:8" ht="21">
      <c r="A12" s="391">
        <v>12</v>
      </c>
      <c r="B12" s="392">
        <v>42789</v>
      </c>
      <c r="C12" s="393" t="s">
        <v>57</v>
      </c>
      <c r="D12" s="394">
        <v>2.6388888888888889E-2</v>
      </c>
      <c r="E12" s="394">
        <v>0</v>
      </c>
      <c r="F12" s="387">
        <f t="shared" si="0"/>
        <v>0.29305555555555557</v>
      </c>
      <c r="G12" s="388">
        <f t="shared" si="0"/>
        <v>1.2499999999999999E-2</v>
      </c>
      <c r="H12" s="389">
        <f t="shared" si="2"/>
        <v>0.30555555555555558</v>
      </c>
    </row>
    <row r="13" spans="1:8" ht="21">
      <c r="A13" s="395">
        <v>13</v>
      </c>
      <c r="B13" s="392" t="s">
        <v>153</v>
      </c>
      <c r="C13" s="393" t="s">
        <v>57</v>
      </c>
      <c r="D13" s="394">
        <v>3.6805555555555557E-2</v>
      </c>
      <c r="E13" s="394">
        <v>0</v>
      </c>
      <c r="F13" s="387">
        <f t="shared" si="0"/>
        <v>0.3298611111111111</v>
      </c>
      <c r="G13" s="388">
        <f t="shared" si="0"/>
        <v>1.2499999999999999E-2</v>
      </c>
      <c r="H13" s="389">
        <f>F13+G13</f>
        <v>0.34236111111111112</v>
      </c>
    </row>
    <row r="14" spans="1:8" ht="21">
      <c r="A14" s="391">
        <v>14</v>
      </c>
      <c r="B14" s="392">
        <v>42798</v>
      </c>
      <c r="C14" s="393" t="s">
        <v>54</v>
      </c>
      <c r="D14" s="394">
        <v>6.6666666666666666E-2</v>
      </c>
      <c r="E14" s="394">
        <v>0</v>
      </c>
      <c r="F14" s="387">
        <f t="shared" si="0"/>
        <v>0.39652777777777776</v>
      </c>
      <c r="G14" s="388">
        <f t="shared" si="0"/>
        <v>1.2499999999999999E-2</v>
      </c>
      <c r="H14" s="389">
        <f t="shared" si="2"/>
        <v>0.40902777777777777</v>
      </c>
    </row>
    <row r="15" spans="1:8" ht="21">
      <c r="A15" s="390">
        <v>15</v>
      </c>
      <c r="B15" s="385" t="s">
        <v>154</v>
      </c>
      <c r="C15" s="383" t="s">
        <v>54</v>
      </c>
      <c r="D15" s="386">
        <v>7.0833333333333331E-2</v>
      </c>
      <c r="E15" s="386">
        <v>0</v>
      </c>
      <c r="F15" s="387">
        <f t="shared" si="0"/>
        <v>0.46736111111111112</v>
      </c>
      <c r="G15" s="388">
        <f t="shared" si="0"/>
        <v>1.2499999999999999E-2</v>
      </c>
      <c r="H15" s="389">
        <f t="shared" si="2"/>
        <v>0.47986111111111113</v>
      </c>
    </row>
    <row r="16" spans="1:8" ht="21">
      <c r="A16" s="384">
        <v>16</v>
      </c>
      <c r="B16" s="385">
        <v>42807</v>
      </c>
      <c r="C16" s="383" t="s">
        <v>54</v>
      </c>
      <c r="D16" s="386">
        <v>2.9166666666666664E-2</v>
      </c>
      <c r="E16" s="386">
        <v>2.9166666666666664E-2</v>
      </c>
      <c r="F16" s="387">
        <f t="shared" si="0"/>
        <v>0.49652777777777779</v>
      </c>
      <c r="G16" s="388">
        <f t="shared" si="0"/>
        <v>4.1666666666666664E-2</v>
      </c>
      <c r="H16" s="389">
        <f t="shared" si="2"/>
        <v>0.53819444444444442</v>
      </c>
    </row>
    <row r="17" spans="1:8" ht="21">
      <c r="A17" s="390">
        <v>17</v>
      </c>
      <c r="B17" s="385" t="s">
        <v>155</v>
      </c>
      <c r="C17" s="383" t="s">
        <v>54</v>
      </c>
      <c r="D17" s="386">
        <v>5.8333333333333327E-2</v>
      </c>
      <c r="E17" s="386">
        <v>0</v>
      </c>
      <c r="F17" s="387">
        <f t="shared" si="0"/>
        <v>0.55486111111111114</v>
      </c>
      <c r="G17" s="388">
        <f t="shared" si="0"/>
        <v>4.1666666666666664E-2</v>
      </c>
      <c r="H17" s="389">
        <f t="shared" si="2"/>
        <v>0.59652777777777777</v>
      </c>
    </row>
    <row r="18" spans="1:8" ht="21">
      <c r="A18" s="384">
        <v>18</v>
      </c>
      <c r="B18" s="385">
        <v>42828</v>
      </c>
      <c r="C18" s="383" t="s">
        <v>54</v>
      </c>
      <c r="D18" s="386">
        <v>1.5277777777777777E-2</v>
      </c>
      <c r="E18" s="386">
        <v>3.6805555555555557E-2</v>
      </c>
      <c r="F18" s="387">
        <f t="shared" si="0"/>
        <v>0.57013888888888886</v>
      </c>
      <c r="G18" s="388">
        <f t="shared" si="0"/>
        <v>7.8472222222222221E-2</v>
      </c>
      <c r="H18" s="389">
        <f t="shared" si="2"/>
        <v>0.64861111111111103</v>
      </c>
    </row>
    <row r="19" spans="1:8" ht="21">
      <c r="A19" s="390">
        <v>19</v>
      </c>
      <c r="B19" s="385" t="s">
        <v>156</v>
      </c>
      <c r="C19" s="383" t="s">
        <v>54</v>
      </c>
      <c r="D19" s="386">
        <v>4.3750000000000004E-2</v>
      </c>
      <c r="E19" s="386">
        <v>0</v>
      </c>
      <c r="F19" s="387">
        <f t="shared" si="0"/>
        <v>0.61388888888888882</v>
      </c>
      <c r="G19" s="388">
        <f t="shared" si="0"/>
        <v>7.8472222222222221E-2</v>
      </c>
      <c r="H19" s="389">
        <f t="shared" si="2"/>
        <v>0.69236111111111098</v>
      </c>
    </row>
    <row r="20" spans="1:8" ht="21">
      <c r="A20" s="384">
        <v>20</v>
      </c>
      <c r="B20" s="385">
        <v>42866</v>
      </c>
      <c r="C20" s="383" t="s">
        <v>54</v>
      </c>
      <c r="D20" s="386">
        <v>7.0833333333333331E-2</v>
      </c>
      <c r="E20" s="386">
        <v>0</v>
      </c>
      <c r="F20" s="387">
        <f t="shared" ref="F20:G28" si="3">F19+D20</f>
        <v>0.68472222222222212</v>
      </c>
      <c r="G20" s="388">
        <f t="shared" si="3"/>
        <v>7.8472222222222221E-2</v>
      </c>
      <c r="H20" s="389">
        <f t="shared" si="2"/>
        <v>0.76319444444444429</v>
      </c>
    </row>
    <row r="21" spans="1:8" ht="21">
      <c r="A21" s="390">
        <v>21</v>
      </c>
      <c r="B21" s="385" t="s">
        <v>157</v>
      </c>
      <c r="C21" s="383" t="s">
        <v>54</v>
      </c>
      <c r="D21" s="386">
        <v>0</v>
      </c>
      <c r="E21" s="386">
        <v>3.2638888888888891E-2</v>
      </c>
      <c r="F21" s="387">
        <f t="shared" si="3"/>
        <v>0.68472222222222212</v>
      </c>
      <c r="G21" s="388">
        <f t="shared" si="3"/>
        <v>0.1111111111111111</v>
      </c>
      <c r="H21" s="389">
        <f t="shared" si="2"/>
        <v>0.79583333333333317</v>
      </c>
    </row>
    <row r="22" spans="1:8" ht="21">
      <c r="A22" s="384">
        <v>22</v>
      </c>
      <c r="B22" s="385">
        <v>42961</v>
      </c>
      <c r="C22" s="383" t="s">
        <v>54</v>
      </c>
      <c r="D22" s="386">
        <v>5.8333333333333327E-2</v>
      </c>
      <c r="E22" s="386">
        <v>0</v>
      </c>
      <c r="F22" s="387">
        <f t="shared" si="3"/>
        <v>0.74305555555555547</v>
      </c>
      <c r="G22" s="388">
        <f t="shared" si="3"/>
        <v>0.1111111111111111</v>
      </c>
      <c r="H22" s="389">
        <f t="shared" si="2"/>
        <v>0.85416666666666652</v>
      </c>
    </row>
    <row r="23" spans="1:8" ht="21">
      <c r="A23" s="384">
        <v>23</v>
      </c>
      <c r="B23" s="385">
        <v>42963</v>
      </c>
      <c r="C23" s="383" t="s">
        <v>54</v>
      </c>
      <c r="D23" s="386">
        <v>0</v>
      </c>
      <c r="E23" s="386">
        <v>4.0972222222222222E-2</v>
      </c>
      <c r="F23" s="387">
        <f t="shared" si="3"/>
        <v>0.74305555555555547</v>
      </c>
      <c r="G23" s="388">
        <f t="shared" si="3"/>
        <v>0.15208333333333332</v>
      </c>
      <c r="H23" s="389">
        <f t="shared" si="2"/>
        <v>0.89513888888888882</v>
      </c>
    </row>
    <row r="24" spans="1:8" ht="21">
      <c r="A24" s="384">
        <f>A23+1</f>
        <v>24</v>
      </c>
      <c r="B24" s="396">
        <v>42988</v>
      </c>
      <c r="C24" s="383" t="s">
        <v>54</v>
      </c>
      <c r="D24" s="386">
        <v>2.5694444444444447E-2</v>
      </c>
      <c r="E24" s="386">
        <v>0</v>
      </c>
      <c r="F24" s="387">
        <f t="shared" si="3"/>
        <v>0.76874999999999993</v>
      </c>
      <c r="G24" s="388">
        <f t="shared" si="3"/>
        <v>0.15208333333333332</v>
      </c>
      <c r="H24" s="389">
        <f t="shared" si="2"/>
        <v>0.92083333333333328</v>
      </c>
    </row>
    <row r="25" spans="1:8" ht="21">
      <c r="A25" s="384">
        <f t="shared" ref="A25:A50" si="4">A24+1</f>
        <v>25</v>
      </c>
      <c r="B25" s="396">
        <v>42999</v>
      </c>
      <c r="C25" s="383" t="s">
        <v>54</v>
      </c>
      <c r="D25" s="386">
        <v>0.10416666666666667</v>
      </c>
      <c r="E25" s="386">
        <v>0</v>
      </c>
      <c r="F25" s="387">
        <f t="shared" si="3"/>
        <v>0.87291666666666656</v>
      </c>
      <c r="G25" s="388">
        <f t="shared" si="3"/>
        <v>0.15208333333333332</v>
      </c>
      <c r="H25" s="389">
        <f>F25+G25</f>
        <v>1.0249999999999999</v>
      </c>
    </row>
    <row r="26" spans="1:8" ht="21">
      <c r="A26" s="384">
        <f t="shared" si="4"/>
        <v>26</v>
      </c>
      <c r="B26" s="396">
        <v>43024</v>
      </c>
      <c r="C26" s="383" t="s">
        <v>54</v>
      </c>
      <c r="D26" s="386">
        <v>8.5416666666666655E-2</v>
      </c>
      <c r="E26" s="386">
        <v>0</v>
      </c>
      <c r="F26" s="387">
        <f t="shared" si="3"/>
        <v>0.95833333333333326</v>
      </c>
      <c r="G26" s="388">
        <f t="shared" si="3"/>
        <v>0.15208333333333332</v>
      </c>
      <c r="H26" s="389">
        <f>F26+G26</f>
        <v>1.1104166666666666</v>
      </c>
    </row>
    <row r="27" spans="1:8" ht="21">
      <c r="A27" s="384">
        <f t="shared" si="4"/>
        <v>27</v>
      </c>
      <c r="B27" s="396">
        <v>43126</v>
      </c>
      <c r="C27" s="383" t="s">
        <v>54</v>
      </c>
      <c r="D27" s="386">
        <v>2.9166666666666664E-2</v>
      </c>
      <c r="E27" s="386">
        <v>0</v>
      </c>
      <c r="F27" s="387">
        <f t="shared" si="3"/>
        <v>0.98749999999999993</v>
      </c>
      <c r="G27" s="388">
        <f t="shared" si="3"/>
        <v>0.15208333333333332</v>
      </c>
      <c r="H27" s="389">
        <f>F27+G27</f>
        <v>1.1395833333333332</v>
      </c>
    </row>
    <row r="28" spans="1:8" ht="21">
      <c r="A28" s="384">
        <f t="shared" si="4"/>
        <v>28</v>
      </c>
      <c r="B28" s="396">
        <v>43147</v>
      </c>
      <c r="C28" s="383" t="s">
        <v>54</v>
      </c>
      <c r="D28" s="386">
        <v>1.2499999999999999E-2</v>
      </c>
      <c r="E28" s="386">
        <v>0</v>
      </c>
      <c r="F28" s="387">
        <f t="shared" si="3"/>
        <v>0.99999999999999989</v>
      </c>
      <c r="G28" s="388">
        <f t="shared" si="3"/>
        <v>0.15208333333333332</v>
      </c>
      <c r="H28" s="389">
        <f>F28+G28</f>
        <v>1.1520833333333331</v>
      </c>
    </row>
    <row r="29" spans="1:8" ht="21">
      <c r="A29" s="384">
        <f t="shared" si="4"/>
        <v>29</v>
      </c>
      <c r="B29" s="382"/>
      <c r="C29" s="383"/>
      <c r="D29" s="382"/>
      <c r="E29" s="382"/>
      <c r="F29" s="387"/>
      <c r="G29" s="388"/>
      <c r="H29" s="389"/>
    </row>
    <row r="30" spans="1:8" ht="21">
      <c r="A30" s="384">
        <f t="shared" si="4"/>
        <v>30</v>
      </c>
      <c r="B30" s="382"/>
      <c r="C30" s="383"/>
      <c r="D30" s="382"/>
      <c r="E30" s="382"/>
      <c r="F30" s="387"/>
      <c r="G30" s="388"/>
      <c r="H30" s="389"/>
    </row>
    <row r="31" spans="1:8" ht="21">
      <c r="A31" s="384">
        <f t="shared" si="4"/>
        <v>31</v>
      </c>
      <c r="B31" s="382"/>
      <c r="C31" s="383"/>
      <c r="D31" s="382"/>
      <c r="E31" s="382"/>
      <c r="F31" s="387"/>
      <c r="G31" s="388"/>
      <c r="H31" s="389"/>
    </row>
    <row r="32" spans="1:8" ht="21">
      <c r="A32" s="384">
        <f t="shared" si="4"/>
        <v>32</v>
      </c>
      <c r="B32" s="382"/>
      <c r="C32" s="383"/>
      <c r="D32" s="382"/>
      <c r="E32" s="382"/>
      <c r="F32" s="387"/>
      <c r="G32" s="388"/>
      <c r="H32" s="389"/>
    </row>
    <row r="33" spans="1:8" ht="21">
      <c r="A33" s="384">
        <f t="shared" si="4"/>
        <v>33</v>
      </c>
      <c r="B33" s="382"/>
      <c r="C33" s="383"/>
      <c r="D33" s="382"/>
      <c r="E33" s="382"/>
      <c r="F33" s="387"/>
      <c r="G33" s="388"/>
      <c r="H33" s="389"/>
    </row>
    <row r="34" spans="1:8" ht="21">
      <c r="A34" s="384">
        <f t="shared" si="4"/>
        <v>34</v>
      </c>
      <c r="B34" s="382"/>
      <c r="C34" s="383"/>
      <c r="D34" s="382"/>
      <c r="E34" s="382"/>
      <c r="F34" s="387"/>
      <c r="G34" s="388"/>
      <c r="H34" s="389"/>
    </row>
    <row r="35" spans="1:8" ht="21">
      <c r="A35" s="384">
        <f t="shared" si="4"/>
        <v>35</v>
      </c>
      <c r="B35" s="382"/>
      <c r="C35" s="383"/>
      <c r="D35" s="382"/>
      <c r="E35" s="382"/>
      <c r="F35" s="387"/>
      <c r="G35" s="388"/>
      <c r="H35" s="389"/>
    </row>
    <row r="36" spans="1:8" ht="21">
      <c r="A36" s="384">
        <f t="shared" si="4"/>
        <v>36</v>
      </c>
      <c r="B36" s="382"/>
      <c r="C36" s="383"/>
      <c r="D36" s="382"/>
      <c r="E36" s="382"/>
      <c r="F36" s="387"/>
      <c r="G36" s="388"/>
      <c r="H36" s="389"/>
    </row>
    <row r="37" spans="1:8" ht="21">
      <c r="A37" s="384">
        <f t="shared" si="4"/>
        <v>37</v>
      </c>
      <c r="B37" s="382"/>
      <c r="C37" s="383"/>
      <c r="D37" s="382"/>
      <c r="E37" s="382"/>
      <c r="F37" s="387"/>
      <c r="G37" s="388"/>
      <c r="H37" s="389"/>
    </row>
    <row r="38" spans="1:8" ht="21">
      <c r="A38" s="384">
        <f t="shared" si="4"/>
        <v>38</v>
      </c>
      <c r="B38" s="382"/>
      <c r="C38" s="383"/>
      <c r="D38" s="382"/>
      <c r="E38" s="382"/>
      <c r="F38" s="387"/>
      <c r="G38" s="388"/>
      <c r="H38" s="389"/>
    </row>
    <row r="39" spans="1:8" ht="21">
      <c r="A39" s="384">
        <f t="shared" si="4"/>
        <v>39</v>
      </c>
      <c r="B39" s="382"/>
      <c r="C39" s="383"/>
      <c r="D39" s="382"/>
      <c r="E39" s="382"/>
      <c r="F39" s="387"/>
      <c r="G39" s="388"/>
      <c r="H39" s="389"/>
    </row>
    <row r="40" spans="1:8" ht="21">
      <c r="A40" s="384">
        <f t="shared" si="4"/>
        <v>40</v>
      </c>
      <c r="B40" s="382"/>
      <c r="C40" s="383"/>
      <c r="D40" s="382"/>
      <c r="E40" s="382"/>
      <c r="F40" s="387"/>
      <c r="G40" s="388"/>
      <c r="H40" s="389"/>
    </row>
    <row r="41" spans="1:8" ht="21">
      <c r="A41" s="384">
        <f t="shared" si="4"/>
        <v>41</v>
      </c>
      <c r="B41" s="382"/>
      <c r="C41" s="383"/>
      <c r="D41" s="382"/>
      <c r="E41" s="382"/>
      <c r="F41" s="387"/>
      <c r="G41" s="388"/>
      <c r="H41" s="389"/>
    </row>
    <row r="42" spans="1:8" ht="21">
      <c r="A42" s="384">
        <f t="shared" si="4"/>
        <v>42</v>
      </c>
      <c r="B42" s="382"/>
      <c r="C42" s="383"/>
      <c r="D42" s="382"/>
      <c r="E42" s="382"/>
      <c r="F42" s="387"/>
      <c r="G42" s="388"/>
      <c r="H42" s="389"/>
    </row>
    <row r="43" spans="1:8" ht="21">
      <c r="A43" s="384">
        <f t="shared" si="4"/>
        <v>43</v>
      </c>
      <c r="B43" s="382"/>
      <c r="C43" s="383"/>
      <c r="D43" s="382"/>
      <c r="E43" s="382"/>
      <c r="F43" s="387"/>
      <c r="G43" s="388"/>
      <c r="H43" s="389"/>
    </row>
    <row r="44" spans="1:8" ht="21">
      <c r="A44" s="384">
        <f t="shared" si="4"/>
        <v>44</v>
      </c>
      <c r="B44" s="382"/>
      <c r="C44" s="383"/>
      <c r="D44" s="382"/>
      <c r="E44" s="382"/>
      <c r="F44" s="387"/>
      <c r="G44" s="388"/>
      <c r="H44" s="389"/>
    </row>
    <row r="45" spans="1:8" ht="21">
      <c r="A45" s="384">
        <f t="shared" si="4"/>
        <v>45</v>
      </c>
      <c r="B45" s="382"/>
      <c r="C45" s="383"/>
      <c r="D45" s="382"/>
      <c r="E45" s="382"/>
      <c r="F45" s="387"/>
      <c r="G45" s="388"/>
      <c r="H45" s="389"/>
    </row>
    <row r="46" spans="1:8" ht="21">
      <c r="A46" s="384">
        <f t="shared" si="4"/>
        <v>46</v>
      </c>
      <c r="B46" s="382"/>
      <c r="C46" s="383"/>
      <c r="D46" s="382"/>
      <c r="E46" s="382"/>
      <c r="F46" s="387"/>
      <c r="G46" s="388"/>
      <c r="H46" s="389"/>
    </row>
    <row r="47" spans="1:8" ht="21">
      <c r="A47" s="384">
        <f t="shared" si="4"/>
        <v>47</v>
      </c>
      <c r="B47" s="382"/>
      <c r="C47" s="383"/>
      <c r="D47" s="382"/>
      <c r="E47" s="382"/>
      <c r="F47" s="387"/>
      <c r="G47" s="388"/>
      <c r="H47" s="389"/>
    </row>
    <row r="48" spans="1:8" ht="21">
      <c r="A48" s="384">
        <f t="shared" si="4"/>
        <v>48</v>
      </c>
      <c r="B48" s="382"/>
      <c r="C48" s="383"/>
      <c r="D48" s="382"/>
      <c r="E48" s="382"/>
      <c r="F48" s="387"/>
      <c r="G48" s="388"/>
      <c r="H48" s="389"/>
    </row>
    <row r="49" spans="1:8" ht="21">
      <c r="A49" s="384">
        <f t="shared" si="4"/>
        <v>49</v>
      </c>
      <c r="B49" s="382"/>
      <c r="C49" s="383"/>
      <c r="D49" s="382"/>
      <c r="E49" s="382"/>
      <c r="F49" s="387"/>
      <c r="G49" s="388"/>
      <c r="H49" s="389"/>
    </row>
    <row r="50" spans="1:8" ht="21">
      <c r="A50" s="384">
        <f t="shared" si="4"/>
        <v>50</v>
      </c>
      <c r="B50" s="382"/>
      <c r="C50" s="383"/>
      <c r="D50" s="382"/>
      <c r="E50" s="382"/>
      <c r="F50" s="387"/>
      <c r="G50" s="388"/>
      <c r="H50" s="389"/>
    </row>
  </sheetData>
  <mergeCells count="1">
    <mergeCell ref="D1:E1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00B050"/>
  </sheetPr>
  <dimension ref="A1:U60"/>
  <sheetViews>
    <sheetView zoomScale="111" zoomScaleNormal="111" zoomScalePageLayoutView="111" workbookViewId="0"/>
  </sheetViews>
  <sheetFormatPr baseColWidth="10" defaultColWidth="10.109375" defaultRowHeight="14.4"/>
  <cols>
    <col min="1" max="1" width="7.77734375" customWidth="1"/>
    <col min="2" max="2" width="11.109375" bestFit="1" customWidth="1"/>
    <col min="3" max="3" width="12.33203125" customWidth="1"/>
    <col min="4" max="4" width="9.109375" hidden="1" customWidth="1"/>
    <col min="5" max="5" width="8.44140625" customWidth="1"/>
    <col min="6" max="6" width="18.44140625" bestFit="1" customWidth="1"/>
    <col min="7" max="7" width="9.44140625" bestFit="1" customWidth="1"/>
    <col min="8" max="8" width="8.77734375" customWidth="1"/>
    <col min="9" max="9" width="3.6640625" hidden="1" customWidth="1"/>
    <col min="10" max="10" width="23.44140625" customWidth="1"/>
    <col min="11" max="11" width="6.44140625" customWidth="1"/>
    <col min="12" max="12" width="16.109375" customWidth="1"/>
    <col min="13" max="13" width="8.6640625" style="555" customWidth="1"/>
    <col min="14" max="14" width="8.6640625" style="556" customWidth="1"/>
    <col min="16" max="16" width="19.44140625" customWidth="1"/>
    <col min="17" max="17" width="11.33203125" customWidth="1"/>
    <col min="18" max="18" width="13.44140625" customWidth="1"/>
    <col min="19" max="19" width="18.44140625" customWidth="1"/>
    <col min="20" max="20" width="11" customWidth="1"/>
    <col min="21" max="21" width="11.109375" customWidth="1"/>
    <col min="22" max="22" width="4.44140625" customWidth="1"/>
    <col min="23" max="23" width="11" customWidth="1"/>
    <col min="24" max="24" width="11.77734375" customWidth="1"/>
    <col min="25" max="25" width="34.33203125" customWidth="1"/>
    <col min="26" max="26" width="11.109375" customWidth="1"/>
  </cols>
  <sheetData>
    <row r="1" spans="1:16" ht="19.95" customHeight="1">
      <c r="A1" s="397"/>
      <c r="B1" s="398" t="s">
        <v>158</v>
      </c>
      <c r="C1" s="399"/>
      <c r="D1" s="399"/>
      <c r="E1" s="399"/>
      <c r="F1" s="400" t="s">
        <v>159</v>
      </c>
      <c r="G1" s="401" t="s">
        <v>160</v>
      </c>
      <c r="H1" s="402"/>
      <c r="I1" s="403" t="s">
        <v>161</v>
      </c>
      <c r="J1" s="403"/>
      <c r="K1" s="403"/>
      <c r="L1" s="403"/>
      <c r="M1" s="404" t="s">
        <v>162</v>
      </c>
      <c r="N1" s="404" t="s">
        <v>163</v>
      </c>
      <c r="O1" s="405"/>
      <c r="P1" s="406"/>
    </row>
    <row r="2" spans="1:16" s="397" customFormat="1" ht="19.95" customHeight="1">
      <c r="B2" s="407" t="s">
        <v>164</v>
      </c>
      <c r="C2" s="408" t="s">
        <v>165</v>
      </c>
      <c r="D2" s="408" t="s">
        <v>166</v>
      </c>
      <c r="E2" s="408" t="s">
        <v>167</v>
      </c>
      <c r="F2" s="409" t="s">
        <v>168</v>
      </c>
      <c r="G2" s="401"/>
      <c r="H2" s="410"/>
      <c r="I2" s="411" t="str">
        <f>'[1]PREPARATION nav'!D5</f>
        <v>EBSP</v>
      </c>
      <c r="J2" s="412" t="str">
        <f>IF(ISNA(VLOOKUP(I2,[1]!IOAC1[#Data],4,FALSE)),"",VLOOKUP(I2,[1]!IOAC1[#Data],4,FALSE))</f>
        <v>Spa La Sauvenière</v>
      </c>
      <c r="K2" s="412"/>
      <c r="L2" s="413"/>
      <c r="M2" s="414">
        <f>Ttt</f>
        <v>55.511772391708149</v>
      </c>
      <c r="N2" s="415">
        <v>0</v>
      </c>
      <c r="O2" s="416"/>
      <c r="P2" s="406"/>
    </row>
    <row r="3" spans="1:16" s="397" customFormat="1" ht="19.95" customHeight="1" thickBot="1">
      <c r="B3" s="417" t="s">
        <v>169</v>
      </c>
      <c r="C3" s="418" t="s">
        <v>170</v>
      </c>
      <c r="D3" s="418"/>
      <c r="E3" s="418"/>
      <c r="F3" s="419" t="s">
        <v>171</v>
      </c>
      <c r="G3" s="401"/>
      <c r="H3" s="410"/>
      <c r="I3" s="420"/>
      <c r="J3" s="421" t="str">
        <f>IF(ISNA(VLOOKUP(I2,[1]!IOAC1[#Data],6,FALSE)),"",VLOOKUP(I2,[1]!IOAC1[#Data],6,FALSE))</f>
        <v>05/23 1542 ft</v>
      </c>
      <c r="K3" s="421"/>
      <c r="L3" s="422"/>
      <c r="M3" s="423"/>
      <c r="N3" s="424"/>
      <c r="O3" s="416"/>
      <c r="P3" s="406"/>
    </row>
    <row r="4" spans="1:16" ht="19.95" customHeight="1" thickTop="1">
      <c r="A4" s="425">
        <v>1</v>
      </c>
      <c r="B4" s="426"/>
      <c r="C4" s="427"/>
      <c r="D4" s="428">
        <f>DEGREES(ASIN(WINf/TAS*SIN(RADIANS(C8-WINd))))</f>
        <v>-2.0747956486709054</v>
      </c>
      <c r="E4" s="429">
        <f>TAS*COS(RADIANS(D4))-WINf*COS(RADIANS(C8-WINd))</f>
        <v>113.20378673072051</v>
      </c>
      <c r="F4" s="430">
        <f>dtg</f>
        <v>113.62691362691362</v>
      </c>
      <c r="G4" s="431">
        <f>(F5/E4)*60</f>
        <v>1.496877218915369</v>
      </c>
      <c r="H4" s="432"/>
      <c r="I4" s="117"/>
      <c r="J4" s="433"/>
      <c r="K4" s="434" t="s">
        <v>172</v>
      </c>
      <c r="L4" s="435">
        <f>IF(ISNA(VLOOKUP(I2,[1]!IOAC1[#Data],13,FALSE)),"",VLOOKUP(I2,[1]!IOAC1[#Data],13,FALSE))</f>
        <v>0</v>
      </c>
      <c r="M4" s="423"/>
      <c r="N4" s="436"/>
      <c r="O4" s="437"/>
      <c r="P4" s="438"/>
    </row>
    <row r="5" spans="1:16" ht="19.95" customHeight="1">
      <c r="A5" s="439"/>
      <c r="B5" s="440">
        <f>IF(ISNA(VLOOKUP(I2,[1]!IOAC1[#Data],7,FALSE)),"",VLOOKUP(I2,[1]!IOAC1[#Data],7,FALSE))</f>
        <v>0</v>
      </c>
      <c r="C5" s="428">
        <f>IF(C8-derive1&lt;0,360+C8-derive1,IF(C8-derive1&gt;360,C8-derive1-360,C8-derive1))</f>
        <v>136.18250129660456</v>
      </c>
      <c r="D5" s="428"/>
      <c r="E5" s="429"/>
      <c r="F5" s="441">
        <f>IFERROR(TRUNC((ACOS(SIN(RADIANS(latitude1)) *SIN(RADIANS(latitude2))+COS(RADIANS(latitude1))*COS(RADIANS(latitude2))*COS(RADIANS(longitude1-longitude2)))*6371),2)/1.85185,0)</f>
        <v>2.8242028242028243</v>
      </c>
      <c r="G5" s="431"/>
      <c r="H5" s="432"/>
      <c r="J5" s="433"/>
      <c r="K5" s="434" t="s">
        <v>173</v>
      </c>
      <c r="L5" s="442" t="str">
        <f>IF(ISNA(VLOOKUP(I2,[1]!IOAC1[#Data],14,FALSE)),"",VLOOKUP(I2,[1]!IOAC1[#Data],14,FALSE))</f>
        <v>124.750</v>
      </c>
      <c r="M5" s="423"/>
      <c r="N5" s="443"/>
      <c r="O5" s="444"/>
      <c r="P5" s="269"/>
    </row>
    <row r="6" spans="1:16" ht="15" customHeight="1">
      <c r="A6" s="439"/>
      <c r="B6" s="440"/>
      <c r="C6" s="428"/>
      <c r="D6" s="428"/>
      <c r="E6" s="429"/>
      <c r="F6" s="441"/>
      <c r="G6" s="431"/>
      <c r="H6" s="445" t="str">
        <f>IF(ISNA(VLOOKUP(I2,[1]!IOAC1[#Data],9,FALSE)),"",VLOOKUP(I2,[1]!IOAC1[#Data],9,FALSE))</f>
        <v>BELGA 129.325</v>
      </c>
      <c r="I6" s="446"/>
      <c r="J6" s="446"/>
      <c r="K6" s="446"/>
      <c r="L6" s="446"/>
      <c r="M6" s="446"/>
      <c r="N6" s="447"/>
      <c r="O6" s="444"/>
      <c r="P6" s="269"/>
    </row>
    <row r="7" spans="1:16" ht="19.95" customHeight="1">
      <c r="A7" s="439"/>
      <c r="B7" s="440"/>
      <c r="C7" s="428"/>
      <c r="D7" s="428"/>
      <c r="E7" s="429"/>
      <c r="F7" s="441"/>
      <c r="G7" s="431"/>
      <c r="H7" s="432"/>
      <c r="I7" s="448" t="str">
        <f>Point1</f>
        <v xml:space="preserve">LA SOURCE </v>
      </c>
      <c r="J7" s="449" t="str">
        <f>IF(ISNA(VLOOKUP(I7,[1]!IOAC1[#Data],4,FALSE)),"",VLOOKUP(I7,[1]!IOAC1[#Data],4,FALSE))</f>
        <v>source francorpchamps</v>
      </c>
      <c r="K7" s="449"/>
      <c r="L7" s="450"/>
      <c r="M7" s="451">
        <f>M2-G4</f>
        <v>54.014895172792777</v>
      </c>
      <c r="N7" s="443"/>
      <c r="O7" s="444"/>
      <c r="P7" s="269"/>
    </row>
    <row r="8" spans="1:16" ht="19.95" customHeight="1" thickBot="1">
      <c r="A8" s="452"/>
      <c r="B8" s="453">
        <f>IF(ISNA(VLOOKUP(I2,[1]!IOAC1[#Data],5,FALSE)),"",VLOOKUP(I2,[1]!IOAC1[#Data],5,FALSE))+500</f>
        <v>2042</v>
      </c>
      <c r="C8" s="454">
        <f>IFERROR(route1,0)</f>
        <v>134.10770564793364</v>
      </c>
      <c r="D8" s="428"/>
      <c r="E8" s="429"/>
      <c r="F8" s="455">
        <f>dtg-F5</f>
        <v>110.80271080271079</v>
      </c>
      <c r="G8" s="431"/>
      <c r="H8" s="432"/>
      <c r="I8" s="456"/>
      <c r="J8" s="457"/>
      <c r="K8" s="457"/>
      <c r="L8" s="438"/>
      <c r="M8" s="423"/>
      <c r="N8" s="436"/>
      <c r="O8" s="437"/>
      <c r="P8" s="269"/>
    </row>
    <row r="9" spans="1:16" ht="13.95" hidden="1" customHeight="1" thickBot="1">
      <c r="A9" s="458"/>
      <c r="B9" s="426"/>
      <c r="C9" s="459"/>
      <c r="D9" s="460"/>
      <c r="E9" s="429"/>
      <c r="F9" s="461"/>
      <c r="G9" s="462"/>
      <c r="H9" s="463"/>
      <c r="I9" s="464"/>
      <c r="J9" s="465" t="str">
        <f>IF(ISNA(VLOOKUP(I8,[1]!IOAC1[#Data],6,FALSE)),"",VLOOKUP(I8,[1]!IOAC1[#Data],6,FALSE))</f>
        <v/>
      </c>
      <c r="K9" s="466"/>
      <c r="L9" s="269"/>
      <c r="M9" s="423"/>
      <c r="N9" s="443"/>
      <c r="O9" s="444"/>
      <c r="P9" s="269"/>
    </row>
    <row r="10" spans="1:16" ht="13.95" hidden="1" customHeight="1" thickBot="1">
      <c r="A10" s="467"/>
      <c r="B10" s="468"/>
      <c r="C10" s="469"/>
      <c r="D10" s="470"/>
      <c r="E10" s="470"/>
      <c r="F10" s="471"/>
      <c r="G10" s="472"/>
      <c r="H10" s="438"/>
      <c r="I10" s="438"/>
      <c r="J10" s="473"/>
      <c r="K10" s="474"/>
      <c r="L10" s="438"/>
      <c r="M10" s="423"/>
      <c r="N10" s="443"/>
      <c r="O10" s="444"/>
      <c r="P10" s="269"/>
    </row>
    <row r="11" spans="1:16" ht="19.95" customHeight="1">
      <c r="A11" s="475">
        <v>2</v>
      </c>
      <c r="B11" s="476"/>
      <c r="C11" s="477"/>
      <c r="D11" s="478">
        <f>DEGREES(ASIN(WINf/TAS*SIN(RADIANS(C15-WINd))))</f>
        <v>3.2834398042381983</v>
      </c>
      <c r="E11" s="479">
        <f>TAS*COS(RADIANS(D11))-WINf*COS(RADIANS(C15-WINd))</f>
        <v>123.89704045445173</v>
      </c>
      <c r="F11" s="480">
        <f>F8</f>
        <v>110.80271080271079</v>
      </c>
      <c r="G11" s="481">
        <f>(F12/E11)*60</f>
        <v>6.5926095878383704</v>
      </c>
      <c r="H11" s="482"/>
      <c r="I11" s="438"/>
      <c r="J11" s="457"/>
      <c r="K11" s="457"/>
      <c r="L11" s="117"/>
      <c r="M11" s="423"/>
      <c r="N11" s="443"/>
      <c r="O11" s="444"/>
      <c r="P11" s="269"/>
    </row>
    <row r="12" spans="1:16" ht="19.95" customHeight="1">
      <c r="A12" s="483"/>
      <c r="B12" s="484">
        <f>IF(ISNA(VLOOKUP(I14,[1]!IOAC1[#Data],7,FALSE)),"",VLOOKUP(I14,[1]!IOAC1[#Data],7,FALSE))</f>
        <v>0</v>
      </c>
      <c r="C12" s="478">
        <f>IF(C15-derive2&lt;0,360+C15-derive2,IF(C15-derive2&gt;360,C15-derive2-360,C15-derive2))</f>
        <v>284.49728492147358</v>
      </c>
      <c r="D12" s="478"/>
      <c r="E12" s="479"/>
      <c r="F12" s="485">
        <f>IFERROR(TRUNC((ACOS(SIN(RADIANS(latitude3)) *SIN(RADIANS(latitude4))+COS(RADIANS(latitude3))*COS(RADIANS(latitude4))*COS(RADIANS(longitude3-longitude4)))*6371),2)/1.85185,0)</f>
        <v>13.613413613413615</v>
      </c>
      <c r="G12" s="481"/>
      <c r="H12" s="482"/>
      <c r="J12" s="486"/>
      <c r="K12" s="486"/>
      <c r="L12" s="487">
        <f>IF(ISNA(VLOOKUP(I7,[1]!IOAC1[#Data],14,FALSE)),"",VLOOKUP(I7,[1]!IOAC1[#Data],14,FALSE))</f>
        <v>0</v>
      </c>
      <c r="M12" s="423"/>
      <c r="N12" s="443"/>
      <c r="O12" s="444"/>
      <c r="P12" s="269"/>
    </row>
    <row r="13" spans="1:16" ht="15" customHeight="1">
      <c r="A13" s="483"/>
      <c r="B13" s="484"/>
      <c r="C13" s="478"/>
      <c r="D13" s="478"/>
      <c r="E13" s="479"/>
      <c r="F13" s="485"/>
      <c r="G13" s="481"/>
      <c r="H13" s="488" t="str">
        <f>IF(ISNA(VLOOKUP(I2,[1]!IOAC1[#Data],9,FALSE)),"",VLOOKUP(I2,[1]!IOAC1[#Data],9,FALSE))</f>
        <v>BELGA 129.325</v>
      </c>
      <c r="I13" s="489"/>
      <c r="J13" s="489"/>
      <c r="K13" s="489"/>
      <c r="L13" s="489"/>
      <c r="M13" s="489"/>
      <c r="N13" s="490"/>
      <c r="O13" s="444"/>
      <c r="P13" s="269"/>
    </row>
    <row r="14" spans="1:16" ht="19.95" customHeight="1">
      <c r="A14" s="483"/>
      <c r="B14" s="484"/>
      <c r="C14" s="478"/>
      <c r="D14" s="478"/>
      <c r="E14" s="479"/>
      <c r="F14" s="485"/>
      <c r="G14" s="481"/>
      <c r="H14" s="482"/>
      <c r="I14" s="491" t="str">
        <f>Point2</f>
        <v>SPI</v>
      </c>
      <c r="J14" s="449" t="str">
        <f>IF(ISNA(VLOOKUP(I14,[1]!IOAC1[#Data],4,FALSE)),"",VLOOKUP(I14,[1]!IOAC1[#Data],4,FALSE))</f>
        <v>VOR Sprimont</v>
      </c>
      <c r="K14" s="449"/>
      <c r="L14" s="117"/>
      <c r="M14" s="451">
        <f>M7-G11</f>
        <v>47.422285584954409</v>
      </c>
      <c r="N14" s="443"/>
      <c r="O14" s="444"/>
      <c r="P14" s="269"/>
    </row>
    <row r="15" spans="1:16" ht="19.95" customHeight="1" thickBot="1">
      <c r="A15" s="492"/>
      <c r="B15" s="493">
        <f>IF(ISNA(VLOOKUP(I14,[1]!IOAC1[#Data],5,FALSE)),"",VLOOKUP(I14,[1]!IOAC1[#Data],5,FALSE))+500</f>
        <v>1431</v>
      </c>
      <c r="C15" s="494">
        <f>IFERROR(route2,0)</f>
        <v>287.78072472571176</v>
      </c>
      <c r="D15" s="478"/>
      <c r="E15" s="479"/>
      <c r="F15" s="495">
        <f>F11-F12</f>
        <v>97.189297189297179</v>
      </c>
      <c r="G15" s="481"/>
      <c r="H15" s="482"/>
      <c r="I15" s="420"/>
      <c r="J15" s="496" t="str">
        <f>IF(ISNA(VLOOKUP(I14,[1]!IOAC1[#Data],6,FALSE)),"",VLOOKUP(I14,[1]!IOAC1[#Data],6,FALSE))</f>
        <v>... .--. ..</v>
      </c>
      <c r="K15" s="496"/>
      <c r="L15" s="497"/>
      <c r="M15" s="423"/>
      <c r="N15" s="443"/>
      <c r="O15" s="444"/>
      <c r="P15" s="269"/>
    </row>
    <row r="16" spans="1:16" ht="19.95" customHeight="1">
      <c r="A16" s="425">
        <v>3</v>
      </c>
      <c r="B16" s="453"/>
      <c r="C16" s="427"/>
      <c r="D16" s="428">
        <f>DEGREES(ASIN(WINf/TAS*SIN(RADIANS(C20-WINd))))</f>
        <v>3.7083043712200308</v>
      </c>
      <c r="E16" s="429">
        <f>TAS*COS(RADIANS(D16))-WINf*COS(RADIANS(C20-WINd))</f>
        <v>121.6886623529119</v>
      </c>
      <c r="F16" s="498">
        <f>F15</f>
        <v>97.189297189297179</v>
      </c>
      <c r="G16" s="431">
        <f>(F17/E16)*60</f>
        <v>13.978308809645629</v>
      </c>
      <c r="H16" s="482"/>
      <c r="I16" s="117"/>
      <c r="J16" s="473"/>
      <c r="K16" s="474"/>
      <c r="L16" s="117"/>
      <c r="M16" s="423"/>
      <c r="N16" s="443"/>
      <c r="O16" s="444"/>
      <c r="P16" s="269"/>
    </row>
    <row r="17" spans="1:21" ht="19.95" customHeight="1">
      <c r="A17" s="439"/>
      <c r="B17" s="499">
        <f>IF(ISNA(VLOOKUP(I19,[1]!IOAC1[#Data],7,FALSE)),"",VLOOKUP(I19,[1]!IOAC1[#Data],7,FALSE))</f>
        <v>0</v>
      </c>
      <c r="C17" s="428">
        <f>IF(C20-derive3&lt;0,360+C20-derive3,IF(C20-derive3&gt;360,C20-derive3-360,C20-derive3))</f>
        <v>267.32518403849417</v>
      </c>
      <c r="D17" s="428"/>
      <c r="E17" s="429"/>
      <c r="F17" s="500">
        <f>IFERROR(TRUNC((ACOS(SIN(RADIANS(latitude5)) *SIN(RADIANS(latitude6))+COS(RADIANS(latitude5))*COS(RADIANS(latitude6))*COS(RADIANS(longitude5-longitude6)))*6371),2)/1.85185,0)</f>
        <v>28.350028350028349</v>
      </c>
      <c r="G17" s="431"/>
      <c r="H17" s="482"/>
      <c r="J17" s="117"/>
      <c r="K17" s="117"/>
      <c r="L17" s="442" t="str">
        <f>IF(ISNA(VLOOKUP(I14,[1]!IOAC1[#Data],14,FALSE)),"",VLOOKUP(I14,[1]!IOAC1[#Data],14,FALSE))</f>
        <v>113.100</v>
      </c>
      <c r="M17" s="423"/>
      <c r="N17" s="443"/>
      <c r="O17" s="444"/>
      <c r="P17" s="269"/>
    </row>
    <row r="18" spans="1:21" ht="15" customHeight="1">
      <c r="A18" s="439"/>
      <c r="B18" s="499"/>
      <c r="C18" s="428"/>
      <c r="D18" s="428"/>
      <c r="E18" s="429"/>
      <c r="F18" s="500"/>
      <c r="G18" s="431"/>
      <c r="H18" s="445" t="str">
        <f>IF(ISNA(VLOOKUP(I2,[1]!IOAC1[#Data],9,FALSE)),"",VLOOKUP(I2,[1]!IOAC1[#Data],9,FALSE))</f>
        <v>BELGA 129.325</v>
      </c>
      <c r="I18" s="446"/>
      <c r="J18" s="446"/>
      <c r="K18" s="446"/>
      <c r="L18" s="446"/>
      <c r="M18" s="446"/>
      <c r="N18" s="447"/>
      <c r="O18" s="444"/>
      <c r="P18" s="269"/>
    </row>
    <row r="19" spans="1:21" ht="19.95" customHeight="1">
      <c r="A19" s="439"/>
      <c r="B19" s="499"/>
      <c r="C19" s="428"/>
      <c r="D19" s="428"/>
      <c r="E19" s="429"/>
      <c r="F19" s="500"/>
      <c r="G19" s="431"/>
      <c r="H19" s="482"/>
      <c r="I19" s="448" t="str">
        <f>Point3</f>
        <v>DAUSSOULX</v>
      </c>
      <c r="J19" s="449" t="str">
        <f>IF(ISNA(VLOOKUP(I19,[1]!IOAC1[#Data],4,FALSE)),"",VLOOKUP(I19,[1]!IOAC1[#Data],4,FALSE))</f>
        <v>Daussoulx ( Namur)</v>
      </c>
      <c r="K19" s="449"/>
      <c r="L19" s="117"/>
      <c r="M19" s="451">
        <f>M14-G16</f>
        <v>33.443976775308784</v>
      </c>
      <c r="N19" s="443"/>
      <c r="O19" s="444"/>
      <c r="P19" s="269"/>
    </row>
    <row r="20" spans="1:21" ht="19.95" customHeight="1" thickBot="1">
      <c r="A20" s="452"/>
      <c r="B20" s="501">
        <f>IF(ISNA(VLOOKUP(I19,[1]!IOAC1[#Data],5,FALSE)),"",VLOOKUP(I19,[1]!IOAC1[#Data],5,FALSE))+500</f>
        <v>500</v>
      </c>
      <c r="C20" s="502">
        <f>IFERROR(route3,0)</f>
        <v>271.03348840971421</v>
      </c>
      <c r="D20" s="428"/>
      <c r="E20" s="429"/>
      <c r="F20" s="503">
        <f>F16-F17</f>
        <v>68.839268839268826</v>
      </c>
      <c r="G20" s="431"/>
      <c r="H20" s="482"/>
      <c r="I20" s="456"/>
      <c r="J20" s="496" t="str">
        <f>IF(ISNA(VLOOKUP(I19,[1]!IOAC1[#Data],6,FALSE)),"",VLOOKUP(I19,[1]!IOAC1[#Data],6,FALSE))</f>
        <v>Echangeur autoroutier</v>
      </c>
      <c r="K20" s="496"/>
      <c r="L20" s="117"/>
      <c r="M20" s="423"/>
      <c r="N20" s="443"/>
      <c r="O20" s="444"/>
      <c r="P20" s="269"/>
    </row>
    <row r="21" spans="1:21" ht="19.95" customHeight="1">
      <c r="A21" s="475">
        <v>4</v>
      </c>
      <c r="B21" s="493"/>
      <c r="C21" s="504"/>
      <c r="D21" s="478">
        <f>DEGREES(ASIN(WINf/TAS*SIN(RADIANS(C25-WINd))))</f>
        <v>3.0939557925758105</v>
      </c>
      <c r="E21" s="479">
        <f>TAS*COS(RADIANS(D21))-WINf*COS(RADIANS(C25-WINd))</f>
        <v>124.52091659213545</v>
      </c>
      <c r="F21" s="480">
        <f>F20</f>
        <v>68.839268839268826</v>
      </c>
      <c r="G21" s="481">
        <f>(F22/E21)*60</f>
        <v>13.394967798197312</v>
      </c>
      <c r="H21" s="482"/>
      <c r="I21" s="117"/>
      <c r="J21" s="473"/>
      <c r="K21" s="474"/>
      <c r="L21" s="438"/>
      <c r="M21" s="423"/>
      <c r="N21" s="443"/>
      <c r="O21" s="444"/>
      <c r="P21" s="269"/>
    </row>
    <row r="22" spans="1:21" ht="19.95" customHeight="1">
      <c r="A22" s="483"/>
      <c r="B22" s="505">
        <f>IF(ISNA(VLOOKUP(I24,[1]!IOAC1[#Data],7,FALSE)),"",VLOOKUP(I24,[1]!IOAC1[#Data],7,FALSE))</f>
        <v>0</v>
      </c>
      <c r="C22" s="478">
        <f>IF(C25-derive4&lt;0,360+C25-derive4,IF(C25-derive4&gt;360,C25-derive4-360,C25-derive4))</f>
        <v>289.84896698353242</v>
      </c>
      <c r="D22" s="478"/>
      <c r="E22" s="479"/>
      <c r="F22" s="485">
        <f>IFERROR(TRUNC((ACOS(SIN(RADIANS(latitude7)) *SIN(RADIANS(latitude8))+COS(RADIANS(latitude7))*COS(RADIANS(latitude8))*COS(RADIANS(longitude7-longitude8)))*6371),2)/1.85185,0)</f>
        <v>27.799227799227797</v>
      </c>
      <c r="G22" s="481"/>
      <c r="H22" s="482"/>
      <c r="J22" s="117"/>
      <c r="K22" s="117"/>
      <c r="L22" s="506" t="str">
        <f>IF(ISNA(VLOOKUP(I14,[1]!IOAC1[#Data],14,FALSE)),"",VLOOKUP(I14,[1]!IOAC1[#Data],14,FALSE))</f>
        <v>113.100</v>
      </c>
      <c r="M22" s="423"/>
      <c r="N22" s="443"/>
      <c r="O22" s="444"/>
      <c r="P22" s="269"/>
    </row>
    <row r="23" spans="1:21" ht="15" customHeight="1">
      <c r="A23" s="483"/>
      <c r="B23" s="505"/>
      <c r="C23" s="478"/>
      <c r="D23" s="478"/>
      <c r="E23" s="479"/>
      <c r="F23" s="485"/>
      <c r="G23" s="481"/>
      <c r="H23" s="488" t="str">
        <f>IF(ISNA(VLOOKUP(I2,[1]!IOAC1[#Data],9,FALSE)),"",VLOOKUP(I2,[1]!IOAC1[#Data],9,FALSE))</f>
        <v>BELGA 129.325</v>
      </c>
      <c r="I23" s="489"/>
      <c r="J23" s="489"/>
      <c r="K23" s="489"/>
      <c r="L23" s="489"/>
      <c r="M23" s="489"/>
      <c r="N23" s="490"/>
      <c r="O23" s="444"/>
      <c r="P23" s="269"/>
    </row>
    <row r="24" spans="1:21" ht="19.95" customHeight="1">
      <c r="A24" s="483"/>
      <c r="B24" s="505"/>
      <c r="C24" s="478"/>
      <c r="D24" s="478"/>
      <c r="E24" s="479"/>
      <c r="F24" s="485"/>
      <c r="G24" s="481"/>
      <c r="H24" s="482"/>
      <c r="I24" s="491" t="str">
        <f>Point4</f>
        <v>TUBIZE</v>
      </c>
      <c r="J24" s="449" t="str">
        <f>IF(ISNA(VLOOKUP(I24,[1]!IOAC1[#Data],4,FALSE)),"",VLOOKUP(I24,[1]!IOAC1[#Data],4,FALSE))</f>
        <v>Tubize</v>
      </c>
      <c r="K24" s="449"/>
      <c r="L24" s="450"/>
      <c r="M24" s="507">
        <f>M19-G21</f>
        <v>20.04900897711147</v>
      </c>
      <c r="N24" s="443"/>
      <c r="O24" s="444"/>
      <c r="P24" s="269"/>
    </row>
    <row r="25" spans="1:21" ht="19.95" customHeight="1" thickBot="1">
      <c r="A25" s="483"/>
      <c r="B25" s="508">
        <f>IF(ISNA(VLOOKUP(I24,[1]!IOAC1[#Data],5,FALSE)),"",VLOOKUP(I24,[1]!IOAC1[#Data],5,FALSE))+500</f>
        <v>500</v>
      </c>
      <c r="C25" s="509">
        <f>IFERROR(route4,0)</f>
        <v>292.94292277610822</v>
      </c>
      <c r="D25" s="478"/>
      <c r="E25" s="479"/>
      <c r="F25" s="510">
        <f>F21-F22</f>
        <v>41.040041040041032</v>
      </c>
      <c r="G25" s="481"/>
      <c r="H25" s="482"/>
      <c r="I25" s="420"/>
      <c r="J25" s="421" t="str">
        <f>IF(ISNA(VLOOKUP(I24,[1]!IOAC1[#Data],6,FALSE)),"",VLOOKUP(I24,[1]!IOAC1[#Data],6,FALSE))</f>
        <v>Ville de Tubize</v>
      </c>
      <c r="K25" s="421"/>
      <c r="L25" s="438"/>
      <c r="M25" s="423"/>
      <c r="N25" s="443"/>
      <c r="O25" s="444"/>
      <c r="P25" s="269"/>
    </row>
    <row r="26" spans="1:21" ht="19.95" customHeight="1" thickTop="1">
      <c r="A26" s="511">
        <v>5</v>
      </c>
      <c r="B26" s="426"/>
      <c r="C26" s="502"/>
      <c r="D26" s="428">
        <f>DEGREES(ASIN(WINf/TAS*SIN(RADIANS(C30-WINd))))</f>
        <v>3.668321022667969</v>
      </c>
      <c r="E26" s="429">
        <f>TAS*COS(RADIANS(D26))-WINf*COS(RADIANS(C30-WINd))</f>
        <v>122.00212497623623</v>
      </c>
      <c r="F26" s="512">
        <f>F25</f>
        <v>41.040041040041032</v>
      </c>
      <c r="G26" s="431">
        <f>(F27/E26)*60</f>
        <v>17.118604195729301</v>
      </c>
      <c r="H26" s="482"/>
      <c r="I26" s="464"/>
      <c r="J26" s="513"/>
      <c r="K26" s="474"/>
      <c r="L26" s="438"/>
      <c r="M26" s="423"/>
      <c r="N26" s="443"/>
      <c r="O26" s="444"/>
      <c r="P26" s="269"/>
    </row>
    <row r="27" spans="1:21" ht="19.95" customHeight="1">
      <c r="A27" s="514"/>
      <c r="B27" s="499">
        <f>IF(ISNA(VLOOKUP(I29,[1]!IOAC1[#Data],7,FALSE)),"",VLOOKUP(I29,[1]!IOAC1[#Data],7,FALSE))</f>
        <v>0</v>
      </c>
      <c r="C27" s="515">
        <f>IF(C30-D26&lt;0,360+C30-D26,IF(C30-D26&gt;360,C30-D26-360,C30-D26))</f>
        <v>269.65148242940165</v>
      </c>
      <c r="D27" s="428"/>
      <c r="E27" s="429"/>
      <c r="F27" s="500">
        <f>IFERROR(TRUNC((ACOS(SIN(RADIANS(latitude9)) *SIN(RADIANS(latitude10))+COS(RADIANS(latitude9))*COS(RADIANS(latitude10))*COS(RADIANS(longitude9-longitude10)))*6371),2)/1.85185,0)</f>
        <v>34.808434808434804</v>
      </c>
      <c r="G27" s="431"/>
      <c r="H27" s="482"/>
      <c r="J27" s="117"/>
      <c r="K27" s="117"/>
      <c r="L27" s="516">
        <f>IF(ISNA(VLOOKUP(I24,[1]!IOAC1[#Data],14,FALSE)),"",VLOOKUP(I24,[1]!IOAC1[#Data],14,FALSE))</f>
        <v>0</v>
      </c>
      <c r="M27" s="423"/>
      <c r="N27" s="443"/>
      <c r="O27" s="444"/>
      <c r="P27" s="269"/>
    </row>
    <row r="28" spans="1:21" ht="15" customHeight="1">
      <c r="A28" s="514"/>
      <c r="B28" s="499"/>
      <c r="C28" s="515"/>
      <c r="D28" s="428"/>
      <c r="E28" s="429"/>
      <c r="F28" s="500"/>
      <c r="G28" s="431"/>
      <c r="H28" s="445" t="str">
        <f>IF(ISNA(VLOOKUP(I2,[1]!IOAC1[#Data],9,FALSE)),"",VLOOKUP(I2,[1]!IOAC1[#Data],9,FALSE))</f>
        <v>BELGA 129.325</v>
      </c>
      <c r="I28" s="446"/>
      <c r="J28" s="446"/>
      <c r="K28" s="446"/>
      <c r="L28" s="446"/>
      <c r="M28" s="446"/>
      <c r="N28" s="447"/>
      <c r="O28" s="444"/>
      <c r="P28" s="269"/>
    </row>
    <row r="29" spans="1:21" ht="19.95" customHeight="1">
      <c r="A29" s="514"/>
      <c r="B29" s="499"/>
      <c r="C29" s="515"/>
      <c r="D29" s="428"/>
      <c r="E29" s="429"/>
      <c r="F29" s="500"/>
      <c r="G29" s="431"/>
      <c r="H29" s="482"/>
      <c r="I29" s="517" t="str">
        <f>Point5</f>
        <v>South Kortrijk</v>
      </c>
      <c r="J29" s="518" t="str">
        <f>IF(ISNA(VLOOKUP(I29,[1]!IOAC1[#Data],4,FALSE)),"",VLOOKUP(I29,[1]!IOAC1[#Data],4,FALSE))</f>
        <v>SOUTH</v>
      </c>
      <c r="K29" s="518"/>
      <c r="L29" s="519"/>
      <c r="M29" s="451">
        <f>M24-G26</f>
        <v>2.930404781382169</v>
      </c>
      <c r="N29" s="443"/>
      <c r="O29" s="444"/>
      <c r="P29" s="269"/>
    </row>
    <row r="30" spans="1:21" ht="19.95" customHeight="1" thickBot="1">
      <c r="A30" s="520"/>
      <c r="B30" s="521">
        <f>IF(ISNA(VLOOKUP(I29,[1]!IOAC1[#Data],5,FALSE)),"",VLOOKUP(I29,[1]!IOAC1[#Data],5,FALSE))+500</f>
        <v>500</v>
      </c>
      <c r="C30" s="522">
        <f>IFERROR(route5,0)</f>
        <v>273.31980345206961</v>
      </c>
      <c r="D30" s="428"/>
      <c r="E30" s="429"/>
      <c r="F30" s="523">
        <f>F26-F27</f>
        <v>6.2316062316062286</v>
      </c>
      <c r="G30" s="431"/>
      <c r="H30" s="482"/>
      <c r="I30" s="524"/>
      <c r="J30" s="525" t="str">
        <f>IF(ISNA(VLOOKUP(I29,[1]!IOAC1[#Data],6,FALSE)),"",VLOOKUP(I29,[1]!IOAC1[#Data],6,FALSE))</f>
        <v>Autoroute A17/route N58</v>
      </c>
      <c r="K30" s="525"/>
      <c r="L30" s="117"/>
      <c r="M30" s="526"/>
      <c r="N30" s="443"/>
      <c r="O30" s="444"/>
      <c r="P30" s="269"/>
    </row>
    <row r="31" spans="1:21" ht="19.95" customHeight="1">
      <c r="A31" s="483">
        <v>6</v>
      </c>
      <c r="B31" s="476"/>
      <c r="C31" s="509"/>
      <c r="D31" s="478">
        <f>DEGREES(ASIN(WINf/TAS*SIN(RADIANS(C35-WINd))))</f>
        <v>1.1678287365852242</v>
      </c>
      <c r="E31" s="479">
        <f>TAS*COS(RADIANS(D31))-WINf*COS(RADIANS(C35-WINd))</f>
        <v>127.59205699904052</v>
      </c>
      <c r="F31" s="527">
        <f>F30</f>
        <v>6.2316062316062286</v>
      </c>
      <c r="G31" s="481">
        <f>(F32/E31)*60</f>
        <v>2.9304047813821636</v>
      </c>
      <c r="H31" s="482"/>
      <c r="I31" s="464"/>
      <c r="J31" s="473"/>
      <c r="K31" s="528"/>
      <c r="L31" s="117"/>
      <c r="M31" s="423"/>
      <c r="N31" s="443"/>
      <c r="O31" s="444"/>
      <c r="P31" s="269"/>
    </row>
    <row r="32" spans="1:21" ht="19.95" customHeight="1">
      <c r="A32" s="483"/>
      <c r="B32" s="505">
        <f>IF(ISNA(VLOOKUP(I34,[1]!IOAC1[#Data],7,FALSE)),"",VLOOKUP(I34,[1]!IOAC1[#Data],7,FALSE))</f>
        <v>0</v>
      </c>
      <c r="C32" s="529">
        <f>IF(C35-D31&lt;0,360+C35-D31,IF(C35-D31&gt;360,C35-D31-360,C35-D31))</f>
        <v>328.03094520477686</v>
      </c>
      <c r="D32" s="478"/>
      <c r="E32" s="479"/>
      <c r="F32" s="485">
        <f>IFERROR(TRUNC((ACOS(SIN(RADIANS(latitude11)) *SIN(RADIANS(latitude12))+COS(RADIANS(latitude11))*COS(RADIANS(latitude12))*COS(RADIANS(longitude11-longitude12)))*6371),2)/1.85185,0)</f>
        <v>6.2316062316062313</v>
      </c>
      <c r="G32" s="481"/>
      <c r="H32" s="482"/>
      <c r="J32" s="117"/>
      <c r="K32" s="117"/>
      <c r="L32" s="530">
        <f>IF(ISNA(VLOOKUP(I29,[1]!IOAC1[#Data],14,FALSE)),"",VLOOKUP(I29,[1]!IOAC1[#Data],14,FALSE))</f>
        <v>0</v>
      </c>
      <c r="M32" s="423"/>
      <c r="N32" s="436"/>
      <c r="O32" s="437"/>
      <c r="P32" s="269"/>
      <c r="S32" s="117"/>
      <c r="T32" s="117"/>
      <c r="U32" s="117"/>
    </row>
    <row r="33" spans="1:21" ht="15" customHeight="1">
      <c r="A33" s="483"/>
      <c r="B33" s="505"/>
      <c r="C33" s="529"/>
      <c r="D33" s="478"/>
      <c r="E33" s="479"/>
      <c r="F33" s="485"/>
      <c r="G33" s="481"/>
      <c r="H33" s="488" t="str">
        <f>IF(ISNA(VLOOKUP(I2,[1]!IOAC1[#Data],9,FALSE)),"",VLOOKUP(I2,[1]!IOAC1[#Data],9,FALSE))</f>
        <v>BELGA 129.325</v>
      </c>
      <c r="I33" s="489"/>
      <c r="J33" s="489"/>
      <c r="K33" s="489"/>
      <c r="L33" s="489"/>
      <c r="M33" s="489"/>
      <c r="N33" s="490"/>
      <c r="O33" s="444"/>
      <c r="P33" s="269"/>
      <c r="S33" s="117"/>
      <c r="T33" s="117"/>
      <c r="U33" s="117"/>
    </row>
    <row r="34" spans="1:21" ht="19.95" customHeight="1">
      <c r="A34" s="483"/>
      <c r="B34" s="505"/>
      <c r="C34" s="529"/>
      <c r="D34" s="478"/>
      <c r="E34" s="479"/>
      <c r="F34" s="485"/>
      <c r="G34" s="481"/>
      <c r="H34" s="482"/>
      <c r="I34" s="531" t="str">
        <f>Arrivee</f>
        <v>EBKT</v>
      </c>
      <c r="J34" s="532" t="str">
        <f>IF(ISNA(VLOOKUP(I34,[1]!IOAC1[#Data],4,FALSE)),"",VLOOKUP(I34,[1]!IOAC1[#Data],4,FALSE))</f>
        <v>Aerodrome de KORTRIJK</v>
      </c>
      <c r="K34" s="532"/>
      <c r="L34" s="533"/>
      <c r="M34" s="451">
        <f>M29-G31</f>
        <v>5.3290705182007514E-15</v>
      </c>
      <c r="N34" s="436"/>
      <c r="O34" s="437"/>
      <c r="P34" s="269"/>
      <c r="S34" s="117"/>
      <c r="T34" s="117"/>
      <c r="U34" s="117"/>
    </row>
    <row r="35" spans="1:21" ht="19.95" customHeight="1" thickBot="1">
      <c r="A35" s="492"/>
      <c r="B35" s="419">
        <f>IF(ISNA(VLOOKUP(I34,[1]!IOAC1[#Data],5,FALSE)),"",VLOOKUP(I34,[1]!IOAC1[#Data],5,FALSE))+500</f>
        <v>564</v>
      </c>
      <c r="C35" s="534">
        <f>IFERROR(route6,0)</f>
        <v>329.19877394136211</v>
      </c>
      <c r="D35" s="478"/>
      <c r="E35" s="479"/>
      <c r="F35" s="535">
        <f>F31-F32</f>
        <v>0</v>
      </c>
      <c r="G35" s="481"/>
      <c r="H35" s="482"/>
      <c r="I35" s="536"/>
      <c r="J35" s="421" t="str">
        <f>IF(ISNA(VLOOKUP(I34,[1]!IOAC1[#Data],6,FALSE)),"",VLOOKUP(I34,[1]!IOAC1[#Data],6,FALSE))</f>
        <v>06/24 64 ft</v>
      </c>
      <c r="K35" s="421"/>
      <c r="L35" s="438"/>
      <c r="M35" s="423"/>
      <c r="N35" s="436"/>
      <c r="O35" s="437"/>
      <c r="P35" s="269"/>
      <c r="S35" s="117"/>
      <c r="T35" s="537"/>
      <c r="U35" s="117"/>
    </row>
    <row r="36" spans="1:21" ht="19.95" customHeight="1">
      <c r="A36" s="538" t="s">
        <v>174</v>
      </c>
      <c r="B36" s="539"/>
      <c r="C36" s="539"/>
      <c r="D36" s="540"/>
      <c r="E36" s="541"/>
      <c r="F36" s="542">
        <f>(F32+F27+F22+F17+F12+F5)</f>
        <v>113.62691362691362</v>
      </c>
      <c r="G36" s="543">
        <f>G31+G26+G21+G16+G11+G4</f>
        <v>55.511772391708149</v>
      </c>
      <c r="I36" s="544"/>
      <c r="J36" s="75">
        <f>IF(ISNA(VLOOKUP(I34,[1]!IOAC1[#Data],17,FALSE)),"",VLOOKUP(I34,[1]!IOAC1[#Data],17,FALSE))</f>
        <v>0</v>
      </c>
      <c r="K36" s="545" t="s">
        <v>172</v>
      </c>
      <c r="L36" s="546">
        <f>IF(ISNA(VLOOKUP(I29,[1]!IOAC1[#Data],13,FALSE)),"",VLOOKUP(I29,[1]!IOAC1[#Data],13,FALSE))</f>
        <v>0</v>
      </c>
      <c r="M36" s="547"/>
      <c r="N36" s="436"/>
      <c r="O36" s="437"/>
      <c r="P36" s="269"/>
      <c r="S36" s="117"/>
      <c r="T36" s="537"/>
      <c r="U36" s="117"/>
    </row>
    <row r="37" spans="1:21" ht="19.95" customHeight="1">
      <c r="A37" s="539"/>
      <c r="B37" s="539"/>
      <c r="C37" s="539"/>
      <c r="D37" s="540"/>
      <c r="E37" s="541"/>
      <c r="F37" s="542"/>
      <c r="G37" s="543"/>
      <c r="I37" s="544"/>
      <c r="J37" s="537"/>
      <c r="K37" s="545" t="s">
        <v>173</v>
      </c>
      <c r="L37" s="548" t="str">
        <f>IF(ISNA(VLOOKUP(I34,[1]!IOAC1[#Data],14,FALSE)),"",VLOOKUP(I34,[1]!IOAC1[#Data],14,FALSE))</f>
        <v>120.250</v>
      </c>
      <c r="M37" s="423"/>
      <c r="N37" s="436"/>
      <c r="O37" s="437"/>
      <c r="P37" s="269"/>
      <c r="S37" s="117"/>
      <c r="T37" s="117"/>
      <c r="U37" s="117"/>
    </row>
    <row r="38" spans="1:21" ht="15" customHeight="1">
      <c r="A38" s="539"/>
      <c r="B38" s="539"/>
      <c r="C38" s="539"/>
      <c r="D38" s="540"/>
      <c r="E38" s="541"/>
      <c r="F38" s="542"/>
      <c r="G38" s="543"/>
      <c r="H38" s="445"/>
      <c r="I38" s="446"/>
      <c r="J38" s="446"/>
      <c r="K38" s="446"/>
      <c r="L38" s="446"/>
      <c r="M38" s="446"/>
      <c r="N38" s="447"/>
      <c r="O38" s="444"/>
      <c r="P38" s="269"/>
      <c r="S38" s="117"/>
      <c r="T38" s="117"/>
      <c r="U38" s="117"/>
    </row>
    <row r="39" spans="1:21" ht="19.95" customHeight="1">
      <c r="A39" s="539"/>
      <c r="B39" s="539"/>
      <c r="C39" s="539"/>
      <c r="D39" s="540"/>
      <c r="E39" s="540"/>
      <c r="F39" s="542"/>
      <c r="G39" s="543"/>
      <c r="I39" s="438"/>
      <c r="J39" s="537"/>
      <c r="K39" s="549"/>
      <c r="M39" s="550"/>
      <c r="N39" s="551"/>
      <c r="O39" s="551"/>
      <c r="P39" s="269"/>
      <c r="S39" s="117"/>
      <c r="T39" s="117"/>
      <c r="U39" s="117"/>
    </row>
    <row r="40" spans="1:21" ht="19.95" customHeight="1" thickBot="1">
      <c r="A40" s="540"/>
      <c r="B40" s="540"/>
      <c r="C40" s="540"/>
      <c r="D40" s="540"/>
      <c r="E40" s="540"/>
      <c r="F40" s="540"/>
      <c r="G40" s="540"/>
      <c r="J40" s="552" t="str">
        <f>'[1]PREPARATION nav'!H3</f>
        <v>PH-AML</v>
      </c>
      <c r="K40" s="553"/>
      <c r="L40" s="554"/>
    </row>
    <row r="41" spans="1:21" ht="19.95" customHeight="1" thickBot="1">
      <c r="B41" s="78" t="s">
        <v>175</v>
      </c>
      <c r="C41" s="557"/>
      <c r="D41" s="557"/>
      <c r="E41" s="557"/>
      <c r="F41" s="557"/>
      <c r="G41" s="79"/>
      <c r="J41" s="558"/>
      <c r="K41" s="559"/>
      <c r="L41" s="560"/>
    </row>
    <row r="42" spans="1:21" ht="15" customHeight="1">
      <c r="B42" s="561" t="s">
        <v>176</v>
      </c>
      <c r="C42" s="562"/>
      <c r="D42" s="540"/>
      <c r="E42" s="540"/>
      <c r="F42" s="563">
        <f>Ttt</f>
        <v>55.511772391708149</v>
      </c>
      <c r="G42" s="564">
        <f>(Conso/60)*F42</f>
        <v>30.438955194786637</v>
      </c>
      <c r="J42" s="558"/>
      <c r="K42" s="559"/>
      <c r="L42" s="560"/>
    </row>
    <row r="43" spans="1:21" ht="15" customHeight="1">
      <c r="B43" s="565" t="s">
        <v>177</v>
      </c>
      <c r="C43" s="566"/>
      <c r="D43" s="540"/>
      <c r="E43" s="540"/>
      <c r="F43" s="567">
        <v>15</v>
      </c>
      <c r="G43" s="568">
        <f>(Conso/60)*F43</f>
        <v>8.2249999999999996</v>
      </c>
      <c r="J43" s="558"/>
      <c r="K43" s="559"/>
      <c r="L43" s="560"/>
    </row>
    <row r="44" spans="1:21" ht="15" customHeight="1">
      <c r="B44" s="565" t="s">
        <v>178</v>
      </c>
      <c r="C44" s="566"/>
      <c r="D44" s="540"/>
      <c r="E44" s="540"/>
      <c r="F44" s="567">
        <v>10</v>
      </c>
      <c r="G44" s="568">
        <f>(Conso/60)*F44</f>
        <v>5.4833333333333334</v>
      </c>
      <c r="J44" s="569"/>
      <c r="K44" s="570"/>
      <c r="L44" s="571"/>
    </row>
    <row r="45" spans="1:21" ht="15" customHeight="1">
      <c r="B45" s="565" t="s">
        <v>179</v>
      </c>
      <c r="C45" s="566"/>
      <c r="D45" s="540"/>
      <c r="E45" s="540"/>
      <c r="F45" s="567">
        <v>20</v>
      </c>
      <c r="G45" s="568">
        <f>(Conso/60)*F45</f>
        <v>10.966666666666667</v>
      </c>
      <c r="J45" s="572" t="s">
        <v>180</v>
      </c>
      <c r="K45" s="572" t="s">
        <v>181</v>
      </c>
      <c r="L45" s="573" t="s">
        <v>182</v>
      </c>
    </row>
    <row r="46" spans="1:21" ht="15" customHeight="1" thickBot="1">
      <c r="B46" s="574" t="s">
        <v>183</v>
      </c>
      <c r="C46" s="566"/>
      <c r="D46" s="540"/>
      <c r="E46" s="540"/>
      <c r="F46" s="575">
        <f>(F45+F44+F43+F42)/24/60</f>
        <v>6.9799841938686213E-2</v>
      </c>
      <c r="G46" s="568">
        <f>SUM(G42:G45)</f>
        <v>55.113955194786641</v>
      </c>
      <c r="J46" s="576" t="str">
        <f>IF(ISNA(VLOOKUP(J40,[1]!AVION1[#Data],2,FALSE)),"",VLOOKUP(J40,[1]!AVION1[#Data],2,FALSE))</f>
        <v>C182JT</v>
      </c>
      <c r="K46" s="577">
        <f>IF(ISNA(VLOOKUP(J40,[1]!AVION1[#Data],4,FALSE)),"",VLOOKUP(J40,[1]!AVION1[#Data],4,FALSE))</f>
        <v>120</v>
      </c>
      <c r="L46" s="578">
        <f>60/K46</f>
        <v>0.5</v>
      </c>
    </row>
    <row r="47" spans="1:21" ht="15" customHeight="1" thickBot="1">
      <c r="B47" s="579" t="s">
        <v>184</v>
      </c>
      <c r="C47" s="580"/>
      <c r="D47" s="581"/>
      <c r="E47" s="581"/>
      <c r="F47" s="582">
        <f>(G47/23)/24</f>
        <v>5.4141385516690871E-2</v>
      </c>
      <c r="G47" s="583">
        <f>(fuel)-G46</f>
        <v>29.886044805213359</v>
      </c>
      <c r="J47" s="584"/>
      <c r="K47" s="585"/>
      <c r="L47" s="586"/>
    </row>
    <row r="48" spans="1:21" ht="25.05" customHeight="1">
      <c r="J48" s="73"/>
    </row>
    <row r="49" ht="25.05" customHeight="1"/>
    <row r="50" ht="25.05" customHeight="1"/>
    <row r="51" ht="25.05" customHeight="1"/>
    <row r="52" ht="25.05" customHeight="1"/>
    <row r="53" ht="25.05" customHeight="1"/>
    <row r="54" ht="25.05" customHeight="1"/>
    <row r="55" ht="25.05" customHeight="1"/>
    <row r="56" ht="25.05" customHeight="1"/>
    <row r="57" ht="25.05" customHeight="1"/>
    <row r="58" ht="25.05" customHeight="1"/>
    <row r="59" ht="25.05" customHeight="1"/>
    <row r="60" ht="25.05" customHeight="1"/>
  </sheetData>
  <mergeCells count="90">
    <mergeCell ref="J40:L44"/>
    <mergeCell ref="B41:G41"/>
    <mergeCell ref="J46:J47"/>
    <mergeCell ref="K46:K47"/>
    <mergeCell ref="L46:L47"/>
    <mergeCell ref="A36:C39"/>
    <mergeCell ref="F36:F39"/>
    <mergeCell ref="G36:G39"/>
    <mergeCell ref="I36:I37"/>
    <mergeCell ref="H38:N38"/>
    <mergeCell ref="N39:O39"/>
    <mergeCell ref="C32:C34"/>
    <mergeCell ref="F32:F34"/>
    <mergeCell ref="H33:N33"/>
    <mergeCell ref="H34:H35"/>
    <mergeCell ref="J34:K34"/>
    <mergeCell ref="J35:K35"/>
    <mergeCell ref="H28:N28"/>
    <mergeCell ref="H29:H30"/>
    <mergeCell ref="J29:K29"/>
    <mergeCell ref="J30:K30"/>
    <mergeCell ref="A31:A35"/>
    <mergeCell ref="D31:D35"/>
    <mergeCell ref="E31:E35"/>
    <mergeCell ref="G31:G35"/>
    <mergeCell ref="H31:H32"/>
    <mergeCell ref="B32:B34"/>
    <mergeCell ref="J24:K24"/>
    <mergeCell ref="J25:K25"/>
    <mergeCell ref="A26:A30"/>
    <mergeCell ref="D26:D30"/>
    <mergeCell ref="E26:E30"/>
    <mergeCell ref="G26:G30"/>
    <mergeCell ref="H26:H27"/>
    <mergeCell ref="B27:B29"/>
    <mergeCell ref="C27:C29"/>
    <mergeCell ref="F27:F29"/>
    <mergeCell ref="A21:A25"/>
    <mergeCell ref="D21:D25"/>
    <mergeCell ref="E21:E25"/>
    <mergeCell ref="G21:G25"/>
    <mergeCell ref="H21:H22"/>
    <mergeCell ref="B22:B24"/>
    <mergeCell ref="C22:C24"/>
    <mergeCell ref="F22:F24"/>
    <mergeCell ref="H23:N23"/>
    <mergeCell ref="H24:H25"/>
    <mergeCell ref="C17:C19"/>
    <mergeCell ref="F17:F19"/>
    <mergeCell ref="H18:N18"/>
    <mergeCell ref="H19:H20"/>
    <mergeCell ref="J19:K19"/>
    <mergeCell ref="J20:K20"/>
    <mergeCell ref="H13:N13"/>
    <mergeCell ref="H14:H15"/>
    <mergeCell ref="J14:K14"/>
    <mergeCell ref="J15:K15"/>
    <mergeCell ref="A16:A20"/>
    <mergeCell ref="D16:D20"/>
    <mergeCell ref="E16:E20"/>
    <mergeCell ref="G16:G20"/>
    <mergeCell ref="H16:H17"/>
    <mergeCell ref="B17:B19"/>
    <mergeCell ref="A11:A15"/>
    <mergeCell ref="D11:D15"/>
    <mergeCell ref="E11:E15"/>
    <mergeCell ref="G11:G15"/>
    <mergeCell ref="H11:H12"/>
    <mergeCell ref="J11:K11"/>
    <mergeCell ref="B12:B14"/>
    <mergeCell ref="C12:C14"/>
    <mergeCell ref="F12:F14"/>
    <mergeCell ref="J12:K12"/>
    <mergeCell ref="B5:B7"/>
    <mergeCell ref="C5:C7"/>
    <mergeCell ref="F5:F7"/>
    <mergeCell ref="H6:N6"/>
    <mergeCell ref="H7:H8"/>
    <mergeCell ref="J7:K7"/>
    <mergeCell ref="J8:K8"/>
    <mergeCell ref="G1:G3"/>
    <mergeCell ref="I1:L1"/>
    <mergeCell ref="H2:H3"/>
    <mergeCell ref="J2:K2"/>
    <mergeCell ref="J3:K3"/>
    <mergeCell ref="A4:A8"/>
    <mergeCell ref="D4:D8"/>
    <mergeCell ref="E4:E9"/>
    <mergeCell ref="G4:G8"/>
    <mergeCell ref="H4:H5"/>
  </mergeCells>
  <conditionalFormatting sqref="K37">
    <cfRule type="iconSet" priority="1">
      <iconSet iconSet="3Arrows">
        <cfvo type="percent" val="0"/>
        <cfvo type="percent" val="33"/>
        <cfvo type="percent" val="67"/>
      </iconSet>
    </cfRule>
  </conditionalFormatting>
  <pageMargins left="0" right="0.23622047244094491" top="0.74803149606299213" bottom="0.74803149606299213" header="0.31496062992125984" footer="0.31496062992125984"/>
  <pageSetup paperSize="9" scale="55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tabColor rgb="FF00B050"/>
    <pageSetUpPr fitToPage="1"/>
  </sheetPr>
  <dimension ref="A1:M39"/>
  <sheetViews>
    <sheetView zoomScale="88" workbookViewId="0">
      <selection activeCell="K14" sqref="K14"/>
    </sheetView>
  </sheetViews>
  <sheetFormatPr baseColWidth="10" defaultRowHeight="14.4"/>
  <cols>
    <col min="2" max="2" width="14.6640625" customWidth="1"/>
    <col min="3" max="3" width="18.33203125" bestFit="1" customWidth="1"/>
    <col min="4" max="4" width="15.33203125" bestFit="1" customWidth="1"/>
    <col min="5" max="5" width="14" bestFit="1" customWidth="1"/>
    <col min="6" max="6" width="16" bestFit="1" customWidth="1"/>
    <col min="7" max="7" width="19.33203125" customWidth="1"/>
    <col min="8" max="8" width="13.109375" customWidth="1"/>
    <col min="9" max="9" width="11.33203125" bestFit="1" customWidth="1"/>
    <col min="13" max="13" width="10.6640625" customWidth="1"/>
  </cols>
  <sheetData>
    <row r="1" spans="1:13" ht="30" customHeight="1">
      <c r="A1" s="587" t="s">
        <v>185</v>
      </c>
      <c r="B1" s="588"/>
      <c r="C1" s="588"/>
      <c r="D1" s="588"/>
      <c r="E1" s="588"/>
      <c r="F1" s="589" t="str">
        <f>E5</f>
        <v>EBKT</v>
      </c>
      <c r="G1" s="590" t="str">
        <f>IF(ISNA(VLOOKUP(F1,[1]!IOAC1[#Data],4,FALSE)),"",VLOOKUP(F1,[1]!IOAC1[#Data],4,FALSE))</f>
        <v>Aerodrome de KORTRIJK</v>
      </c>
      <c r="H1" s="590"/>
      <c r="I1" s="590"/>
      <c r="J1" s="590"/>
      <c r="K1" s="591"/>
    </row>
    <row r="2" spans="1:13" ht="30" customHeight="1">
      <c r="A2" s="592" t="s">
        <v>186</v>
      </c>
      <c r="B2" s="592"/>
      <c r="C2" s="593" t="s">
        <v>187</v>
      </c>
      <c r="D2" s="476"/>
      <c r="E2" s="476"/>
      <c r="F2" s="594" t="s">
        <v>188</v>
      </c>
      <c r="G2" s="594" t="s">
        <v>189</v>
      </c>
      <c r="H2" s="593" t="s">
        <v>190</v>
      </c>
      <c r="I2" s="593" t="s">
        <v>191</v>
      </c>
      <c r="J2" s="593" t="s">
        <v>192</v>
      </c>
      <c r="K2" s="593" t="s">
        <v>193</v>
      </c>
    </row>
    <row r="3" spans="1:13" ht="30" customHeight="1">
      <c r="A3" s="595">
        <f ca="1">TODAY()</f>
        <v>43155</v>
      </c>
      <c r="B3" s="595"/>
      <c r="C3" s="596">
        <f ca="1">LTC</f>
        <v>43155.515843055553</v>
      </c>
      <c r="D3" s="597" t="s">
        <v>194</v>
      </c>
      <c r="E3" s="598"/>
      <c r="F3" s="599">
        <v>0.46527777777777773</v>
      </c>
      <c r="G3" s="600">
        <f>ETD+Ttth</f>
        <v>0.46592027514342249</v>
      </c>
      <c r="H3" s="601" t="s">
        <v>195</v>
      </c>
      <c r="I3" s="602">
        <f>(fuel/Conso)/1440</f>
        <v>1.7941573792637623E-3</v>
      </c>
      <c r="J3" s="603">
        <f>IF(ISNA(VLOOKUP(H3,[1]!AVION1[#Data],7,FALSE)),"",VLOOKUP(H3,[1]!AVION1[#Data],7,FALSE))</f>
        <v>32.9</v>
      </c>
      <c r="K3" s="604">
        <f>totalfuel</f>
        <v>55.113955194786641</v>
      </c>
    </row>
    <row r="4" spans="1:13" ht="30" customHeight="1">
      <c r="A4" s="605"/>
      <c r="B4" s="606"/>
      <c r="C4" s="607">
        <f ca="1">UTC</f>
        <v>0.47417638888873626</v>
      </c>
      <c r="D4" s="608" t="s">
        <v>196</v>
      </c>
      <c r="E4" s="608" t="s">
        <v>197</v>
      </c>
      <c r="F4" s="599"/>
      <c r="G4" s="600"/>
      <c r="H4" s="609">
        <f>IF(ISNA(VLOOKUP(H3,[1]!AVION1[#Data],3,FALSE)),"",VLOOKUP(H3,[1]!AVION1[#Data],3,FALSE))</f>
        <v>3.67</v>
      </c>
      <c r="I4" s="610">
        <v>85</v>
      </c>
      <c r="J4" s="611"/>
      <c r="K4" s="612"/>
      <c r="M4" s="613"/>
    </row>
    <row r="5" spans="1:13" ht="30" customHeight="1">
      <c r="A5" s="614" t="s">
        <v>198</v>
      </c>
      <c r="B5" s="614"/>
      <c r="C5" s="614"/>
      <c r="D5" s="615" t="s">
        <v>52</v>
      </c>
      <c r="E5" s="615" t="s">
        <v>199</v>
      </c>
      <c r="F5" s="616" t="s">
        <v>200</v>
      </c>
      <c r="G5" s="617" t="s">
        <v>201</v>
      </c>
      <c r="H5" s="618" t="s">
        <v>202</v>
      </c>
      <c r="I5" s="619" t="s">
        <v>203</v>
      </c>
      <c r="J5" s="608" t="s">
        <v>204</v>
      </c>
      <c r="K5" s="620" t="s">
        <v>205</v>
      </c>
      <c r="M5" s="613"/>
    </row>
    <row r="6" spans="1:13" ht="30" customHeight="1">
      <c r="A6" s="621" t="s">
        <v>206</v>
      </c>
      <c r="B6" s="621"/>
      <c r="C6" s="621"/>
      <c r="D6" s="622"/>
      <c r="E6" s="622"/>
      <c r="F6" s="623" t="s">
        <v>207</v>
      </c>
      <c r="G6" s="624">
        <f>IF(ISNA(VLOOKUP(H3,[1]!AVION1[#Data],4,FALSE)),"",VLOOKUP(H3,[1]!AVION1[#Data],4,FALSE))</f>
        <v>120</v>
      </c>
      <c r="H6" s="625">
        <f>dtg</f>
        <v>113.62691362691362</v>
      </c>
      <c r="I6" s="626">
        <f>Ttt/86400</f>
        <v>6.4249736564477022E-4</v>
      </c>
      <c r="J6" s="627">
        <v>167</v>
      </c>
      <c r="K6" s="628">
        <v>8</v>
      </c>
      <c r="M6" s="613"/>
    </row>
    <row r="7" spans="1:13" ht="30" customHeight="1" thickBot="1">
      <c r="A7" s="629" t="s">
        <v>37</v>
      </c>
      <c r="B7" s="629"/>
      <c r="C7" s="629"/>
      <c r="D7" s="630" t="str">
        <f>D5</f>
        <v>EBSP</v>
      </c>
      <c r="E7" s="631" t="str">
        <f>IF(ISNA(VLOOKUP(D7,[1]!IOAC1[#Data],4,FALSE)),"",VLOOKUP(D7,[1]!IOAC1[#Data],4,FALSE))</f>
        <v>Spa La Sauvenière</v>
      </c>
      <c r="F7" s="631"/>
      <c r="G7" s="632"/>
      <c r="J7" s="633"/>
      <c r="K7" s="633"/>
    </row>
    <row r="8" spans="1:13" ht="30" customHeight="1" thickBot="1">
      <c r="A8" s="622" t="s">
        <v>208</v>
      </c>
      <c r="B8" s="622"/>
      <c r="C8" s="622"/>
      <c r="D8" s="634" t="s">
        <v>209</v>
      </c>
      <c r="E8" s="635" t="str">
        <f>IF(ISNA(VLOOKUP(D8,[1]!IOAC1[#Data],4,FALSE)),"",VLOOKUP(D8,[1]!IOAC1[#Data],4,FALSE))</f>
        <v>source francorpchamps</v>
      </c>
      <c r="F8" s="635"/>
      <c r="H8" s="636" t="s">
        <v>210</v>
      </c>
      <c r="I8" s="637">
        <f>Ttt*H4</f>
        <v>203.7282046775689</v>
      </c>
    </row>
    <row r="9" spans="1:13" ht="30" customHeight="1">
      <c r="A9" s="638" t="s">
        <v>211</v>
      </c>
      <c r="B9" s="638"/>
      <c r="C9" s="638"/>
      <c r="D9" s="639" t="s">
        <v>212</v>
      </c>
      <c r="E9" s="640" t="str">
        <f>IF(ISNA(VLOOKUP(D9,[1]!IOAC1[#Data],4,FALSE)),"",VLOOKUP(D9,[1]!IOAC1[#Data],4,FALSE))</f>
        <v>VOR Sprimont</v>
      </c>
      <c r="F9" s="640"/>
    </row>
    <row r="10" spans="1:13" ht="30" customHeight="1">
      <c r="A10" s="622" t="s">
        <v>213</v>
      </c>
      <c r="B10" s="622"/>
      <c r="C10" s="622"/>
      <c r="D10" s="634" t="s">
        <v>214</v>
      </c>
      <c r="E10" s="635" t="str">
        <f>IF(ISNA(VLOOKUP(D10,[1]!IOAC1[#Data],4,FALSE)),"",VLOOKUP(D10,[1]!IOAC1[#Data],4,FALSE))</f>
        <v>Daussoulx ( Namur)</v>
      </c>
      <c r="F10" s="635"/>
    </row>
    <row r="11" spans="1:13" ht="30" customHeight="1">
      <c r="A11" s="638" t="s">
        <v>215</v>
      </c>
      <c r="B11" s="638"/>
      <c r="C11" s="638"/>
      <c r="D11" s="639" t="s">
        <v>216</v>
      </c>
      <c r="E11" s="640" t="str">
        <f>IF(ISNA(VLOOKUP(D11,[1]!IOAC1[#Data],4,FALSE)),"",VLOOKUP(D11,[1]!IOAC1[#Data],4,FALSE))</f>
        <v>Tubize</v>
      </c>
      <c r="F11" s="640"/>
    </row>
    <row r="12" spans="1:13" ht="30" customHeight="1">
      <c r="A12" s="622" t="s">
        <v>217</v>
      </c>
      <c r="B12" s="622"/>
      <c r="C12" s="622"/>
      <c r="D12" s="634" t="s">
        <v>218</v>
      </c>
      <c r="E12" s="635" t="str">
        <f>IF(ISNA(VLOOKUP(D12,[1]!IOAC1[#Data],4,FALSE)),"",VLOOKUP(D12,[1]!IOAC1[#Data],4,FALSE))</f>
        <v>SOUTH</v>
      </c>
      <c r="F12" s="635"/>
    </row>
    <row r="13" spans="1:13" ht="30" customHeight="1">
      <c r="A13" s="641" t="s">
        <v>38</v>
      </c>
      <c r="B13" s="641"/>
      <c r="C13" s="641"/>
      <c r="D13" s="642" t="str">
        <f>E5</f>
        <v>EBKT</v>
      </c>
      <c r="E13" s="643" t="str">
        <f>IF(ISNA(VLOOKUP(F1,[1]!IOAC1[#Data],4,FALSE)),"",VLOOKUP(F1,[1]!IOAC1[#Data],4,FALSE))</f>
        <v>Aerodrome de KORTRIJK</v>
      </c>
      <c r="F13" s="643"/>
    </row>
    <row r="14" spans="1:13" ht="19.95" customHeight="1" thickBot="1">
      <c r="A14" s="644"/>
      <c r="B14" s="644"/>
      <c r="C14" s="644"/>
      <c r="D14" s="645"/>
      <c r="E14" s="646"/>
      <c r="F14" s="646"/>
    </row>
    <row r="15" spans="1:13" ht="19.95" customHeight="1">
      <c r="A15" s="647" t="s">
        <v>219</v>
      </c>
      <c r="B15" s="648"/>
      <c r="C15" s="648"/>
      <c r="D15" s="648"/>
      <c r="E15" s="648"/>
      <c r="F15" s="649" t="str">
        <f>IF(AND(E34&gt;A20,E35&lt;A21),"OK","PAS OK")</f>
        <v>OK</v>
      </c>
      <c r="G15" s="650"/>
    </row>
    <row r="16" spans="1:13" ht="16.05" customHeight="1" thickBot="1">
      <c r="A16" s="651"/>
      <c r="B16" s="652"/>
      <c r="C16" s="652"/>
      <c r="D16" s="652"/>
      <c r="E16" s="652"/>
      <c r="F16" s="653"/>
      <c r="G16" s="650"/>
      <c r="H16" s="117"/>
      <c r="I16" s="117"/>
      <c r="J16" s="117"/>
      <c r="K16" s="117"/>
    </row>
    <row r="17" spans="1:11" ht="19.95" customHeight="1" thickBot="1">
      <c r="A17" s="654" t="s">
        <v>190</v>
      </c>
      <c r="B17" s="655" t="s">
        <v>220</v>
      </c>
      <c r="C17" s="656">
        <f ca="1">A3</f>
        <v>43155</v>
      </c>
      <c r="D17" s="657"/>
      <c r="E17" s="658" t="s">
        <v>221</v>
      </c>
      <c r="F17" s="659">
        <f>IF(ISNA(VLOOKUP(H3,[1]!AVION1[#Data],8,FALSE)),"",VLOOKUP(H3,[1]!AVION1[#Data],8,FALSE))</f>
        <v>2006.21</v>
      </c>
      <c r="G17" s="117"/>
      <c r="H17" s="117"/>
      <c r="I17" s="117"/>
      <c r="J17" s="117"/>
      <c r="K17" s="117"/>
    </row>
    <row r="18" spans="1:11" ht="19.95" customHeight="1" thickBot="1">
      <c r="A18" s="660" t="str">
        <f>H3</f>
        <v>PH-AML</v>
      </c>
      <c r="B18" s="654" t="s">
        <v>222</v>
      </c>
      <c r="C18" s="661" t="s">
        <v>55</v>
      </c>
      <c r="D18" s="662"/>
      <c r="E18" s="663" t="s">
        <v>223</v>
      </c>
      <c r="F18" s="664">
        <f>IF(ISNA(VLOOKUP(H3,[1]!AVION1[#Data],9,FALSE)),"",VLOOKUP(H3,[1]!AVION1[#Data],9,FALSE))</f>
        <v>36.96</v>
      </c>
      <c r="G18" s="117"/>
      <c r="H18" s="117"/>
      <c r="I18" s="117"/>
      <c r="J18" s="117"/>
      <c r="K18" s="117"/>
    </row>
    <row r="19" spans="1:11" ht="19.95" customHeight="1" thickBot="1">
      <c r="A19" s="665" t="str">
        <f>IF(ISNA(VLOOKUP(H3,[1]!AVION1[#Data],2,FALSE)),"",VLOOKUP(H3,[1]!AVION1[#Data],2,FALSE))</f>
        <v>C182JT</v>
      </c>
      <c r="B19" s="666"/>
      <c r="C19" s="666"/>
      <c r="D19" s="666"/>
      <c r="E19" s="667" t="s">
        <v>224</v>
      </c>
      <c r="F19" s="668">
        <f>IF(ISNA(VLOOKUP(H3,[1]!AVION1[#Data],10,FALSE)),"",VLOOKUP(H3,[1]!AVION1[#Data],10,FALSE))</f>
        <v>3099</v>
      </c>
      <c r="G19" s="117"/>
      <c r="H19" s="117"/>
      <c r="I19" s="117"/>
      <c r="J19" s="117"/>
      <c r="K19" s="117"/>
    </row>
    <row r="20" spans="1:11" ht="19.95" customHeight="1">
      <c r="A20" s="669">
        <f>IF(ISNA(VLOOKUP(H3,[1]!AVION1[#Data],5,FALSE)),"",VLOOKUP(H3,[1]!AVION1[#Data],5,FALSE))</f>
        <v>36</v>
      </c>
      <c r="B20" s="670" t="s">
        <v>225</v>
      </c>
      <c r="C20" s="671" t="s">
        <v>226</v>
      </c>
      <c r="D20" s="671" t="s">
        <v>227</v>
      </c>
      <c r="E20" s="671" t="s">
        <v>228</v>
      </c>
      <c r="F20" s="672" t="s">
        <v>229</v>
      </c>
      <c r="G20" s="117"/>
      <c r="H20" s="117"/>
      <c r="I20" s="117"/>
      <c r="J20" s="117"/>
      <c r="K20" s="117"/>
    </row>
    <row r="21" spans="1:11" ht="19.95" customHeight="1" thickBot="1">
      <c r="A21" s="669">
        <f>IF(ISNA(VLOOKUP(H3,[1]!AVION1[#Data],6,FALSE)),"",VLOOKUP(H3,[1]!AVION1[#Data],6,FALSE))</f>
        <v>46</v>
      </c>
      <c r="B21" s="673"/>
      <c r="C21" s="666"/>
      <c r="D21" s="666"/>
      <c r="E21" s="666"/>
      <c r="F21" s="674"/>
      <c r="G21" s="117"/>
      <c r="H21" s="117"/>
      <c r="I21" s="117"/>
      <c r="J21" s="117"/>
      <c r="K21" s="117"/>
    </row>
    <row r="22" spans="1:11" ht="19.95" customHeight="1">
      <c r="A22" s="675"/>
      <c r="B22" s="676" t="s">
        <v>230</v>
      </c>
      <c r="C22" s="677">
        <v>63</v>
      </c>
      <c r="D22" s="678">
        <f>C22*2.20462</f>
        <v>138.89105999999998</v>
      </c>
      <c r="E22" s="679">
        <f>IF(ISNA(VLOOKUP(H3,[1]!AVION1[#Data],11,FALSE)),"",VLOOKUP(H3,[1]!AVION1[#Data],11,FALSE))</f>
        <v>37</v>
      </c>
      <c r="F22" s="680">
        <f>E22*D22</f>
        <v>5138.969219999999</v>
      </c>
      <c r="G22" s="117"/>
      <c r="H22" s="117"/>
      <c r="I22" s="117"/>
      <c r="J22" s="117"/>
      <c r="K22" s="117"/>
    </row>
    <row r="23" spans="1:11" ht="19.95" customHeight="1">
      <c r="A23" s="675"/>
      <c r="B23" s="681" t="s">
        <v>231</v>
      </c>
      <c r="C23" s="677">
        <v>85</v>
      </c>
      <c r="D23" s="678">
        <f>C23*2.20462</f>
        <v>187.39269999999999</v>
      </c>
      <c r="E23" s="682">
        <f>IF(ISNA(VLOOKUP(H3,[1]!AVION1[#Data],11,FALSE)),"",VLOOKUP(H3,[1]!AVION1[#Data],11,FALSE))</f>
        <v>37</v>
      </c>
      <c r="F23" s="680">
        <f>E23*D23</f>
        <v>6933.5298999999995</v>
      </c>
      <c r="G23" s="117"/>
      <c r="H23" s="117"/>
      <c r="I23" s="117"/>
      <c r="J23" s="117"/>
      <c r="K23" s="117"/>
    </row>
    <row r="24" spans="1:11" ht="19.95" customHeight="1">
      <c r="A24" s="675"/>
      <c r="B24" s="683" t="s">
        <v>232</v>
      </c>
      <c r="C24" s="684">
        <v>0</v>
      </c>
      <c r="D24" s="678">
        <f>C24*2.20462</f>
        <v>0</v>
      </c>
      <c r="E24" s="685">
        <f>IF(ISNA(VLOOKUP(H3,[1]!AVION1[#Data],17,FALSE)),"",VLOOKUP(H3,[1]!AVION1[#Data],17,FALSE))</f>
        <v>74</v>
      </c>
      <c r="F24" s="680">
        <f>E24*D24</f>
        <v>0</v>
      </c>
      <c r="G24" s="117"/>
      <c r="H24" s="117"/>
      <c r="I24" s="117"/>
      <c r="J24" s="117"/>
      <c r="K24" s="117"/>
    </row>
    <row r="25" spans="1:11" ht="19.95" customHeight="1" thickBot="1">
      <c r="A25" s="675"/>
      <c r="B25" s="686" t="s">
        <v>233</v>
      </c>
      <c r="C25" s="677"/>
      <c r="D25" s="678">
        <f>IF(ISNA(VLOOKUP(H3,[1]!AVION1[#Data],13,FALSE)),"",VLOOKUP(H3,[1]!AVION1[#Data],13,FALSE))</f>
        <v>9.9</v>
      </c>
      <c r="E25" s="682">
        <f>IF(ISNA(VLOOKUP(H3,[1]!AVION1[#Data],12,FALSE)),"",VLOOKUP(H3,[1]!AVION1[#Data],12,FALSE))</f>
        <v>-14</v>
      </c>
      <c r="F25" s="680">
        <f>E25*D25</f>
        <v>-138.6</v>
      </c>
      <c r="G25" s="117"/>
      <c r="H25" s="117"/>
      <c r="I25" s="117"/>
      <c r="J25" s="117"/>
      <c r="K25" s="117"/>
    </row>
    <row r="26" spans="1:11" ht="19.95" customHeight="1" thickBot="1">
      <c r="A26" s="675"/>
      <c r="B26" s="673"/>
      <c r="C26" s="687"/>
      <c r="D26" s="688"/>
      <c r="E26" s="689"/>
      <c r="F26" s="690"/>
      <c r="G26" s="117"/>
      <c r="H26" s="117"/>
      <c r="I26" s="117"/>
      <c r="J26" s="117"/>
      <c r="K26" s="117"/>
    </row>
    <row r="27" spans="1:11" ht="19.95" customHeight="1">
      <c r="A27" s="675"/>
      <c r="B27" s="676" t="s">
        <v>234</v>
      </c>
      <c r="C27" s="691">
        <v>80</v>
      </c>
      <c r="D27" s="678">
        <f>(C27*0.72)*2.20462</f>
        <v>126.98611199999998</v>
      </c>
      <c r="E27" s="682">
        <f>IF(ISNA(VLOOKUP(H3,[1]!AVION1[#Data],16,FALSE)),"",VLOOKUP(H3,[1]!AVION1[#Data],16,FALSE))</f>
        <v>46.5</v>
      </c>
      <c r="F27" s="680">
        <f>E27*D27</f>
        <v>5904.8542079999988</v>
      </c>
      <c r="G27" s="117"/>
      <c r="H27" s="117"/>
      <c r="I27" s="117"/>
      <c r="J27" s="117"/>
      <c r="K27" s="117"/>
    </row>
    <row r="28" spans="1:11" ht="19.95" customHeight="1" thickBot="1">
      <c r="A28" s="675"/>
      <c r="B28" s="686" t="s">
        <v>235</v>
      </c>
      <c r="C28" s="692">
        <f>fuel-'[1]LOG NAV'!G42</f>
        <v>54.561044805213363</v>
      </c>
      <c r="D28" s="678">
        <f>(C28*0.72)*2.20462</f>
        <v>86.606186830898011</v>
      </c>
      <c r="E28" s="682">
        <f>IF(ISNA(VLOOKUP(H3,[1]!AVION1[#Data],16,FALSE)),"",VLOOKUP(H3,[1]!AVION1[#Data],16,FALSE))</f>
        <v>46.5</v>
      </c>
      <c r="F28" s="680">
        <f>E28*D28</f>
        <v>4027.1876876367573</v>
      </c>
      <c r="G28" s="117"/>
      <c r="H28" s="117"/>
      <c r="I28" s="117"/>
      <c r="J28" s="117"/>
      <c r="K28" s="117"/>
    </row>
    <row r="29" spans="1:11" ht="19.95" customHeight="1">
      <c r="A29" s="675"/>
      <c r="B29" s="673"/>
      <c r="C29" s="687"/>
      <c r="D29" s="688"/>
      <c r="E29" s="689"/>
      <c r="F29" s="690"/>
      <c r="G29" s="117"/>
      <c r="H29" s="117"/>
      <c r="I29" s="117"/>
      <c r="J29" s="117"/>
      <c r="K29" s="117"/>
    </row>
    <row r="30" spans="1:11" ht="19.95" customHeight="1">
      <c r="A30" s="675"/>
      <c r="B30" s="693" t="s">
        <v>236</v>
      </c>
      <c r="C30" s="694">
        <v>10</v>
      </c>
      <c r="D30" s="678">
        <f>C30*2.20462</f>
        <v>22.046199999999999</v>
      </c>
      <c r="E30" s="682">
        <f>IF(ISNA(VLOOKUP(H3,[1]!AVION1[#Data],14,FALSE)),"",VLOOKUP(H3,[1]!AVION1[#Data],14,FALSE))</f>
        <v>97</v>
      </c>
      <c r="F30" s="680">
        <f>E30*D30</f>
        <v>2138.4813999999997</v>
      </c>
      <c r="G30" s="117"/>
      <c r="H30" s="117"/>
      <c r="I30" s="117"/>
      <c r="J30" s="117"/>
      <c r="K30" s="117"/>
    </row>
    <row r="31" spans="1:11" ht="19.95" customHeight="1" thickBot="1">
      <c r="A31" s="675"/>
      <c r="B31" s="673"/>
      <c r="C31" s="687"/>
      <c r="D31" s="688"/>
      <c r="E31" s="689"/>
      <c r="F31" s="690"/>
      <c r="G31" s="117"/>
      <c r="H31" s="117"/>
      <c r="I31" s="117"/>
      <c r="J31" s="117"/>
      <c r="K31" s="117"/>
    </row>
    <row r="32" spans="1:11" ht="19.95" customHeight="1" thickBot="1">
      <c r="A32" s="675"/>
      <c r="B32" s="695" t="s">
        <v>237</v>
      </c>
      <c r="C32" s="696">
        <v>0</v>
      </c>
      <c r="D32" s="678">
        <f>C32*2.20462</f>
        <v>0</v>
      </c>
      <c r="E32" s="682">
        <f>IF(ISNA(VLOOKUP(H3,[1]!AVION1[#Data],15,FALSE)),"",VLOOKUP(H3,[1]!AVION1[#Data],15,FALSE))</f>
        <v>122</v>
      </c>
      <c r="F32" s="680">
        <f>E32*D32</f>
        <v>0</v>
      </c>
      <c r="G32" s="117"/>
      <c r="H32" s="117"/>
      <c r="I32" s="117"/>
      <c r="J32" s="117"/>
      <c r="K32" s="117"/>
    </row>
    <row r="33" spans="1:11" ht="19.95" customHeight="1">
      <c r="A33" s="675"/>
      <c r="B33" s="117"/>
      <c r="C33" s="697" t="s">
        <v>238</v>
      </c>
      <c r="D33" s="698">
        <f>F17</f>
        <v>2006.21</v>
      </c>
      <c r="E33" s="682">
        <f>F18</f>
        <v>36.96</v>
      </c>
      <c r="F33" s="680">
        <f>E33*D33</f>
        <v>74149.521600000007</v>
      </c>
      <c r="G33" s="117"/>
      <c r="H33" s="117"/>
      <c r="I33" s="117"/>
      <c r="J33" s="117"/>
      <c r="K33" s="117"/>
    </row>
    <row r="34" spans="1:11" ht="19.95" customHeight="1">
      <c r="A34" s="675"/>
      <c r="B34" s="117"/>
      <c r="C34" s="699" t="s">
        <v>239</v>
      </c>
      <c r="D34" s="700">
        <f>D32+D30+D27+D24+D25+D23+D22+D33</f>
        <v>2491.4260720000002</v>
      </c>
      <c r="E34" s="701">
        <f>F34/D34</f>
        <v>37.780272666264366</v>
      </c>
      <c r="F34" s="680">
        <f>F32+F30+F27+F25+F23+F24+F22+F33</f>
        <v>94126.756328000003</v>
      </c>
      <c r="G34" s="117"/>
      <c r="H34" s="117"/>
      <c r="I34" s="117"/>
      <c r="J34" s="117"/>
      <c r="K34" s="117"/>
    </row>
    <row r="35" spans="1:11" ht="19.95" customHeight="1" thickBot="1">
      <c r="A35" s="675"/>
      <c r="B35" s="117"/>
      <c r="C35" s="702" t="s">
        <v>240</v>
      </c>
      <c r="D35" s="700">
        <f>D32+D30+D28+D24+D25+D23+D22+D33</f>
        <v>2451.0461468308981</v>
      </c>
      <c r="E35" s="701">
        <f>F35/D35</f>
        <v>37.636618929803113</v>
      </c>
      <c r="F35" s="680">
        <f>F32+F30+F28+F25+F23+F24+F22+F33</f>
        <v>92249.089807636759</v>
      </c>
      <c r="G35" s="117"/>
      <c r="H35" s="117"/>
      <c r="I35" s="117"/>
      <c r="J35" s="117"/>
      <c r="K35" s="117"/>
    </row>
    <row r="36" spans="1:11" ht="19.95" customHeight="1">
      <c r="A36" s="675"/>
      <c r="B36" s="117"/>
      <c r="C36" s="703" t="str">
        <f>IF(ISNA(VLOOKUP(H3,[1]!AVION1[#Data],18,FALSE)),"",VLOOKUP(H3,[1]!AVION1[#Data],18,FALSE))</f>
        <v>Graphique2</v>
      </c>
      <c r="D36" s="704"/>
      <c r="E36" s="705"/>
      <c r="F36" s="706"/>
      <c r="G36" s="117"/>
      <c r="H36" s="117"/>
      <c r="I36" s="117"/>
      <c r="J36" s="117"/>
      <c r="K36" s="117"/>
    </row>
    <row r="37" spans="1:11" ht="19.95" customHeight="1" thickBot="1">
      <c r="A37" s="707"/>
      <c r="B37" s="132"/>
      <c r="C37" s="708"/>
      <c r="D37" s="132"/>
      <c r="E37" s="132"/>
      <c r="F37" s="709"/>
      <c r="G37" s="117"/>
      <c r="H37" s="117"/>
      <c r="I37" s="117"/>
      <c r="J37" s="117"/>
      <c r="K37" s="117"/>
    </row>
    <row r="38" spans="1:11">
      <c r="A38" s="675"/>
      <c r="B38" s="117"/>
      <c r="C38" s="117"/>
      <c r="D38" s="117"/>
      <c r="E38" s="117"/>
      <c r="F38" s="117"/>
      <c r="G38" s="117"/>
      <c r="H38" s="117"/>
      <c r="I38" s="117"/>
      <c r="J38" s="117"/>
      <c r="K38" s="117"/>
    </row>
    <row r="39" spans="1:11">
      <c r="A39" s="117"/>
      <c r="B39" s="117"/>
      <c r="C39" s="117"/>
      <c r="D39" s="117"/>
      <c r="E39" s="117"/>
      <c r="F39" s="117"/>
      <c r="G39" s="117"/>
      <c r="H39" s="117"/>
      <c r="I39" s="117"/>
      <c r="J39" s="117"/>
      <c r="K39" s="117"/>
    </row>
  </sheetData>
  <mergeCells count="30">
    <mergeCell ref="C17:D17"/>
    <mergeCell ref="C18:D18"/>
    <mergeCell ref="C36:C37"/>
    <mergeCell ref="A12:C12"/>
    <mergeCell ref="E12:F12"/>
    <mergeCell ref="A13:C13"/>
    <mergeCell ref="E13:F13"/>
    <mergeCell ref="A15:E16"/>
    <mergeCell ref="F15:F16"/>
    <mergeCell ref="A9:C9"/>
    <mergeCell ref="E9:F9"/>
    <mergeCell ref="A10:C10"/>
    <mergeCell ref="E10:F10"/>
    <mergeCell ref="A11:C11"/>
    <mergeCell ref="E11:F11"/>
    <mergeCell ref="A5:C5"/>
    <mergeCell ref="A6:C6"/>
    <mergeCell ref="D6:E6"/>
    <mergeCell ref="A7:C7"/>
    <mergeCell ref="E7:F7"/>
    <mergeCell ref="A8:C8"/>
    <mergeCell ref="E8:F8"/>
    <mergeCell ref="A1:E1"/>
    <mergeCell ref="G1:K1"/>
    <mergeCell ref="A2:B2"/>
    <mergeCell ref="A3:B3"/>
    <mergeCell ref="D3:E3"/>
    <mergeCell ref="F3:F4"/>
    <mergeCell ref="G3:G4"/>
    <mergeCell ref="A4:B4"/>
  </mergeCells>
  <conditionalFormatting sqref="G34">
    <cfRule type="iconSet" priority="3">
      <iconSet showValue="0">
        <cfvo type="percent" val="0"/>
        <cfvo type="percent" val="31"/>
        <cfvo type="percent" val="38" gte="0"/>
      </iconSet>
    </cfRule>
  </conditionalFormatting>
  <conditionalFormatting sqref="E34">
    <cfRule type="cellIs" dxfId="31" priority="2" operator="between">
      <formula>$A$20</formula>
      <formula>$A$21</formula>
    </cfRule>
  </conditionalFormatting>
  <conditionalFormatting sqref="E35:E36">
    <cfRule type="cellIs" dxfId="30" priority="1" operator="between">
      <formula>$A$20</formula>
      <formula>$A$21</formula>
    </cfRule>
  </conditionalFormatting>
  <dataValidations count="1">
    <dataValidation type="list" allowBlank="1" showInputMessage="1" showErrorMessage="1" sqref="F6">
      <formula1>$N$18:$N$59</formula1>
    </dataValidation>
  </dataValidations>
  <pageMargins left="0.25" right="0.25" top="0.75" bottom="0.75" header="0.3" footer="0.3"/>
  <pageSetup paperSize="9" scale="9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tabColor theme="5"/>
  </sheetPr>
  <dimension ref="A1:AM75"/>
  <sheetViews>
    <sheetView workbookViewId="0">
      <selection activeCell="M29" sqref="M29"/>
    </sheetView>
  </sheetViews>
  <sheetFormatPr baseColWidth="10" defaultColWidth="11.44140625" defaultRowHeight="14.4"/>
  <cols>
    <col min="1" max="1" width="11.44140625" customWidth="1"/>
    <col min="3" max="3" width="9" customWidth="1"/>
    <col min="4" max="4" width="6.6640625" bestFit="1" customWidth="1"/>
    <col min="5" max="5" width="8.33203125" bestFit="1" customWidth="1"/>
    <col min="6" max="6" width="8.44140625" bestFit="1" customWidth="1"/>
    <col min="7" max="8" width="10.44140625" customWidth="1"/>
    <col min="9" max="9" width="8.44140625" customWidth="1"/>
    <col min="10" max="12" width="11.44140625" customWidth="1"/>
    <col min="13" max="13" width="17.44140625" bestFit="1" customWidth="1"/>
    <col min="14" max="14" width="8.44140625" customWidth="1"/>
    <col min="15" max="15" width="10.6640625" bestFit="1" customWidth="1"/>
    <col min="16" max="17" width="8.44140625" customWidth="1"/>
    <col min="19" max="19" width="16.6640625" bestFit="1" customWidth="1"/>
    <col min="23" max="23" width="15.33203125" customWidth="1"/>
    <col min="24" max="24" width="11.44140625" customWidth="1"/>
    <col min="25" max="25" width="12.109375" bestFit="1" customWidth="1"/>
    <col min="26" max="26" width="25.44140625" style="711" bestFit="1" customWidth="1"/>
    <col min="27" max="27" width="16.33203125" bestFit="1" customWidth="1"/>
    <col min="28" max="28" width="26.6640625" bestFit="1" customWidth="1"/>
    <col min="29" max="29" width="13.44140625" bestFit="1" customWidth="1"/>
    <col min="30" max="30" width="16.44140625" bestFit="1" customWidth="1"/>
    <col min="31" max="31" width="12" bestFit="1" customWidth="1"/>
    <col min="32" max="32" width="11" bestFit="1" customWidth="1"/>
    <col min="33" max="33" width="12.109375" customWidth="1"/>
    <col min="34" max="34" width="12.77734375" customWidth="1"/>
    <col min="35" max="35" width="11.33203125" customWidth="1"/>
    <col min="36" max="36" width="11.109375" customWidth="1"/>
    <col min="39" max="39" width="14.44140625" customWidth="1"/>
  </cols>
  <sheetData>
    <row r="1" spans="1:39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f>G1+1</f>
        <v>8</v>
      </c>
      <c r="I1">
        <f t="shared" ref="I1:Q1" si="0">H1+1</f>
        <v>9</v>
      </c>
      <c r="J1">
        <f t="shared" si="0"/>
        <v>10</v>
      </c>
      <c r="K1">
        <f t="shared" si="0"/>
        <v>11</v>
      </c>
      <c r="L1">
        <f t="shared" si="0"/>
        <v>12</v>
      </c>
      <c r="M1">
        <f t="shared" si="0"/>
        <v>13</v>
      </c>
      <c r="N1">
        <f>M1+1</f>
        <v>14</v>
      </c>
      <c r="O1">
        <f t="shared" si="0"/>
        <v>15</v>
      </c>
      <c r="P1">
        <f t="shared" si="0"/>
        <v>16</v>
      </c>
      <c r="Q1">
        <f t="shared" si="0"/>
        <v>17</v>
      </c>
      <c r="R1">
        <v>18</v>
      </c>
      <c r="S1">
        <v>1</v>
      </c>
      <c r="T1">
        <v>2</v>
      </c>
      <c r="U1">
        <v>3</v>
      </c>
      <c r="X1">
        <v>1</v>
      </c>
      <c r="Z1" s="710">
        <v>1</v>
      </c>
      <c r="AA1">
        <v>2</v>
      </c>
      <c r="AB1">
        <v>3</v>
      </c>
    </row>
    <row r="2" spans="1:39">
      <c r="A2" t="s">
        <v>190</v>
      </c>
      <c r="B2" t="s">
        <v>180</v>
      </c>
      <c r="C2" t="s">
        <v>241</v>
      </c>
      <c r="D2" t="s">
        <v>242</v>
      </c>
      <c r="E2" t="s">
        <v>243</v>
      </c>
      <c r="F2" t="s">
        <v>244</v>
      </c>
      <c r="G2" t="s">
        <v>245</v>
      </c>
      <c r="H2" t="s">
        <v>221</v>
      </c>
      <c r="I2" t="s">
        <v>223</v>
      </c>
      <c r="J2" t="s">
        <v>246</v>
      </c>
      <c r="K2" t="s">
        <v>247</v>
      </c>
      <c r="L2" t="s">
        <v>248</v>
      </c>
      <c r="M2" t="s">
        <v>249</v>
      </c>
      <c r="N2" t="s">
        <v>250</v>
      </c>
      <c r="O2" t="s">
        <v>251</v>
      </c>
      <c r="P2" t="s">
        <v>252</v>
      </c>
      <c r="Q2" t="s">
        <v>253</v>
      </c>
      <c r="R2" t="s">
        <v>254</v>
      </c>
      <c r="S2" t="s">
        <v>143</v>
      </c>
      <c r="T2" t="s">
        <v>255</v>
      </c>
      <c r="U2" t="s">
        <v>256</v>
      </c>
      <c r="X2" t="s">
        <v>7</v>
      </c>
      <c r="Z2" s="711" t="s">
        <v>257</v>
      </c>
      <c r="AA2" t="s">
        <v>256</v>
      </c>
      <c r="AB2" s="711" t="s">
        <v>258</v>
      </c>
    </row>
    <row r="3" spans="1:39">
      <c r="A3" t="s">
        <v>56</v>
      </c>
      <c r="B3" t="s">
        <v>67</v>
      </c>
      <c r="C3" s="712">
        <v>1.84</v>
      </c>
      <c r="D3" s="713">
        <v>90</v>
      </c>
      <c r="E3" s="714">
        <v>31.5</v>
      </c>
      <c r="F3" s="714">
        <v>37.5</v>
      </c>
      <c r="G3">
        <v>23</v>
      </c>
      <c r="H3" s="715">
        <v>1107.82</v>
      </c>
      <c r="I3" s="714">
        <v>32.68</v>
      </c>
      <c r="J3" s="715">
        <v>1600</v>
      </c>
      <c r="K3" s="715">
        <v>39</v>
      </c>
      <c r="L3" s="714">
        <v>-9</v>
      </c>
      <c r="M3" s="715">
        <v>9.9</v>
      </c>
      <c r="N3" s="715">
        <v>65</v>
      </c>
      <c r="O3" s="715">
        <v>80</v>
      </c>
      <c r="P3" s="715">
        <v>42</v>
      </c>
      <c r="Q3" s="715"/>
      <c r="R3" t="s">
        <v>259</v>
      </c>
      <c r="S3" t="s">
        <v>54</v>
      </c>
      <c r="T3">
        <v>0.61</v>
      </c>
      <c r="U3">
        <v>85</v>
      </c>
      <c r="X3">
        <v>1</v>
      </c>
      <c r="AA3" t="s">
        <v>14</v>
      </c>
      <c r="AB3" s="711">
        <v>43394</v>
      </c>
    </row>
    <row r="4" spans="1:39">
      <c r="A4" t="s">
        <v>102</v>
      </c>
      <c r="B4" t="s">
        <v>86</v>
      </c>
      <c r="C4" s="712">
        <v>2.88</v>
      </c>
      <c r="D4" s="713">
        <v>110</v>
      </c>
      <c r="E4" s="714">
        <v>35</v>
      </c>
      <c r="F4" s="714">
        <v>47.5</v>
      </c>
      <c r="G4">
        <v>25</v>
      </c>
      <c r="H4" s="715"/>
      <c r="I4" s="714"/>
      <c r="J4" s="715"/>
      <c r="K4" s="715"/>
      <c r="L4" s="714"/>
      <c r="M4" s="715"/>
      <c r="N4" s="715"/>
      <c r="O4" s="715"/>
      <c r="P4" s="715"/>
      <c r="Q4" s="715"/>
      <c r="R4" t="s">
        <v>260</v>
      </c>
      <c r="S4" t="s">
        <v>57</v>
      </c>
      <c r="T4">
        <v>0.61</v>
      </c>
      <c r="U4">
        <v>80</v>
      </c>
      <c r="X4">
        <v>2</v>
      </c>
      <c r="AA4" t="s">
        <v>15</v>
      </c>
      <c r="AB4" s="711">
        <v>43394</v>
      </c>
    </row>
    <row r="5" spans="1:39">
      <c r="A5" t="s">
        <v>91</v>
      </c>
      <c r="B5" t="s">
        <v>261</v>
      </c>
      <c r="C5" s="712"/>
      <c r="D5" s="713"/>
      <c r="E5" s="714"/>
      <c r="F5" s="714"/>
      <c r="H5" s="715"/>
      <c r="I5" s="714"/>
      <c r="J5" s="715"/>
      <c r="K5" s="715"/>
      <c r="L5" s="714"/>
      <c r="M5" s="715"/>
      <c r="N5" s="715"/>
      <c r="O5" s="715"/>
      <c r="P5" s="715"/>
      <c r="Q5" s="715"/>
      <c r="S5" t="s">
        <v>55</v>
      </c>
      <c r="T5">
        <v>0</v>
      </c>
      <c r="U5">
        <v>65</v>
      </c>
      <c r="X5">
        <v>3</v>
      </c>
      <c r="AA5" t="s">
        <v>16</v>
      </c>
      <c r="AB5" s="711">
        <v>44155</v>
      </c>
    </row>
    <row r="6" spans="1:39">
      <c r="A6" t="s">
        <v>117</v>
      </c>
      <c r="B6" t="s">
        <v>261</v>
      </c>
      <c r="C6" s="712"/>
      <c r="D6" s="713"/>
      <c r="E6" s="714"/>
      <c r="F6" s="714"/>
      <c r="H6" s="715"/>
      <c r="I6" s="714"/>
      <c r="J6" s="715"/>
      <c r="K6" s="715"/>
      <c r="L6" s="714"/>
      <c r="M6" s="715"/>
      <c r="N6" s="715"/>
      <c r="O6" s="715"/>
      <c r="P6" s="715"/>
      <c r="Q6" s="715"/>
      <c r="S6" t="s">
        <v>77</v>
      </c>
      <c r="T6">
        <v>0</v>
      </c>
      <c r="U6">
        <v>0</v>
      </c>
      <c r="X6">
        <v>4</v>
      </c>
      <c r="AA6" t="s">
        <v>17</v>
      </c>
      <c r="AB6" s="711">
        <v>43364</v>
      </c>
    </row>
    <row r="7" spans="1:39">
      <c r="A7" t="s">
        <v>87</v>
      </c>
      <c r="B7" t="s">
        <v>261</v>
      </c>
      <c r="C7" s="712"/>
      <c r="D7" s="713"/>
      <c r="E7" s="714"/>
      <c r="F7" s="714"/>
      <c r="H7" s="715"/>
      <c r="I7" s="714"/>
      <c r="J7" s="715"/>
      <c r="K7" s="715"/>
      <c r="L7" s="714"/>
      <c r="M7" s="715"/>
      <c r="N7" s="715"/>
      <c r="O7" s="715"/>
      <c r="P7" s="715"/>
      <c r="Q7" s="715"/>
      <c r="S7" t="s">
        <v>80</v>
      </c>
      <c r="T7">
        <v>0</v>
      </c>
      <c r="U7">
        <v>0</v>
      </c>
      <c r="X7">
        <v>5</v>
      </c>
      <c r="AB7" s="711"/>
    </row>
    <row r="8" spans="1:39">
      <c r="A8" t="s">
        <v>75</v>
      </c>
      <c r="B8" t="s">
        <v>262</v>
      </c>
      <c r="C8" s="712">
        <v>1.84</v>
      </c>
      <c r="D8" s="713">
        <v>85</v>
      </c>
      <c r="E8" s="714">
        <v>31.5</v>
      </c>
      <c r="F8" s="714">
        <v>37.5</v>
      </c>
      <c r="G8">
        <v>22</v>
      </c>
      <c r="H8" s="715">
        <v>1107.82</v>
      </c>
      <c r="I8" s="714">
        <v>32.68</v>
      </c>
      <c r="J8" s="715">
        <v>1600</v>
      </c>
      <c r="K8" s="715">
        <v>39</v>
      </c>
      <c r="L8" s="714">
        <v>-9</v>
      </c>
      <c r="M8" s="715">
        <v>9.9</v>
      </c>
      <c r="N8" s="715">
        <v>65</v>
      </c>
      <c r="O8" s="715">
        <v>80</v>
      </c>
      <c r="P8" s="715">
        <v>42</v>
      </c>
      <c r="Q8" s="715"/>
      <c r="R8" t="s">
        <v>259</v>
      </c>
      <c r="S8" t="s">
        <v>137</v>
      </c>
      <c r="T8">
        <v>0</v>
      </c>
      <c r="U8">
        <v>0</v>
      </c>
      <c r="X8">
        <v>6</v>
      </c>
      <c r="AB8" s="711"/>
    </row>
    <row r="9" spans="1:39">
      <c r="A9" t="s">
        <v>263</v>
      </c>
      <c r="B9" t="s">
        <v>264</v>
      </c>
      <c r="C9" s="712">
        <v>2.82</v>
      </c>
      <c r="D9" s="713">
        <v>110</v>
      </c>
      <c r="E9" s="714">
        <v>35</v>
      </c>
      <c r="F9" s="714">
        <v>47.5</v>
      </c>
      <c r="G9">
        <v>25</v>
      </c>
      <c r="H9" s="715">
        <v>1447.2</v>
      </c>
      <c r="I9" s="714">
        <v>39.270000000000003</v>
      </c>
      <c r="J9" s="715">
        <v>2300</v>
      </c>
      <c r="K9" s="715">
        <v>37</v>
      </c>
      <c r="L9" s="714">
        <v>-14</v>
      </c>
      <c r="M9" s="715">
        <v>9.9</v>
      </c>
      <c r="N9" s="715">
        <v>95</v>
      </c>
      <c r="O9" s="715">
        <v>123</v>
      </c>
      <c r="P9" s="715">
        <v>48</v>
      </c>
      <c r="Q9" s="715">
        <v>73</v>
      </c>
      <c r="R9" t="s">
        <v>260</v>
      </c>
      <c r="X9">
        <v>7</v>
      </c>
    </row>
    <row r="10" spans="1:39">
      <c r="A10" t="s">
        <v>136</v>
      </c>
      <c r="B10" t="s">
        <v>135</v>
      </c>
      <c r="C10" s="712"/>
      <c r="D10" s="713"/>
      <c r="E10" s="714"/>
      <c r="F10" s="714"/>
      <c r="H10" s="715"/>
      <c r="I10" s="714"/>
      <c r="J10" s="715"/>
      <c r="K10" s="715"/>
      <c r="L10" s="714"/>
      <c r="M10" s="715"/>
      <c r="N10" s="715"/>
      <c r="O10" s="715"/>
      <c r="P10" s="715"/>
      <c r="Q10" s="715"/>
      <c r="X10">
        <v>8</v>
      </c>
    </row>
    <row r="11" spans="1:39">
      <c r="A11" t="s">
        <v>95</v>
      </c>
      <c r="B11" t="s">
        <v>261</v>
      </c>
      <c r="C11" s="712"/>
      <c r="D11" s="713"/>
      <c r="E11" s="714"/>
      <c r="F11" s="714"/>
      <c r="H11" s="715"/>
      <c r="I11" s="714"/>
      <c r="J11" s="715"/>
      <c r="K11" s="715"/>
      <c r="L11" s="714"/>
      <c r="M11" s="715"/>
      <c r="N11" s="715"/>
      <c r="O11" s="715"/>
      <c r="P11" s="715"/>
      <c r="Q11" s="715"/>
      <c r="X11">
        <v>9</v>
      </c>
    </row>
    <row r="12" spans="1:39">
      <c r="A12" t="s">
        <v>122</v>
      </c>
      <c r="B12" t="s">
        <v>121</v>
      </c>
      <c r="C12" s="712"/>
      <c r="D12" s="713"/>
      <c r="E12" s="714"/>
      <c r="F12" s="714"/>
      <c r="H12" s="715"/>
      <c r="I12" s="714"/>
      <c r="J12" s="715"/>
      <c r="K12" s="715"/>
      <c r="L12" s="714"/>
      <c r="M12" s="715"/>
      <c r="N12" s="715"/>
      <c r="O12" s="715"/>
      <c r="P12" s="715"/>
      <c r="Q12" s="715"/>
      <c r="X12">
        <v>10</v>
      </c>
    </row>
    <row r="13" spans="1:39">
      <c r="A13" t="s">
        <v>79</v>
      </c>
      <c r="B13" t="s">
        <v>262</v>
      </c>
      <c r="C13" s="712"/>
      <c r="D13" s="713"/>
      <c r="E13" s="714"/>
      <c r="F13" s="714"/>
      <c r="H13" s="715"/>
      <c r="I13" s="714"/>
      <c r="J13" s="715"/>
      <c r="K13" s="715"/>
      <c r="L13" s="714"/>
      <c r="M13" s="715"/>
      <c r="N13" s="715"/>
      <c r="O13" s="715"/>
      <c r="P13" s="715"/>
      <c r="Q13" s="715"/>
    </row>
    <row r="14" spans="1:39">
      <c r="A14" t="s">
        <v>78</v>
      </c>
      <c r="B14" t="s">
        <v>262</v>
      </c>
      <c r="C14" s="712"/>
      <c r="D14" s="713"/>
      <c r="E14" s="714"/>
      <c r="F14" s="714"/>
      <c r="H14" s="715"/>
      <c r="I14" s="714"/>
      <c r="J14" s="715"/>
      <c r="K14" s="715"/>
      <c r="L14" s="714"/>
      <c r="M14" s="715"/>
      <c r="N14" s="715"/>
      <c r="O14" s="715"/>
      <c r="P14" s="715"/>
      <c r="Q14" s="715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</row>
    <row r="15" spans="1:39">
      <c r="A15" t="s">
        <v>53</v>
      </c>
      <c r="B15" t="s">
        <v>69</v>
      </c>
      <c r="C15" s="712">
        <v>2.1</v>
      </c>
      <c r="D15" s="713">
        <v>95</v>
      </c>
      <c r="E15" s="714">
        <v>31.5</v>
      </c>
      <c r="F15" s="714">
        <v>37.5</v>
      </c>
      <c r="G15">
        <v>23</v>
      </c>
      <c r="H15" s="715">
        <v>1107.82</v>
      </c>
      <c r="I15" s="714">
        <v>32.68</v>
      </c>
      <c r="J15" s="715">
        <v>1600</v>
      </c>
      <c r="K15" s="715">
        <v>39</v>
      </c>
      <c r="L15" s="714">
        <v>-9</v>
      </c>
      <c r="M15" s="715">
        <v>9.9</v>
      </c>
      <c r="N15" s="715">
        <v>65</v>
      </c>
      <c r="O15" s="715">
        <v>80</v>
      </c>
      <c r="P15" s="715">
        <v>42</v>
      </c>
      <c r="Q15" s="715"/>
      <c r="R15" t="s">
        <v>259</v>
      </c>
    </row>
    <row r="16" spans="1:39">
      <c r="A16" t="s">
        <v>90</v>
      </c>
      <c r="B16" t="s">
        <v>89</v>
      </c>
      <c r="C16" s="712">
        <v>2.02</v>
      </c>
      <c r="D16" s="713">
        <v>70</v>
      </c>
      <c r="E16" s="714"/>
      <c r="F16" s="714"/>
      <c r="G16">
        <v>15</v>
      </c>
      <c r="H16" s="715"/>
      <c r="I16" s="714"/>
      <c r="J16" s="715"/>
      <c r="K16" s="715"/>
      <c r="L16" s="714"/>
      <c r="M16" s="715"/>
      <c r="N16" s="715"/>
      <c r="O16" s="715"/>
      <c r="P16" s="715"/>
      <c r="Q16" s="715"/>
    </row>
    <row r="17" spans="1:18">
      <c r="A17" t="s">
        <v>88</v>
      </c>
      <c r="B17" t="s">
        <v>265</v>
      </c>
      <c r="C17" s="712"/>
      <c r="D17" s="713"/>
      <c r="E17" s="714"/>
      <c r="F17" s="714"/>
      <c r="H17" s="715"/>
      <c r="I17" s="714"/>
      <c r="J17" s="715"/>
      <c r="K17" s="715"/>
      <c r="L17" s="714"/>
      <c r="M17" s="715"/>
      <c r="N17" s="715"/>
      <c r="O17" s="715"/>
      <c r="P17" s="715"/>
      <c r="Q17" s="715"/>
    </row>
    <row r="18" spans="1:18">
      <c r="A18" t="s">
        <v>126</v>
      </c>
      <c r="B18" t="s">
        <v>121</v>
      </c>
      <c r="C18" s="712"/>
      <c r="D18" s="713"/>
      <c r="E18" s="714"/>
      <c r="F18" s="714"/>
      <c r="H18" s="715"/>
      <c r="I18" s="714"/>
      <c r="J18" s="715"/>
      <c r="K18" s="715"/>
      <c r="L18" s="714"/>
      <c r="M18" s="715"/>
      <c r="N18" s="715"/>
      <c r="O18" s="715"/>
      <c r="P18" s="715"/>
      <c r="Q18" s="715"/>
    </row>
    <row r="19" spans="1:18">
      <c r="A19" t="s">
        <v>195</v>
      </c>
      <c r="B19" t="s">
        <v>266</v>
      </c>
      <c r="C19" s="712">
        <v>3.67</v>
      </c>
      <c r="D19" s="713">
        <v>120</v>
      </c>
      <c r="E19" s="714">
        <v>36</v>
      </c>
      <c r="F19" s="714">
        <v>46</v>
      </c>
      <c r="G19">
        <v>32.9</v>
      </c>
      <c r="H19" s="715">
        <v>2006.21</v>
      </c>
      <c r="I19" s="714">
        <v>36.96</v>
      </c>
      <c r="J19" s="715">
        <v>3099</v>
      </c>
      <c r="K19" s="715">
        <v>37</v>
      </c>
      <c r="L19" s="714">
        <v>-14</v>
      </c>
      <c r="M19" s="715">
        <v>9.9</v>
      </c>
      <c r="N19" s="715">
        <v>97</v>
      </c>
      <c r="O19" s="715">
        <v>122</v>
      </c>
      <c r="P19" s="715">
        <v>46.5</v>
      </c>
      <c r="Q19" s="715">
        <v>74</v>
      </c>
      <c r="R19" t="s">
        <v>267</v>
      </c>
    </row>
    <row r="21" spans="1:18">
      <c r="J21">
        <v>1</v>
      </c>
      <c r="K21">
        <v>2</v>
      </c>
      <c r="L21">
        <v>3</v>
      </c>
      <c r="M21">
        <v>4</v>
      </c>
    </row>
    <row r="22" spans="1:18">
      <c r="A22" t="s">
        <v>256</v>
      </c>
      <c r="C22" s="716">
        <v>43889</v>
      </c>
      <c r="F22" t="s">
        <v>268</v>
      </c>
      <c r="J22" t="s">
        <v>269</v>
      </c>
      <c r="K22" t="s">
        <v>270</v>
      </c>
      <c r="L22" t="s">
        <v>271</v>
      </c>
      <c r="M22" t="s">
        <v>272</v>
      </c>
    </row>
    <row r="23" spans="1:18">
      <c r="A23" t="s">
        <v>206</v>
      </c>
      <c r="F23">
        <v>0</v>
      </c>
      <c r="J23" t="s">
        <v>273</v>
      </c>
      <c r="K23" t="s">
        <v>274</v>
      </c>
      <c r="L23" s="716">
        <v>20148</v>
      </c>
      <c r="M23">
        <v>175533</v>
      </c>
    </row>
    <row r="24" spans="1:18">
      <c r="A24" t="s">
        <v>275</v>
      </c>
      <c r="F24">
        <v>50</v>
      </c>
    </row>
    <row r="25" spans="1:18">
      <c r="A25" t="s">
        <v>276</v>
      </c>
      <c r="F25">
        <f>F24+1</f>
        <v>51</v>
      </c>
    </row>
    <row r="26" spans="1:18">
      <c r="F26">
        <f t="shared" ref="F26:F71" si="1">F25+1</f>
        <v>52</v>
      </c>
    </row>
    <row r="27" spans="1:18">
      <c r="F27">
        <f t="shared" si="1"/>
        <v>53</v>
      </c>
    </row>
    <row r="28" spans="1:18">
      <c r="F28">
        <f t="shared" si="1"/>
        <v>54</v>
      </c>
    </row>
    <row r="29" spans="1:18">
      <c r="F29">
        <f t="shared" si="1"/>
        <v>55</v>
      </c>
    </row>
    <row r="30" spans="1:18">
      <c r="F30">
        <f>F29+1</f>
        <v>56</v>
      </c>
    </row>
    <row r="31" spans="1:18">
      <c r="F31">
        <f>F29+1</f>
        <v>56</v>
      </c>
    </row>
    <row r="32" spans="1:18">
      <c r="F32">
        <f t="shared" si="1"/>
        <v>57</v>
      </c>
    </row>
    <row r="33" spans="6:6">
      <c r="F33">
        <f t="shared" si="1"/>
        <v>58</v>
      </c>
    </row>
    <row r="34" spans="6:6">
      <c r="F34">
        <f t="shared" si="1"/>
        <v>59</v>
      </c>
    </row>
    <row r="35" spans="6:6">
      <c r="F35">
        <f t="shared" si="1"/>
        <v>60</v>
      </c>
    </row>
    <row r="36" spans="6:6">
      <c r="F36">
        <f t="shared" si="1"/>
        <v>61</v>
      </c>
    </row>
    <row r="37" spans="6:6">
      <c r="F37">
        <f t="shared" si="1"/>
        <v>62</v>
      </c>
    </row>
    <row r="38" spans="6:6">
      <c r="F38">
        <f t="shared" si="1"/>
        <v>63</v>
      </c>
    </row>
    <row r="39" spans="6:6">
      <c r="F39">
        <f t="shared" si="1"/>
        <v>64</v>
      </c>
    </row>
    <row r="40" spans="6:6">
      <c r="F40">
        <f t="shared" si="1"/>
        <v>65</v>
      </c>
    </row>
    <row r="41" spans="6:6">
      <c r="F41">
        <f t="shared" si="1"/>
        <v>66</v>
      </c>
    </row>
    <row r="42" spans="6:6">
      <c r="F42">
        <f t="shared" si="1"/>
        <v>67</v>
      </c>
    </row>
    <row r="43" spans="6:6">
      <c r="F43">
        <f t="shared" si="1"/>
        <v>68</v>
      </c>
    </row>
    <row r="44" spans="6:6">
      <c r="F44">
        <f t="shared" si="1"/>
        <v>69</v>
      </c>
    </row>
    <row r="45" spans="6:6">
      <c r="F45">
        <f t="shared" si="1"/>
        <v>70</v>
      </c>
    </row>
    <row r="46" spans="6:6">
      <c r="F46">
        <f t="shared" si="1"/>
        <v>71</v>
      </c>
    </row>
    <row r="47" spans="6:6">
      <c r="F47">
        <f t="shared" si="1"/>
        <v>72</v>
      </c>
    </row>
    <row r="48" spans="6:6">
      <c r="F48">
        <f t="shared" si="1"/>
        <v>73</v>
      </c>
    </row>
    <row r="49" spans="6:34">
      <c r="F49">
        <f t="shared" si="1"/>
        <v>74</v>
      </c>
    </row>
    <row r="50" spans="6:34">
      <c r="F50">
        <f t="shared" si="1"/>
        <v>75</v>
      </c>
    </row>
    <row r="51" spans="6:34">
      <c r="F51">
        <f t="shared" si="1"/>
        <v>76</v>
      </c>
    </row>
    <row r="52" spans="6:34">
      <c r="F52">
        <f t="shared" si="1"/>
        <v>77</v>
      </c>
    </row>
    <row r="53" spans="6:34">
      <c r="F53">
        <f t="shared" si="1"/>
        <v>78</v>
      </c>
    </row>
    <row r="54" spans="6:34">
      <c r="F54">
        <f t="shared" si="1"/>
        <v>79</v>
      </c>
    </row>
    <row r="55" spans="6:34">
      <c r="F55">
        <f t="shared" si="1"/>
        <v>80</v>
      </c>
    </row>
    <row r="56" spans="6:34">
      <c r="F56">
        <f t="shared" si="1"/>
        <v>81</v>
      </c>
    </row>
    <row r="57" spans="6:34">
      <c r="F57">
        <f t="shared" si="1"/>
        <v>82</v>
      </c>
      <c r="Z57"/>
      <c r="AF57" s="717"/>
      <c r="AG57" s="717"/>
      <c r="AH57" s="717"/>
    </row>
    <row r="58" spans="6:34">
      <c r="F58">
        <f t="shared" si="1"/>
        <v>83</v>
      </c>
      <c r="Z58"/>
      <c r="AF58" s="717"/>
      <c r="AG58" s="717"/>
      <c r="AH58" s="717"/>
    </row>
    <row r="59" spans="6:34">
      <c r="F59">
        <f t="shared" si="1"/>
        <v>84</v>
      </c>
      <c r="Z59"/>
      <c r="AF59" s="717"/>
      <c r="AG59" s="717"/>
      <c r="AH59" s="717"/>
    </row>
    <row r="60" spans="6:34">
      <c r="F60">
        <f t="shared" si="1"/>
        <v>85</v>
      </c>
      <c r="Z60"/>
    </row>
    <row r="61" spans="6:34">
      <c r="F61">
        <f t="shared" si="1"/>
        <v>86</v>
      </c>
    </row>
    <row r="62" spans="6:34">
      <c r="F62">
        <f t="shared" si="1"/>
        <v>87</v>
      </c>
    </row>
    <row r="63" spans="6:34">
      <c r="F63">
        <f t="shared" si="1"/>
        <v>88</v>
      </c>
    </row>
    <row r="64" spans="6:34">
      <c r="F64">
        <f t="shared" si="1"/>
        <v>89</v>
      </c>
    </row>
    <row r="65" spans="6:6">
      <c r="F65">
        <f t="shared" si="1"/>
        <v>90</v>
      </c>
    </row>
    <row r="66" spans="6:6">
      <c r="F66">
        <f t="shared" si="1"/>
        <v>91</v>
      </c>
    </row>
    <row r="67" spans="6:6">
      <c r="F67">
        <f t="shared" si="1"/>
        <v>92</v>
      </c>
    </row>
    <row r="68" spans="6:6">
      <c r="F68">
        <f t="shared" si="1"/>
        <v>93</v>
      </c>
    </row>
    <row r="69" spans="6:6">
      <c r="F69">
        <f t="shared" si="1"/>
        <v>94</v>
      </c>
    </row>
    <row r="70" spans="6:6">
      <c r="F70">
        <f t="shared" si="1"/>
        <v>95</v>
      </c>
    </row>
    <row r="71" spans="6:6">
      <c r="F71">
        <f t="shared" si="1"/>
        <v>96</v>
      </c>
    </row>
    <row r="72" spans="6:6">
      <c r="F72">
        <f>F71+1</f>
        <v>97</v>
      </c>
    </row>
    <row r="73" spans="6:6">
      <c r="F73">
        <f>F72+1</f>
        <v>98</v>
      </c>
    </row>
    <row r="74" spans="6:6">
      <c r="F74">
        <f t="shared" ref="F74:F75" si="2">F73+1</f>
        <v>99</v>
      </c>
    </row>
    <row r="75" spans="6:6">
      <c r="F75">
        <f t="shared" si="2"/>
        <v>100</v>
      </c>
    </row>
  </sheetData>
  <pageMargins left="0.7" right="0.7" top="0.75" bottom="0.75" header="0.3" footer="0.3"/>
  <pageSetup paperSize="9" orientation="landscape" r:id="rId1"/>
  <legacy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le1">
    <tabColor rgb="FF7030A0"/>
  </sheetPr>
  <dimension ref="A1:R66"/>
  <sheetViews>
    <sheetView workbookViewId="0"/>
  </sheetViews>
  <sheetFormatPr baseColWidth="10" defaultRowHeight="14.4"/>
  <cols>
    <col min="1" max="1" width="12.109375" bestFit="1" customWidth="1"/>
    <col min="2" max="2" width="14.6640625" customWidth="1"/>
    <col min="3" max="3" width="12.109375" bestFit="1" customWidth="1"/>
    <col min="4" max="4" width="22" bestFit="1" customWidth="1"/>
    <col min="5" max="5" width="17.44140625" bestFit="1" customWidth="1"/>
    <col min="6" max="6" width="28" bestFit="1" customWidth="1"/>
    <col min="7" max="7" width="14.109375" bestFit="1" customWidth="1"/>
    <col min="8" max="8" width="13.44140625" bestFit="1" customWidth="1"/>
    <col min="9" max="10" width="16.44140625" bestFit="1" customWidth="1"/>
    <col min="11" max="11" width="11" bestFit="1" customWidth="1"/>
    <col min="12" max="12" width="12" bestFit="1" customWidth="1"/>
    <col min="13" max="14" width="10.44140625" bestFit="1" customWidth="1"/>
    <col min="15" max="15" width="9" bestFit="1" customWidth="1"/>
    <col min="16" max="16" width="7.44140625" bestFit="1" customWidth="1"/>
    <col min="17" max="18" width="15.44140625" bestFit="1" customWidth="1"/>
  </cols>
  <sheetData>
    <row r="1" spans="1:18">
      <c r="A1" s="73">
        <v>1</v>
      </c>
      <c r="B1" s="73">
        <f>A1+1</f>
        <v>2</v>
      </c>
      <c r="C1" s="73">
        <f t="shared" ref="C1:Q1" si="0">B1+1</f>
        <v>3</v>
      </c>
      <c r="D1" s="73">
        <f t="shared" si="0"/>
        <v>4</v>
      </c>
      <c r="E1" s="73">
        <f t="shared" si="0"/>
        <v>5</v>
      </c>
      <c r="F1" s="73">
        <f t="shared" si="0"/>
        <v>6</v>
      </c>
      <c r="G1" s="73">
        <f t="shared" si="0"/>
        <v>7</v>
      </c>
      <c r="H1" s="73">
        <f t="shared" si="0"/>
        <v>8</v>
      </c>
      <c r="I1" s="73">
        <f t="shared" si="0"/>
        <v>9</v>
      </c>
      <c r="J1" s="73">
        <f t="shared" si="0"/>
        <v>10</v>
      </c>
      <c r="K1" s="73">
        <f t="shared" si="0"/>
        <v>11</v>
      </c>
      <c r="L1" s="73">
        <f t="shared" si="0"/>
        <v>12</v>
      </c>
      <c r="M1" s="73">
        <f t="shared" si="0"/>
        <v>13</v>
      </c>
      <c r="N1" s="73">
        <f t="shared" si="0"/>
        <v>14</v>
      </c>
      <c r="O1" s="73">
        <f t="shared" si="0"/>
        <v>15</v>
      </c>
      <c r="P1" s="73">
        <f t="shared" si="0"/>
        <v>16</v>
      </c>
      <c r="Q1" s="73">
        <f t="shared" si="0"/>
        <v>17</v>
      </c>
      <c r="R1">
        <v>18</v>
      </c>
    </row>
    <row r="3" spans="1:18">
      <c r="A3" t="s">
        <v>277</v>
      </c>
      <c r="B3" s="718" t="s">
        <v>278</v>
      </c>
      <c r="C3" s="718" t="s">
        <v>279</v>
      </c>
      <c r="D3" t="s">
        <v>280</v>
      </c>
      <c r="E3" t="s">
        <v>281</v>
      </c>
      <c r="F3" t="s">
        <v>282</v>
      </c>
      <c r="G3" t="s">
        <v>256</v>
      </c>
      <c r="H3" t="s">
        <v>283</v>
      </c>
      <c r="I3" t="s">
        <v>284</v>
      </c>
      <c r="J3" t="s">
        <v>285</v>
      </c>
      <c r="K3" t="s">
        <v>286</v>
      </c>
      <c r="L3" t="s">
        <v>276</v>
      </c>
      <c r="M3" t="s">
        <v>287</v>
      </c>
      <c r="N3" s="75" t="s">
        <v>173</v>
      </c>
      <c r="O3" s="75" t="s">
        <v>288</v>
      </c>
      <c r="P3" t="s">
        <v>289</v>
      </c>
      <c r="Q3" t="s">
        <v>290</v>
      </c>
      <c r="R3" t="s">
        <v>291</v>
      </c>
    </row>
    <row r="4" spans="1:18">
      <c r="A4" s="243" t="s">
        <v>292</v>
      </c>
      <c r="B4" s="719">
        <v>51.118653000000002</v>
      </c>
      <c r="C4" s="719">
        <v>4.8420540000000001</v>
      </c>
      <c r="D4" s="243" t="s">
        <v>293</v>
      </c>
      <c r="E4" s="720"/>
      <c r="F4" s="243"/>
      <c r="G4" s="243"/>
      <c r="H4" s="73">
        <v>2000</v>
      </c>
      <c r="I4" t="s">
        <v>294</v>
      </c>
      <c r="J4" t="s">
        <v>295</v>
      </c>
      <c r="K4" t="s">
        <v>296</v>
      </c>
      <c r="L4" t="s">
        <v>297</v>
      </c>
      <c r="N4" s="721" t="s">
        <v>298</v>
      </c>
      <c r="O4" s="722"/>
      <c r="P4" s="717"/>
      <c r="Q4" s="723"/>
      <c r="R4" s="724"/>
    </row>
    <row r="5" spans="1:18">
      <c r="A5" s="243" t="s">
        <v>299</v>
      </c>
      <c r="B5" s="718">
        <v>50.295654800000001</v>
      </c>
      <c r="C5" s="718">
        <v>5.1008263999999599</v>
      </c>
      <c r="D5" s="243" t="s">
        <v>300</v>
      </c>
      <c r="E5" s="720"/>
      <c r="F5" s="243" t="s">
        <v>301</v>
      </c>
      <c r="G5" s="243"/>
      <c r="H5" s="73">
        <v>2000</v>
      </c>
      <c r="I5" t="s">
        <v>294</v>
      </c>
      <c r="J5" t="s">
        <v>295</v>
      </c>
      <c r="K5" t="s">
        <v>302</v>
      </c>
      <c r="L5" t="s">
        <v>303</v>
      </c>
      <c r="N5" s="721" t="s">
        <v>304</v>
      </c>
      <c r="O5" s="722"/>
      <c r="P5" s="717" t="s">
        <v>66</v>
      </c>
      <c r="Q5" s="723"/>
      <c r="R5" s="724"/>
    </row>
    <row r="6" spans="1:18">
      <c r="A6" s="243" t="s">
        <v>305</v>
      </c>
      <c r="B6" s="719">
        <v>50.228096000000001</v>
      </c>
      <c r="C6" s="719">
        <v>3.1514679999999999</v>
      </c>
      <c r="D6" s="243" t="s">
        <v>306</v>
      </c>
      <c r="E6" s="720"/>
      <c r="F6" s="243" t="s">
        <v>307</v>
      </c>
      <c r="G6" s="243"/>
      <c r="H6" s="73"/>
      <c r="N6" s="721" t="s">
        <v>308</v>
      </c>
      <c r="O6" s="722"/>
      <c r="P6" s="717"/>
      <c r="Q6" s="723"/>
      <c r="R6" s="724"/>
    </row>
    <row r="7" spans="1:18">
      <c r="A7" s="243" t="s">
        <v>309</v>
      </c>
      <c r="B7" s="718">
        <v>50.383798632233699</v>
      </c>
      <c r="C7" s="718">
        <v>5.8445491003417303</v>
      </c>
      <c r="D7" s="243" t="s">
        <v>310</v>
      </c>
      <c r="E7" s="720"/>
      <c r="F7" s="243" t="s">
        <v>311</v>
      </c>
      <c r="G7" s="243"/>
      <c r="H7" s="73">
        <v>2500</v>
      </c>
      <c r="I7" t="s">
        <v>294</v>
      </c>
      <c r="J7" t="s">
        <v>295</v>
      </c>
      <c r="K7" t="s">
        <v>302</v>
      </c>
      <c r="L7" t="s">
        <v>296</v>
      </c>
      <c r="N7" s="721" t="s">
        <v>312</v>
      </c>
      <c r="O7" s="722"/>
      <c r="P7" s="717" t="s">
        <v>52</v>
      </c>
      <c r="Q7" s="723"/>
      <c r="R7" s="724"/>
    </row>
    <row r="8" spans="1:18">
      <c r="A8" s="243" t="s">
        <v>214</v>
      </c>
      <c r="B8" s="718">
        <v>50.520898035446997</v>
      </c>
      <c r="C8" s="718">
        <v>4.8809397533813099</v>
      </c>
      <c r="D8" s="243" t="s">
        <v>313</v>
      </c>
      <c r="E8" s="720"/>
      <c r="F8" s="243" t="s">
        <v>314</v>
      </c>
      <c r="G8" s="243"/>
      <c r="H8" s="73">
        <v>2000</v>
      </c>
      <c r="I8" t="s">
        <v>294</v>
      </c>
      <c r="J8" t="s">
        <v>295</v>
      </c>
      <c r="K8" t="s">
        <v>303</v>
      </c>
      <c r="L8" t="s">
        <v>302</v>
      </c>
      <c r="N8" s="721" t="s">
        <v>312</v>
      </c>
      <c r="O8" s="722"/>
      <c r="P8" s="717" t="s">
        <v>66</v>
      </c>
      <c r="Q8" s="723"/>
      <c r="R8" s="724"/>
    </row>
    <row r="9" spans="1:18">
      <c r="A9" s="243" t="s">
        <v>315</v>
      </c>
      <c r="B9" s="718"/>
      <c r="C9" s="718"/>
      <c r="D9" s="243" t="s">
        <v>316</v>
      </c>
      <c r="E9" s="720">
        <v>2000</v>
      </c>
      <c r="F9" s="243" t="s">
        <v>317</v>
      </c>
      <c r="G9" s="243"/>
      <c r="H9" s="73"/>
      <c r="N9" s="725">
        <v>133125</v>
      </c>
      <c r="O9" s="722"/>
      <c r="P9" s="717"/>
      <c r="Q9" s="723"/>
      <c r="R9" s="724"/>
    </row>
    <row r="10" spans="1:18" ht="16.5" customHeight="1">
      <c r="A10" s="243" t="s">
        <v>318</v>
      </c>
      <c r="B10" s="726">
        <v>50.892180000000003</v>
      </c>
      <c r="C10" s="727">
        <v>5.4185999999999996</v>
      </c>
      <c r="D10" s="243" t="s">
        <v>319</v>
      </c>
      <c r="E10" s="720"/>
      <c r="F10" s="243"/>
      <c r="G10" s="243"/>
      <c r="H10" s="73">
        <v>1700</v>
      </c>
      <c r="N10" s="721"/>
      <c r="O10" s="722"/>
      <c r="P10" s="717"/>
      <c r="Q10" s="723"/>
      <c r="R10" s="724"/>
    </row>
    <row r="11" spans="1:18" ht="22.5" customHeight="1">
      <c r="A11" s="243" t="s">
        <v>320</v>
      </c>
      <c r="B11" s="728">
        <v>51.188446999999996</v>
      </c>
      <c r="C11" s="719">
        <v>4.4537969999999998</v>
      </c>
      <c r="D11" s="243" t="s">
        <v>321</v>
      </c>
      <c r="E11" s="720">
        <v>39</v>
      </c>
      <c r="F11" s="243" t="s">
        <v>322</v>
      </c>
      <c r="G11" s="243"/>
      <c r="H11" s="73">
        <v>700</v>
      </c>
      <c r="I11" t="s">
        <v>294</v>
      </c>
      <c r="J11" t="s">
        <v>295</v>
      </c>
      <c r="K11" t="s">
        <v>323</v>
      </c>
      <c r="L11" t="s">
        <v>296</v>
      </c>
      <c r="N11" s="729" t="s">
        <v>324</v>
      </c>
      <c r="O11" s="730" t="s">
        <v>325</v>
      </c>
      <c r="P11" s="731" t="s">
        <v>58</v>
      </c>
      <c r="Q11" s="732" t="s">
        <v>326</v>
      </c>
      <c r="R11" s="724"/>
    </row>
    <row r="12" spans="1:18">
      <c r="A12" s="243" t="s">
        <v>72</v>
      </c>
      <c r="B12" s="733">
        <v>50.153256199999902</v>
      </c>
      <c r="C12" s="727">
        <v>4.3841456999999702</v>
      </c>
      <c r="D12" s="243" t="s">
        <v>327</v>
      </c>
      <c r="E12" s="720">
        <v>990</v>
      </c>
      <c r="F12" s="243" t="s">
        <v>328</v>
      </c>
      <c r="G12" s="243"/>
      <c r="H12" s="73">
        <v>1900</v>
      </c>
      <c r="I12" t="s">
        <v>329</v>
      </c>
      <c r="J12" t="s">
        <v>330</v>
      </c>
      <c r="N12" s="725">
        <v>123200</v>
      </c>
      <c r="O12" s="722"/>
      <c r="P12" s="717"/>
      <c r="Q12" s="723"/>
      <c r="R12" s="724"/>
    </row>
    <row r="13" spans="1:18">
      <c r="A13" s="243" t="s">
        <v>331</v>
      </c>
      <c r="B13" s="719">
        <v>50.460048</v>
      </c>
      <c r="C13" s="719">
        <v>4.4532290000000003</v>
      </c>
      <c r="D13" s="243" t="s">
        <v>332</v>
      </c>
      <c r="E13" s="720">
        <v>614</v>
      </c>
      <c r="F13" s="243" t="s">
        <v>333</v>
      </c>
      <c r="G13" s="243"/>
      <c r="H13" s="73">
        <v>1600</v>
      </c>
      <c r="I13" t="s">
        <v>294</v>
      </c>
      <c r="J13" t="s">
        <v>295</v>
      </c>
      <c r="K13" t="s">
        <v>302</v>
      </c>
      <c r="L13" t="s">
        <v>296</v>
      </c>
      <c r="M13" s="734" t="s">
        <v>334</v>
      </c>
      <c r="N13" s="721" t="s">
        <v>335</v>
      </c>
      <c r="O13" s="735" t="s">
        <v>336</v>
      </c>
      <c r="P13" s="717" t="s">
        <v>207</v>
      </c>
      <c r="Q13" s="736">
        <v>121000</v>
      </c>
      <c r="R13" s="724"/>
    </row>
    <row r="14" spans="1:18">
      <c r="A14" s="243" t="s">
        <v>207</v>
      </c>
      <c r="B14" s="718">
        <v>50.636126099999998</v>
      </c>
      <c r="C14" s="737">
        <v>5.4479115999999896</v>
      </c>
      <c r="D14" s="243" t="s">
        <v>337</v>
      </c>
      <c r="E14" s="720">
        <v>659</v>
      </c>
      <c r="F14" s="243" t="s">
        <v>338</v>
      </c>
      <c r="G14" s="243"/>
      <c r="H14" s="73">
        <v>1500</v>
      </c>
      <c r="I14" t="s">
        <v>294</v>
      </c>
      <c r="J14" t="s">
        <v>295</v>
      </c>
      <c r="K14" t="s">
        <v>339</v>
      </c>
      <c r="L14" t="s">
        <v>296</v>
      </c>
      <c r="N14" s="721" t="s">
        <v>340</v>
      </c>
      <c r="O14" s="735" t="s">
        <v>341</v>
      </c>
      <c r="P14" s="717" t="s">
        <v>85</v>
      </c>
      <c r="Q14" s="723" t="s">
        <v>342</v>
      </c>
      <c r="R14" s="724"/>
    </row>
    <row r="15" spans="1:18">
      <c r="A15" s="243" t="s">
        <v>66</v>
      </c>
      <c r="B15" s="718">
        <v>50.488126000000001</v>
      </c>
      <c r="C15" s="718">
        <v>4.7697649999999996</v>
      </c>
      <c r="D15" s="243" t="s">
        <v>343</v>
      </c>
      <c r="E15" s="720">
        <v>594</v>
      </c>
      <c r="F15" s="243" t="s">
        <v>344</v>
      </c>
      <c r="G15" s="243"/>
      <c r="H15" s="73">
        <v>1600</v>
      </c>
      <c r="I15" t="s">
        <v>294</v>
      </c>
      <c r="J15" t="s">
        <v>295</v>
      </c>
      <c r="K15" t="s">
        <v>303</v>
      </c>
      <c r="L15" t="s">
        <v>302</v>
      </c>
      <c r="N15" s="725">
        <v>118000</v>
      </c>
      <c r="O15" s="722"/>
      <c r="P15" s="717" t="s">
        <v>331</v>
      </c>
      <c r="Q15" s="723"/>
      <c r="R15" s="724"/>
    </row>
    <row r="16" spans="1:18">
      <c r="A16" s="243" t="s">
        <v>345</v>
      </c>
      <c r="B16" s="718">
        <v>51.204193799999999</v>
      </c>
      <c r="C16" s="718">
        <v>2.8698127999999699</v>
      </c>
      <c r="D16" s="243" t="s">
        <v>346</v>
      </c>
      <c r="E16" s="720">
        <v>13</v>
      </c>
      <c r="F16" s="243" t="s">
        <v>347</v>
      </c>
      <c r="G16" s="243"/>
      <c r="H16" s="73">
        <v>900</v>
      </c>
      <c r="I16" t="s">
        <v>294</v>
      </c>
      <c r="J16" t="s">
        <v>295</v>
      </c>
      <c r="N16" s="725">
        <v>118175</v>
      </c>
      <c r="O16" s="725">
        <v>120600</v>
      </c>
      <c r="P16" s="717"/>
      <c r="Q16" s="723"/>
      <c r="R16" s="724"/>
    </row>
    <row r="17" spans="1:18">
      <c r="A17" s="243" t="s">
        <v>63</v>
      </c>
      <c r="B17" s="718">
        <v>50.039421699999998</v>
      </c>
      <c r="C17" s="718">
        <v>5.4056166000000303</v>
      </c>
      <c r="D17" s="243" t="s">
        <v>348</v>
      </c>
      <c r="E17" s="720">
        <v>1847</v>
      </c>
      <c r="F17" s="243" t="s">
        <v>349</v>
      </c>
      <c r="G17" s="243"/>
      <c r="H17" s="73">
        <v>2800</v>
      </c>
      <c r="I17" t="s">
        <v>294</v>
      </c>
      <c r="J17" t="s">
        <v>295</v>
      </c>
      <c r="L17" t="s">
        <v>302</v>
      </c>
      <c r="N17" s="721" t="s">
        <v>350</v>
      </c>
      <c r="O17" s="722"/>
      <c r="P17" s="717"/>
      <c r="Q17" s="723"/>
      <c r="R17" s="724"/>
    </row>
    <row r="18" spans="1:18">
      <c r="A18" s="243" t="s">
        <v>52</v>
      </c>
      <c r="B18" s="718">
        <v>50.478774899999998</v>
      </c>
      <c r="C18" s="718">
        <v>5.9099232999999396</v>
      </c>
      <c r="D18" s="243" t="s">
        <v>351</v>
      </c>
      <c r="E18" s="720">
        <v>1542</v>
      </c>
      <c r="F18" s="243" t="s">
        <v>352</v>
      </c>
      <c r="G18" s="243"/>
      <c r="H18" s="73">
        <v>2600</v>
      </c>
      <c r="I18" t="s">
        <v>294</v>
      </c>
      <c r="J18" t="s">
        <v>295</v>
      </c>
      <c r="K18" t="s">
        <v>302</v>
      </c>
      <c r="L18" t="s">
        <v>296</v>
      </c>
      <c r="N18" s="721" t="s">
        <v>353</v>
      </c>
      <c r="O18" s="722"/>
      <c r="P18" s="717" t="s">
        <v>207</v>
      </c>
      <c r="Q18" s="723"/>
      <c r="R18" s="724"/>
    </row>
    <row r="19" spans="1:18">
      <c r="A19" s="243" t="s">
        <v>58</v>
      </c>
      <c r="B19" s="718">
        <v>50.789632599999997</v>
      </c>
      <c r="C19" s="718">
        <v>5.1972984000000197</v>
      </c>
      <c r="D19" s="243" t="s">
        <v>354</v>
      </c>
      <c r="E19" s="720">
        <v>246</v>
      </c>
      <c r="F19" s="243" t="s">
        <v>355</v>
      </c>
      <c r="G19" s="243"/>
      <c r="H19" s="73">
        <v>1800</v>
      </c>
      <c r="I19" t="s">
        <v>294</v>
      </c>
      <c r="J19" t="s">
        <v>295</v>
      </c>
      <c r="K19" t="s">
        <v>303</v>
      </c>
      <c r="L19" t="s">
        <v>302</v>
      </c>
      <c r="N19" s="721" t="s">
        <v>356</v>
      </c>
      <c r="O19" s="722"/>
      <c r="P19" s="717" t="s">
        <v>207</v>
      </c>
      <c r="Q19" s="723"/>
      <c r="R19" s="724"/>
    </row>
    <row r="20" spans="1:18">
      <c r="A20" s="243" t="s">
        <v>85</v>
      </c>
      <c r="B20" s="718">
        <v>50.552692099999902</v>
      </c>
      <c r="C20" s="718">
        <v>5.8563986999999997</v>
      </c>
      <c r="D20" s="243" t="s">
        <v>357</v>
      </c>
      <c r="E20" s="720">
        <v>1099</v>
      </c>
      <c r="F20" s="243" t="s">
        <v>358</v>
      </c>
      <c r="G20" s="243"/>
      <c r="H20" s="73">
        <v>2100</v>
      </c>
      <c r="I20" t="s">
        <v>294</v>
      </c>
      <c r="J20" t="s">
        <v>295</v>
      </c>
      <c r="K20" t="s">
        <v>296</v>
      </c>
      <c r="L20" t="s">
        <v>302</v>
      </c>
      <c r="N20" s="721" t="s">
        <v>359</v>
      </c>
      <c r="O20" s="722"/>
      <c r="P20" s="717" t="s">
        <v>207</v>
      </c>
      <c r="Q20" s="723"/>
      <c r="R20" s="724"/>
    </row>
    <row r="21" spans="1:18">
      <c r="A21" s="243" t="s">
        <v>68</v>
      </c>
      <c r="B21" s="719">
        <v>50.97</v>
      </c>
      <c r="C21" s="719">
        <v>5.375</v>
      </c>
      <c r="D21" s="243" t="s">
        <v>360</v>
      </c>
      <c r="E21" s="720">
        <v>141</v>
      </c>
      <c r="F21" s="243" t="s">
        <v>361</v>
      </c>
      <c r="G21" s="243"/>
      <c r="H21" s="73">
        <v>1200</v>
      </c>
      <c r="K21" t="s">
        <v>323</v>
      </c>
      <c r="L21" t="s">
        <v>339</v>
      </c>
      <c r="N21" s="721">
        <v>118325</v>
      </c>
      <c r="O21" s="722"/>
      <c r="P21" s="717"/>
      <c r="Q21" s="723"/>
      <c r="R21" s="724"/>
    </row>
    <row r="22" spans="1:18">
      <c r="A22" s="243" t="s">
        <v>59</v>
      </c>
      <c r="B22" s="718">
        <v>51.014995999999996</v>
      </c>
      <c r="C22" s="718">
        <v>5.5256080000000303</v>
      </c>
      <c r="D22" s="243" t="s">
        <v>362</v>
      </c>
      <c r="E22" s="720">
        <v>278</v>
      </c>
      <c r="F22" s="243" t="s">
        <v>363</v>
      </c>
      <c r="G22" s="243"/>
      <c r="H22" s="73">
        <v>800</v>
      </c>
      <c r="I22" t="s">
        <v>294</v>
      </c>
      <c r="J22" t="s">
        <v>295</v>
      </c>
      <c r="K22" t="s">
        <v>303</v>
      </c>
      <c r="L22" t="s">
        <v>302</v>
      </c>
      <c r="N22" s="721" t="s">
        <v>364</v>
      </c>
      <c r="O22" s="722"/>
      <c r="P22" s="717" t="s">
        <v>207</v>
      </c>
      <c r="Q22" s="723"/>
      <c r="R22" s="738" t="s">
        <v>365</v>
      </c>
    </row>
    <row r="23" spans="1:18">
      <c r="A23" s="243" t="s">
        <v>366</v>
      </c>
      <c r="B23" s="726">
        <v>50.68</v>
      </c>
      <c r="C23" s="727">
        <v>5.6589999999999998</v>
      </c>
      <c r="D23" s="243" t="s">
        <v>367</v>
      </c>
      <c r="E23" s="720"/>
      <c r="F23" s="243" t="s">
        <v>368</v>
      </c>
      <c r="G23" s="243"/>
      <c r="H23" s="73">
        <v>2000</v>
      </c>
      <c r="N23" s="721" t="s">
        <v>340</v>
      </c>
      <c r="O23" s="722"/>
      <c r="P23" s="717"/>
      <c r="Q23" s="739">
        <v>126250</v>
      </c>
      <c r="R23" s="740"/>
    </row>
    <row r="24" spans="1:18">
      <c r="A24" s="243" t="s">
        <v>73</v>
      </c>
      <c r="B24" s="718"/>
      <c r="C24" s="718"/>
      <c r="D24" s="243" t="s">
        <v>369</v>
      </c>
      <c r="E24" s="720">
        <v>125</v>
      </c>
      <c r="F24" s="243" t="s">
        <v>370</v>
      </c>
      <c r="G24" s="243"/>
      <c r="H24" s="73">
        <v>1200</v>
      </c>
      <c r="N24" s="721"/>
      <c r="O24" s="722"/>
      <c r="P24" s="717"/>
      <c r="Q24" s="723"/>
      <c r="R24" s="724"/>
    </row>
    <row r="25" spans="1:18">
      <c r="A25" s="243" t="s">
        <v>371</v>
      </c>
      <c r="B25" s="719">
        <v>50.876665000000003</v>
      </c>
      <c r="C25" s="719">
        <v>5.134512</v>
      </c>
      <c r="D25" s="243" t="s">
        <v>372</v>
      </c>
      <c r="E25" s="720"/>
      <c r="F25" s="243" t="s">
        <v>373</v>
      </c>
      <c r="G25" s="243"/>
      <c r="H25" s="73">
        <v>2000</v>
      </c>
      <c r="I25" t="s">
        <v>294</v>
      </c>
      <c r="J25" t="s">
        <v>295</v>
      </c>
      <c r="K25" t="s">
        <v>323</v>
      </c>
      <c r="L25" t="s">
        <v>296</v>
      </c>
      <c r="N25" s="721" t="s">
        <v>374</v>
      </c>
      <c r="O25" s="722"/>
      <c r="P25" s="717" t="s">
        <v>58</v>
      </c>
      <c r="Q25" s="723"/>
      <c r="R25" s="724"/>
    </row>
    <row r="26" spans="1:18">
      <c r="A26" s="243" t="s">
        <v>375</v>
      </c>
      <c r="B26" s="718">
        <v>50.589255999999999</v>
      </c>
      <c r="C26" s="718">
        <v>5.9748079999999302</v>
      </c>
      <c r="D26" s="243" t="s">
        <v>376</v>
      </c>
      <c r="E26" s="720"/>
      <c r="F26" s="243" t="s">
        <v>377</v>
      </c>
      <c r="G26" s="243"/>
      <c r="H26" s="73">
        <v>2500</v>
      </c>
      <c r="I26" t="s">
        <v>294</v>
      </c>
      <c r="J26" t="s">
        <v>295</v>
      </c>
      <c r="K26" t="s">
        <v>296</v>
      </c>
      <c r="L26" t="s">
        <v>302</v>
      </c>
      <c r="N26" s="721"/>
      <c r="O26" s="722"/>
      <c r="P26" s="717" t="s">
        <v>52</v>
      </c>
      <c r="Q26" s="723"/>
      <c r="R26" s="724"/>
    </row>
    <row r="27" spans="1:18">
      <c r="A27" s="243" t="s">
        <v>209</v>
      </c>
      <c r="B27" s="718">
        <v>50.445999999999998</v>
      </c>
      <c r="C27" s="741">
        <v>5.9630000000000001</v>
      </c>
      <c r="D27" s="243" t="s">
        <v>378</v>
      </c>
      <c r="E27" s="720"/>
      <c r="F27" s="243" t="s">
        <v>379</v>
      </c>
      <c r="G27" s="243"/>
      <c r="H27" s="73">
        <v>2600</v>
      </c>
      <c r="I27" t="s">
        <v>294</v>
      </c>
      <c r="J27" t="s">
        <v>295</v>
      </c>
      <c r="K27" t="s">
        <v>302</v>
      </c>
      <c r="L27" t="s">
        <v>296</v>
      </c>
      <c r="N27" s="721"/>
      <c r="O27" s="722"/>
      <c r="P27" s="717" t="s">
        <v>52</v>
      </c>
      <c r="Q27" s="723"/>
      <c r="R27" s="724"/>
    </row>
    <row r="28" spans="1:18">
      <c r="A28" s="243" t="s">
        <v>380</v>
      </c>
      <c r="B28" s="718">
        <v>49.122355599999999</v>
      </c>
      <c r="C28" s="718">
        <v>5.4690471999999701</v>
      </c>
      <c r="D28" s="243" t="s">
        <v>381</v>
      </c>
      <c r="E28" s="720"/>
      <c r="F28" s="243"/>
      <c r="G28" s="243"/>
      <c r="H28" s="73">
        <v>1600</v>
      </c>
      <c r="I28" t="s">
        <v>294</v>
      </c>
      <c r="J28" t="s">
        <v>382</v>
      </c>
      <c r="N28" s="721"/>
      <c r="O28" s="722"/>
      <c r="P28" s="717"/>
      <c r="Q28" s="723"/>
      <c r="R28" s="724"/>
    </row>
    <row r="29" spans="1:18">
      <c r="A29" s="243" t="s">
        <v>71</v>
      </c>
      <c r="B29" s="719">
        <v>50.308481</v>
      </c>
      <c r="C29" s="719">
        <v>4.0301609999999997</v>
      </c>
      <c r="D29" s="243" t="s">
        <v>383</v>
      </c>
      <c r="E29" s="720">
        <v>452</v>
      </c>
      <c r="F29" s="243" t="s">
        <v>384</v>
      </c>
      <c r="G29" s="243"/>
      <c r="H29" s="73">
        <v>2000</v>
      </c>
      <c r="I29" t="s">
        <v>385</v>
      </c>
      <c r="J29" t="s">
        <v>382</v>
      </c>
      <c r="K29" t="s">
        <v>386</v>
      </c>
      <c r="L29" t="s">
        <v>302</v>
      </c>
      <c r="N29" s="721" t="s">
        <v>387</v>
      </c>
      <c r="O29" s="722"/>
      <c r="P29" s="717"/>
      <c r="Q29" s="723"/>
      <c r="R29" s="724"/>
    </row>
    <row r="30" spans="1:18" ht="15">
      <c r="A30" s="243" t="s">
        <v>388</v>
      </c>
      <c r="B30" s="718">
        <v>50.585913200486303</v>
      </c>
      <c r="C30" s="718">
        <v>5.7103580782988903</v>
      </c>
      <c r="D30" s="243" t="s">
        <v>389</v>
      </c>
      <c r="E30" s="720">
        <v>790</v>
      </c>
      <c r="F30" s="742" t="s">
        <v>390</v>
      </c>
      <c r="G30" s="742"/>
      <c r="H30" s="73">
        <v>2000</v>
      </c>
      <c r="I30" t="s">
        <v>294</v>
      </c>
      <c r="J30" t="s">
        <v>295</v>
      </c>
      <c r="K30" t="s">
        <v>296</v>
      </c>
      <c r="L30" t="s">
        <v>302</v>
      </c>
      <c r="N30" s="721" t="s">
        <v>391</v>
      </c>
      <c r="O30" s="722"/>
      <c r="P30" s="717" t="s">
        <v>207</v>
      </c>
      <c r="Q30" s="723" t="s">
        <v>342</v>
      </c>
      <c r="R30" s="724"/>
    </row>
    <row r="31" spans="1:18">
      <c r="A31" s="243" t="s">
        <v>392</v>
      </c>
      <c r="B31" s="719">
        <v>50.358156000000001</v>
      </c>
      <c r="C31" s="719">
        <v>4.8820680000000003</v>
      </c>
      <c r="D31" s="243" t="s">
        <v>393</v>
      </c>
      <c r="E31" s="720"/>
      <c r="F31" s="243" t="s">
        <v>394</v>
      </c>
      <c r="G31" s="243"/>
      <c r="H31" s="73">
        <v>2000</v>
      </c>
      <c r="I31" t="s">
        <v>294</v>
      </c>
      <c r="J31" t="s">
        <v>295</v>
      </c>
      <c r="K31" t="s">
        <v>302</v>
      </c>
      <c r="L31" t="s">
        <v>386</v>
      </c>
      <c r="N31" s="721"/>
      <c r="O31" s="722"/>
      <c r="P31" s="717"/>
      <c r="Q31" s="723"/>
      <c r="R31" s="724"/>
    </row>
    <row r="32" spans="1:18">
      <c r="A32" s="243" t="s">
        <v>395</v>
      </c>
      <c r="B32" s="718"/>
      <c r="C32" s="718"/>
      <c r="D32" s="243" t="s">
        <v>396</v>
      </c>
      <c r="E32" s="720">
        <v>2000</v>
      </c>
      <c r="F32" s="243" t="s">
        <v>397</v>
      </c>
      <c r="G32" s="243"/>
      <c r="H32" s="73"/>
      <c r="N32" s="721">
        <v>133.125</v>
      </c>
      <c r="O32" s="722"/>
      <c r="P32" s="717"/>
      <c r="Q32" s="723"/>
      <c r="R32" s="724"/>
    </row>
    <row r="33" spans="1:18">
      <c r="A33" s="243" t="s">
        <v>398</v>
      </c>
      <c r="B33" s="718"/>
      <c r="C33" s="718"/>
      <c r="D33" s="243" t="s">
        <v>399</v>
      </c>
      <c r="E33" s="720">
        <v>2000</v>
      </c>
      <c r="F33" s="243" t="s">
        <v>400</v>
      </c>
      <c r="G33" s="243"/>
      <c r="H33" s="73"/>
      <c r="N33" s="721">
        <v>133.125</v>
      </c>
      <c r="O33" s="722"/>
      <c r="P33" s="717"/>
      <c r="Q33" s="723"/>
      <c r="R33" s="724"/>
    </row>
    <row r="34" spans="1:18">
      <c r="A34" s="243" t="s">
        <v>401</v>
      </c>
      <c r="B34" s="718"/>
      <c r="C34" s="718"/>
      <c r="D34" s="243" t="s">
        <v>402</v>
      </c>
      <c r="E34" s="720">
        <v>2000</v>
      </c>
      <c r="F34" s="243" t="s">
        <v>403</v>
      </c>
      <c r="G34" s="243"/>
      <c r="H34" s="73"/>
      <c r="N34" s="721">
        <v>133.125</v>
      </c>
      <c r="O34" s="722"/>
      <c r="P34" s="717"/>
      <c r="Q34" s="723"/>
      <c r="R34" s="724"/>
    </row>
    <row r="35" spans="1:18">
      <c r="A35" s="243" t="s">
        <v>404</v>
      </c>
      <c r="B35" s="718">
        <v>50.792000000000002</v>
      </c>
      <c r="C35" s="718">
        <v>5.5309999999999997</v>
      </c>
      <c r="D35" s="243" t="s">
        <v>405</v>
      </c>
      <c r="E35" s="720"/>
      <c r="F35" s="243" t="s">
        <v>368</v>
      </c>
      <c r="G35" s="243"/>
      <c r="H35" s="73">
        <v>2000</v>
      </c>
      <c r="N35" s="721" t="s">
        <v>340</v>
      </c>
      <c r="O35" s="722"/>
      <c r="P35" s="717"/>
      <c r="Q35" s="723"/>
      <c r="R35" s="724"/>
    </row>
    <row r="36" spans="1:18">
      <c r="A36" s="243" t="s">
        <v>406</v>
      </c>
      <c r="B36" s="743">
        <v>50.5354851376132</v>
      </c>
      <c r="C36" s="718">
        <v>4.3636751174926696</v>
      </c>
      <c r="D36" s="243" t="s">
        <v>407</v>
      </c>
      <c r="E36" s="720">
        <v>2000</v>
      </c>
      <c r="F36" s="243" t="s">
        <v>408</v>
      </c>
      <c r="G36" s="243"/>
      <c r="H36" s="73">
        <v>459</v>
      </c>
      <c r="N36" s="721">
        <v>133.125</v>
      </c>
      <c r="O36" s="722"/>
      <c r="P36" s="717"/>
      <c r="Q36" s="723"/>
      <c r="R36" s="724"/>
    </row>
    <row r="37" spans="1:18">
      <c r="A37" s="243" t="s">
        <v>409</v>
      </c>
      <c r="B37" s="744">
        <v>50.566513426772701</v>
      </c>
      <c r="C37" s="744">
        <v>5.5494689941406197</v>
      </c>
      <c r="D37" s="243" t="s">
        <v>410</v>
      </c>
      <c r="E37" s="720"/>
      <c r="F37" s="243" t="s">
        <v>368</v>
      </c>
      <c r="G37" s="243"/>
      <c r="H37" s="73">
        <v>2000</v>
      </c>
      <c r="I37" t="s">
        <v>329</v>
      </c>
      <c r="J37" t="s">
        <v>295</v>
      </c>
      <c r="K37" t="s">
        <v>296</v>
      </c>
      <c r="L37" t="s">
        <v>411</v>
      </c>
      <c r="N37" s="721" t="s">
        <v>340</v>
      </c>
      <c r="O37" s="722"/>
      <c r="P37" s="717" t="s">
        <v>207</v>
      </c>
      <c r="Q37" s="723" t="s">
        <v>342</v>
      </c>
      <c r="R37" s="724"/>
    </row>
    <row r="38" spans="1:18">
      <c r="A38" s="243" t="s">
        <v>412</v>
      </c>
      <c r="B38" s="744">
        <v>50.7043294056419</v>
      </c>
      <c r="C38" s="744">
        <v>5.2933502197265598</v>
      </c>
      <c r="D38" s="243" t="s">
        <v>413</v>
      </c>
      <c r="E38" s="720"/>
      <c r="F38" s="243" t="s">
        <v>368</v>
      </c>
      <c r="G38" s="243"/>
      <c r="H38" s="73">
        <v>2000</v>
      </c>
      <c r="I38" t="s">
        <v>294</v>
      </c>
      <c r="J38" t="s">
        <v>295</v>
      </c>
      <c r="K38" t="s">
        <v>296</v>
      </c>
      <c r="L38" t="s">
        <v>302</v>
      </c>
      <c r="N38" s="721" t="s">
        <v>340</v>
      </c>
      <c r="O38" s="722"/>
      <c r="P38" s="717" t="s">
        <v>207</v>
      </c>
      <c r="Q38" s="723" t="s">
        <v>342</v>
      </c>
      <c r="R38" s="724"/>
    </row>
    <row r="39" spans="1:18">
      <c r="A39" s="243" t="s">
        <v>414</v>
      </c>
      <c r="B39" s="718"/>
      <c r="C39" s="718"/>
      <c r="D39" s="243" t="s">
        <v>415</v>
      </c>
      <c r="E39" s="720">
        <v>2000</v>
      </c>
      <c r="F39" s="243" t="s">
        <v>416</v>
      </c>
      <c r="G39" s="243"/>
      <c r="H39" s="73"/>
      <c r="N39" s="721">
        <v>133.125</v>
      </c>
      <c r="O39" s="722"/>
      <c r="P39" s="717"/>
      <c r="Q39" s="723"/>
      <c r="R39" s="724"/>
    </row>
    <row r="40" spans="1:18">
      <c r="A40" s="243" t="s">
        <v>417</v>
      </c>
      <c r="B40" s="718">
        <v>50.410202281882199</v>
      </c>
      <c r="C40" s="718">
        <v>4.4955110549926696</v>
      </c>
      <c r="D40" s="243" t="s">
        <v>418</v>
      </c>
      <c r="E40" s="720">
        <v>2000</v>
      </c>
      <c r="F40" s="243" t="s">
        <v>419</v>
      </c>
      <c r="G40" s="243"/>
      <c r="H40" s="73">
        <v>413</v>
      </c>
      <c r="N40" s="721">
        <v>133.125</v>
      </c>
      <c r="O40" s="722"/>
      <c r="P40" s="717"/>
      <c r="Q40" s="723"/>
      <c r="R40" s="724"/>
    </row>
    <row r="41" spans="1:18">
      <c r="A41" s="243" t="s">
        <v>420</v>
      </c>
      <c r="B41" s="718">
        <v>50.38391</v>
      </c>
      <c r="C41" s="718">
        <v>4.5786600000000099</v>
      </c>
      <c r="D41" s="243" t="s">
        <v>421</v>
      </c>
      <c r="E41" s="720">
        <v>2000</v>
      </c>
      <c r="F41" s="243" t="s">
        <v>422</v>
      </c>
      <c r="G41" s="243"/>
      <c r="H41" s="73">
        <v>443</v>
      </c>
      <c r="N41" s="721">
        <v>133.125</v>
      </c>
      <c r="O41" s="722"/>
      <c r="P41" s="717"/>
      <c r="Q41" s="723"/>
      <c r="R41" s="724"/>
    </row>
    <row r="42" spans="1:18" ht="15">
      <c r="A42" s="243" t="s">
        <v>212</v>
      </c>
      <c r="B42" s="718">
        <v>50.514742652144001</v>
      </c>
      <c r="C42" s="718">
        <v>5.6234779565254396</v>
      </c>
      <c r="D42" s="243" t="s">
        <v>423</v>
      </c>
      <c r="E42" s="745">
        <v>931</v>
      </c>
      <c r="F42" s="742" t="s">
        <v>424</v>
      </c>
      <c r="G42" s="742"/>
      <c r="H42" s="73">
        <v>2000</v>
      </c>
      <c r="I42" t="s">
        <v>294</v>
      </c>
      <c r="J42" t="s">
        <v>295</v>
      </c>
      <c r="K42" t="s">
        <v>302</v>
      </c>
      <c r="L42" t="s">
        <v>296</v>
      </c>
      <c r="N42" s="721" t="s">
        <v>425</v>
      </c>
      <c r="O42" s="722"/>
      <c r="P42" s="717" t="s">
        <v>207</v>
      </c>
      <c r="Q42" s="723" t="s">
        <v>342</v>
      </c>
      <c r="R42" s="724"/>
    </row>
    <row r="43" spans="1:18">
      <c r="A43" s="243" t="s">
        <v>426</v>
      </c>
      <c r="B43" s="718">
        <v>50.528028999999997</v>
      </c>
      <c r="C43" s="718">
        <v>5.9193990000000003</v>
      </c>
      <c r="D43" s="243" t="s">
        <v>427</v>
      </c>
      <c r="E43" s="720"/>
      <c r="F43" s="243" t="s">
        <v>314</v>
      </c>
      <c r="G43" s="243"/>
      <c r="H43" s="73">
        <v>2600</v>
      </c>
      <c r="N43" s="721"/>
      <c r="O43" s="722"/>
      <c r="P43" s="717"/>
      <c r="Q43" s="723"/>
      <c r="R43" s="724"/>
    </row>
    <row r="44" spans="1:18">
      <c r="A44" s="243" t="s">
        <v>199</v>
      </c>
      <c r="B44" s="746">
        <f t="shared" ref="B44:C52" si="1">B57*24</f>
        <v>50.81861111111111</v>
      </c>
      <c r="C44" s="746">
        <f t="shared" si="1"/>
        <v>3.2091666666666665</v>
      </c>
      <c r="D44" s="243" t="s">
        <v>428</v>
      </c>
      <c r="E44" s="720">
        <v>64</v>
      </c>
      <c r="F44" s="243" t="s">
        <v>429</v>
      </c>
      <c r="G44" s="243"/>
      <c r="H44" s="73">
        <v>1600</v>
      </c>
      <c r="N44" s="721" t="s">
        <v>430</v>
      </c>
      <c r="O44" s="722"/>
      <c r="P44" s="717"/>
      <c r="Q44" s="723"/>
      <c r="R44" s="724" t="s">
        <v>431</v>
      </c>
    </row>
    <row r="45" spans="1:18">
      <c r="A45" s="243" t="s">
        <v>432</v>
      </c>
      <c r="B45" s="746">
        <f t="shared" si="1"/>
        <v>50.871388888888887</v>
      </c>
      <c r="C45" s="746">
        <f t="shared" si="1"/>
        <v>3.4427777777777777</v>
      </c>
      <c r="D45" s="243" t="s">
        <v>433</v>
      </c>
      <c r="E45" s="720"/>
      <c r="F45" s="243" t="s">
        <v>434</v>
      </c>
      <c r="G45" s="243"/>
      <c r="H45" s="73">
        <v>1500</v>
      </c>
      <c r="N45" s="721"/>
      <c r="O45" s="722"/>
      <c r="P45" s="717"/>
      <c r="Q45" s="723"/>
      <c r="R45" s="724"/>
    </row>
    <row r="46" spans="1:18">
      <c r="A46" t="s">
        <v>435</v>
      </c>
      <c r="B46" s="746">
        <f t="shared" si="1"/>
        <v>50.914722222222224</v>
      </c>
      <c r="C46" s="746">
        <f t="shared" si="1"/>
        <v>3.2705555555555552</v>
      </c>
      <c r="D46" s="243" t="s">
        <v>436</v>
      </c>
      <c r="E46" s="720"/>
      <c r="F46" s="243" t="s">
        <v>437</v>
      </c>
      <c r="G46" s="243"/>
      <c r="H46" s="73">
        <v>1500</v>
      </c>
      <c r="N46" s="721"/>
      <c r="O46" s="722"/>
      <c r="P46" s="717"/>
      <c r="Q46" s="723"/>
      <c r="R46" s="724"/>
    </row>
    <row r="47" spans="1:18">
      <c r="A47" t="s">
        <v>218</v>
      </c>
      <c r="B47" s="746">
        <f t="shared" si="1"/>
        <v>50.729444444444447</v>
      </c>
      <c r="C47" s="746">
        <f t="shared" si="1"/>
        <v>3.293333333333333</v>
      </c>
      <c r="D47" s="243" t="s">
        <v>438</v>
      </c>
      <c r="E47" s="720"/>
      <c r="F47" s="243" t="s">
        <v>439</v>
      </c>
      <c r="G47" s="243"/>
      <c r="H47" s="73">
        <v>1500</v>
      </c>
      <c r="N47" s="721"/>
      <c r="O47" s="722"/>
      <c r="P47" s="717"/>
      <c r="Q47" s="723"/>
      <c r="R47" s="724"/>
    </row>
    <row r="48" spans="1:18">
      <c r="A48" t="s">
        <v>440</v>
      </c>
      <c r="B48" s="746">
        <f t="shared" si="1"/>
        <v>50.836111111111109</v>
      </c>
      <c r="C48" s="746">
        <f t="shared" si="1"/>
        <v>3.0122222222222224</v>
      </c>
      <c r="D48" s="243" t="s">
        <v>441</v>
      </c>
      <c r="E48" s="720"/>
      <c r="F48" s="243" t="s">
        <v>442</v>
      </c>
      <c r="G48" s="243"/>
      <c r="H48" s="73">
        <v>1500</v>
      </c>
      <c r="N48" s="721"/>
      <c r="O48" s="722"/>
      <c r="P48" s="717"/>
      <c r="Q48" s="723"/>
      <c r="R48" s="724"/>
    </row>
    <row r="49" spans="1:18">
      <c r="A49" s="243" t="s">
        <v>216</v>
      </c>
      <c r="B49" s="746">
        <f t="shared" si="1"/>
        <v>50.699444444444438</v>
      </c>
      <c r="C49" s="746">
        <f t="shared" si="1"/>
        <v>4.2077777777777774</v>
      </c>
      <c r="D49" s="243" t="s">
        <v>443</v>
      </c>
      <c r="E49" s="720"/>
      <c r="F49" s="243" t="s">
        <v>444</v>
      </c>
      <c r="G49" s="243"/>
      <c r="H49" s="73">
        <v>1500</v>
      </c>
      <c r="N49" s="721"/>
      <c r="O49" s="722"/>
      <c r="P49" s="717"/>
      <c r="Q49" s="723"/>
      <c r="R49" s="724"/>
    </row>
    <row r="50" spans="1:18">
      <c r="A50" s="243"/>
      <c r="B50" s="746">
        <f t="shared" si="1"/>
        <v>0</v>
      </c>
      <c r="C50" s="746">
        <f t="shared" si="1"/>
        <v>0</v>
      </c>
      <c r="D50" s="243"/>
      <c r="E50" s="720"/>
      <c r="F50" s="243"/>
      <c r="G50" s="243"/>
      <c r="H50" s="73"/>
      <c r="N50" s="721"/>
      <c r="O50" s="722"/>
      <c r="P50" s="717"/>
      <c r="Q50" s="723"/>
      <c r="R50" s="724"/>
    </row>
    <row r="51" spans="1:18">
      <c r="A51" s="243"/>
      <c r="B51" s="746">
        <f t="shared" si="1"/>
        <v>0</v>
      </c>
      <c r="C51" s="746">
        <f t="shared" si="1"/>
        <v>0</v>
      </c>
      <c r="D51" s="243"/>
      <c r="E51" s="720"/>
      <c r="F51" s="243"/>
      <c r="G51" s="243"/>
      <c r="H51" s="73"/>
      <c r="N51" s="721"/>
      <c r="O51" s="722"/>
      <c r="P51" s="717"/>
      <c r="Q51" s="723"/>
      <c r="R51" s="724"/>
    </row>
    <row r="52" spans="1:18">
      <c r="A52" s="243"/>
      <c r="B52" s="746">
        <f t="shared" si="1"/>
        <v>0</v>
      </c>
      <c r="C52" s="746">
        <f t="shared" si="1"/>
        <v>0</v>
      </c>
      <c r="D52" s="243"/>
      <c r="E52" s="720"/>
      <c r="F52" s="243"/>
      <c r="G52" s="243"/>
      <c r="H52" s="73"/>
      <c r="N52" s="721"/>
      <c r="O52" s="722"/>
      <c r="P52" s="717"/>
      <c r="Q52" s="723"/>
      <c r="R52" s="724"/>
    </row>
    <row r="53" spans="1:18">
      <c r="A53" s="73" t="s">
        <v>445</v>
      </c>
      <c r="B53" s="747">
        <v>0</v>
      </c>
      <c r="C53" s="747">
        <v>0</v>
      </c>
      <c r="D53" s="73" t="s">
        <v>445</v>
      </c>
      <c r="E53" s="748"/>
      <c r="F53" s="73"/>
      <c r="G53" s="73"/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/>
      <c r="N53" s="721">
        <v>0</v>
      </c>
      <c r="O53" s="722">
        <v>0</v>
      </c>
      <c r="P53" s="717"/>
      <c r="Q53" s="723"/>
      <c r="R53" s="724"/>
    </row>
    <row r="56" spans="1:18">
      <c r="A56" t="s">
        <v>280</v>
      </c>
      <c r="B56" t="s">
        <v>446</v>
      </c>
      <c r="C56" t="s">
        <v>447</v>
      </c>
      <c r="D56" t="s">
        <v>448</v>
      </c>
      <c r="E56" t="s">
        <v>449</v>
      </c>
    </row>
    <row r="57" spans="1:18">
      <c r="A57" t="s">
        <v>199</v>
      </c>
      <c r="B57" s="749">
        <v>2.1174421296296297</v>
      </c>
      <c r="C57" s="749">
        <v>0.13371527777777778</v>
      </c>
      <c r="D57" s="750">
        <f>B57*24</f>
        <v>50.81861111111111</v>
      </c>
      <c r="E57" s="750">
        <f>C57*24</f>
        <v>3.2091666666666665</v>
      </c>
    </row>
    <row r="58" spans="1:18">
      <c r="A58" t="s">
        <v>450</v>
      </c>
      <c r="B58" s="749">
        <v>2.1196412037037038</v>
      </c>
      <c r="C58" s="749">
        <v>0.14344907407407406</v>
      </c>
      <c r="D58" s="750">
        <f t="shared" ref="D58:E66" si="2">B58*24</f>
        <v>50.871388888888887</v>
      </c>
      <c r="E58" s="750">
        <f t="shared" si="2"/>
        <v>3.4427777777777777</v>
      </c>
    </row>
    <row r="59" spans="1:18">
      <c r="A59" t="s">
        <v>451</v>
      </c>
      <c r="B59" s="749">
        <v>2.1214467592592592</v>
      </c>
      <c r="C59" s="749">
        <v>0.13627314814814814</v>
      </c>
      <c r="D59" s="750">
        <f t="shared" si="2"/>
        <v>50.914722222222224</v>
      </c>
      <c r="E59" s="750">
        <f t="shared" si="2"/>
        <v>3.2705555555555552</v>
      </c>
    </row>
    <row r="60" spans="1:18">
      <c r="A60" t="s">
        <v>452</v>
      </c>
      <c r="B60" s="749">
        <v>2.1137268518518519</v>
      </c>
      <c r="C60" s="749">
        <v>0.13722222222222222</v>
      </c>
      <c r="D60" s="750">
        <f t="shared" si="2"/>
        <v>50.729444444444447</v>
      </c>
      <c r="E60" s="750">
        <f t="shared" si="2"/>
        <v>3.293333333333333</v>
      </c>
    </row>
    <row r="61" spans="1:18">
      <c r="A61" t="s">
        <v>441</v>
      </c>
      <c r="B61" s="749">
        <v>2.1181712962962962</v>
      </c>
      <c r="C61" s="751">
        <v>0.12550925925925926</v>
      </c>
      <c r="D61" s="750">
        <f t="shared" si="2"/>
        <v>50.836111111111109</v>
      </c>
      <c r="E61" s="750">
        <f t="shared" si="2"/>
        <v>3.0122222222222224</v>
      </c>
    </row>
    <row r="62" spans="1:18">
      <c r="A62" t="s">
        <v>443</v>
      </c>
      <c r="B62" s="749">
        <v>2.1124768518518517</v>
      </c>
      <c r="C62" s="751">
        <v>0.17532407407407405</v>
      </c>
      <c r="D62" s="750">
        <f t="shared" si="2"/>
        <v>50.699444444444438</v>
      </c>
      <c r="E62" s="750">
        <f t="shared" si="2"/>
        <v>4.2077777777777774</v>
      </c>
    </row>
    <row r="63" spans="1:18">
      <c r="D63" s="750">
        <f t="shared" si="2"/>
        <v>0</v>
      </c>
      <c r="E63" s="750">
        <f t="shared" si="2"/>
        <v>0</v>
      </c>
    </row>
    <row r="64" spans="1:18">
      <c r="D64" s="750">
        <f t="shared" si="2"/>
        <v>0</v>
      </c>
      <c r="E64" s="750">
        <f t="shared" si="2"/>
        <v>0</v>
      </c>
    </row>
    <row r="65" spans="4:5">
      <c r="D65" s="750">
        <f t="shared" si="2"/>
        <v>0</v>
      </c>
      <c r="E65" s="750">
        <f t="shared" si="2"/>
        <v>0</v>
      </c>
    </row>
    <row r="66" spans="4:5">
      <c r="D66" s="750">
        <f t="shared" si="2"/>
        <v>0</v>
      </c>
      <c r="E66" s="750">
        <f t="shared" si="2"/>
        <v>0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36" baseType="lpstr">
      <vt:lpstr>Tableau de bord</vt:lpstr>
      <vt:lpstr>CARNET_DE_VOL</vt:lpstr>
      <vt:lpstr>ANCIEN CV</vt:lpstr>
      <vt:lpstr>Feuilles de progression</vt:lpstr>
      <vt:lpstr>LOG NAV</vt:lpstr>
      <vt:lpstr>PREPARATION nav</vt:lpstr>
      <vt:lpstr>Data</vt:lpstr>
      <vt:lpstr>DATAIOAC</vt:lpstr>
      <vt:lpstr>Graphique1</vt:lpstr>
      <vt:lpstr>Graphique2</vt:lpstr>
      <vt:lpstr>Graphique3</vt:lpstr>
      <vt:lpstr>Autono</vt:lpstr>
      <vt:lpstr>Autovol</vt:lpstr>
      <vt:lpstr>Choix</vt:lpstr>
      <vt:lpstr>derive5</vt:lpstr>
      <vt:lpstr>ETA</vt:lpstr>
      <vt:lpstr>GPSLat</vt:lpstr>
      <vt:lpstr>GPSLatD</vt:lpstr>
      <vt:lpstr>GPSLong</vt:lpstr>
      <vt:lpstr>GPSLongD</vt:lpstr>
      <vt:lpstr>LTC</vt:lpstr>
      <vt:lpstr>TANK</vt:lpstr>
      <vt:lpstr>totalad1</vt:lpstr>
      <vt:lpstr>totalad2</vt:lpstr>
      <vt:lpstr>totalad3</vt:lpstr>
      <vt:lpstr>totalad4</vt:lpstr>
      <vt:lpstr>totalad5</vt:lpstr>
      <vt:lpstr>totalad6</vt:lpstr>
      <vt:lpstr>totalad7</vt:lpstr>
      <vt:lpstr>Ttnc</vt:lpstr>
      <vt:lpstr>UTC</vt:lpstr>
      <vt:lpstr>CARNET_DE_VOL!Zone_d_impression</vt:lpstr>
      <vt:lpstr>'Feuilles de progression'!Zone_d_impression</vt:lpstr>
      <vt:lpstr>'LOG NAV'!Zone_d_impression</vt:lpstr>
      <vt:lpstr>'PREPARATION nav'!Zone_d_impression</vt:lpstr>
      <vt:lpstr>'Tableau de bord'!Zone_d_impression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2018-02-24T11:08:34Z</dcterms:created>
  <dcterms:modified xsi:type="dcterms:W3CDTF">2018-02-24T11:22:49Z</dcterms:modified>
</cp:coreProperties>
</file>