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/>
  <bookViews>
    <workbookView xWindow="0" yWindow="0" windowWidth="20496" windowHeight="7200" tabRatio="873" firstSheet="2" activeTab="8"/>
  </bookViews>
  <sheets>
    <sheet name="vent pdt série" sheetId="1" r:id="rId1"/>
    <sheet name="données prév" sheetId="2" r:id="rId2"/>
    <sheet name="coûts prévis" sheetId="3" r:id="rId3"/>
    <sheet name="tréso prév" sheetId="4" r:id="rId4"/>
    <sheet name="état fi prévis" sheetId="5" r:id="rId5"/>
    <sheet name="données réelles" sheetId="6" r:id="rId6"/>
    <sheet name="coûts réels" sheetId="7" r:id="rId7"/>
    <sheet name="Tréso réelle" sheetId="9" r:id="rId8"/>
    <sheet name="état fi réel" sheetId="8" r:id="rId9"/>
    <sheet name="Feuil1" sheetId="10" r:id="rId10"/>
  </sheets>
  <definedNames>
    <definedName name="TVA">'données prév'!$B$19</definedName>
    <definedName name="txTVA">'données prév'!$B$19</definedName>
    <definedName name="_xlnm.Print_Area" localSheetId="8">'état fi réel'!$A$1:$P$51</definedName>
    <definedName name="_xlnm.Print_Area" localSheetId="3">'tréso prév'!$A$1:$O$77</definedName>
  </definedNames>
  <calcPr calcId="125725" calcMode="manual" iterate="1" calcCompleted="0" calcOnSave="0"/>
</workbook>
</file>

<file path=xl/calcChain.xml><?xml version="1.0" encoding="utf-8"?>
<calcChain xmlns="http://schemas.openxmlformats.org/spreadsheetml/2006/main">
  <c r="M4" i="8"/>
  <c r="B7"/>
  <c r="O5" l="1"/>
  <c r="O7"/>
  <c r="O8"/>
  <c r="O9"/>
  <c r="O10"/>
  <c r="O11"/>
  <c r="O12"/>
  <c r="O13"/>
  <c r="O14"/>
  <c r="O15"/>
  <c r="O16"/>
  <c r="O17"/>
  <c r="O19"/>
  <c r="O20"/>
  <c r="O21"/>
  <c r="O22"/>
  <c r="O24"/>
  <c r="O26"/>
  <c r="O27"/>
  <c r="O3"/>
  <c r="H6"/>
  <c r="H7"/>
  <c r="H8"/>
  <c r="H9"/>
  <c r="H10"/>
  <c r="H12"/>
  <c r="H15"/>
  <c r="H16"/>
  <c r="H20"/>
  <c r="H21"/>
  <c r="H23"/>
  <c r="H24"/>
  <c r="H25"/>
  <c r="H27"/>
  <c r="H5"/>
  <c r="M21"/>
  <c r="F25" s="1"/>
  <c r="F24" i="5"/>
  <c r="N4" i="8"/>
  <c r="N5"/>
  <c r="N6"/>
  <c r="N7"/>
  <c r="N8"/>
  <c r="N9"/>
  <c r="N10"/>
  <c r="N11"/>
  <c r="N12"/>
  <c r="N13"/>
  <c r="N14"/>
  <c r="N15"/>
  <c r="N16"/>
  <c r="N17"/>
  <c r="N18"/>
  <c r="N19"/>
  <c r="N20"/>
  <c r="N22"/>
  <c r="N3"/>
  <c r="G27"/>
  <c r="G22"/>
  <c r="G17"/>
  <c r="G18"/>
  <c r="G19"/>
  <c r="G20"/>
  <c r="G16"/>
  <c r="G13"/>
  <c r="F15" i="5"/>
  <c r="C10" i="8"/>
  <c r="D10"/>
  <c r="E10"/>
  <c r="B10"/>
  <c r="C35" i="9"/>
  <c r="D35"/>
  <c r="E35"/>
  <c r="F35"/>
  <c r="G35"/>
  <c r="H35"/>
  <c r="I35"/>
  <c r="J35"/>
  <c r="K35"/>
  <c r="L35"/>
  <c r="M35"/>
  <c r="B35"/>
  <c r="N27"/>
  <c r="E27"/>
  <c r="M29" l="1"/>
  <c r="L29"/>
  <c r="K29"/>
  <c r="J29"/>
  <c r="I29"/>
  <c r="H29"/>
  <c r="G29"/>
  <c r="F29"/>
  <c r="M14" i="8"/>
  <c r="M13"/>
  <c r="M12"/>
  <c r="M11"/>
  <c r="M10"/>
  <c r="M8"/>
  <c r="M5"/>
  <c r="F20" l="1"/>
  <c r="F10" i="5"/>
  <c r="B50" i="8" l="1"/>
  <c r="B49"/>
  <c r="B48"/>
  <c r="B47"/>
  <c r="E48"/>
  <c r="E49"/>
  <c r="E47"/>
  <c r="D42"/>
  <c r="D43"/>
  <c r="D41"/>
  <c r="E41"/>
  <c r="C41"/>
  <c r="H41"/>
  <c r="B41"/>
  <c r="C43"/>
  <c r="C42"/>
  <c r="H43"/>
  <c r="H42"/>
  <c r="E43"/>
  <c r="E42"/>
  <c r="B43"/>
  <c r="B42"/>
  <c r="J33"/>
  <c r="K33"/>
  <c r="I33"/>
  <c r="G33"/>
  <c r="H33"/>
  <c r="F33"/>
  <c r="D33"/>
  <c r="E33"/>
  <c r="C33"/>
  <c r="P45" i="9"/>
  <c r="O45"/>
  <c r="E44"/>
  <c r="F44"/>
  <c r="G44"/>
  <c r="H44"/>
  <c r="I44"/>
  <c r="J44"/>
  <c r="K44"/>
  <c r="L44"/>
  <c r="M44"/>
  <c r="E45"/>
  <c r="N45" s="1"/>
  <c r="F45"/>
  <c r="G45"/>
  <c r="H45"/>
  <c r="I45"/>
  <c r="I48" s="1"/>
  <c r="J45"/>
  <c r="K45"/>
  <c r="L45"/>
  <c r="M45"/>
  <c r="M48" s="1"/>
  <c r="D45"/>
  <c r="P42"/>
  <c r="P43"/>
  <c r="O43"/>
  <c r="E43"/>
  <c r="F43"/>
  <c r="G43"/>
  <c r="H43"/>
  <c r="I43"/>
  <c r="J43"/>
  <c r="K43"/>
  <c r="L43"/>
  <c r="M43"/>
  <c r="D43"/>
  <c r="P40"/>
  <c r="P41"/>
  <c r="O41"/>
  <c r="E41"/>
  <c r="F41"/>
  <c r="N41" s="1"/>
  <c r="G41"/>
  <c r="H41"/>
  <c r="I41"/>
  <c r="J41"/>
  <c r="K41"/>
  <c r="L41"/>
  <c r="M41"/>
  <c r="D41"/>
  <c r="C46"/>
  <c r="D46"/>
  <c r="E46"/>
  <c r="F46"/>
  <c r="G46"/>
  <c r="H46"/>
  <c r="I46"/>
  <c r="J46"/>
  <c r="K46"/>
  <c r="L46"/>
  <c r="M46"/>
  <c r="B46"/>
  <c r="B48"/>
  <c r="P44"/>
  <c r="O44"/>
  <c r="D44"/>
  <c r="O42"/>
  <c r="E42"/>
  <c r="F42"/>
  <c r="G42"/>
  <c r="H42"/>
  <c r="I42"/>
  <c r="J42"/>
  <c r="K42"/>
  <c r="L42"/>
  <c r="M42"/>
  <c r="D42"/>
  <c r="O40"/>
  <c r="E40"/>
  <c r="F40"/>
  <c r="G40"/>
  <c r="H40"/>
  <c r="I40"/>
  <c r="J40"/>
  <c r="K40"/>
  <c r="L40"/>
  <c r="M40"/>
  <c r="D40"/>
  <c r="D48" s="1"/>
  <c r="C39"/>
  <c r="D39"/>
  <c r="E39"/>
  <c r="F39"/>
  <c r="G39"/>
  <c r="H39"/>
  <c r="I39"/>
  <c r="J39"/>
  <c r="K39"/>
  <c r="L39"/>
  <c r="M39"/>
  <c r="C25"/>
  <c r="D25"/>
  <c r="E25"/>
  <c r="F25"/>
  <c r="G25"/>
  <c r="H25"/>
  <c r="I25"/>
  <c r="J25"/>
  <c r="K25"/>
  <c r="L25"/>
  <c r="M25"/>
  <c r="B39"/>
  <c r="G47"/>
  <c r="F47"/>
  <c r="E47"/>
  <c r="D47"/>
  <c r="C47"/>
  <c r="B47"/>
  <c r="N47" s="1"/>
  <c r="N44"/>
  <c r="N43"/>
  <c r="N42"/>
  <c r="K48"/>
  <c r="G48"/>
  <c r="G5" i="8"/>
  <c r="D5"/>
  <c r="M20"/>
  <c r="N72" i="9"/>
  <c r="N73"/>
  <c r="E48" l="1"/>
  <c r="L48"/>
  <c r="J48"/>
  <c r="H48"/>
  <c r="F48"/>
  <c r="N40"/>
  <c r="N35"/>
  <c r="E5" i="8" s="1"/>
  <c r="G33" i="9"/>
  <c r="P32"/>
  <c r="Q32"/>
  <c r="O32"/>
  <c r="F32"/>
  <c r="G32"/>
  <c r="H32"/>
  <c r="I32"/>
  <c r="J32"/>
  <c r="K32"/>
  <c r="L32"/>
  <c r="M32"/>
  <c r="E29"/>
  <c r="E31" s="1"/>
  <c r="E32"/>
  <c r="N32" s="1"/>
  <c r="N34" s="1"/>
  <c r="O29"/>
  <c r="P29"/>
  <c r="G31"/>
  <c r="I31"/>
  <c r="K31"/>
  <c r="M31"/>
  <c r="P27"/>
  <c r="Q27"/>
  <c r="O27"/>
  <c r="C27"/>
  <c r="D27"/>
  <c r="F27"/>
  <c r="G27"/>
  <c r="H27"/>
  <c r="H28" s="1"/>
  <c r="I27"/>
  <c r="J27"/>
  <c r="J28" s="1"/>
  <c r="K27"/>
  <c r="L27"/>
  <c r="M27"/>
  <c r="F28"/>
  <c r="B27"/>
  <c r="Q26"/>
  <c r="F26"/>
  <c r="G26"/>
  <c r="G28" s="1"/>
  <c r="H26"/>
  <c r="I26"/>
  <c r="J26"/>
  <c r="K26"/>
  <c r="K28" s="1"/>
  <c r="L26"/>
  <c r="M26"/>
  <c r="E26"/>
  <c r="E28" s="1"/>
  <c r="C4"/>
  <c r="D4"/>
  <c r="E4"/>
  <c r="F4"/>
  <c r="G4"/>
  <c r="H4"/>
  <c r="H5" s="1"/>
  <c r="I4"/>
  <c r="J4"/>
  <c r="K4"/>
  <c r="L4"/>
  <c r="L5" s="1"/>
  <c r="M4"/>
  <c r="B4"/>
  <c r="C6"/>
  <c r="D6"/>
  <c r="E6"/>
  <c r="F6"/>
  <c r="G6"/>
  <c r="H6"/>
  <c r="H7" s="1"/>
  <c r="H30" s="1"/>
  <c r="I6"/>
  <c r="J6"/>
  <c r="J7" s="1"/>
  <c r="J30" s="1"/>
  <c r="K6"/>
  <c r="L6"/>
  <c r="M6"/>
  <c r="B6"/>
  <c r="C8"/>
  <c r="D8"/>
  <c r="E8"/>
  <c r="F8"/>
  <c r="G8"/>
  <c r="H8"/>
  <c r="I8"/>
  <c r="J8"/>
  <c r="J9" s="1"/>
  <c r="J33" s="1"/>
  <c r="K8"/>
  <c r="L8"/>
  <c r="L9" s="1"/>
  <c r="M8"/>
  <c r="B8"/>
  <c r="F9"/>
  <c r="F33" s="1"/>
  <c r="H9"/>
  <c r="H33" s="1"/>
  <c r="B25"/>
  <c r="C22"/>
  <c r="D22"/>
  <c r="E22"/>
  <c r="F22"/>
  <c r="G22"/>
  <c r="H22"/>
  <c r="I22"/>
  <c r="J22"/>
  <c r="K22"/>
  <c r="L22"/>
  <c r="M22"/>
  <c r="N22"/>
  <c r="B22"/>
  <c r="P20"/>
  <c r="Q20"/>
  <c r="O20"/>
  <c r="F20"/>
  <c r="G20"/>
  <c r="N20" s="1"/>
  <c r="H20"/>
  <c r="I20"/>
  <c r="J20"/>
  <c r="K20"/>
  <c r="L20"/>
  <c r="M20"/>
  <c r="E20"/>
  <c r="P19"/>
  <c r="Q19"/>
  <c r="O19"/>
  <c r="F19"/>
  <c r="G19"/>
  <c r="G21" s="1"/>
  <c r="H19"/>
  <c r="I19"/>
  <c r="I21" s="1"/>
  <c r="J19"/>
  <c r="K19"/>
  <c r="K21" s="1"/>
  <c r="L19"/>
  <c r="M19"/>
  <c r="M21" s="1"/>
  <c r="E19"/>
  <c r="E21" s="1"/>
  <c r="P17"/>
  <c r="Q17"/>
  <c r="O17"/>
  <c r="F17"/>
  <c r="G17"/>
  <c r="N17" s="1"/>
  <c r="H17"/>
  <c r="I17"/>
  <c r="J17"/>
  <c r="K17"/>
  <c r="L17"/>
  <c r="M17"/>
  <c r="E17"/>
  <c r="P16"/>
  <c r="Q16"/>
  <c r="O16"/>
  <c r="O18" s="1"/>
  <c r="F16"/>
  <c r="G16"/>
  <c r="G18" s="1"/>
  <c r="H16"/>
  <c r="I16"/>
  <c r="I18" s="1"/>
  <c r="J16"/>
  <c r="K16"/>
  <c r="K18" s="1"/>
  <c r="L16"/>
  <c r="M16"/>
  <c r="M18" s="1"/>
  <c r="E16"/>
  <c r="P13"/>
  <c r="Q13"/>
  <c r="P14"/>
  <c r="Q14"/>
  <c r="O14"/>
  <c r="F14"/>
  <c r="G14"/>
  <c r="G15" s="1"/>
  <c r="H14"/>
  <c r="I14"/>
  <c r="I15" s="1"/>
  <c r="J14"/>
  <c r="K14"/>
  <c r="K15" s="1"/>
  <c r="L14"/>
  <c r="M14"/>
  <c r="M15" s="1"/>
  <c r="E14"/>
  <c r="O13"/>
  <c r="O26" s="1"/>
  <c r="O28" s="1"/>
  <c r="F13"/>
  <c r="G13"/>
  <c r="N13" s="1"/>
  <c r="H13"/>
  <c r="I13"/>
  <c r="J13"/>
  <c r="K13"/>
  <c r="L13"/>
  <c r="M13"/>
  <c r="E13"/>
  <c r="C12"/>
  <c r="D12"/>
  <c r="E12"/>
  <c r="F12"/>
  <c r="G12"/>
  <c r="H12"/>
  <c r="I12"/>
  <c r="J12"/>
  <c r="K12"/>
  <c r="L12"/>
  <c r="M12"/>
  <c r="B12"/>
  <c r="C2"/>
  <c r="D2"/>
  <c r="E2"/>
  <c r="F2"/>
  <c r="G2"/>
  <c r="H2"/>
  <c r="I2"/>
  <c r="J2"/>
  <c r="K2"/>
  <c r="L2"/>
  <c r="M2"/>
  <c r="B2"/>
  <c r="M34"/>
  <c r="L34"/>
  <c r="K34"/>
  <c r="J34"/>
  <c r="I34"/>
  <c r="H34"/>
  <c r="G34"/>
  <c r="F34"/>
  <c r="Q29"/>
  <c r="N29"/>
  <c r="N31" s="1"/>
  <c r="C5" i="8" s="1"/>
  <c r="L31" i="9"/>
  <c r="J31"/>
  <c r="H31"/>
  <c r="F31"/>
  <c r="M28"/>
  <c r="I28"/>
  <c r="P26"/>
  <c r="P28" s="1"/>
  <c r="L28"/>
  <c r="Q21"/>
  <c r="P21"/>
  <c r="O21"/>
  <c r="L21"/>
  <c r="J21"/>
  <c r="H21"/>
  <c r="F21"/>
  <c r="D21"/>
  <c r="C21"/>
  <c r="B21"/>
  <c r="Q18"/>
  <c r="P18"/>
  <c r="L18"/>
  <c r="J18"/>
  <c r="H18"/>
  <c r="F18"/>
  <c r="E18"/>
  <c r="D18"/>
  <c r="C18"/>
  <c r="B18"/>
  <c r="N16"/>
  <c r="P15"/>
  <c r="L15"/>
  <c r="J15"/>
  <c r="H15"/>
  <c r="F15"/>
  <c r="E15"/>
  <c r="D15"/>
  <c r="C15"/>
  <c r="B15"/>
  <c r="F3"/>
  <c r="G3"/>
  <c r="H3"/>
  <c r="I3"/>
  <c r="J3"/>
  <c r="K3"/>
  <c r="L3"/>
  <c r="M3"/>
  <c r="E3"/>
  <c r="E5" s="1"/>
  <c r="F7"/>
  <c r="F30" s="1"/>
  <c r="F5"/>
  <c r="J5"/>
  <c r="K9"/>
  <c r="G9"/>
  <c r="E9"/>
  <c r="E33" s="1"/>
  <c r="L7"/>
  <c r="L30" s="1"/>
  <c r="E7"/>
  <c r="C7"/>
  <c r="C30" s="1"/>
  <c r="C31" s="1"/>
  <c r="M5"/>
  <c r="I5"/>
  <c r="D3"/>
  <c r="C3"/>
  <c r="C9" s="1"/>
  <c r="C33" s="1"/>
  <c r="C34" s="1"/>
  <c r="B3"/>
  <c r="B12" i="5"/>
  <c r="G11" i="8"/>
  <c r="G8"/>
  <c r="G9"/>
  <c r="G10"/>
  <c r="G7"/>
  <c r="C67" i="9"/>
  <c r="D67"/>
  <c r="E67"/>
  <c r="F67"/>
  <c r="G67"/>
  <c r="H67"/>
  <c r="I67"/>
  <c r="J67"/>
  <c r="K67"/>
  <c r="L67"/>
  <c r="M67"/>
  <c r="B67"/>
  <c r="B72"/>
  <c r="B68"/>
  <c r="B71" s="1"/>
  <c r="C69"/>
  <c r="D69"/>
  <c r="E69"/>
  <c r="F69"/>
  <c r="G69"/>
  <c r="H69"/>
  <c r="I69"/>
  <c r="J69"/>
  <c r="K69"/>
  <c r="L69"/>
  <c r="M69"/>
  <c r="B69"/>
  <c r="C43" i="3"/>
  <c r="B41" i="7"/>
  <c r="B42"/>
  <c r="B43"/>
  <c r="B40"/>
  <c r="F34"/>
  <c r="E34"/>
  <c r="D34"/>
  <c r="C34"/>
  <c r="L34" i="3"/>
  <c r="L31" i="7"/>
  <c r="G30"/>
  <c r="E16"/>
  <c r="D16"/>
  <c r="E14"/>
  <c r="D14"/>
  <c r="I12"/>
  <c r="J12"/>
  <c r="N12" s="1"/>
  <c r="O12" s="1"/>
  <c r="H12"/>
  <c r="O10"/>
  <c r="O11"/>
  <c r="O13"/>
  <c r="O15"/>
  <c r="O17"/>
  <c r="O18"/>
  <c r="O19"/>
  <c r="O20"/>
  <c r="O21"/>
  <c r="O22"/>
  <c r="O23"/>
  <c r="O24"/>
  <c r="O25"/>
  <c r="O26"/>
  <c r="O27"/>
  <c r="O28"/>
  <c r="O9"/>
  <c r="N10"/>
  <c r="N11"/>
  <c r="N13"/>
  <c r="N15"/>
  <c r="N16"/>
  <c r="O16" s="1"/>
  <c r="N17"/>
  <c r="N18"/>
  <c r="N19"/>
  <c r="N20"/>
  <c r="N21"/>
  <c r="N22"/>
  <c r="N23"/>
  <c r="N24"/>
  <c r="N25"/>
  <c r="N26"/>
  <c r="N27"/>
  <c r="N28"/>
  <c r="N9"/>
  <c r="E11"/>
  <c r="D11"/>
  <c r="D14" i="3"/>
  <c r="C29" i="7"/>
  <c r="F29"/>
  <c r="G29"/>
  <c r="H29"/>
  <c r="I29"/>
  <c r="J29"/>
  <c r="K29"/>
  <c r="L29"/>
  <c r="M29"/>
  <c r="B29"/>
  <c r="M36" i="3"/>
  <c r="L33" i="7"/>
  <c r="M33"/>
  <c r="I6" i="3"/>
  <c r="C5" i="7"/>
  <c r="D5"/>
  <c r="E5"/>
  <c r="G5"/>
  <c r="H5"/>
  <c r="I5"/>
  <c r="B5"/>
  <c r="K31"/>
  <c r="D31"/>
  <c r="E31"/>
  <c r="F31"/>
  <c r="G31"/>
  <c r="H31"/>
  <c r="I31"/>
  <c r="J31"/>
  <c r="C31"/>
  <c r="K30"/>
  <c r="K32" s="1"/>
  <c r="J30"/>
  <c r="I30"/>
  <c r="H30"/>
  <c r="F30"/>
  <c r="C30"/>
  <c r="B30" s="1"/>
  <c r="E30"/>
  <c r="D30"/>
  <c r="D33" i="3"/>
  <c r="E28" i="7"/>
  <c r="D28"/>
  <c r="B28"/>
  <c r="I27"/>
  <c r="J26"/>
  <c r="I25"/>
  <c r="J24"/>
  <c r="I24"/>
  <c r="H24"/>
  <c r="C24"/>
  <c r="M22"/>
  <c r="M21"/>
  <c r="M20"/>
  <c r="L19"/>
  <c r="C18"/>
  <c r="J17"/>
  <c r="I17"/>
  <c r="H17"/>
  <c r="C17"/>
  <c r="L15"/>
  <c r="L13"/>
  <c r="B10"/>
  <c r="D10"/>
  <c r="C13" i="3"/>
  <c r="I9" i="7"/>
  <c r="J9"/>
  <c r="K9"/>
  <c r="F9"/>
  <c r="G9"/>
  <c r="H9"/>
  <c r="D9"/>
  <c r="E9"/>
  <c r="C9"/>
  <c r="B9"/>
  <c r="K5"/>
  <c r="J3"/>
  <c r="H3"/>
  <c r="G3"/>
  <c r="F3"/>
  <c r="E3"/>
  <c r="D3"/>
  <c r="C3"/>
  <c r="B3"/>
  <c r="K3" s="1"/>
  <c r="I2"/>
  <c r="I3" s="1"/>
  <c r="C61" i="6"/>
  <c r="Q28" i="9" l="1"/>
  <c r="P30"/>
  <c r="N19"/>
  <c r="N21"/>
  <c r="E30"/>
  <c r="Q15"/>
  <c r="N14"/>
  <c r="O15"/>
  <c r="N15"/>
  <c r="O33"/>
  <c r="K33"/>
  <c r="O34"/>
  <c r="B5"/>
  <c r="D5"/>
  <c r="D28" s="1"/>
  <c r="B7"/>
  <c r="B30" s="1"/>
  <c r="D7"/>
  <c r="D30" s="1"/>
  <c r="D31" s="1"/>
  <c r="B9"/>
  <c r="B33" s="1"/>
  <c r="P33"/>
  <c r="P34" s="1"/>
  <c r="L33"/>
  <c r="D9"/>
  <c r="D33" s="1"/>
  <c r="D34" s="1"/>
  <c r="N18"/>
  <c r="P31"/>
  <c r="E34"/>
  <c r="C5"/>
  <c r="C28" s="1"/>
  <c r="M9"/>
  <c r="K7"/>
  <c r="I9"/>
  <c r="I33" s="1"/>
  <c r="G7"/>
  <c r="G30" s="1"/>
  <c r="G5"/>
  <c r="K5"/>
  <c r="I7"/>
  <c r="I30" s="1"/>
  <c r="M7"/>
  <c r="B70"/>
  <c r="C72" s="1"/>
  <c r="E29" i="7"/>
  <c r="N14"/>
  <c r="O14" s="1"/>
  <c r="D29"/>
  <c r="K33"/>
  <c r="D4"/>
  <c r="F4"/>
  <c r="H4"/>
  <c r="I4"/>
  <c r="C4"/>
  <c r="E4"/>
  <c r="G4"/>
  <c r="J4"/>
  <c r="B4"/>
  <c r="K2"/>
  <c r="G85" i="5"/>
  <c r="G83"/>
  <c r="G77"/>
  <c r="G87"/>
  <c r="G88"/>
  <c r="G81"/>
  <c r="C82"/>
  <c r="G76"/>
  <c r="G79"/>
  <c r="D86"/>
  <c r="G86"/>
  <c r="N120" i="4"/>
  <c r="C120"/>
  <c r="D84" i="5"/>
  <c r="B77"/>
  <c r="D77" s="1"/>
  <c r="C77"/>
  <c r="J14"/>
  <c r="J13"/>
  <c r="J12"/>
  <c r="J11"/>
  <c r="J9"/>
  <c r="J4"/>
  <c r="J7"/>
  <c r="J2"/>
  <c r="J20"/>
  <c r="N21" i="8" s="1"/>
  <c r="J19" i="5"/>
  <c r="F26"/>
  <c r="G25" i="8" s="1"/>
  <c r="F25" i="5"/>
  <c r="M25" i="3"/>
  <c r="M24"/>
  <c r="M23"/>
  <c r="F19" i="5"/>
  <c r="B35"/>
  <c r="B34"/>
  <c r="B33"/>
  <c r="E4"/>
  <c r="D4"/>
  <c r="C4"/>
  <c r="B4"/>
  <c r="C47" i="4"/>
  <c r="D47"/>
  <c r="E47"/>
  <c r="F47"/>
  <c r="G47"/>
  <c r="H47"/>
  <c r="I47"/>
  <c r="J47"/>
  <c r="K47"/>
  <c r="L47"/>
  <c r="M47"/>
  <c r="B47"/>
  <c r="C44"/>
  <c r="D44"/>
  <c r="E44"/>
  <c r="F44"/>
  <c r="G44"/>
  <c r="H44"/>
  <c r="I44"/>
  <c r="J44"/>
  <c r="K44"/>
  <c r="L44"/>
  <c r="M44"/>
  <c r="B44"/>
  <c r="C41"/>
  <c r="D41"/>
  <c r="E41"/>
  <c r="F41"/>
  <c r="G41"/>
  <c r="H41"/>
  <c r="I41"/>
  <c r="J41"/>
  <c r="K41"/>
  <c r="L41"/>
  <c r="M41"/>
  <c r="B41"/>
  <c r="K140"/>
  <c r="L140"/>
  <c r="Q33" i="9" l="1"/>
  <c r="Q34" s="1"/>
  <c r="M33"/>
  <c r="Q30"/>
  <c r="Q31" s="1"/>
  <c r="M30"/>
  <c r="O30"/>
  <c r="O31" s="1"/>
  <c r="K30"/>
  <c r="B34"/>
  <c r="N33"/>
  <c r="B31"/>
  <c r="N30"/>
  <c r="B26"/>
  <c r="C73"/>
  <c r="B73"/>
  <c r="K4" i="7"/>
  <c r="L57" i="4"/>
  <c r="P43"/>
  <c r="Q43"/>
  <c r="O43"/>
  <c r="L60"/>
  <c r="B107"/>
  <c r="C75"/>
  <c r="D75"/>
  <c r="E75"/>
  <c r="F75"/>
  <c r="G75"/>
  <c r="B75"/>
  <c r="M123"/>
  <c r="J123"/>
  <c r="G123"/>
  <c r="D123"/>
  <c r="F115"/>
  <c r="B114"/>
  <c r="C113"/>
  <c r="B113"/>
  <c r="B138"/>
  <c r="B142" s="1"/>
  <c r="N142" s="1"/>
  <c r="N119"/>
  <c r="M117"/>
  <c r="M119"/>
  <c r="G119"/>
  <c r="H119"/>
  <c r="I119"/>
  <c r="J119"/>
  <c r="K119"/>
  <c r="L119"/>
  <c r="F119"/>
  <c r="D127"/>
  <c r="D119"/>
  <c r="E119"/>
  <c r="C119"/>
  <c r="D124"/>
  <c r="E124"/>
  <c r="F124"/>
  <c r="G124"/>
  <c r="H124"/>
  <c r="I124"/>
  <c r="J124"/>
  <c r="K124"/>
  <c r="L124"/>
  <c r="M124"/>
  <c r="N124"/>
  <c r="C124"/>
  <c r="B143"/>
  <c r="J125"/>
  <c r="G125"/>
  <c r="D125"/>
  <c r="B28" i="9" l="1"/>
  <c r="N26"/>
  <c r="N28" s="1"/>
  <c r="B5" i="8" s="1"/>
  <c r="B74" i="9"/>
  <c r="C68" s="1"/>
  <c r="C70" s="1"/>
  <c r="D72" s="1"/>
  <c r="F117" i="4"/>
  <c r="G117"/>
  <c r="H117"/>
  <c r="I117"/>
  <c r="J117"/>
  <c r="K117"/>
  <c r="L117"/>
  <c r="E117"/>
  <c r="C117"/>
  <c r="D117"/>
  <c r="B117"/>
  <c r="Q40" i="2"/>
  <c r="Q39"/>
  <c r="F10" i="8" l="1"/>
  <c r="M15" s="1"/>
  <c r="M16" s="1"/>
  <c r="F5"/>
  <c r="B9" s="1"/>
  <c r="B8"/>
  <c r="C74" i="9"/>
  <c r="D68" s="1"/>
  <c r="D70" s="1"/>
  <c r="E72" s="1"/>
  <c r="D73"/>
  <c r="Q41" i="2"/>
  <c r="M3" i="8" l="1"/>
  <c r="E8"/>
  <c r="C9"/>
  <c r="D9"/>
  <c r="D8"/>
  <c r="E9"/>
  <c r="C8"/>
  <c r="E73" i="9"/>
  <c r="D74"/>
  <c r="E68" s="1"/>
  <c r="E70" s="1"/>
  <c r="F72" s="1"/>
  <c r="R37" i="2"/>
  <c r="R36"/>
  <c r="R35"/>
  <c r="F9" i="8" l="1"/>
  <c r="F8"/>
  <c r="E74" i="9"/>
  <c r="F68" s="1"/>
  <c r="F70" s="1"/>
  <c r="G72" s="1"/>
  <c r="F73"/>
  <c r="B94" i="4"/>
  <c r="M122"/>
  <c r="F122"/>
  <c r="B121"/>
  <c r="G73" i="9" l="1"/>
  <c r="F74"/>
  <c r="G68" s="1"/>
  <c r="G70" s="1"/>
  <c r="H72" s="1"/>
  <c r="C9" i="5"/>
  <c r="D9"/>
  <c r="E9"/>
  <c r="B9"/>
  <c r="C94" i="4"/>
  <c r="D94"/>
  <c r="E94"/>
  <c r="F94"/>
  <c r="G94"/>
  <c r="H94"/>
  <c r="I94"/>
  <c r="J94"/>
  <c r="K94"/>
  <c r="L94"/>
  <c r="M94"/>
  <c r="C84"/>
  <c r="D84"/>
  <c r="E84"/>
  <c r="F84"/>
  <c r="G84"/>
  <c r="H84"/>
  <c r="I84"/>
  <c r="J84"/>
  <c r="K84"/>
  <c r="L84"/>
  <c r="M84"/>
  <c r="C85"/>
  <c r="D85"/>
  <c r="E85"/>
  <c r="F85"/>
  <c r="G85"/>
  <c r="H85"/>
  <c r="I85"/>
  <c r="J85"/>
  <c r="K85"/>
  <c r="L85"/>
  <c r="M85"/>
  <c r="C86"/>
  <c r="D86"/>
  <c r="E86"/>
  <c r="F86"/>
  <c r="G86"/>
  <c r="H86"/>
  <c r="I86"/>
  <c r="J86"/>
  <c r="K86"/>
  <c r="L86"/>
  <c r="M86"/>
  <c r="C87"/>
  <c r="D87"/>
  <c r="E87"/>
  <c r="F87"/>
  <c r="G87"/>
  <c r="H87"/>
  <c r="I87"/>
  <c r="J87"/>
  <c r="K87"/>
  <c r="L87"/>
  <c r="M87"/>
  <c r="C88"/>
  <c r="D88"/>
  <c r="E88"/>
  <c r="F88"/>
  <c r="G88"/>
  <c r="H88"/>
  <c r="I88"/>
  <c r="J88"/>
  <c r="K88"/>
  <c r="L88"/>
  <c r="M88"/>
  <c r="C89"/>
  <c r="D89"/>
  <c r="E89"/>
  <c r="F89"/>
  <c r="G89"/>
  <c r="H89"/>
  <c r="I89"/>
  <c r="J89"/>
  <c r="K89"/>
  <c r="L89"/>
  <c r="M89"/>
  <c r="C90"/>
  <c r="D90"/>
  <c r="E90"/>
  <c r="F90"/>
  <c r="G90"/>
  <c r="H90"/>
  <c r="I90"/>
  <c r="J90"/>
  <c r="K90"/>
  <c r="L90"/>
  <c r="M90"/>
  <c r="C91"/>
  <c r="D91"/>
  <c r="E91"/>
  <c r="F91"/>
  <c r="G91"/>
  <c r="H91"/>
  <c r="I91"/>
  <c r="J91"/>
  <c r="K91"/>
  <c r="L91"/>
  <c r="M91"/>
  <c r="C92"/>
  <c r="D92"/>
  <c r="E92"/>
  <c r="F92"/>
  <c r="G92"/>
  <c r="H92"/>
  <c r="I92"/>
  <c r="J92"/>
  <c r="K92"/>
  <c r="L92"/>
  <c r="M92"/>
  <c r="C83"/>
  <c r="D83"/>
  <c r="E83"/>
  <c r="F83"/>
  <c r="G83"/>
  <c r="H83"/>
  <c r="I83"/>
  <c r="J83"/>
  <c r="K83"/>
  <c r="L83"/>
  <c r="M83"/>
  <c r="C82"/>
  <c r="D82"/>
  <c r="E82"/>
  <c r="F82"/>
  <c r="G82"/>
  <c r="H82"/>
  <c r="I82"/>
  <c r="J82"/>
  <c r="K82"/>
  <c r="L82"/>
  <c r="M82"/>
  <c r="B92"/>
  <c r="B91"/>
  <c r="B120" s="1"/>
  <c r="B90"/>
  <c r="B89"/>
  <c r="B88"/>
  <c r="B87"/>
  <c r="B86"/>
  <c r="B85"/>
  <c r="B84"/>
  <c r="B83"/>
  <c r="B82"/>
  <c r="C81"/>
  <c r="D81"/>
  <c r="E81"/>
  <c r="F81"/>
  <c r="G81"/>
  <c r="H81"/>
  <c r="I81"/>
  <c r="J81"/>
  <c r="K81"/>
  <c r="L81"/>
  <c r="M81"/>
  <c r="B81"/>
  <c r="C103"/>
  <c r="B116"/>
  <c r="E34" i="5"/>
  <c r="E35"/>
  <c r="E33"/>
  <c r="G74" i="9" l="1"/>
  <c r="H68" s="1"/>
  <c r="H70" s="1"/>
  <c r="I72" s="1"/>
  <c r="H73"/>
  <c r="F9" i="5"/>
  <c r="L95" i="4"/>
  <c r="D95"/>
  <c r="H95"/>
  <c r="K95"/>
  <c r="G95"/>
  <c r="J95"/>
  <c r="F95"/>
  <c r="M95"/>
  <c r="I95"/>
  <c r="E95"/>
  <c r="E102" s="1"/>
  <c r="C95"/>
  <c r="B95"/>
  <c r="J126"/>
  <c r="M125" s="1"/>
  <c r="I73" i="9" l="1"/>
  <c r="H74"/>
  <c r="I68" s="1"/>
  <c r="I70" s="1"/>
  <c r="J72" s="1"/>
  <c r="M102" i="4"/>
  <c r="C102"/>
  <c r="D120"/>
  <c r="F102"/>
  <c r="G120"/>
  <c r="F120"/>
  <c r="H102"/>
  <c r="I120"/>
  <c r="K102"/>
  <c r="L120"/>
  <c r="J102"/>
  <c r="K120"/>
  <c r="D102"/>
  <c r="E120"/>
  <c r="B102"/>
  <c r="I102"/>
  <c r="J120"/>
  <c r="G102"/>
  <c r="H120"/>
  <c r="L102"/>
  <c r="M120"/>
  <c r="I74" i="9" l="1"/>
  <c r="J68" s="1"/>
  <c r="J70" s="1"/>
  <c r="K72" s="1"/>
  <c r="J73"/>
  <c r="C16" i="4"/>
  <c r="D16"/>
  <c r="B16"/>
  <c r="F16"/>
  <c r="G16"/>
  <c r="H16"/>
  <c r="I16"/>
  <c r="J16"/>
  <c r="K16"/>
  <c r="L16"/>
  <c r="M16"/>
  <c r="E16"/>
  <c r="K73" i="9" l="1"/>
  <c r="J74"/>
  <c r="K68" s="1"/>
  <c r="K70" s="1"/>
  <c r="L72" s="1"/>
  <c r="B59" i="2"/>
  <c r="H59"/>
  <c r="F59"/>
  <c r="D59"/>
  <c r="H61" i="6"/>
  <c r="I61" s="1"/>
  <c r="F61"/>
  <c r="G61" s="1"/>
  <c r="D61"/>
  <c r="E61" s="1"/>
  <c r="B61"/>
  <c r="H56"/>
  <c r="F56"/>
  <c r="H54"/>
  <c r="H55"/>
  <c r="H53"/>
  <c r="F54"/>
  <c r="F55"/>
  <c r="F53"/>
  <c r="D54"/>
  <c r="D55"/>
  <c r="D53"/>
  <c r="B54"/>
  <c r="B55"/>
  <c r="B53"/>
  <c r="B37"/>
  <c r="C37" s="1"/>
  <c r="D37" s="1"/>
  <c r="E37" s="1"/>
  <c r="B38"/>
  <c r="C38" s="1"/>
  <c r="D38" s="1"/>
  <c r="E38" s="1"/>
  <c r="B39"/>
  <c r="C39" s="1"/>
  <c r="D39" s="1"/>
  <c r="E39" s="1"/>
  <c r="B40"/>
  <c r="C40" s="1"/>
  <c r="D40" s="1"/>
  <c r="E40" s="1"/>
  <c r="B41"/>
  <c r="C41" s="1"/>
  <c r="D41" s="1"/>
  <c r="E41" s="1"/>
  <c r="B36"/>
  <c r="C36" s="1"/>
  <c r="D36" s="1"/>
  <c r="E36" s="1"/>
  <c r="B52" i="4"/>
  <c r="L54"/>
  <c r="M54"/>
  <c r="N32"/>
  <c r="N33"/>
  <c r="N29"/>
  <c r="N30"/>
  <c r="N26"/>
  <c r="N27"/>
  <c r="C34"/>
  <c r="D34"/>
  <c r="C31"/>
  <c r="D31"/>
  <c r="C28"/>
  <c r="D28"/>
  <c r="B28"/>
  <c r="B31"/>
  <c r="B34"/>
  <c r="Q34"/>
  <c r="P34"/>
  <c r="O34"/>
  <c r="M34"/>
  <c r="L34"/>
  <c r="K34"/>
  <c r="J34"/>
  <c r="I34"/>
  <c r="H34"/>
  <c r="G34"/>
  <c r="F34"/>
  <c r="E34"/>
  <c r="Q31"/>
  <c r="P31"/>
  <c r="O31"/>
  <c r="M31"/>
  <c r="L31"/>
  <c r="K31"/>
  <c r="J31"/>
  <c r="I31"/>
  <c r="H31"/>
  <c r="G31"/>
  <c r="F31"/>
  <c r="E31"/>
  <c r="Q28"/>
  <c r="P28"/>
  <c r="O28"/>
  <c r="M28"/>
  <c r="L28"/>
  <c r="K28"/>
  <c r="J28"/>
  <c r="I28"/>
  <c r="H28"/>
  <c r="G28"/>
  <c r="F28"/>
  <c r="E28"/>
  <c r="K74" i="9" l="1"/>
  <c r="L68" s="1"/>
  <c r="L70" s="1"/>
  <c r="M72" s="1"/>
  <c r="L73"/>
  <c r="N31" i="4"/>
  <c r="N28"/>
  <c r="N34"/>
  <c r="G29" i="6"/>
  <c r="I29"/>
  <c r="K29"/>
  <c r="H29"/>
  <c r="J29"/>
  <c r="C29"/>
  <c r="E31" i="3"/>
  <c r="O34"/>
  <c r="D31"/>
  <c r="I30"/>
  <c r="N30" s="1"/>
  <c r="O30" s="1"/>
  <c r="J29"/>
  <c r="N29" s="1"/>
  <c r="O29" s="1"/>
  <c r="I28"/>
  <c r="N28" s="1"/>
  <c r="O28" s="1"/>
  <c r="C27"/>
  <c r="H27"/>
  <c r="J27"/>
  <c r="I27"/>
  <c r="L22"/>
  <c r="N22" s="1"/>
  <c r="O22" s="1"/>
  <c r="C21"/>
  <c r="N21" s="1"/>
  <c r="O21" s="1"/>
  <c r="N23"/>
  <c r="O23" s="1"/>
  <c r="N24"/>
  <c r="O24" s="1"/>
  <c r="N25"/>
  <c r="O25" s="1"/>
  <c r="N26"/>
  <c r="O26" s="1"/>
  <c r="C20"/>
  <c r="J20"/>
  <c r="H20"/>
  <c r="I20"/>
  <c r="L18"/>
  <c r="N18" s="1"/>
  <c r="O18" s="1"/>
  <c r="D13"/>
  <c r="F13"/>
  <c r="L16"/>
  <c r="J15"/>
  <c r="H15"/>
  <c r="I15"/>
  <c r="G6"/>
  <c r="H6"/>
  <c r="B6"/>
  <c r="H3"/>
  <c r="J3"/>
  <c r="G3"/>
  <c r="D3"/>
  <c r="E3"/>
  <c r="F3"/>
  <c r="C3"/>
  <c r="B3"/>
  <c r="I2"/>
  <c r="I3" s="1"/>
  <c r="M73" i="9" l="1"/>
  <c r="L74"/>
  <c r="M68" s="1"/>
  <c r="M70" s="1"/>
  <c r="N15" i="3"/>
  <c r="O15" s="1"/>
  <c r="L32"/>
  <c r="N20"/>
  <c r="O20" s="1"/>
  <c r="K2"/>
  <c r="K3"/>
  <c r="E4" s="1"/>
  <c r="N16"/>
  <c r="O16" s="1"/>
  <c r="F4"/>
  <c r="G34" s="1"/>
  <c r="J4"/>
  <c r="G4"/>
  <c r="H34" s="1"/>
  <c r="H4"/>
  <c r="I34" s="1"/>
  <c r="F34"/>
  <c r="L36"/>
  <c r="K34"/>
  <c r="N31"/>
  <c r="B31"/>
  <c r="N27"/>
  <c r="O27" s="1"/>
  <c r="G59" i="2"/>
  <c r="I59"/>
  <c r="E59"/>
  <c r="C59"/>
  <c r="C43"/>
  <c r="D43" s="1"/>
  <c r="C44"/>
  <c r="D44" s="1"/>
  <c r="C45"/>
  <c r="D45" s="1"/>
  <c r="C46"/>
  <c r="D46" s="1"/>
  <c r="E46" s="1"/>
  <c r="C47"/>
  <c r="D47" s="1"/>
  <c r="C42"/>
  <c r="D42" s="1"/>
  <c r="K30"/>
  <c r="D54" s="1"/>
  <c r="E54" s="1"/>
  <c r="J30"/>
  <c r="B54" s="1"/>
  <c r="C54" s="1"/>
  <c r="K28"/>
  <c r="D53" s="1"/>
  <c r="L28"/>
  <c r="F53" s="1"/>
  <c r="J28"/>
  <c r="B53" s="1"/>
  <c r="K26"/>
  <c r="D52" s="1"/>
  <c r="L26"/>
  <c r="F52" s="1"/>
  <c r="J26"/>
  <c r="B52" s="1"/>
  <c r="K24"/>
  <c r="D51" s="1"/>
  <c r="L24"/>
  <c r="F51" s="1"/>
  <c r="J24"/>
  <c r="B51" s="1"/>
  <c r="M25"/>
  <c r="M26"/>
  <c r="H52" s="1"/>
  <c r="M27"/>
  <c r="M28"/>
  <c r="H53" s="1"/>
  <c r="M29"/>
  <c r="M30"/>
  <c r="H54" s="1"/>
  <c r="M24"/>
  <c r="H51" s="1"/>
  <c r="N25"/>
  <c r="N26"/>
  <c r="B44" i="3" s="1"/>
  <c r="C51" i="5" s="1"/>
  <c r="N27" i="2"/>
  <c r="N28"/>
  <c r="B45" i="3" s="1"/>
  <c r="C52" i="5" s="1"/>
  <c r="N29" i="2"/>
  <c r="N30"/>
  <c r="B46" i="3" s="1"/>
  <c r="N24" i="2"/>
  <c r="B43" i="3" s="1"/>
  <c r="I30" i="2"/>
  <c r="I25"/>
  <c r="I26"/>
  <c r="I27"/>
  <c r="I28"/>
  <c r="I29"/>
  <c r="I24"/>
  <c r="M74" i="9" l="1"/>
  <c r="C4" i="3"/>
  <c r="D34" s="1"/>
  <c r="B4"/>
  <c r="C34" s="1"/>
  <c r="D4"/>
  <c r="E34" s="1"/>
  <c r="Q42" i="4"/>
  <c r="Q44" s="1"/>
  <c r="P42"/>
  <c r="P44" s="1"/>
  <c r="O42"/>
  <c r="O44" s="1"/>
  <c r="P39"/>
  <c r="P41" s="1"/>
  <c r="O39"/>
  <c r="O41" s="1"/>
  <c r="E39"/>
  <c r="G39"/>
  <c r="I39"/>
  <c r="K39"/>
  <c r="M39"/>
  <c r="F39"/>
  <c r="H39"/>
  <c r="J39"/>
  <c r="L39"/>
  <c r="Q39"/>
  <c r="Q41" s="1"/>
  <c r="P45"/>
  <c r="O45"/>
  <c r="Q45"/>
  <c r="L76" i="6"/>
  <c r="L77" s="1"/>
  <c r="J76"/>
  <c r="J77" s="1"/>
  <c r="H76"/>
  <c r="H77" s="1"/>
  <c r="F76"/>
  <c r="F77" s="1"/>
  <c r="D76"/>
  <c r="D77" s="1"/>
  <c r="B76"/>
  <c r="B77" s="1"/>
  <c r="M76"/>
  <c r="M77" s="1"/>
  <c r="K76"/>
  <c r="K77" s="1"/>
  <c r="I76"/>
  <c r="I77" s="1"/>
  <c r="G76"/>
  <c r="G77" s="1"/>
  <c r="E76"/>
  <c r="E77" s="1"/>
  <c r="C76"/>
  <c r="C77" s="1"/>
  <c r="L74"/>
  <c r="L75" s="1"/>
  <c r="J74"/>
  <c r="J75" s="1"/>
  <c r="H74"/>
  <c r="H75" s="1"/>
  <c r="F74"/>
  <c r="F75" s="1"/>
  <c r="D74"/>
  <c r="D75" s="1"/>
  <c r="B74"/>
  <c r="B75" s="1"/>
  <c r="M74"/>
  <c r="M75" s="1"/>
  <c r="K74"/>
  <c r="K75" s="1"/>
  <c r="I74"/>
  <c r="I75" s="1"/>
  <c r="G74"/>
  <c r="G75" s="1"/>
  <c r="E74"/>
  <c r="E75" s="1"/>
  <c r="C74"/>
  <c r="C75" s="1"/>
  <c r="L72"/>
  <c r="L73" s="1"/>
  <c r="J72"/>
  <c r="J73" s="1"/>
  <c r="H72"/>
  <c r="H73" s="1"/>
  <c r="F72"/>
  <c r="F73" s="1"/>
  <c r="D72"/>
  <c r="D73" s="1"/>
  <c r="B72"/>
  <c r="B73" s="1"/>
  <c r="M72"/>
  <c r="M73" s="1"/>
  <c r="K72"/>
  <c r="K73" s="1"/>
  <c r="I72"/>
  <c r="I73" s="1"/>
  <c r="G72"/>
  <c r="G73" s="1"/>
  <c r="E72"/>
  <c r="E73" s="1"/>
  <c r="C72"/>
  <c r="C73" s="1"/>
  <c r="I71" i="4"/>
  <c r="K71"/>
  <c r="M71"/>
  <c r="F70"/>
  <c r="H70"/>
  <c r="J70"/>
  <c r="L70"/>
  <c r="E70"/>
  <c r="H71"/>
  <c r="J71"/>
  <c r="L71"/>
  <c r="G71"/>
  <c r="G70"/>
  <c r="I70"/>
  <c r="K70"/>
  <c r="M70"/>
  <c r="F72"/>
  <c r="H72"/>
  <c r="J72"/>
  <c r="L72"/>
  <c r="E72"/>
  <c r="M73"/>
  <c r="N73" s="1"/>
  <c r="G72"/>
  <c r="I72"/>
  <c r="K72"/>
  <c r="M72"/>
  <c r="F69"/>
  <c r="H69"/>
  <c r="J69"/>
  <c r="L69"/>
  <c r="D69"/>
  <c r="F68"/>
  <c r="H68"/>
  <c r="J68"/>
  <c r="L68"/>
  <c r="D68"/>
  <c r="E69"/>
  <c r="G69"/>
  <c r="I69"/>
  <c r="K69"/>
  <c r="M69"/>
  <c r="E68"/>
  <c r="G68"/>
  <c r="I68"/>
  <c r="K68"/>
  <c r="M68"/>
  <c r="G45"/>
  <c r="I59" s="1"/>
  <c r="I45"/>
  <c r="K59" s="1"/>
  <c r="K45"/>
  <c r="M59" s="1"/>
  <c r="M45"/>
  <c r="O59" s="1"/>
  <c r="F45"/>
  <c r="H59" s="1"/>
  <c r="J45"/>
  <c r="L59" s="1"/>
  <c r="E45"/>
  <c r="H45"/>
  <c r="J59" s="1"/>
  <c r="L45"/>
  <c r="N59" s="1"/>
  <c r="F42"/>
  <c r="H56" s="1"/>
  <c r="H42"/>
  <c r="J56" s="1"/>
  <c r="J42"/>
  <c r="L56" s="1"/>
  <c r="L42"/>
  <c r="N56" s="1"/>
  <c r="E42"/>
  <c r="I42"/>
  <c r="K56" s="1"/>
  <c r="M42"/>
  <c r="O56" s="1"/>
  <c r="G42"/>
  <c r="I56" s="1"/>
  <c r="K42"/>
  <c r="M56" s="1"/>
  <c r="C21"/>
  <c r="C22" s="1"/>
  <c r="C46" s="1"/>
  <c r="E21"/>
  <c r="E22" s="1"/>
  <c r="E46" s="1"/>
  <c r="G21"/>
  <c r="G22" s="1"/>
  <c r="G46" s="1"/>
  <c r="I21"/>
  <c r="I22" s="1"/>
  <c r="I46" s="1"/>
  <c r="K21"/>
  <c r="K22" s="1"/>
  <c r="M21"/>
  <c r="M22" s="1"/>
  <c r="B21"/>
  <c r="B22" s="1"/>
  <c r="B46" s="1"/>
  <c r="D21"/>
  <c r="D22" s="1"/>
  <c r="D46" s="1"/>
  <c r="H21"/>
  <c r="H22" s="1"/>
  <c r="H46" s="1"/>
  <c r="L21"/>
  <c r="L22" s="1"/>
  <c r="F21"/>
  <c r="F22" s="1"/>
  <c r="F46" s="1"/>
  <c r="J21"/>
  <c r="J22" s="1"/>
  <c r="J46" s="1"/>
  <c r="D19"/>
  <c r="D20" s="1"/>
  <c r="D43" s="1"/>
  <c r="F19"/>
  <c r="F20" s="1"/>
  <c r="F43" s="1"/>
  <c r="H19"/>
  <c r="H20" s="1"/>
  <c r="H43" s="1"/>
  <c r="J19"/>
  <c r="J20" s="1"/>
  <c r="J43" s="1"/>
  <c r="L19"/>
  <c r="L20" s="1"/>
  <c r="E19"/>
  <c r="E20" s="1"/>
  <c r="E43" s="1"/>
  <c r="I19"/>
  <c r="I20" s="1"/>
  <c r="I43" s="1"/>
  <c r="M19"/>
  <c r="M20" s="1"/>
  <c r="M43" s="1"/>
  <c r="C19"/>
  <c r="C20" s="1"/>
  <c r="C43" s="1"/>
  <c r="G19"/>
  <c r="G20" s="1"/>
  <c r="G43" s="1"/>
  <c r="K19"/>
  <c r="K20" s="1"/>
  <c r="K43" s="1"/>
  <c r="B19"/>
  <c r="B20" s="1"/>
  <c r="B43" s="1"/>
  <c r="C58" s="1"/>
  <c r="C17"/>
  <c r="C18" s="1"/>
  <c r="C40" s="1"/>
  <c r="E17"/>
  <c r="E18" s="1"/>
  <c r="E40" s="1"/>
  <c r="G17"/>
  <c r="G18" s="1"/>
  <c r="G40" s="1"/>
  <c r="D54" s="1"/>
  <c r="I17"/>
  <c r="I18" s="1"/>
  <c r="I40" s="1"/>
  <c r="K17"/>
  <c r="K18" s="1"/>
  <c r="K40" s="1"/>
  <c r="H54" s="1"/>
  <c r="M17"/>
  <c r="M18" s="1"/>
  <c r="M40" s="1"/>
  <c r="J54" s="1"/>
  <c r="D17"/>
  <c r="D18" s="1"/>
  <c r="D40" s="1"/>
  <c r="H17"/>
  <c r="H18" s="1"/>
  <c r="H40" s="1"/>
  <c r="E54" s="1"/>
  <c r="L17"/>
  <c r="L18" s="1"/>
  <c r="L40" s="1"/>
  <c r="I54" s="1"/>
  <c r="F17"/>
  <c r="F18" s="1"/>
  <c r="F40" s="1"/>
  <c r="C54" s="1"/>
  <c r="J17"/>
  <c r="J18" s="1"/>
  <c r="J40" s="1"/>
  <c r="G54" s="1"/>
  <c r="B17"/>
  <c r="B18" s="1"/>
  <c r="I4" i="3"/>
  <c r="J34" s="1"/>
  <c r="E42" i="2"/>
  <c r="E44"/>
  <c r="F44" s="1"/>
  <c r="E47"/>
  <c r="F47" s="1"/>
  <c r="E45"/>
  <c r="F45" s="1"/>
  <c r="E43"/>
  <c r="F43" s="1"/>
  <c r="F46"/>
  <c r="O31" i="3"/>
  <c r="N3" i="6"/>
  <c r="N4"/>
  <c r="N5" s="1"/>
  <c r="K5"/>
  <c r="L5"/>
  <c r="M5"/>
  <c r="N6"/>
  <c r="N7"/>
  <c r="K8"/>
  <c r="L8"/>
  <c r="M8"/>
  <c r="N9"/>
  <c r="N10"/>
  <c r="N11" s="1"/>
  <c r="K11"/>
  <c r="L11"/>
  <c r="M11"/>
  <c r="N12"/>
  <c r="D68" i="5"/>
  <c r="D65"/>
  <c r="D66"/>
  <c r="K5" i="4"/>
  <c r="C42" i="5" s="1"/>
  <c r="L5" i="4"/>
  <c r="D42" i="5" s="1"/>
  <c r="K8" i="4"/>
  <c r="F42" i="5" s="1"/>
  <c r="L8" i="4"/>
  <c r="G42" i="5" s="1"/>
  <c r="K11" i="4"/>
  <c r="I42" i="5" s="1"/>
  <c r="L11" i="4"/>
  <c r="J42" i="5" s="1"/>
  <c r="A43" i="1"/>
  <c r="B43"/>
  <c r="D49" s="1"/>
  <c r="C2" i="4"/>
  <c r="D2"/>
  <c r="E2"/>
  <c r="F2"/>
  <c r="G2"/>
  <c r="H2"/>
  <c r="I2"/>
  <c r="J2"/>
  <c r="K2"/>
  <c r="L2"/>
  <c r="M2"/>
  <c r="B2"/>
  <c r="A35" i="6"/>
  <c r="L34" i="2"/>
  <c r="L35"/>
  <c r="L36"/>
  <c r="L37"/>
  <c r="L33"/>
  <c r="C32" i="6"/>
  <c r="D32"/>
  <c r="E32"/>
  <c r="F32"/>
  <c r="G32"/>
  <c r="H32"/>
  <c r="I32"/>
  <c r="J32"/>
  <c r="K32"/>
  <c r="L32"/>
  <c r="L70" s="1"/>
  <c r="M32"/>
  <c r="B32"/>
  <c r="N9" i="2"/>
  <c r="N10"/>
  <c r="B11"/>
  <c r="C11"/>
  <c r="D11"/>
  <c r="E11"/>
  <c r="F11"/>
  <c r="G11"/>
  <c r="H11"/>
  <c r="I11"/>
  <c r="J11"/>
  <c r="K11"/>
  <c r="L11"/>
  <c r="M11"/>
  <c r="N12"/>
  <c r="N13"/>
  <c r="B14"/>
  <c r="C14"/>
  <c r="D14"/>
  <c r="E14"/>
  <c r="F14"/>
  <c r="G14"/>
  <c r="H14"/>
  <c r="I14"/>
  <c r="J14"/>
  <c r="K14"/>
  <c r="L14"/>
  <c r="M14"/>
  <c r="N15"/>
  <c r="N16"/>
  <c r="B17"/>
  <c r="C17"/>
  <c r="D17"/>
  <c r="E17"/>
  <c r="F17"/>
  <c r="G17"/>
  <c r="H17"/>
  <c r="I17"/>
  <c r="J17"/>
  <c r="K17"/>
  <c r="L17"/>
  <c r="M17"/>
  <c r="E30"/>
  <c r="L30" s="1"/>
  <c r="F54" s="1"/>
  <c r="C38"/>
  <c r="C6" i="3" s="1"/>
  <c r="D38" i="2"/>
  <c r="D6" i="3" s="1"/>
  <c r="E38" i="2"/>
  <c r="E6" i="3" s="1"/>
  <c r="B5" i="6"/>
  <c r="C5"/>
  <c r="D5"/>
  <c r="E5"/>
  <c r="F5"/>
  <c r="G5"/>
  <c r="H5"/>
  <c r="I5"/>
  <c r="J5"/>
  <c r="B8"/>
  <c r="C8"/>
  <c r="D8"/>
  <c r="E8"/>
  <c r="F8"/>
  <c r="G8"/>
  <c r="H8"/>
  <c r="I8"/>
  <c r="J8"/>
  <c r="B11"/>
  <c r="C11"/>
  <c r="D11"/>
  <c r="E11"/>
  <c r="F11"/>
  <c r="G11"/>
  <c r="H11"/>
  <c r="I11"/>
  <c r="J11"/>
  <c r="L23"/>
  <c r="L24"/>
  <c r="L25"/>
  <c r="L26"/>
  <c r="L27"/>
  <c r="D28"/>
  <c r="D29" s="1"/>
  <c r="E28"/>
  <c r="E29" s="1"/>
  <c r="F28"/>
  <c r="F29" s="1"/>
  <c r="D58" i="5"/>
  <c r="D63"/>
  <c r="D64"/>
  <c r="D67"/>
  <c r="B71"/>
  <c r="C71"/>
  <c r="N3" i="4"/>
  <c r="N4"/>
  <c r="B5"/>
  <c r="C5"/>
  <c r="D5"/>
  <c r="E5"/>
  <c r="F5"/>
  <c r="G5"/>
  <c r="H5"/>
  <c r="I5"/>
  <c r="J5"/>
  <c r="M5"/>
  <c r="E42" i="5" s="1"/>
  <c r="N6" i="4"/>
  <c r="N7"/>
  <c r="B8"/>
  <c r="C8"/>
  <c r="D8"/>
  <c r="E8"/>
  <c r="F8"/>
  <c r="G8"/>
  <c r="H8"/>
  <c r="I8"/>
  <c r="J8"/>
  <c r="M8"/>
  <c r="H42" i="5" s="1"/>
  <c r="N9" i="4"/>
  <c r="N10"/>
  <c r="B11"/>
  <c r="C11"/>
  <c r="D11"/>
  <c r="E11"/>
  <c r="F11"/>
  <c r="G11"/>
  <c r="H11"/>
  <c r="I11"/>
  <c r="J11"/>
  <c r="M11"/>
  <c r="K42" i="5" s="1"/>
  <c r="L2" i="6"/>
  <c r="D53" i="1" l="1"/>
  <c r="D57"/>
  <c r="C21"/>
  <c r="D21" s="1"/>
  <c r="F42" i="2"/>
  <c r="B39" s="1"/>
  <c r="H51" i="5"/>
  <c r="B51"/>
  <c r="D51" s="1"/>
  <c r="E51"/>
  <c r="H52"/>
  <c r="B52"/>
  <c r="D52" s="1"/>
  <c r="E52"/>
  <c r="J53" i="4"/>
  <c r="K53"/>
  <c r="H53"/>
  <c r="I53"/>
  <c r="N71"/>
  <c r="N53"/>
  <c r="O53"/>
  <c r="O63" s="1"/>
  <c r="G53"/>
  <c r="L53"/>
  <c r="M53"/>
  <c r="M38" i="6"/>
  <c r="I53" s="1"/>
  <c r="K38"/>
  <c r="H38"/>
  <c r="J38" s="1"/>
  <c r="C53" s="1"/>
  <c r="C14" i="1"/>
  <c r="D14" s="1"/>
  <c r="C10"/>
  <c r="D10" s="1"/>
  <c r="L29" i="6"/>
  <c r="L41"/>
  <c r="G56" s="1"/>
  <c r="H41"/>
  <c r="M41"/>
  <c r="I56" s="1"/>
  <c r="M40"/>
  <c r="I55" s="1"/>
  <c r="K40"/>
  <c r="J40"/>
  <c r="C55" s="1"/>
  <c r="H40"/>
  <c r="N8"/>
  <c r="B2"/>
  <c r="B70"/>
  <c r="J2"/>
  <c r="J70"/>
  <c r="H2"/>
  <c r="H70"/>
  <c r="F2"/>
  <c r="F70"/>
  <c r="D2"/>
  <c r="D70"/>
  <c r="N69" i="4"/>
  <c r="N72"/>
  <c r="M2" i="6"/>
  <c r="M70"/>
  <c r="K2"/>
  <c r="K70"/>
  <c r="I2"/>
  <c r="I70"/>
  <c r="G2"/>
  <c r="G70"/>
  <c r="E2"/>
  <c r="E70"/>
  <c r="C2"/>
  <c r="C70"/>
  <c r="N68" i="4"/>
  <c r="N70"/>
  <c r="L43"/>
  <c r="N43" s="1"/>
  <c r="B39"/>
  <c r="N39" s="1"/>
  <c r="B40"/>
  <c r="C55" s="1"/>
  <c r="F54"/>
  <c r="J55"/>
  <c r="F55"/>
  <c r="B54"/>
  <c r="P46"/>
  <c r="P47" s="1"/>
  <c r="L46"/>
  <c r="Q46"/>
  <c r="M46"/>
  <c r="I58"/>
  <c r="E57"/>
  <c r="C61"/>
  <c r="O46"/>
  <c r="K46"/>
  <c r="B38"/>
  <c r="B51" s="1"/>
  <c r="B15"/>
  <c r="B25"/>
  <c r="L38"/>
  <c r="L51" s="1"/>
  <c r="L67" s="1"/>
  <c r="L15"/>
  <c r="L25"/>
  <c r="J38"/>
  <c r="J51" s="1"/>
  <c r="J15"/>
  <c r="J25"/>
  <c r="H38"/>
  <c r="H51" s="1"/>
  <c r="H15"/>
  <c r="H25"/>
  <c r="F38"/>
  <c r="F51" s="1"/>
  <c r="F67" s="1"/>
  <c r="F15"/>
  <c r="F25"/>
  <c r="D38"/>
  <c r="D51" s="1"/>
  <c r="D15"/>
  <c r="D25"/>
  <c r="N45"/>
  <c r="L28" i="6"/>
  <c r="N17" i="2"/>
  <c r="K46" s="1"/>
  <c r="C53" s="1"/>
  <c r="N14"/>
  <c r="N11"/>
  <c r="K44" s="1"/>
  <c r="C51" s="1"/>
  <c r="M38" i="4"/>
  <c r="M51" s="1"/>
  <c r="M67" s="1"/>
  <c r="M15"/>
  <c r="M25"/>
  <c r="K38"/>
  <c r="K51" s="1"/>
  <c r="K15"/>
  <c r="K25"/>
  <c r="I38"/>
  <c r="I51" s="1"/>
  <c r="I67" s="1"/>
  <c r="I15"/>
  <c r="I25"/>
  <c r="G38"/>
  <c r="G51" s="1"/>
  <c r="G15"/>
  <c r="G25"/>
  <c r="E38"/>
  <c r="E51" s="1"/>
  <c r="E67" s="1"/>
  <c r="E15"/>
  <c r="E25"/>
  <c r="C38"/>
  <c r="C51" s="1"/>
  <c r="C15"/>
  <c r="C25"/>
  <c r="C38" i="1"/>
  <c r="D38" s="1"/>
  <c r="C25"/>
  <c r="D25" s="1"/>
  <c r="C34"/>
  <c r="D34" s="1"/>
  <c r="D47"/>
  <c r="K4" i="3"/>
  <c r="N42" i="4"/>
  <c r="N5"/>
  <c r="N8"/>
  <c r="N11"/>
  <c r="N46" i="2"/>
  <c r="I53" s="1"/>
  <c r="I46"/>
  <c r="N44"/>
  <c r="I51" s="1"/>
  <c r="I44"/>
  <c r="C39"/>
  <c r="D12" i="3" s="1"/>
  <c r="K39" i="2"/>
  <c r="E39"/>
  <c r="F12" i="3" s="1"/>
  <c r="F32" s="1"/>
  <c r="G39" i="2"/>
  <c r="H12" i="3" s="1"/>
  <c r="H32" s="1"/>
  <c r="I39" i="2"/>
  <c r="J12" i="3" s="1"/>
  <c r="J32" s="1"/>
  <c r="D39" i="2"/>
  <c r="E12" i="3" s="1"/>
  <c r="F39" i="2"/>
  <c r="G12" i="3" s="1"/>
  <c r="G32" s="1"/>
  <c r="H39" i="2"/>
  <c r="I12" i="3" s="1"/>
  <c r="I32" s="1"/>
  <c r="J39" i="2"/>
  <c r="K12" i="3" s="1"/>
  <c r="K32" s="1"/>
  <c r="K35" s="1"/>
  <c r="N45" i="2"/>
  <c r="I52" s="1"/>
  <c r="L45"/>
  <c r="I45"/>
  <c r="K45"/>
  <c r="C52" s="1"/>
  <c r="L38"/>
  <c r="D71" i="5"/>
  <c r="K6" i="3"/>
  <c r="C28" i="1"/>
  <c r="D28" s="1"/>
  <c r="C4"/>
  <c r="D4" s="1"/>
  <c r="C27"/>
  <c r="D27" s="1"/>
  <c r="D55"/>
  <c r="C36"/>
  <c r="D36" s="1"/>
  <c r="C12"/>
  <c r="D12" s="1"/>
  <c r="C23"/>
  <c r="D23" s="1"/>
  <c r="D51"/>
  <c r="C32"/>
  <c r="D32" s="1"/>
  <c r="C17"/>
  <c r="D17" s="1"/>
  <c r="D46"/>
  <c r="D56"/>
  <c r="D54"/>
  <c r="D52"/>
  <c r="D50"/>
  <c r="D48"/>
  <c r="C16"/>
  <c r="D16" s="1"/>
  <c r="C39"/>
  <c r="D39" s="1"/>
  <c r="C15"/>
  <c r="D15" s="1"/>
  <c r="C26"/>
  <c r="D26" s="1"/>
  <c r="B56" s="1"/>
  <c r="C37"/>
  <c r="D37" s="1"/>
  <c r="C13"/>
  <c r="D13" s="1"/>
  <c r="C24"/>
  <c r="D24" s="1"/>
  <c r="C35"/>
  <c r="D35" s="1"/>
  <c r="C11"/>
  <c r="D11" s="1"/>
  <c r="C22"/>
  <c r="D22" s="1"/>
  <c r="B52" s="1"/>
  <c r="C33"/>
  <c r="D33" s="1"/>
  <c r="C9"/>
  <c r="D9" s="1"/>
  <c r="C20"/>
  <c r="D20" s="1"/>
  <c r="C31"/>
  <c r="D31" s="1"/>
  <c r="C7"/>
  <c r="D7" s="1"/>
  <c r="C18"/>
  <c r="D18" s="1"/>
  <c r="C29"/>
  <c r="D29" s="1"/>
  <c r="C5"/>
  <c r="D5" s="1"/>
  <c r="C8"/>
  <c r="D8" s="1"/>
  <c r="B50" s="1"/>
  <c r="C19"/>
  <c r="D19" s="1"/>
  <c r="C30"/>
  <c r="D30" s="1"/>
  <c r="C6"/>
  <c r="D6" s="1"/>
  <c r="B46" l="1"/>
  <c r="L40" i="6"/>
  <c r="G55" s="1"/>
  <c r="E55"/>
  <c r="L38"/>
  <c r="G53" s="1"/>
  <c r="E53"/>
  <c r="J39"/>
  <c r="C54" s="1"/>
  <c r="H39"/>
  <c r="M39"/>
  <c r="I54" s="1"/>
  <c r="I58" s="1"/>
  <c r="K39"/>
  <c r="C58"/>
  <c r="F80" i="4"/>
  <c r="F99"/>
  <c r="F111" s="1"/>
  <c r="F137" s="1"/>
  <c r="L80"/>
  <c r="L99"/>
  <c r="L111" s="1"/>
  <c r="L137" s="1"/>
  <c r="M80"/>
  <c r="M99"/>
  <c r="M111" s="1"/>
  <c r="M137" s="1"/>
  <c r="I80"/>
  <c r="I99"/>
  <c r="I111" s="1"/>
  <c r="I137" s="1"/>
  <c r="E80"/>
  <c r="E99"/>
  <c r="E111" s="1"/>
  <c r="E137" s="1"/>
  <c r="N46"/>
  <c r="N47" s="1"/>
  <c r="M60"/>
  <c r="Q47"/>
  <c r="K60"/>
  <c r="O47"/>
  <c r="N44"/>
  <c r="B63"/>
  <c r="B139" s="1"/>
  <c r="N40"/>
  <c r="N41" s="1"/>
  <c r="J33" i="3"/>
  <c r="H33"/>
  <c r="E33"/>
  <c r="C33"/>
  <c r="G33"/>
  <c r="I33"/>
  <c r="K33"/>
  <c r="F33"/>
  <c r="B51" i="1"/>
  <c r="E51" s="1"/>
  <c r="F51" s="1"/>
  <c r="G12" i="4" s="1"/>
  <c r="G48" s="1"/>
  <c r="G100" s="1"/>
  <c r="B54" i="1"/>
  <c r="L44" i="2"/>
  <c r="M44" s="1"/>
  <c r="G51" s="1"/>
  <c r="L46"/>
  <c r="G67" i="4"/>
  <c r="C67"/>
  <c r="D67"/>
  <c r="B67"/>
  <c r="J67"/>
  <c r="K67"/>
  <c r="H67"/>
  <c r="K7" i="3"/>
  <c r="F7"/>
  <c r="G35" s="1"/>
  <c r="H7"/>
  <c r="I35" s="1"/>
  <c r="J7"/>
  <c r="B7"/>
  <c r="C35" s="1"/>
  <c r="G7"/>
  <c r="H35" s="1"/>
  <c r="I7"/>
  <c r="J35" s="1"/>
  <c r="E7"/>
  <c r="F35" s="1"/>
  <c r="B57" i="1"/>
  <c r="E57" s="1"/>
  <c r="F57" s="1"/>
  <c r="M12" i="4" s="1"/>
  <c r="M74" s="1"/>
  <c r="M101" s="1"/>
  <c r="M104" s="1"/>
  <c r="C7" i="3"/>
  <c r="D35" s="1"/>
  <c r="M45" i="2"/>
  <c r="G52" s="1"/>
  <c r="E52"/>
  <c r="D7" i="3"/>
  <c r="E35" s="1"/>
  <c r="C12"/>
  <c r="L39" i="2"/>
  <c r="B12" i="3" s="1"/>
  <c r="C56" i="2"/>
  <c r="M46"/>
  <c r="G53" s="1"/>
  <c r="E53"/>
  <c r="E54" i="1"/>
  <c r="F54" s="1"/>
  <c r="J12" i="4" s="1"/>
  <c r="B53" i="1"/>
  <c r="E53" s="1"/>
  <c r="F53" s="1"/>
  <c r="I12" i="4" s="1"/>
  <c r="E52" i="1"/>
  <c r="F52" s="1"/>
  <c r="H12" i="4" s="1"/>
  <c r="E56" i="1"/>
  <c r="F56" s="1"/>
  <c r="L12" i="4" s="1"/>
  <c r="L74" s="1"/>
  <c r="L101" s="1"/>
  <c r="L104" s="1"/>
  <c r="B49" i="1"/>
  <c r="E49" s="1"/>
  <c r="F49" s="1"/>
  <c r="E12" i="4" s="1"/>
  <c r="B48" i="1"/>
  <c r="E48" s="1"/>
  <c r="F48" s="1"/>
  <c r="D12" i="4" s="1"/>
  <c r="B47" i="1"/>
  <c r="E47" s="1"/>
  <c r="F47" s="1"/>
  <c r="C12" i="4" s="1"/>
  <c r="B55" i="1"/>
  <c r="E55" s="1"/>
  <c r="F55" s="1"/>
  <c r="K12" i="4" s="1"/>
  <c r="K74" s="1"/>
  <c r="K101" s="1"/>
  <c r="K104" s="1"/>
  <c r="E50" i="1"/>
  <c r="F50" s="1"/>
  <c r="F12" i="4" s="1"/>
  <c r="E46" i="1"/>
  <c r="F46" s="1"/>
  <c r="B130" i="4" l="1"/>
  <c r="I64" i="6"/>
  <c r="I66"/>
  <c r="C66"/>
  <c r="C64"/>
  <c r="E51" i="2"/>
  <c r="L39" i="6"/>
  <c r="G54" s="1"/>
  <c r="G58" s="1"/>
  <c r="E54"/>
  <c r="E58"/>
  <c r="K80" i="4"/>
  <c r="K99"/>
  <c r="K111" s="1"/>
  <c r="K137" s="1"/>
  <c r="B80"/>
  <c r="B99"/>
  <c r="B111" s="1"/>
  <c r="B137" s="1"/>
  <c r="C80"/>
  <c r="C99"/>
  <c r="C111" s="1"/>
  <c r="C137" s="1"/>
  <c r="H80"/>
  <c r="H99"/>
  <c r="H111" s="1"/>
  <c r="H137" s="1"/>
  <c r="J80"/>
  <c r="J99"/>
  <c r="J111" s="1"/>
  <c r="J137" s="1"/>
  <c r="D80"/>
  <c r="D99"/>
  <c r="D111" s="1"/>
  <c r="D137" s="1"/>
  <c r="G80"/>
  <c r="G99"/>
  <c r="G111" s="1"/>
  <c r="G137" s="1"/>
  <c r="H62"/>
  <c r="G35"/>
  <c r="G74"/>
  <c r="G101" s="1"/>
  <c r="G104" s="1"/>
  <c r="G105" s="1"/>
  <c r="D35"/>
  <c r="D74"/>
  <c r="D101" s="1"/>
  <c r="D104" s="1"/>
  <c r="I35"/>
  <c r="I74"/>
  <c r="I101" s="1"/>
  <c r="I104" s="1"/>
  <c r="F35"/>
  <c r="F74"/>
  <c r="F101" s="1"/>
  <c r="F104" s="1"/>
  <c r="C35"/>
  <c r="C74"/>
  <c r="C101" s="1"/>
  <c r="C104" s="1"/>
  <c r="E35"/>
  <c r="E74"/>
  <c r="E101" s="1"/>
  <c r="E104" s="1"/>
  <c r="H35"/>
  <c r="H74"/>
  <c r="H101" s="1"/>
  <c r="H104" s="1"/>
  <c r="J35"/>
  <c r="J74"/>
  <c r="J101" s="1"/>
  <c r="J104" s="1"/>
  <c r="K48"/>
  <c r="K100" s="1"/>
  <c r="K105" s="1"/>
  <c r="K35"/>
  <c r="L48"/>
  <c r="L100" s="1"/>
  <c r="L105" s="1"/>
  <c r="L35"/>
  <c r="M48"/>
  <c r="M35"/>
  <c r="F48"/>
  <c r="F100" s="1"/>
  <c r="C48"/>
  <c r="C100" s="1"/>
  <c r="E48"/>
  <c r="E100" s="1"/>
  <c r="H48"/>
  <c r="H100" s="1"/>
  <c r="H105" s="1"/>
  <c r="J48"/>
  <c r="J100" s="1"/>
  <c r="D48"/>
  <c r="D100" s="1"/>
  <c r="D105" s="1"/>
  <c r="I48"/>
  <c r="I100" s="1"/>
  <c r="C37" i="3"/>
  <c r="C64" i="2"/>
  <c r="C62"/>
  <c r="M12" i="3"/>
  <c r="M32" s="1"/>
  <c r="M34" s="1"/>
  <c r="G36"/>
  <c r="I36"/>
  <c r="F16" i="5" s="1"/>
  <c r="F36" i="3"/>
  <c r="H36"/>
  <c r="F18" i="5" s="1"/>
  <c r="J36" i="3"/>
  <c r="F17" i="5" s="1"/>
  <c r="E56" i="2"/>
  <c r="C32" i="3"/>
  <c r="N12"/>
  <c r="O12" s="1"/>
  <c r="K36"/>
  <c r="F58" i="1"/>
  <c r="I47" i="2" s="1"/>
  <c r="B12" i="4"/>
  <c r="F105" l="1"/>
  <c r="J105"/>
  <c r="C105"/>
  <c r="I105"/>
  <c r="E105"/>
  <c r="N62"/>
  <c r="N63" s="1"/>
  <c r="M100"/>
  <c r="M105" s="1"/>
  <c r="G66" i="6"/>
  <c r="G64"/>
  <c r="H63" i="4"/>
  <c r="E66" i="6"/>
  <c r="E64"/>
  <c r="D62" i="4"/>
  <c r="H76"/>
  <c r="J112" s="1"/>
  <c r="D76"/>
  <c r="F112" s="1"/>
  <c r="B35"/>
  <c r="N35" s="1"/>
  <c r="B36" i="5" s="1"/>
  <c r="B74" i="4"/>
  <c r="E62"/>
  <c r="I62"/>
  <c r="J62"/>
  <c r="K62"/>
  <c r="F62"/>
  <c r="G62"/>
  <c r="M62"/>
  <c r="L62"/>
  <c r="K76"/>
  <c r="M112" s="1"/>
  <c r="N12"/>
  <c r="B48"/>
  <c r="B100" s="1"/>
  <c r="C36" i="3"/>
  <c r="C38" s="1"/>
  <c r="M47" i="2"/>
  <c r="G54" s="1"/>
  <c r="G56" s="1"/>
  <c r="N47"/>
  <c r="I54" s="1"/>
  <c r="I56" s="1"/>
  <c r="D19" i="3"/>
  <c r="D37"/>
  <c r="D17"/>
  <c r="E64" i="2"/>
  <c r="E62"/>
  <c r="E13" i="3" s="1"/>
  <c r="B13" s="1"/>
  <c r="J10" i="5" s="1"/>
  <c r="J15" s="1"/>
  <c r="B101" i="4" l="1"/>
  <c r="B104" s="1"/>
  <c r="B105" s="1"/>
  <c r="C107" s="1"/>
  <c r="C116" s="1"/>
  <c r="C130" s="1"/>
  <c r="C140" s="1"/>
  <c r="M63"/>
  <c r="F63"/>
  <c r="J63"/>
  <c r="E63"/>
  <c r="I106"/>
  <c r="L63"/>
  <c r="G63"/>
  <c r="K63"/>
  <c r="I63"/>
  <c r="D63"/>
  <c r="F4" i="5"/>
  <c r="C62" i="4"/>
  <c r="B76"/>
  <c r="D112" s="1"/>
  <c r="N74"/>
  <c r="C45" i="3"/>
  <c r="F52" i="5" s="1"/>
  <c r="G52" s="1"/>
  <c r="C44" i="3"/>
  <c r="F51" i="5" s="1"/>
  <c r="G51" s="1"/>
  <c r="C46" i="3"/>
  <c r="N48" i="4"/>
  <c r="B32" i="3"/>
  <c r="D32"/>
  <c r="D36" s="1"/>
  <c r="F37"/>
  <c r="F38" s="1"/>
  <c r="I64" i="2"/>
  <c r="I62"/>
  <c r="E37" i="3"/>
  <c r="E17"/>
  <c r="N17" s="1"/>
  <c r="O17" s="1"/>
  <c r="E19"/>
  <c r="N19" s="1"/>
  <c r="O19" s="1"/>
  <c r="E14"/>
  <c r="N14" s="1"/>
  <c r="O14" s="1"/>
  <c r="G64" i="2"/>
  <c r="G62"/>
  <c r="N13" i="3"/>
  <c r="O13" s="1"/>
  <c r="C7" i="5" l="1"/>
  <c r="E7"/>
  <c r="B7"/>
  <c r="B8"/>
  <c r="E8"/>
  <c r="D7"/>
  <c r="D8"/>
  <c r="C8"/>
  <c r="I76" i="4"/>
  <c r="K112" s="1"/>
  <c r="G76"/>
  <c r="I112" s="1"/>
  <c r="L76"/>
  <c r="N112" s="1"/>
  <c r="E76"/>
  <c r="G112" s="1"/>
  <c r="J76"/>
  <c r="L112" s="1"/>
  <c r="F76"/>
  <c r="H112" s="1"/>
  <c r="M76"/>
  <c r="O112" s="1"/>
  <c r="C63"/>
  <c r="E106"/>
  <c r="F107" s="1"/>
  <c r="C106"/>
  <c r="J107"/>
  <c r="J106"/>
  <c r="K107" s="1"/>
  <c r="L106"/>
  <c r="M107" s="1"/>
  <c r="H106"/>
  <c r="I107" s="1"/>
  <c r="I116" s="1"/>
  <c r="M106"/>
  <c r="N107" s="1"/>
  <c r="N116" s="1"/>
  <c r="F106"/>
  <c r="G107" s="1"/>
  <c r="G116" s="1"/>
  <c r="K106"/>
  <c r="L107" s="1"/>
  <c r="L116" s="1"/>
  <c r="G106"/>
  <c r="H107" s="1"/>
  <c r="H116" s="1"/>
  <c r="C76"/>
  <c r="E112" s="1"/>
  <c r="N75"/>
  <c r="F46" i="3"/>
  <c r="F44"/>
  <c r="F34" i="5" s="1"/>
  <c r="G34" s="1"/>
  <c r="F45" i="3"/>
  <c r="F35" i="5" s="1"/>
  <c r="G35" s="1"/>
  <c r="F43" i="3"/>
  <c r="F33" i="5" s="1"/>
  <c r="G33" s="1"/>
  <c r="D38" i="3"/>
  <c r="E32"/>
  <c r="E36" s="1"/>
  <c r="E38" s="1"/>
  <c r="F8" i="5" l="1"/>
  <c r="F7"/>
  <c r="H130" i="4"/>
  <c r="H140" s="1"/>
  <c r="G130"/>
  <c r="G140" s="1"/>
  <c r="I130"/>
  <c r="I140" s="1"/>
  <c r="L130"/>
  <c r="K116"/>
  <c r="K130" s="1"/>
  <c r="F116"/>
  <c r="M116"/>
  <c r="J116"/>
  <c r="N76"/>
  <c r="D107"/>
  <c r="D106"/>
  <c r="E107" s="1"/>
  <c r="E45" i="3"/>
  <c r="E43"/>
  <c r="E44"/>
  <c r="E46"/>
  <c r="D45"/>
  <c r="D43"/>
  <c r="G43" s="1"/>
  <c r="H43" s="1"/>
  <c r="C33" i="5" s="1"/>
  <c r="D33" s="1"/>
  <c r="H33" s="1"/>
  <c r="D44" i="3"/>
  <c r="D46"/>
  <c r="G46" s="1"/>
  <c r="H46" s="1"/>
  <c r="C36" i="5" s="1"/>
  <c r="D36" s="1"/>
  <c r="H36" s="1"/>
  <c r="E6" s="1"/>
  <c r="E12" s="1"/>
  <c r="E13" s="1"/>
  <c r="B36" i="3"/>
  <c r="B6" i="5" l="1"/>
  <c r="B13" s="1"/>
  <c r="J130" i="4"/>
  <c r="J140" s="1"/>
  <c r="F130"/>
  <c r="F140" s="1"/>
  <c r="G44" i="3"/>
  <c r="H44" s="1"/>
  <c r="C34" i="5" s="1"/>
  <c r="D34" s="1"/>
  <c r="H34" s="1"/>
  <c r="C6" s="1"/>
  <c r="C12" s="1"/>
  <c r="C13" s="1"/>
  <c r="I51"/>
  <c r="J51" s="1"/>
  <c r="K51" s="1"/>
  <c r="G45" i="3"/>
  <c r="H45" s="1"/>
  <c r="C35" i="5" s="1"/>
  <c r="D35" s="1"/>
  <c r="H35" s="1"/>
  <c r="D6" s="1"/>
  <c r="D12" s="1"/>
  <c r="D13" s="1"/>
  <c r="I52"/>
  <c r="J52" s="1"/>
  <c r="K52" s="1"/>
  <c r="M130" i="4"/>
  <c r="M140" s="1"/>
  <c r="E116"/>
  <c r="D116"/>
  <c r="B140"/>
  <c r="B141" l="1"/>
  <c r="F6" i="5"/>
  <c r="F12" s="1"/>
  <c r="H37"/>
  <c r="E130" i="4"/>
  <c r="E140" s="1"/>
  <c r="K53" i="5"/>
  <c r="J3" s="1"/>
  <c r="D130" i="4"/>
  <c r="D140" s="1"/>
  <c r="B82" i="5" l="1"/>
  <c r="D82" s="1"/>
  <c r="D90" s="1"/>
  <c r="J5"/>
  <c r="J17" s="1"/>
  <c r="J22" s="1"/>
  <c r="N23" i="8" s="1"/>
  <c r="C144" i="4"/>
  <c r="B144"/>
  <c r="F21" i="5"/>
  <c r="F13"/>
  <c r="C143" i="4"/>
  <c r="J26" i="5" l="1"/>
  <c r="G89" s="1"/>
  <c r="B145" i="4"/>
  <c r="C138" s="1"/>
  <c r="C139"/>
  <c r="J29" i="5" l="1"/>
  <c r="C141" i="4"/>
  <c r="D143"/>
  <c r="D144"/>
  <c r="C145"/>
  <c r="G78" i="5" l="1"/>
  <c r="G90" s="1"/>
  <c r="N28" i="8"/>
  <c r="D138" i="4"/>
  <c r="D139"/>
  <c r="D141" l="1"/>
  <c r="E144" s="1"/>
  <c r="E143" l="1"/>
  <c r="E139"/>
  <c r="D145" l="1"/>
  <c r="E138" s="1"/>
  <c r="E141" s="1"/>
  <c r="F144" s="1"/>
  <c r="F143" l="1"/>
  <c r="F139"/>
  <c r="E145" l="1"/>
  <c r="F138" s="1"/>
  <c r="F141" s="1"/>
  <c r="G144" s="1"/>
  <c r="G143" l="1"/>
  <c r="G139"/>
  <c r="F145" l="1"/>
  <c r="G138" s="1"/>
  <c r="G141" s="1"/>
  <c r="H144" s="1"/>
  <c r="H143" l="1"/>
  <c r="H139"/>
  <c r="G145" l="1"/>
  <c r="H138" s="1"/>
  <c r="H141" s="1"/>
  <c r="I144" s="1"/>
  <c r="I143" l="1"/>
  <c r="I139"/>
  <c r="H145" l="1"/>
  <c r="I138" s="1"/>
  <c r="I141" s="1"/>
  <c r="J144" s="1"/>
  <c r="J143" l="1"/>
  <c r="J139"/>
  <c r="I145" l="1"/>
  <c r="J138" s="1"/>
  <c r="J141" s="1"/>
  <c r="K144" s="1"/>
  <c r="K143" l="1"/>
  <c r="K139"/>
  <c r="J145" l="1"/>
  <c r="K138" s="1"/>
  <c r="K141" s="1"/>
  <c r="L144" s="1"/>
  <c r="L143" l="1"/>
  <c r="L139"/>
  <c r="K145" l="1"/>
  <c r="L138" s="1"/>
  <c r="L141" s="1"/>
  <c r="M144" s="1"/>
  <c r="N144" s="1"/>
  <c r="M143" l="1"/>
  <c r="N143" s="1"/>
  <c r="M139"/>
  <c r="F27" i="5" l="1"/>
  <c r="L145" i="4"/>
  <c r="M138" s="1"/>
  <c r="M141" s="1"/>
  <c r="F29" i="5" l="1"/>
  <c r="G28" i="8" s="1"/>
  <c r="G26"/>
  <c r="M145" i="4"/>
  <c r="N46" i="9"/>
  <c r="C48"/>
  <c r="N48"/>
  <c r="C13" i="8"/>
  <c r="C14" s="1"/>
  <c r="D13"/>
  <c r="D14" s="1"/>
  <c r="E13"/>
  <c r="E14" s="1"/>
  <c r="B6" i="7"/>
  <c r="C6"/>
  <c r="D6"/>
  <c r="E6"/>
  <c r="F6"/>
  <c r="G6"/>
  <c r="H6"/>
  <c r="I6"/>
  <c r="J6"/>
  <c r="K6"/>
  <c r="C32"/>
  <c r="D32"/>
  <c r="E32"/>
  <c r="F32"/>
  <c r="G32"/>
  <c r="H32"/>
  <c r="I32"/>
  <c r="J32"/>
  <c r="C33"/>
  <c r="D33"/>
  <c r="E33"/>
  <c r="F33"/>
  <c r="G33"/>
  <c r="H33"/>
  <c r="I33"/>
  <c r="J33"/>
  <c r="C35"/>
  <c r="D35"/>
  <c r="E35"/>
  <c r="F35"/>
  <c r="K37"/>
  <c r="C40"/>
  <c r="D40"/>
  <c r="E40"/>
  <c r="F40"/>
  <c r="G40"/>
  <c r="H40"/>
  <c r="C41"/>
  <c r="D41"/>
  <c r="E41"/>
  <c r="F41"/>
  <c r="G41"/>
  <c r="H41"/>
  <c r="C42"/>
  <c r="D42"/>
  <c r="E42"/>
  <c r="F42"/>
  <c r="G42"/>
  <c r="H42"/>
  <c r="C43"/>
  <c r="D43"/>
  <c r="E43"/>
  <c r="F43"/>
  <c r="G43"/>
  <c r="H43"/>
  <c r="O4" i="8"/>
  <c r="M6"/>
  <c r="O6"/>
  <c r="F11"/>
  <c r="H11"/>
  <c r="B13"/>
  <c r="F13"/>
  <c r="H13"/>
  <c r="B14"/>
  <c r="F14"/>
  <c r="H14"/>
  <c r="F17"/>
  <c r="H17"/>
  <c r="F18"/>
  <c r="H18"/>
  <c r="M18"/>
  <c r="O18"/>
  <c r="F19"/>
  <c r="H19"/>
  <c r="F22"/>
  <c r="H22"/>
  <c r="M23"/>
  <c r="O23"/>
  <c r="M25"/>
  <c r="O25"/>
  <c r="F26"/>
  <c r="H26"/>
  <c r="F28"/>
  <c r="H28"/>
  <c r="M28"/>
  <c r="O28"/>
  <c r="F41"/>
  <c r="G41"/>
  <c r="I41"/>
  <c r="J41"/>
  <c r="K41"/>
  <c r="F42"/>
  <c r="G42"/>
  <c r="I42"/>
  <c r="J42"/>
  <c r="K42"/>
  <c r="F43"/>
  <c r="G43"/>
  <c r="I43"/>
  <c r="J43"/>
  <c r="K43"/>
  <c r="K44"/>
  <c r="C47"/>
  <c r="D47"/>
  <c r="F47"/>
  <c r="G47"/>
  <c r="H47"/>
  <c r="K47"/>
  <c r="C48"/>
  <c r="D48"/>
  <c r="F48"/>
  <c r="G48"/>
  <c r="H48"/>
  <c r="C49"/>
  <c r="D49"/>
  <c r="F49"/>
  <c r="G49"/>
  <c r="H49"/>
  <c r="C50"/>
  <c r="D50"/>
  <c r="H50"/>
  <c r="H51"/>
</calcChain>
</file>

<file path=xl/comments1.xml><?xml version="1.0" encoding="utf-8"?>
<comments xmlns="http://schemas.openxmlformats.org/spreadsheetml/2006/main">
  <authors>
    <author>Simmav</author>
    <author>ens.simmav</author>
  </authors>
  <commentList>
    <comment ref="B24" authorId="0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en k€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en k$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en k€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en k$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en k€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en k$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en k€</t>
        </r>
      </text>
    </comment>
    <comment ref="K44" authorId="1">
      <text>
        <r>
          <rPr>
            <b/>
            <sz val="8"/>
            <color indexed="81"/>
            <rFont val="Tahoma"/>
            <family val="2"/>
          </rPr>
          <t>ens.simmav: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On retranche les machines commandées en décembre car elles ne passeront par le bureau d'étude qu'en janv 2019</t>
        </r>
      </text>
    </comment>
    <comment ref="L44" authorId="1">
      <text>
        <r>
          <rPr>
            <b/>
            <sz val="8"/>
            <color indexed="81"/>
            <rFont val="Tahoma"/>
            <family val="2"/>
          </rPr>
          <t>ens.simmav: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On retranche les machines commandées en novembre et en décembre car elles ne passeront par l'usinage 1  qu'en janv et février 2019</t>
        </r>
      </text>
    </comment>
    <comment ref="M44" authorId="1">
      <text>
        <r>
          <rPr>
            <b/>
            <sz val="8"/>
            <color indexed="81"/>
            <rFont val="Tahoma"/>
            <family val="2"/>
          </rPr>
          <t>ens.simmav: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Ce sont les mêmes que pour l'atelier usinage 1 car les machines passent durant le même mois dans ces 2 ateliers</t>
        </r>
      </text>
    </comment>
    <comment ref="N44" authorId="1">
      <text>
        <r>
          <rPr>
            <b/>
            <sz val="8"/>
            <color indexed="81"/>
            <rFont val="Tahoma"/>
            <family val="2"/>
          </rPr>
          <t>ens.simmav: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2 choses à faire : </t>
        </r>
        <r>
          <rPr>
            <sz val="8"/>
            <color indexed="81"/>
            <rFont val="Tahoma"/>
            <family val="2"/>
          </rPr>
          <t xml:space="preserve">
-  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>On retranche</t>
        </r>
        <r>
          <rPr>
            <sz val="10"/>
            <color indexed="81"/>
            <rFont val="Tahoma"/>
            <family val="2"/>
          </rPr>
          <t xml:space="preserve"> les machines commandées en octobre, en novembre et en décembre car elles ne passeront par l'usinage 1  qu'en janv et février 2019
- </t>
        </r>
        <r>
          <rPr>
            <b/>
            <sz val="10"/>
            <color indexed="81"/>
            <rFont val="Tahoma"/>
            <family val="2"/>
          </rPr>
          <t xml:space="preserve">on ajoute </t>
        </r>
        <r>
          <rPr>
            <sz val="10"/>
            <color indexed="81"/>
            <rFont val="Tahoma"/>
            <family val="2"/>
          </rPr>
          <t>les 2 machines qui sont en cours de fabrication au 31 décembre 2017 et pour lesquelles, il reste le montage à effectuer</t>
        </r>
      </text>
    </comment>
  </commentList>
</comments>
</file>

<file path=xl/comments2.xml><?xml version="1.0" encoding="utf-8"?>
<comments xmlns="http://schemas.openxmlformats.org/spreadsheetml/2006/main">
  <authors>
    <author>ens.simmav</author>
    <author>PSU</author>
  </authors>
  <commentList>
    <comment ref="F6" authorId="0">
      <text>
        <r>
          <rPr>
            <b/>
            <sz val="8"/>
            <color indexed="81"/>
            <rFont val="Tahoma"/>
            <family val="2"/>
          </rPr>
          <t>ens.simmav: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par hypothèse :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Tahoma"/>
            <family val="2"/>
          </rPr>
          <t>pas d'ordinateur dans le service entretien</t>
        </r>
      </text>
    </comment>
    <comment ref="J6" authorId="0">
      <text>
        <r>
          <rPr>
            <b/>
            <sz val="8"/>
            <color indexed="81"/>
            <rFont val="Tahoma"/>
            <family val="2"/>
          </rPr>
          <t>ens.simmav: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pas de prise en compte des ordinateurs du service informatique pour éviter que le centre ne se répartisse sur lui même</t>
        </r>
      </text>
    </comment>
    <comment ref="M23" authorId="1">
      <text>
        <r>
          <rPr>
            <b/>
            <sz val="9"/>
            <color indexed="81"/>
            <rFont val="Tahoma"/>
            <family val="2"/>
          </rPr>
          <t>PSU:</t>
        </r>
        <r>
          <rPr>
            <sz val="9"/>
            <color indexed="81"/>
            <rFont val="Tahoma"/>
            <family val="2"/>
          </rPr>
          <t xml:space="preserve">
prorata ca</t>
        </r>
      </text>
    </comment>
    <comment ref="M25" authorId="1">
      <text>
        <r>
          <rPr>
            <b/>
            <sz val="9"/>
            <color indexed="81"/>
            <rFont val="Tahoma"/>
            <family val="2"/>
          </rPr>
          <t>PSU:
non affecté du cp</t>
        </r>
      </text>
    </comment>
  </commentList>
</comments>
</file>

<file path=xl/comments3.xml><?xml version="1.0" encoding="utf-8"?>
<comments xmlns="http://schemas.openxmlformats.org/spreadsheetml/2006/main">
  <authors>
    <author>Simmav</author>
    <author>simmav</author>
    <author>PSU</author>
    <author>Mel-Hu-Al</author>
    <author>Ludivine Gevaudan</author>
  </authors>
  <commentList>
    <comment ref="B16" authorId="0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on retient le cours de change de couverture (fin 2017) pour les 3 premiers mois de 2018</t>
        </r>
      </text>
    </comment>
    <comment ref="B40" authorId="1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machines usinées en déc 2017, montées en janvier 2018 et donc vendues en janvier 2018</t>
        </r>
      </text>
    </comment>
    <comment ref="B43" authorId="1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machines usinées en déc 2017, montées en janvier 2018 et donc vendues en janvier 2018</t>
        </r>
      </text>
    </comment>
    <comment ref="B46" authorId="1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machines usinées en déc 2017, montées en janvier 2018 et donc vendues en janvier 2018</t>
        </r>
      </text>
    </comment>
    <comment ref="A102" authorId="2">
      <text>
        <r>
          <rPr>
            <b/>
            <sz val="9"/>
            <color indexed="81"/>
            <rFont val="Tahoma"/>
            <family val="2"/>
          </rPr>
          <t>PSU:</t>
        </r>
        <r>
          <rPr>
            <sz val="9"/>
            <color indexed="81"/>
            <rFont val="Tahoma"/>
            <family val="2"/>
          </rPr>
          <t xml:space="preserve">
décaissement le mois même</t>
        </r>
      </text>
    </comment>
    <comment ref="B107" authorId="3">
      <text>
        <r>
          <rPr>
            <b/>
            <sz val="9"/>
            <color indexed="81"/>
            <rFont val="Tahoma"/>
            <family val="2"/>
          </rPr>
          <t>Mel:</t>
        </r>
        <r>
          <rPr>
            <sz val="9"/>
            <color indexed="81"/>
            <rFont val="Tahoma"/>
            <family val="2"/>
          </rPr>
          <t xml:space="preserve">
Au bilan</t>
        </r>
      </text>
    </comment>
    <comment ref="N120" authorId="4">
      <text>
        <r>
          <rPr>
            <b/>
            <sz val="9"/>
            <color indexed="81"/>
            <rFont val="Tahoma"/>
            <family val="2"/>
          </rPr>
          <t>Ludivine Gevaudan:</t>
        </r>
        <r>
          <rPr>
            <sz val="9"/>
            <color indexed="81"/>
            <rFont val="Tahoma"/>
            <family val="2"/>
          </rPr>
          <t xml:space="preserve">
frais de déplacement payé le même mois donc pas dans les dettes</t>
        </r>
      </text>
    </comment>
  </commentList>
</comments>
</file>

<file path=xl/comments4.xml><?xml version="1.0" encoding="utf-8"?>
<comments xmlns="http://schemas.openxmlformats.org/spreadsheetml/2006/main">
  <authors>
    <author>Ludivine Gevaudan</author>
    <author>PSU</author>
    <author>simmav</author>
  </authors>
  <commentList>
    <comment ref="F7" authorId="0">
      <text>
        <r>
          <rPr>
            <b/>
            <sz val="9"/>
            <color indexed="81"/>
            <rFont val="Tahoma"/>
            <family val="2"/>
          </rPr>
          <t>Ludivine Gevaudan:</t>
        </r>
        <r>
          <rPr>
            <sz val="9"/>
            <color indexed="81"/>
            <rFont val="Tahoma"/>
            <family val="2"/>
          </rPr>
          <t xml:space="preserve">
prorata du CA</t>
        </r>
      </text>
    </comment>
    <comment ref="F10" authorId="1">
      <text>
        <r>
          <rPr>
            <b/>
            <sz val="9"/>
            <color indexed="81"/>
            <rFont val="Tahoma"/>
            <family val="2"/>
          </rPr>
          <t>PSU:</t>
        </r>
        <r>
          <rPr>
            <sz val="9"/>
            <color indexed="81"/>
            <rFont val="Tahoma"/>
            <family val="2"/>
          </rPr>
          <t xml:space="preserve">
nb n'heure * cout horaire</t>
        </r>
      </text>
    </comment>
    <comment ref="F18" authorId="1">
      <text>
        <r>
          <rPr>
            <b/>
            <sz val="9"/>
            <color indexed="81"/>
            <rFont val="Tahoma"/>
            <family val="2"/>
          </rPr>
          <t>PSU:</t>
        </r>
        <r>
          <rPr>
            <sz val="9"/>
            <color indexed="81"/>
            <rFont val="Tahoma"/>
            <family val="2"/>
          </rPr>
          <t xml:space="preserve">
coût du service achat
</t>
        </r>
      </text>
    </comment>
    <comment ref="F19" authorId="2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impôts locaux</t>
        </r>
      </text>
    </comment>
    <comment ref="F28" authorId="1">
      <text>
        <r>
          <rPr>
            <b/>
            <sz val="9"/>
            <color indexed="81"/>
            <rFont val="Tahoma"/>
            <family val="2"/>
          </rPr>
          <t>PSU:</t>
        </r>
        <r>
          <rPr>
            <sz val="9"/>
            <color indexed="81"/>
            <rFont val="Tahoma"/>
            <family val="2"/>
          </rPr>
          <t xml:space="preserve">
pas de participation</t>
        </r>
      </text>
    </comment>
    <comment ref="F32" authorId="1">
      <text>
        <r>
          <rPr>
            <b/>
            <sz val="9"/>
            <color indexed="81"/>
            <rFont val="Tahoma"/>
            <family val="2"/>
          </rPr>
          <t>PSU:</t>
        </r>
        <r>
          <rPr>
            <sz val="9"/>
            <color indexed="81"/>
            <rFont val="Tahoma"/>
            <family val="2"/>
          </rPr>
          <t xml:space="preserve">
machines vendues sur 2018</t>
        </r>
      </text>
    </comment>
    <comment ref="E33" authorId="1">
      <text>
        <r>
          <rPr>
            <b/>
            <sz val="9"/>
            <color indexed="81"/>
            <rFont val="Tahoma"/>
            <family val="2"/>
          </rPr>
          <t>PSU:</t>
        </r>
        <r>
          <rPr>
            <sz val="9"/>
            <color indexed="81"/>
            <rFont val="Tahoma"/>
            <family val="2"/>
          </rPr>
          <t xml:space="preserve">
en 2017 on a engagé 230 de frais pour fabriqués des machines alpha vendues qu'en 2018
</t>
        </r>
      </text>
    </comment>
    <comment ref="B51" authorId="2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on ne retient que les machines commandées en octobre car pour les machines commandées en novembre, les achats se feront en 2019</t>
        </r>
      </text>
    </comment>
    <comment ref="H51" authorId="2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on ne retient que les machines commandées en octobre car pour les machines commandées en novembre, l'usinage n'a pas encore été effectué au 31 décembre 2018</t>
        </r>
      </text>
    </comment>
    <comment ref="B52" authorId="2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on ne retient que les machines commandées en octobre car pour les machines commandées en novembre, les achats se feront en 2019</t>
        </r>
      </text>
    </comment>
    <comment ref="H52" authorId="2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on ne retient que les machines commandées en octobre car pour les machines commandées en novembre, l'usinage n'a pas encore été effectué au 31 décembre 2018</t>
        </r>
      </text>
    </comment>
  </commentList>
</comments>
</file>

<file path=xl/comments5.xml><?xml version="1.0" encoding="utf-8"?>
<comments xmlns="http://schemas.openxmlformats.org/spreadsheetml/2006/main">
  <authors>
    <author>Ludivine Gevaudan</author>
    <author>Simmav</author>
  </authors>
  <commentList>
    <comment ref="D36" authorId="0">
      <text>
        <r>
          <rPr>
            <b/>
            <sz val="9"/>
            <color indexed="81"/>
            <rFont val="Tahoma"/>
            <family val="2"/>
          </rPr>
          <t>Ludivine Gevaudan:</t>
        </r>
        <r>
          <rPr>
            <sz val="9"/>
            <color indexed="81"/>
            <rFont val="Tahoma"/>
            <family val="2"/>
          </rPr>
          <t xml:space="preserve">
taux réel de 46%</t>
        </r>
      </text>
    </comment>
    <comment ref="B71" authorId="1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on retient le cours de change de couverture (fin 2017) pour les 3 premiers mois de 2018</t>
        </r>
      </text>
    </comment>
  </commentList>
</comments>
</file>

<file path=xl/comments6.xml><?xml version="1.0" encoding="utf-8"?>
<comments xmlns="http://schemas.openxmlformats.org/spreadsheetml/2006/main">
  <authors>
    <author>Simmav</author>
    <author>simmav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Simmav:</t>
        </r>
        <r>
          <rPr>
            <sz val="9"/>
            <color indexed="81"/>
            <rFont val="Tahoma"/>
            <family val="2"/>
          </rPr>
          <t xml:space="preserve">
on retient le cours de change de couverture (fin 2017) pour les 3 premiers mois de 2018</t>
        </r>
      </text>
    </comment>
    <comment ref="B27" authorId="1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machines usinées en déc 2017, montées en janvier 2018 et donc vendues en janvier 2018</t>
        </r>
      </text>
    </comment>
    <comment ref="B30" authorId="1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machines usinées en déc 2017, montées en janvier 2018 et donc vendues en janvier 2018</t>
        </r>
      </text>
    </comment>
    <comment ref="B33" authorId="1">
      <text>
        <r>
          <rPr>
            <b/>
            <sz val="8"/>
            <color indexed="81"/>
            <rFont val="Tahoma"/>
            <family val="2"/>
          </rPr>
          <t>simmav: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machines usinées en déc 2017, montées en janvier 2018 et donc vendues en janvier 2018</t>
        </r>
      </text>
    </comment>
  </commentList>
</comments>
</file>

<file path=xl/sharedStrings.xml><?xml version="1.0" encoding="utf-8"?>
<sst xmlns="http://schemas.openxmlformats.org/spreadsheetml/2006/main" count="1001" uniqueCount="395">
  <si>
    <t>Annexe 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</si>
  <si>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</si>
  <si>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</si>
  <si>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</si>
  <si>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</si>
  <si>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</si>
  <si>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</si>
  <si>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</si>
  <si>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</si>
  <si>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</si>
  <si>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</si>
  <si>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</si>
  <si>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</si>
  <si>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Annexe 2</t>
  </si>
  <si>
    <t>Alpha France</t>
  </si>
  <si>
    <t>Alpha Export</t>
  </si>
  <si>
    <t>Beta France</t>
  </si>
  <si>
    <t>Beta export</t>
  </si>
  <si>
    <t>gamma France</t>
  </si>
  <si>
    <t>gamma Export</t>
  </si>
  <si>
    <t>Historique des commandes (en quantités) des articles vendus sur stock</t>
  </si>
  <si>
    <t>ACTIF</t>
  </si>
  <si>
    <t>PASSIF</t>
  </si>
  <si>
    <t>Immobilisations</t>
  </si>
  <si>
    <t>capitaux propres</t>
  </si>
  <si>
    <t>incorporelles</t>
  </si>
  <si>
    <t>capital</t>
  </si>
  <si>
    <t>corporelles</t>
  </si>
  <si>
    <t>réserves</t>
  </si>
  <si>
    <t>financières</t>
  </si>
  <si>
    <t>résultat</t>
  </si>
  <si>
    <t>dettes financières</t>
  </si>
  <si>
    <t>Actif circulant :</t>
  </si>
  <si>
    <t>intérêts courus non échus</t>
  </si>
  <si>
    <t>dettes d'exploitation</t>
  </si>
  <si>
    <t>dettes fournisseurs</t>
  </si>
  <si>
    <t>Disponibilités</t>
  </si>
  <si>
    <t>dettes sociales</t>
  </si>
  <si>
    <t>dettes fiscales (TVA)</t>
  </si>
  <si>
    <t>TOTAL</t>
  </si>
  <si>
    <t>Stock</t>
  </si>
  <si>
    <t>Créances Clients</t>
  </si>
  <si>
    <t>provisions</t>
  </si>
  <si>
    <t>Concours bancaires</t>
  </si>
  <si>
    <t>avances clients</t>
  </si>
  <si>
    <t>dettes fiscales (IS)</t>
  </si>
  <si>
    <t>Avances fournisseurs</t>
  </si>
  <si>
    <t>créances sur l'Etat (TVA)</t>
  </si>
  <si>
    <t>créances sur l'Etat (IS)</t>
  </si>
  <si>
    <t>emprunt</t>
  </si>
  <si>
    <t>machines</t>
  </si>
  <si>
    <t>hh études</t>
  </si>
  <si>
    <t>achats</t>
  </si>
  <si>
    <t>alpha</t>
  </si>
  <si>
    <t>beta</t>
  </si>
  <si>
    <t>gamma</t>
  </si>
  <si>
    <t>px de vente</t>
  </si>
  <si>
    <t>h usinage 1</t>
  </si>
  <si>
    <t>h usinage 2</t>
  </si>
  <si>
    <t>h montage</t>
  </si>
  <si>
    <t>pdts en serie</t>
  </si>
  <si>
    <t>BE</t>
  </si>
  <si>
    <t>usinage 1</t>
  </si>
  <si>
    <t>usinage 2</t>
  </si>
  <si>
    <t>montage</t>
  </si>
  <si>
    <t>entretien</t>
  </si>
  <si>
    <t>commercial</t>
  </si>
  <si>
    <t>administrat.</t>
  </si>
  <si>
    <t>informatiq.</t>
  </si>
  <si>
    <t>Total</t>
  </si>
  <si>
    <t>ouvriers</t>
  </si>
  <si>
    <t>maitrise productive</t>
  </si>
  <si>
    <t xml:space="preserve">maitrise </t>
  </si>
  <si>
    <t>Cadres productifs</t>
  </si>
  <si>
    <t>cadres</t>
  </si>
  <si>
    <t>cadres sup.</t>
  </si>
  <si>
    <t>Coût salarial (K€)</t>
  </si>
  <si>
    <t>salaire annuel brut</t>
  </si>
  <si>
    <t>chges patro</t>
  </si>
  <si>
    <t>sal mensuel avt hausse</t>
  </si>
  <si>
    <t>coût salarial annuel</t>
  </si>
  <si>
    <t>bur études</t>
  </si>
  <si>
    <t>R&amp;D</t>
  </si>
  <si>
    <t>BUREAU ETUDES</t>
  </si>
  <si>
    <t>USINAGE 1</t>
  </si>
  <si>
    <t>USINAGE 2</t>
  </si>
  <si>
    <t>MONTAGE</t>
  </si>
  <si>
    <t>H totales</t>
  </si>
  <si>
    <t>TOTAL ALPHA</t>
  </si>
  <si>
    <t>TOTAL BETA</t>
  </si>
  <si>
    <t>TOTAL GAMMA</t>
  </si>
  <si>
    <t>standards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</si>
  <si>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</si>
  <si>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</si>
  <si>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</si>
  <si>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</si>
  <si>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</si>
  <si>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</si>
  <si>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</si>
  <si>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</si>
  <si>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</si>
  <si>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</si>
  <si>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</si>
  <si>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</si>
  <si>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Equation y = a x + b</t>
  </si>
  <si>
    <t xml:space="preserve">Valeur de a </t>
  </si>
  <si>
    <t>valeur de b</t>
  </si>
  <si>
    <t>Valeurs ajustées Va</t>
  </si>
  <si>
    <t>MOIS</t>
  </si>
  <si>
    <t>Rapports Vo / Va</t>
  </si>
  <si>
    <t>VENTES Vo</t>
  </si>
  <si>
    <t>sans saiso</t>
  </si>
  <si>
    <t>avec saiso</t>
  </si>
  <si>
    <t>N° mois</t>
  </si>
  <si>
    <t>CAS MACHINOUTILS</t>
  </si>
  <si>
    <t>LE BUDGET DES VENTES</t>
  </si>
  <si>
    <t xml:space="preserve">analyse de l'activité du bureau d'étude et des 3 ateliers </t>
  </si>
  <si>
    <t>besoin total</t>
  </si>
  <si>
    <t>nb sal prod</t>
  </si>
  <si>
    <t>Coût des sections</t>
  </si>
  <si>
    <t>bâtiment</t>
  </si>
  <si>
    <t>autre répart</t>
  </si>
  <si>
    <t>personnel</t>
  </si>
  <si>
    <t>main d'œuvre externe</t>
  </si>
  <si>
    <t>fournitures de bureau</t>
  </si>
  <si>
    <t>utilités</t>
  </si>
  <si>
    <t>entretien batiment</t>
  </si>
  <si>
    <t>télécom</t>
  </si>
  <si>
    <t>documentation tech</t>
  </si>
  <si>
    <t>assurances bat</t>
  </si>
  <si>
    <t>assurance RC</t>
  </si>
  <si>
    <t>transports</t>
  </si>
  <si>
    <t>Impots</t>
  </si>
  <si>
    <t>loc matériel</t>
  </si>
  <si>
    <t>frais déplac</t>
  </si>
  <si>
    <t>publicité</t>
  </si>
  <si>
    <t>honoraires</t>
  </si>
  <si>
    <t>Commissions</t>
  </si>
  <si>
    <t>amortissements</t>
  </si>
  <si>
    <t>revers entretien</t>
  </si>
  <si>
    <t>revers batiment</t>
  </si>
  <si>
    <t>revers informatique</t>
  </si>
  <si>
    <t>K heures</t>
  </si>
  <si>
    <t>Sous Total en k€</t>
  </si>
  <si>
    <t>TOTAL en k€</t>
  </si>
  <si>
    <t>taux horaire en €</t>
  </si>
  <si>
    <t>Clés de répartition</t>
  </si>
  <si>
    <t>surfaces corrigées</t>
  </si>
  <si>
    <t>Surfaces brutes</t>
  </si>
  <si>
    <t>surfaces en % du total</t>
  </si>
  <si>
    <t>nb de technic / cadres</t>
  </si>
  <si>
    <t>% technic cadres</t>
  </si>
  <si>
    <t>consommable atelier (1)</t>
  </si>
  <si>
    <t>énergie (1)</t>
  </si>
  <si>
    <t>entretien machines (1)</t>
  </si>
  <si>
    <t>serie</t>
  </si>
  <si>
    <t>Achats</t>
  </si>
  <si>
    <t>Usinage 1</t>
  </si>
  <si>
    <t>Usinage 2</t>
  </si>
  <si>
    <t>Montage</t>
  </si>
  <si>
    <t>Coût par machine en €</t>
  </si>
  <si>
    <t>Alpha</t>
  </si>
  <si>
    <t>coût des ventes</t>
  </si>
  <si>
    <t>transport sur ventes</t>
  </si>
  <si>
    <t>Provision garanties</t>
  </si>
  <si>
    <t>Marge brute</t>
  </si>
  <si>
    <t>Autres coûts</t>
  </si>
  <si>
    <t>Résultat exploitation</t>
  </si>
  <si>
    <t>Impôt</t>
  </si>
  <si>
    <t>Participation</t>
  </si>
  <si>
    <t>Résultat net</t>
  </si>
  <si>
    <t>Chiffre d'affaires</t>
  </si>
  <si>
    <t>Ventes</t>
  </si>
  <si>
    <t>reprise provisions</t>
  </si>
  <si>
    <t>Impôts et taxes</t>
  </si>
  <si>
    <t>Dotation amortissements</t>
  </si>
  <si>
    <t>Dotation provisions</t>
  </si>
  <si>
    <t>Résultat d'exploitation</t>
  </si>
  <si>
    <t>Produits financiers</t>
  </si>
  <si>
    <t>Résultat courant</t>
  </si>
  <si>
    <t>hh</t>
  </si>
  <si>
    <t>encours tot</t>
  </si>
  <si>
    <t>Charges financières</t>
  </si>
  <si>
    <t>montant</t>
  </si>
  <si>
    <t>résultat financier</t>
  </si>
  <si>
    <t>Cpte de Rt comptable</t>
  </si>
  <si>
    <t>Produits en série</t>
  </si>
  <si>
    <t>RAPPEL :  PREVISION DES COMMANDES en QUANTITE</t>
  </si>
  <si>
    <t>TOTAL ENCAISSMT</t>
  </si>
  <si>
    <t>CREANCES</t>
  </si>
  <si>
    <t>acompte Alpha Exp</t>
  </si>
  <si>
    <t>solde Alpha Export</t>
  </si>
  <si>
    <t>Solde Beta export</t>
  </si>
  <si>
    <t>Acompte beta Export</t>
  </si>
  <si>
    <t>acompte gamma Exp</t>
  </si>
  <si>
    <t>solde gamma Export</t>
  </si>
  <si>
    <t xml:space="preserve"> BUDGET DES ACHATS</t>
  </si>
  <si>
    <t>TOTAL ACHATS</t>
  </si>
  <si>
    <t>garantie sur achats</t>
  </si>
  <si>
    <t>Avances frs immo</t>
  </si>
  <si>
    <t>Perte sur créance irrécouv</t>
  </si>
  <si>
    <t>(1) répartition au prorata de l'activité de chaque atelier usinage, cad au prorata des heures de chaque atelier</t>
  </si>
  <si>
    <t>machines Alpha</t>
  </si>
  <si>
    <t>date de la commande</t>
  </si>
  <si>
    <t>nb de machines commandées</t>
  </si>
  <si>
    <t>début production</t>
  </si>
  <si>
    <t>mois d'engagemt des heures d'études</t>
  </si>
  <si>
    <t>mois d'engagemt des achats</t>
  </si>
  <si>
    <t>mois d'engagemt de l'usinage</t>
  </si>
  <si>
    <t>mois d'engagemt du montage</t>
  </si>
  <si>
    <t>machines Béta</t>
  </si>
  <si>
    <t>machines Gamma</t>
  </si>
  <si>
    <t>en cours fin décembre</t>
  </si>
  <si>
    <t>achat</t>
  </si>
  <si>
    <t>nb de machines</t>
  </si>
  <si>
    <t>coût par machine</t>
  </si>
  <si>
    <t>bureau d'étude</t>
  </si>
  <si>
    <t>usinage 1 et 2</t>
  </si>
  <si>
    <t>quantité</t>
  </si>
  <si>
    <t>PU</t>
  </si>
  <si>
    <t>Stock initial d'en cours</t>
  </si>
  <si>
    <t>total</t>
  </si>
  <si>
    <t>produits en série</t>
  </si>
  <si>
    <t>h études</t>
  </si>
  <si>
    <r>
      <t xml:space="preserve">salaire </t>
    </r>
    <r>
      <rPr>
        <b/>
        <sz val="11"/>
        <color indexed="8"/>
        <rFont val="Calibri"/>
        <family val="2"/>
      </rPr>
      <t>moyen</t>
    </r>
  </si>
  <si>
    <t>budget</t>
  </si>
  <si>
    <t>réel</t>
  </si>
  <si>
    <t>écart</t>
  </si>
  <si>
    <t>sens</t>
  </si>
  <si>
    <t>Total produits d'exploitation</t>
  </si>
  <si>
    <t>Total charges d'exploitation</t>
  </si>
  <si>
    <t>sal mensuel moyen brut</t>
  </si>
  <si>
    <t>pdt en série</t>
  </si>
  <si>
    <t>coût de la sous activité</t>
  </si>
  <si>
    <t>Différence mensuelle entre les encaissements réels et les décaissements réels</t>
  </si>
  <si>
    <t>solde encai-déca</t>
  </si>
  <si>
    <t>services extérieurs</t>
  </si>
  <si>
    <t>ct salarial de chaque service</t>
  </si>
  <si>
    <t>Variation de stocks MP</t>
  </si>
  <si>
    <t>var stocks PF/EnCours</t>
  </si>
  <si>
    <t>Variation stocks mat prem</t>
  </si>
  <si>
    <t>DONNEES REELLES</t>
  </si>
  <si>
    <t>Service Commercial</t>
  </si>
  <si>
    <t>Service Administratif</t>
  </si>
  <si>
    <t>Service Achats</t>
  </si>
  <si>
    <t>px vente</t>
  </si>
  <si>
    <t>DONNEES
PREVISIONNELLES</t>
  </si>
  <si>
    <t>coût total des ventes</t>
  </si>
  <si>
    <t>Charges de personnel</t>
  </si>
  <si>
    <t>détermination du recours à l'intérim et de la sous activité</t>
  </si>
  <si>
    <t>heur de sous activité</t>
  </si>
  <si>
    <r>
      <t xml:space="preserve">PRISES DE COMMANDES </t>
    </r>
    <r>
      <rPr>
        <b/>
        <sz val="11"/>
        <color indexed="10"/>
        <rFont val="Calibri"/>
        <family val="2"/>
      </rPr>
      <t>REELLES</t>
    </r>
    <r>
      <rPr>
        <b/>
        <sz val="11"/>
        <color indexed="8"/>
        <rFont val="Calibri"/>
        <family val="2"/>
      </rPr>
      <t xml:space="preserve"> en QUANTITE</t>
    </r>
  </si>
  <si>
    <t>total REEL</t>
  </si>
  <si>
    <t>total PREVU</t>
  </si>
  <si>
    <t>alpha France</t>
  </si>
  <si>
    <t>beta France</t>
  </si>
  <si>
    <t>RH</t>
  </si>
  <si>
    <t>adm/RH</t>
  </si>
  <si>
    <t>BUDGET DES ENCAISSEMENTS   EN K€</t>
  </si>
  <si>
    <t>avec majoration</t>
  </si>
  <si>
    <t>cours de change</t>
  </si>
  <si>
    <t>prix Alpha en k€</t>
  </si>
  <si>
    <t>prix Alpha en k$</t>
  </si>
  <si>
    <t>prix Beta en k$</t>
  </si>
  <si>
    <t>prix Beta en k€</t>
  </si>
  <si>
    <t>prix Gamma en k$</t>
  </si>
  <si>
    <t>prix Gamma en k€</t>
  </si>
  <si>
    <t>TAUX DE TVA</t>
  </si>
  <si>
    <t>alpha Export</t>
  </si>
  <si>
    <t>beta Export</t>
  </si>
  <si>
    <t>décemb</t>
  </si>
  <si>
    <t>Coef saisonniers</t>
  </si>
  <si>
    <t>Brut</t>
  </si>
  <si>
    <t>Réduction</t>
  </si>
  <si>
    <t>Net</t>
  </si>
  <si>
    <t>Produits</t>
  </si>
  <si>
    <t>nb de produits</t>
  </si>
  <si>
    <t>heures totales</t>
  </si>
  <si>
    <t>Besoin en</t>
  </si>
  <si>
    <t>Potentiel</t>
  </si>
  <si>
    <t>en heures</t>
  </si>
  <si>
    <t>PREVISIONNELLES</t>
  </si>
  <si>
    <t>des ventes</t>
  </si>
  <si>
    <t>COUTS DES</t>
  </si>
  <si>
    <t>VENTES</t>
  </si>
  <si>
    <r>
      <t xml:space="preserve">coût </t>
    </r>
    <r>
      <rPr>
        <b/>
        <sz val="11"/>
        <color indexed="10"/>
        <rFont val="Calibri"/>
        <family val="2"/>
      </rPr>
      <t>REEL</t>
    </r>
  </si>
  <si>
    <t>date de la commande &gt;&gt;</t>
  </si>
  <si>
    <t>Evaluation encours</t>
  </si>
  <si>
    <t>admin</t>
  </si>
  <si>
    <t>informatiq</t>
  </si>
  <si>
    <t>sal mensuel ap hausse</t>
  </si>
  <si>
    <t>nb d'heur d'interim</t>
  </si>
  <si>
    <t>mois d'engagemt des heur d'études</t>
  </si>
  <si>
    <t>PENSER A FAIRE :</t>
  </si>
  <si>
    <t>le calcul des prix de vente des machines exportées</t>
  </si>
  <si>
    <t>le calcul des quantités commandées et vendues</t>
  </si>
  <si>
    <t>le calcul du chiffre d'affaires réel en k€</t>
  </si>
  <si>
    <t>le calcul des achats réels en k€</t>
  </si>
  <si>
    <t>le suivi, mois par mois, de la trésorerie réelle</t>
  </si>
  <si>
    <t>RESTE A FAIRE :</t>
  </si>
  <si>
    <t>BUDGET DES ENCAISSEMENTS, TVA, DECAISSEMENTS, TRESORERIE</t>
  </si>
  <si>
    <t>Calcul DES PRIX DE VENTE (en k€) pour les MACHINES EXPORTEES</t>
  </si>
  <si>
    <t>Taux de change pr les machines commandées en 2017</t>
  </si>
  <si>
    <t>Tx de change prévisionnel pr les machines commandées en 2018</t>
  </si>
  <si>
    <t>Taux de change réel pr les machines commandées en 2018</t>
  </si>
  <si>
    <t>standard 2017</t>
  </si>
  <si>
    <t xml:space="preserve"> standard 2018</t>
  </si>
  <si>
    <t>Effectif prévu 2018</t>
  </si>
  <si>
    <t>salaires 2018
 en euros</t>
  </si>
  <si>
    <t>nb de machines/pdts passant en 2018 par :</t>
  </si>
  <si>
    <t>ventes prévisionnelles 2018</t>
  </si>
  <si>
    <t>Prévision 2018 de commandes par type de machine (en nombre)</t>
  </si>
  <si>
    <t>créances déc 2017</t>
  </si>
  <si>
    <r>
      <t xml:space="preserve">Compte de Résultat analytique </t>
    </r>
    <r>
      <rPr>
        <b/>
        <sz val="16"/>
        <color indexed="10"/>
        <rFont val="Calibri"/>
        <family val="2"/>
      </rPr>
      <t>PREVISIONNEL</t>
    </r>
    <r>
      <rPr>
        <b/>
        <sz val="16"/>
        <color indexed="8"/>
        <rFont val="Calibri"/>
        <family val="2"/>
      </rPr>
      <t xml:space="preserve"> de 2018</t>
    </r>
  </si>
  <si>
    <t>machines produites en 2018</t>
  </si>
  <si>
    <t>machines produites en 2017/2018</t>
  </si>
  <si>
    <t>en cours fin 17</t>
  </si>
  <si>
    <t>Analyse des encours fin 2018</t>
  </si>
  <si>
    <t>finaux fin 2018</t>
  </si>
  <si>
    <r>
      <t xml:space="preserve">BILAN REEL </t>
    </r>
    <r>
      <rPr>
        <b/>
        <sz val="12"/>
        <color indexed="10"/>
        <rFont val="Arial"/>
        <family val="2"/>
      </rPr>
      <t>AU 31 DECEMBRE 2017</t>
    </r>
    <r>
      <rPr>
        <b/>
        <sz val="12"/>
        <rFont val="Arial"/>
        <family val="2"/>
      </rPr>
      <t xml:space="preserve"> en k€</t>
    </r>
  </si>
  <si>
    <r>
      <t xml:space="preserve">BILAN  PREVISIONNEL </t>
    </r>
    <r>
      <rPr>
        <b/>
        <sz val="12"/>
        <color indexed="10"/>
        <rFont val="Arial"/>
        <family val="2"/>
      </rPr>
      <t>AU 31 DECEMBRE 2018</t>
    </r>
    <r>
      <rPr>
        <b/>
        <sz val="12"/>
        <rFont val="Arial"/>
        <family val="2"/>
      </rPr>
      <t xml:space="preserve"> en k€</t>
    </r>
  </si>
  <si>
    <r>
      <t xml:space="preserve"> Données </t>
    </r>
    <r>
      <rPr>
        <b/>
        <sz val="11"/>
        <color indexed="10"/>
        <rFont val="Calibri"/>
        <family val="2"/>
      </rPr>
      <t>réelles</t>
    </r>
    <r>
      <rPr>
        <b/>
        <sz val="11"/>
        <color indexed="8"/>
        <rFont val="Calibri"/>
        <family val="2"/>
      </rPr>
      <t xml:space="preserve"> de 2018 sur les machines et produits en série</t>
    </r>
  </si>
  <si>
    <r>
      <t xml:space="preserve">Effectif </t>
    </r>
    <r>
      <rPr>
        <b/>
        <sz val="11"/>
        <color indexed="10"/>
        <rFont val="Calibri"/>
        <family val="2"/>
      </rPr>
      <t>réel</t>
    </r>
    <r>
      <rPr>
        <b/>
        <sz val="11"/>
        <color indexed="8"/>
        <rFont val="Calibri"/>
        <family val="2"/>
      </rPr>
      <t xml:space="preserve"> et salaire mensuel brut </t>
    </r>
    <r>
      <rPr>
        <b/>
        <sz val="11"/>
        <color indexed="10"/>
        <rFont val="Calibri"/>
        <family val="2"/>
      </rPr>
      <t>réel</t>
    </r>
    <r>
      <rPr>
        <b/>
        <sz val="11"/>
        <color indexed="8"/>
        <rFont val="Calibri"/>
        <family val="2"/>
      </rPr>
      <t xml:space="preserve"> de 2018</t>
    </r>
  </si>
  <si>
    <r>
      <t xml:space="preserve">Compte de Résultat </t>
    </r>
    <r>
      <rPr>
        <b/>
        <sz val="16"/>
        <color indexed="10"/>
        <rFont val="Calibri"/>
        <family val="2"/>
      </rPr>
      <t>analytique</t>
    </r>
    <r>
      <rPr>
        <b/>
        <sz val="16"/>
        <color indexed="8"/>
        <rFont val="Calibri"/>
        <family val="2"/>
      </rPr>
      <t xml:space="preserve"> de 2018</t>
    </r>
  </si>
  <si>
    <r>
      <t xml:space="preserve">Compte de Résultat </t>
    </r>
    <r>
      <rPr>
        <b/>
        <sz val="16"/>
        <color indexed="10"/>
        <rFont val="Calibri"/>
        <family val="2"/>
      </rPr>
      <t>comptable</t>
    </r>
    <r>
      <rPr>
        <b/>
        <sz val="16"/>
        <color indexed="8"/>
        <rFont val="Calibri"/>
        <family val="2"/>
      </rPr>
      <t xml:space="preserve"> - 2018</t>
    </r>
  </si>
  <si>
    <t>Analyse des encours REELS fin 2018</t>
  </si>
  <si>
    <t>ct montage 2018</t>
  </si>
  <si>
    <t>encours fin17</t>
  </si>
  <si>
    <t>commandés en 2018</t>
  </si>
  <si>
    <t>:</t>
  </si>
  <si>
    <t>Clés de répartition BATIMENT</t>
  </si>
  <si>
    <t>Clés de répartition INFO</t>
  </si>
  <si>
    <t>nb de technic / cadres = n de pc</t>
  </si>
  <si>
    <t>ECART</t>
  </si>
  <si>
    <t>TOTAL K€</t>
  </si>
  <si>
    <t>PREVISION DES VENTES en K€</t>
  </si>
  <si>
    <t>PREVISION DES VENTES EN QUANTITE</t>
  </si>
  <si>
    <t>page 3 paiement 30j date de livraison</t>
  </si>
  <si>
    <t>paiement 60j intégral date de livraison</t>
  </si>
  <si>
    <t>acompte 30% à la commande</t>
  </si>
  <si>
    <t>solde 30j après livraison</t>
  </si>
  <si>
    <t>prendre les 5500 ou non ? Page 10</t>
  </si>
  <si>
    <t>ATTENTION ALPHA France + PRODUIT EN SERIE EN TTC</t>
  </si>
  <si>
    <t xml:space="preserve">CHANGEMENT DE TAUX REEL </t>
  </si>
  <si>
    <t>TAUX D'ABSENTEISME DE 3,5%</t>
  </si>
  <si>
    <t>BUDGET DE TVA</t>
  </si>
  <si>
    <t>TVA Collectée</t>
  </si>
  <si>
    <t>TVA à décaisser</t>
  </si>
  <si>
    <t>Crédit de TVA</t>
  </si>
  <si>
    <t>TVA à payer</t>
  </si>
  <si>
    <t>TVA Déductible sur achat</t>
  </si>
  <si>
    <t>TVA Déducible autres</t>
  </si>
  <si>
    <t>Assurance + Loyers PAS DE TVA</t>
  </si>
  <si>
    <t>BUDGET DES DECAISSEMENTS</t>
  </si>
  <si>
    <t>Achat TTC</t>
  </si>
  <si>
    <t>Dette frn</t>
  </si>
  <si>
    <t>Dettes sociales</t>
  </si>
  <si>
    <t>Dettes IS</t>
  </si>
  <si>
    <t>Assurance HT</t>
  </si>
  <si>
    <t>i d'emprunt</t>
  </si>
  <si>
    <t>Remboursement d'emprunt</t>
  </si>
  <si>
    <t>BUDGET DE TRESORERIE</t>
  </si>
  <si>
    <t>Trésorerie début de mois</t>
  </si>
  <si>
    <t>Encaissements</t>
  </si>
  <si>
    <t>Décaissements</t>
  </si>
  <si>
    <t>Trésorerie fin de mois</t>
  </si>
  <si>
    <t>intérêts sur découvert</t>
  </si>
  <si>
    <t>intérêts sur placement</t>
  </si>
  <si>
    <t>trésorerie ajustée</t>
  </si>
  <si>
    <t>remboursement par tranche égale le 30/09 de chaque année</t>
  </si>
  <si>
    <t>TVA déductible sur immobilisation</t>
  </si>
  <si>
    <t>dividendes</t>
  </si>
  <si>
    <t>ACHAT PAYABLE 60J (page 6)</t>
  </si>
  <si>
    <t>solde immo payable 60j (page 7)</t>
  </si>
  <si>
    <t>K€</t>
  </si>
  <si>
    <t>%</t>
  </si>
  <si>
    <t>fab 2018 et vente 2018</t>
  </si>
  <si>
    <t xml:space="preserve">février </t>
  </si>
  <si>
    <t>consommable atelier (1) TTC</t>
  </si>
  <si>
    <t>fournitures de bureau TTC</t>
  </si>
  <si>
    <t>TVA DEDUCTIBLE TOTAL</t>
  </si>
  <si>
    <t>intérim</t>
  </si>
  <si>
    <t>TOTAL DES FRAIS DE FONCTIONNEMENT</t>
  </si>
  <si>
    <t>Salaire</t>
  </si>
  <si>
    <t>Charges sociales décalage 1 mois</t>
  </si>
  <si>
    <t>frais de fonctionnement</t>
  </si>
  <si>
    <t>IS acompte</t>
  </si>
  <si>
    <t>charges salariales</t>
  </si>
  <si>
    <t>intérêt sur CBC</t>
  </si>
  <si>
    <t>impôts locaux</t>
  </si>
  <si>
    <t>DETTES</t>
  </si>
  <si>
    <t>Ecart</t>
  </si>
  <si>
    <t>FAIRE LA SOMME</t>
  </si>
  <si>
    <t>TOTAL EN K€</t>
  </si>
  <si>
    <t>Solde encaissement - décaissement</t>
  </si>
</sst>
</file>

<file path=xl/styles.xml><?xml version="1.0" encoding="utf-8"?>
<styleSheet xmlns="http://schemas.openxmlformats.org/spreadsheetml/2006/main">
  <numFmts count="15">
    <numFmt numFmtId="43" formatCode="_-* #,##0.00\ _€_-;\-* #,##0.00\ _€_-;_-* &quot;-&quot;??\ _€_-;_-@_-"/>
    <numFmt numFmtId="164" formatCode="_-* #,##0.00\ _F_-;\-* #,##0.00\ _F_-;_-* &quot;-&quot;??\ _F_-;_-@_-"/>
    <numFmt numFmtId="165" formatCode="[$-40C]mmm\-yy;@"/>
    <numFmt numFmtId="166" formatCode="0.000"/>
    <numFmt numFmtId="167" formatCode="#,##0.0"/>
    <numFmt numFmtId="168" formatCode="0.000000"/>
    <numFmt numFmtId="169" formatCode="0.0"/>
    <numFmt numFmtId="170" formatCode="#,##0.000"/>
    <numFmt numFmtId="171" formatCode="0.0%"/>
    <numFmt numFmtId="172" formatCode="0.000%"/>
    <numFmt numFmtId="173" formatCode="#,##0.00000"/>
    <numFmt numFmtId="174" formatCode="#,##0.000000"/>
    <numFmt numFmtId="175" formatCode="#,##0.0000000"/>
    <numFmt numFmtId="176" formatCode="0.0000"/>
    <numFmt numFmtId="177" formatCode="_-* #,##0.00\ [$€-40C]_-;\-* #,##0.00\ [$€-40C]_-;_-* &quot;-&quot;??\ [$€-40C]_-;_-@_-"/>
  </numFmts>
  <fonts count="5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6"/>
      <color indexed="18"/>
      <name val="Arial"/>
      <family val="2"/>
    </font>
    <font>
      <b/>
      <sz val="16"/>
      <color indexed="18"/>
      <name val="Arial"/>
      <family val="2"/>
    </font>
    <font>
      <sz val="12"/>
      <color indexed="18"/>
      <name val="Arial"/>
      <family val="2"/>
    </font>
    <font>
      <b/>
      <sz val="12"/>
      <color indexed="18"/>
      <name val="Arial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indexed="81"/>
      <name val="Tahoma"/>
      <family val="2"/>
    </font>
    <font>
      <b/>
      <sz val="11"/>
      <color indexed="10"/>
      <name val="Calibri"/>
      <family val="2"/>
    </font>
    <font>
      <b/>
      <sz val="16"/>
      <color indexed="10"/>
      <name val="Calibri"/>
      <family val="2"/>
    </font>
    <font>
      <b/>
      <sz val="18"/>
      <color indexed="10"/>
      <name val="Calibri"/>
      <family val="2"/>
    </font>
    <font>
      <b/>
      <sz val="12"/>
      <color indexed="10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theme="3"/>
      <name val="Arial"/>
      <family val="2"/>
    </font>
    <font>
      <b/>
      <sz val="14"/>
      <name val="Calibri"/>
      <family val="2"/>
    </font>
    <font>
      <b/>
      <sz val="11"/>
      <name val="Calibri"/>
      <family val="2"/>
    </font>
    <font>
      <sz val="12"/>
      <color theme="1"/>
      <name val="Calibri"/>
      <family val="2"/>
      <scheme val="minor"/>
    </font>
    <font>
      <sz val="16"/>
      <name val="Arial"/>
      <family val="2"/>
    </font>
    <font>
      <sz val="11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</font>
    <font>
      <b/>
      <sz val="14"/>
      <color theme="3" tint="0.3999755851924192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i/>
      <sz val="11"/>
      <color theme="3" tint="0.39997558519241921"/>
      <name val="Calibri"/>
      <family val="2"/>
    </font>
    <font>
      <b/>
      <i/>
      <sz val="14"/>
      <color theme="3" tint="0.39997558519241921"/>
      <name val="Calibri"/>
      <family val="2"/>
    </font>
    <font>
      <b/>
      <sz val="14"/>
      <color theme="3" tint="0.39997558519241921"/>
      <name val="Calibri"/>
      <family val="2"/>
    </font>
    <font>
      <b/>
      <sz val="11"/>
      <color theme="3" tint="0.39997558519241921"/>
      <name val="Calibri"/>
      <family val="2"/>
    </font>
    <font>
      <b/>
      <sz val="14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lightGray"/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39997558519241921"/>
        <bgColor indexed="64"/>
      </patternFill>
    </fill>
  </fills>
  <borders count="1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3"/>
      </right>
      <top style="thin">
        <color indexed="64"/>
      </top>
      <bottom style="thin">
        <color indexed="64"/>
      </bottom>
      <diagonal/>
    </border>
    <border>
      <left style="medium">
        <color theme="3"/>
      </left>
      <right style="thin">
        <color indexed="64"/>
      </right>
      <top style="thin">
        <color indexed="64"/>
      </top>
      <bottom/>
      <diagonal/>
    </border>
    <border>
      <left style="medium">
        <color theme="3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thin">
        <color indexed="64"/>
      </bottom>
      <diagonal/>
    </border>
    <border>
      <left/>
      <right/>
      <top style="medium">
        <color theme="3"/>
      </top>
      <bottom style="thin">
        <color indexed="64"/>
      </bottom>
      <diagonal/>
    </border>
    <border>
      <left/>
      <right style="medium">
        <color theme="3"/>
      </right>
      <top style="medium">
        <color theme="3"/>
      </top>
      <bottom style="thin">
        <color indexed="64"/>
      </bottom>
      <diagonal/>
    </border>
    <border>
      <left style="thin">
        <color indexed="64"/>
      </left>
      <right style="medium">
        <color theme="3"/>
      </right>
      <top/>
      <bottom style="thin">
        <color indexed="64"/>
      </bottom>
      <diagonal/>
    </border>
    <border>
      <left style="thin">
        <color indexed="64"/>
      </left>
      <right style="medium">
        <color theme="3"/>
      </right>
      <top/>
      <bottom/>
      <diagonal/>
    </border>
    <border>
      <left style="medium">
        <color theme="3"/>
      </left>
      <right/>
      <top style="thin">
        <color indexed="64"/>
      </top>
      <bottom style="medium">
        <color theme="3"/>
      </bottom>
      <diagonal/>
    </border>
    <border>
      <left style="thin">
        <color indexed="64"/>
      </left>
      <right style="medium">
        <color theme="3"/>
      </right>
      <top style="thin">
        <color indexed="64"/>
      </top>
      <bottom style="medium">
        <color theme="3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theme="3"/>
      </right>
      <top style="thin">
        <color indexed="64"/>
      </top>
      <bottom/>
      <diagonal/>
    </border>
    <border>
      <left style="medium">
        <color theme="3"/>
      </left>
      <right style="thin">
        <color indexed="64"/>
      </right>
      <top style="thin">
        <color indexed="64"/>
      </top>
      <bottom style="medium">
        <color theme="3"/>
      </bottom>
      <diagonal/>
    </border>
    <border>
      <left/>
      <right style="thin">
        <color indexed="64"/>
      </right>
      <top/>
      <bottom style="medium">
        <color theme="3"/>
      </bottom>
      <diagonal/>
    </border>
    <border>
      <left/>
      <right style="thin">
        <color indexed="64"/>
      </right>
      <top style="thin">
        <color indexed="64"/>
      </top>
      <bottom style="medium">
        <color theme="3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3"/>
      </left>
      <right style="thin">
        <color indexed="64"/>
      </right>
      <top/>
      <bottom/>
      <diagonal/>
    </border>
    <border>
      <left/>
      <right style="medium">
        <color theme="3"/>
      </right>
      <top style="thin">
        <color indexed="64"/>
      </top>
      <bottom style="thin">
        <color indexed="64"/>
      </bottom>
      <diagonal/>
    </border>
    <border>
      <left style="medium">
        <color theme="3"/>
      </left>
      <right/>
      <top style="thin">
        <color indexed="64"/>
      </top>
      <bottom style="thin">
        <color indexed="64"/>
      </bottom>
      <diagonal/>
    </border>
    <border>
      <left style="medium">
        <color theme="3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theme="3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theme="3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ck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ck">
        <color theme="3"/>
      </left>
      <right/>
      <top style="thin">
        <color indexed="64"/>
      </top>
      <bottom/>
      <diagonal/>
    </border>
    <border>
      <left style="thick">
        <color theme="3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3"/>
      </right>
      <top style="thin">
        <color indexed="64"/>
      </top>
      <bottom/>
      <diagonal/>
    </border>
    <border>
      <left style="thick">
        <color theme="3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3"/>
      </right>
      <top/>
      <bottom/>
      <diagonal/>
    </border>
    <border>
      <left style="thick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3"/>
      </right>
      <top/>
      <bottom style="thin">
        <color indexed="64"/>
      </bottom>
      <diagonal/>
    </border>
    <border>
      <left style="double">
        <color indexed="64"/>
      </left>
      <right style="thick">
        <color theme="3"/>
      </right>
      <top/>
      <bottom/>
      <diagonal/>
    </border>
    <border>
      <left style="thick">
        <color theme="3"/>
      </left>
      <right style="thin">
        <color indexed="64"/>
      </right>
      <top style="medium">
        <color theme="3"/>
      </top>
      <bottom style="thick">
        <color theme="3"/>
      </bottom>
      <diagonal/>
    </border>
    <border>
      <left style="thin">
        <color indexed="64"/>
      </left>
      <right/>
      <top style="medium">
        <color theme="3"/>
      </top>
      <bottom style="thick">
        <color theme="3"/>
      </bottom>
      <diagonal/>
    </border>
    <border>
      <left/>
      <right/>
      <top style="medium">
        <color theme="3"/>
      </top>
      <bottom style="thick">
        <color theme="3"/>
      </bottom>
      <diagonal/>
    </border>
    <border>
      <left style="double">
        <color indexed="64"/>
      </left>
      <right style="medium">
        <color indexed="64"/>
      </right>
      <top style="medium">
        <color theme="3"/>
      </top>
      <bottom style="thick">
        <color theme="3"/>
      </bottom>
      <diagonal/>
    </border>
    <border>
      <left style="double">
        <color indexed="64"/>
      </left>
      <right style="thick">
        <color theme="3"/>
      </right>
      <top style="medium">
        <color theme="3"/>
      </top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 style="thin">
        <color indexed="64"/>
      </bottom>
      <diagonal/>
    </border>
    <border>
      <left/>
      <right/>
      <top style="thick">
        <color theme="3"/>
      </top>
      <bottom style="thin">
        <color indexed="64"/>
      </bottom>
      <diagonal/>
    </border>
    <border>
      <left/>
      <right style="thick">
        <color theme="3"/>
      </right>
      <top style="thick">
        <color theme="3"/>
      </top>
      <bottom style="thin">
        <color indexed="64"/>
      </bottom>
      <diagonal/>
    </border>
    <border>
      <left style="thick">
        <color theme="3"/>
      </left>
      <right/>
      <top/>
      <bottom style="thin">
        <color indexed="64"/>
      </bottom>
      <diagonal/>
    </border>
    <border>
      <left style="thick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ck">
        <color theme="3"/>
      </right>
      <top style="thin">
        <color indexed="64"/>
      </top>
      <bottom/>
      <diagonal/>
    </border>
    <border>
      <left/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ck">
        <color theme="3"/>
      </left>
      <right/>
      <top style="medium">
        <color theme="3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medium">
        <color theme="3"/>
      </top>
      <bottom style="thick">
        <color theme="3"/>
      </bottom>
      <diagonal/>
    </border>
    <border>
      <left style="thin">
        <color indexed="64"/>
      </left>
      <right style="thick">
        <color theme="3"/>
      </right>
      <top style="medium">
        <color theme="3"/>
      </top>
      <bottom style="thick">
        <color theme="3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30">
    <xf numFmtId="0" fontId="0" fillId="0" borderId="0" xfId="0"/>
    <xf numFmtId="0" fontId="0" fillId="0" borderId="1" xfId="0" applyBorder="1"/>
    <xf numFmtId="0" fontId="3" fillId="2" borderId="1" xfId="0" applyFont="1" applyFill="1" applyBorder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3" fontId="0" fillId="0" borderId="1" xfId="0" applyNumberFormat="1" applyBorder="1"/>
    <xf numFmtId="3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3" fontId="17" fillId="4" borderId="1" xfId="0" applyNumberFormat="1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vertical="center"/>
    </xf>
    <xf numFmtId="3" fontId="0" fillId="3" borderId="1" xfId="0" applyNumberFormat="1" applyFill="1" applyBorder="1" applyAlignment="1">
      <alignment vertical="center"/>
    </xf>
    <xf numFmtId="3" fontId="0" fillId="0" borderId="1" xfId="0" applyNumberFormat="1" applyFill="1" applyBorder="1" applyAlignment="1">
      <alignment vertical="center"/>
    </xf>
    <xf numFmtId="0" fontId="7" fillId="2" borderId="1" xfId="0" applyFont="1" applyFill="1" applyBorder="1"/>
    <xf numFmtId="3" fontId="0" fillId="0" borderId="0" xfId="0" applyNumberFormat="1"/>
    <xf numFmtId="3" fontId="0" fillId="3" borderId="1" xfId="0" applyNumberFormat="1" applyFill="1" applyBorder="1"/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/>
    <xf numFmtId="1" fontId="0" fillId="3" borderId="1" xfId="0" applyNumberFormat="1" applyFill="1" applyBorder="1" applyAlignment="1">
      <alignment vertical="center"/>
    </xf>
    <xf numFmtId="0" fontId="0" fillId="0" borderId="11" xfId="0" applyBorder="1"/>
    <xf numFmtId="3" fontId="0" fillId="0" borderId="12" xfId="0" applyNumberFormat="1" applyBorder="1"/>
    <xf numFmtId="3" fontId="0" fillId="0" borderId="14" xfId="0" applyNumberFormat="1" applyBorder="1"/>
    <xf numFmtId="0" fontId="7" fillId="2" borderId="1" xfId="0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5" borderId="21" xfId="0" applyNumberFormat="1" applyFill="1" applyBorder="1" applyAlignment="1">
      <alignment horizontal="center" vertical="center"/>
    </xf>
    <xf numFmtId="3" fontId="0" fillId="5" borderId="22" xfId="0" applyNumberFormat="1" applyFill="1" applyBorder="1" applyAlignment="1">
      <alignment horizontal="center" vertical="center"/>
    </xf>
    <xf numFmtId="3" fontId="0" fillId="5" borderId="23" xfId="0" applyNumberFormat="1" applyFill="1" applyBorder="1" applyAlignment="1">
      <alignment horizontal="center" vertical="center"/>
    </xf>
    <xf numFmtId="3" fontId="0" fillId="5" borderId="24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5" borderId="25" xfId="0" applyNumberFormat="1" applyFill="1" applyBorder="1" applyAlignment="1">
      <alignment horizontal="center" vertical="center"/>
    </xf>
    <xf numFmtId="3" fontId="0" fillId="5" borderId="26" xfId="0" applyNumberFormat="1" applyFill="1" applyBorder="1" applyAlignment="1">
      <alignment horizontal="center" vertical="center"/>
    </xf>
    <xf numFmtId="3" fontId="0" fillId="5" borderId="13" xfId="0" applyNumberFormat="1" applyFill="1" applyBorder="1" applyAlignment="1">
      <alignment horizontal="center" vertical="center"/>
    </xf>
    <xf numFmtId="3" fontId="0" fillId="5" borderId="27" xfId="0" applyNumberFormat="1" applyFill="1" applyBorder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5" borderId="21" xfId="0" applyNumberFormat="1" applyFill="1" applyBorder="1" applyAlignment="1">
      <alignment vertical="center"/>
    </xf>
    <xf numFmtId="3" fontId="0" fillId="5" borderId="22" xfId="0" applyNumberFormat="1" applyFill="1" applyBorder="1" applyAlignment="1">
      <alignment vertical="center"/>
    </xf>
    <xf numFmtId="3" fontId="0" fillId="5" borderId="23" xfId="0" applyNumberFormat="1" applyFill="1" applyBorder="1" applyAlignment="1">
      <alignment vertical="center"/>
    </xf>
    <xf numFmtId="3" fontId="0" fillId="5" borderId="24" xfId="0" applyNumberFormat="1" applyFill="1" applyBorder="1" applyAlignment="1">
      <alignment vertical="center"/>
    </xf>
    <xf numFmtId="3" fontId="0" fillId="5" borderId="0" xfId="0" applyNumberFormat="1" applyFill="1" applyBorder="1" applyAlignment="1">
      <alignment vertical="center"/>
    </xf>
    <xf numFmtId="3" fontId="0" fillId="5" borderId="25" xfId="0" applyNumberFormat="1" applyFill="1" applyBorder="1" applyAlignment="1">
      <alignment vertical="center"/>
    </xf>
    <xf numFmtId="0" fontId="3" fillId="0" borderId="0" xfId="0" applyFont="1"/>
    <xf numFmtId="167" fontId="0" fillId="0" borderId="0" xfId="0" applyNumberFormat="1"/>
    <xf numFmtId="0" fontId="0" fillId="0" borderId="0" xfId="0" applyAlignment="1">
      <alignment horizontal="center"/>
    </xf>
    <xf numFmtId="3" fontId="0" fillId="0" borderId="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 wrapText="1"/>
    </xf>
    <xf numFmtId="3" fontId="0" fillId="0" borderId="30" xfId="0" applyNumberFormat="1" applyBorder="1" applyAlignment="1">
      <alignment vertical="center"/>
    </xf>
    <xf numFmtId="0" fontId="3" fillId="2" borderId="37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vertical="center"/>
    </xf>
    <xf numFmtId="0" fontId="9" fillId="4" borderId="15" xfId="0" applyFont="1" applyFill="1" applyBorder="1" applyAlignment="1">
      <alignment vertical="center"/>
    </xf>
    <xf numFmtId="0" fontId="9" fillId="7" borderId="15" xfId="0" applyFont="1" applyFill="1" applyBorder="1" applyAlignment="1">
      <alignment vertical="center"/>
    </xf>
    <xf numFmtId="0" fontId="0" fillId="1" borderId="0" xfId="0" applyFill="1" applyBorder="1" applyAlignment="1">
      <alignment vertical="center"/>
    </xf>
    <xf numFmtId="3" fontId="0" fillId="1" borderId="0" xfId="0" applyNumberFormat="1" applyFill="1" applyBorder="1" applyAlignment="1">
      <alignment vertical="center"/>
    </xf>
    <xf numFmtId="166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0" fillId="5" borderId="42" xfId="0" applyFill="1" applyBorder="1" applyAlignment="1">
      <alignment vertical="center"/>
    </xf>
    <xf numFmtId="0" fontId="0" fillId="5" borderId="43" xfId="0" applyFill="1" applyBorder="1" applyAlignment="1">
      <alignment vertical="center"/>
    </xf>
    <xf numFmtId="0" fontId="0" fillId="5" borderId="20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19" xfId="0" applyFill="1" applyBorder="1" applyAlignment="1">
      <alignment vertical="center"/>
    </xf>
    <xf numFmtId="0" fontId="0" fillId="5" borderId="28" xfId="0" applyFill="1" applyBorder="1" applyAlignment="1">
      <alignment vertical="center"/>
    </xf>
    <xf numFmtId="0" fontId="0" fillId="5" borderId="39" xfId="0" applyFill="1" applyBorder="1" applyAlignment="1">
      <alignment vertical="center"/>
    </xf>
    <xf numFmtId="0" fontId="0" fillId="2" borderId="44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3" fontId="0" fillId="0" borderId="48" xfId="0" applyNumberFormat="1" applyBorder="1" applyAlignment="1">
      <alignment vertical="center"/>
    </xf>
    <xf numFmtId="3" fontId="0" fillId="0" borderId="48" xfId="0" applyNumberFormat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170" fontId="0" fillId="0" borderId="48" xfId="0" applyNumberFormat="1" applyBorder="1" applyAlignment="1">
      <alignment vertical="center"/>
    </xf>
    <xf numFmtId="174" fontId="0" fillId="0" borderId="0" xfId="0" applyNumberFormat="1"/>
    <xf numFmtId="168" fontId="0" fillId="0" borderId="0" xfId="0" applyNumberFormat="1"/>
    <xf numFmtId="170" fontId="0" fillId="0" borderId="0" xfId="0" applyNumberFormat="1" applyBorder="1" applyAlignment="1">
      <alignment horizontal="center" vertical="center"/>
    </xf>
    <xf numFmtId="3" fontId="0" fillId="3" borderId="7" xfId="0" applyNumberFormat="1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0" fillId="5" borderId="50" xfId="0" applyFill="1" applyBorder="1" applyAlignment="1">
      <alignment vertical="center"/>
    </xf>
    <xf numFmtId="3" fontId="0" fillId="5" borderId="52" xfId="0" applyNumberForma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0" fontId="21" fillId="2" borderId="47" xfId="0" applyFont="1" applyFill="1" applyBorder="1" applyAlignment="1">
      <alignment horizontal="center" vertical="center"/>
    </xf>
    <xf numFmtId="0" fontId="21" fillId="2" borderId="53" xfId="0" applyFont="1" applyFill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3" fontId="0" fillId="0" borderId="29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quotePrefix="1" applyAlignment="1">
      <alignment vertical="center"/>
    </xf>
    <xf numFmtId="175" fontId="0" fillId="0" borderId="0" xfId="0" applyNumberFormat="1" applyAlignment="1">
      <alignment vertical="center"/>
    </xf>
    <xf numFmtId="0" fontId="0" fillId="0" borderId="0" xfId="0" applyAlignment="1"/>
    <xf numFmtId="0" fontId="0" fillId="9" borderId="1" xfId="0" applyFill="1" applyBorder="1" applyAlignment="1">
      <alignment vertical="center"/>
    </xf>
    <xf numFmtId="2" fontId="0" fillId="9" borderId="1" xfId="0" applyNumberFormat="1" applyFill="1" applyBorder="1" applyAlignment="1">
      <alignment vertical="center"/>
    </xf>
    <xf numFmtId="173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0" fontId="34" fillId="10" borderId="1" xfId="0" applyFont="1" applyFill="1" applyBorder="1" applyAlignment="1">
      <alignment vertical="center"/>
    </xf>
    <xf numFmtId="171" fontId="34" fillId="10" borderId="1" xfId="0" applyNumberFormat="1" applyFont="1" applyFill="1" applyBorder="1" applyAlignment="1">
      <alignment vertical="center"/>
    </xf>
    <xf numFmtId="174" fontId="0" fillId="0" borderId="0" xfId="0" applyNumberFormat="1" applyAlignment="1">
      <alignment vertical="center"/>
    </xf>
    <xf numFmtId="175" fontId="35" fillId="0" borderId="0" xfId="0" applyNumberFormat="1" applyFont="1" applyAlignment="1">
      <alignment vertical="center"/>
    </xf>
    <xf numFmtId="0" fontId="18" fillId="2" borderId="0" xfId="0" applyFont="1" applyFill="1" applyBorder="1" applyAlignment="1">
      <alignment horizontal="center" vertical="center"/>
    </xf>
    <xf numFmtId="3" fontId="0" fillId="5" borderId="78" xfId="0" applyNumberFormat="1" applyFill="1" applyBorder="1" applyAlignment="1">
      <alignment vertical="center"/>
    </xf>
    <xf numFmtId="3" fontId="0" fillId="0" borderId="86" xfId="0" applyNumberFormat="1" applyBorder="1" applyAlignment="1">
      <alignment horizontal="center" vertical="center"/>
    </xf>
    <xf numFmtId="0" fontId="0" fillId="11" borderId="72" xfId="0" applyFill="1" applyBorder="1" applyAlignment="1">
      <alignment vertical="center"/>
    </xf>
    <xf numFmtId="0" fontId="0" fillId="11" borderId="0" xfId="0" applyFill="1" applyBorder="1" applyAlignment="1">
      <alignment vertical="center"/>
    </xf>
    <xf numFmtId="0" fontId="0" fillId="11" borderId="73" xfId="0" applyFill="1" applyBorder="1" applyAlignment="1">
      <alignment vertical="center"/>
    </xf>
    <xf numFmtId="0" fontId="19" fillId="2" borderId="77" xfId="0" applyFont="1" applyFill="1" applyBorder="1" applyAlignment="1">
      <alignment horizontal="center" vertical="center"/>
    </xf>
    <xf numFmtId="0" fontId="0" fillId="2" borderId="75" xfId="0" applyFill="1" applyBorder="1" applyAlignment="1">
      <alignment horizontal="center" vertical="center"/>
    </xf>
    <xf numFmtId="3" fontId="0" fillId="0" borderId="75" xfId="0" applyNumberFormat="1" applyBorder="1" applyAlignment="1">
      <alignment horizontal="center" vertical="center"/>
    </xf>
    <xf numFmtId="3" fontId="0" fillId="0" borderId="73" xfId="0" applyNumberFormat="1" applyBorder="1" applyAlignment="1">
      <alignment vertical="center"/>
    </xf>
    <xf numFmtId="3" fontId="0" fillId="0" borderId="73" xfId="0" applyNumberFormat="1" applyBorder="1" applyAlignment="1">
      <alignment horizontal="center" vertical="center"/>
    </xf>
    <xf numFmtId="3" fontId="0" fillId="5" borderId="90" xfId="0" applyNumberFormat="1" applyFill="1" applyBorder="1" applyAlignment="1">
      <alignment vertical="center"/>
    </xf>
    <xf numFmtId="0" fontId="0" fillId="0" borderId="73" xfId="0" applyBorder="1" applyAlignment="1">
      <alignment vertical="center"/>
    </xf>
    <xf numFmtId="0" fontId="18" fillId="11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3" fontId="14" fillId="13" borderId="11" xfId="1" applyFont="1" applyFill="1" applyBorder="1" applyAlignment="1">
      <alignment horizontal="centerContinuous" vertical="center"/>
    </xf>
    <xf numFmtId="43" fontId="14" fillId="13" borderId="12" xfId="1" applyFont="1" applyFill="1" applyBorder="1" applyAlignment="1">
      <alignment horizontal="centerContinuous" vertical="center"/>
    </xf>
    <xf numFmtId="43" fontId="14" fillId="13" borderId="14" xfId="1" applyFont="1" applyFill="1" applyBorder="1" applyAlignment="1">
      <alignment horizontal="centerContinuous" vertical="center"/>
    </xf>
    <xf numFmtId="43" fontId="15" fillId="13" borderId="12" xfId="1" applyFont="1" applyFill="1" applyBorder="1" applyAlignment="1">
      <alignment horizontal="centerContinuous" vertical="center"/>
    </xf>
    <xf numFmtId="43" fontId="15" fillId="13" borderId="92" xfId="1" applyFont="1" applyFill="1" applyBorder="1" applyAlignment="1">
      <alignment horizontal="centerContinuous" vertical="center"/>
    </xf>
    <xf numFmtId="0" fontId="16" fillId="13" borderId="1" xfId="0" applyFont="1" applyFill="1" applyBorder="1" applyAlignment="1">
      <alignment horizontal="center" vertical="center"/>
    </xf>
    <xf numFmtId="0" fontId="17" fillId="13" borderId="1" xfId="0" applyFont="1" applyFill="1" applyBorder="1" applyAlignment="1">
      <alignment horizontal="center" vertical="center"/>
    </xf>
    <xf numFmtId="0" fontId="16" fillId="13" borderId="11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17" fillId="13" borderId="1" xfId="0" applyFont="1" applyFill="1" applyBorder="1" applyAlignment="1">
      <alignment horizontal="centerContinuous" vertical="center"/>
    </xf>
    <xf numFmtId="0" fontId="17" fillId="13" borderId="11" xfId="0" applyFont="1" applyFill="1" applyBorder="1" applyAlignment="1">
      <alignment horizontal="left" vertical="center"/>
    </xf>
    <xf numFmtId="0" fontId="0" fillId="13" borderId="15" xfId="0" applyFill="1" applyBorder="1" applyAlignment="1">
      <alignment vertical="center"/>
    </xf>
    <xf numFmtId="0" fontId="0" fillId="13" borderId="1" xfId="0" applyFill="1" applyBorder="1" applyAlignment="1">
      <alignment horizontal="center" vertical="center"/>
    </xf>
    <xf numFmtId="165" fontId="0" fillId="13" borderId="1" xfId="0" applyNumberFormat="1" applyFill="1" applyBorder="1" applyAlignment="1">
      <alignment horizontal="center" vertical="center"/>
    </xf>
    <xf numFmtId="165" fontId="0" fillId="13" borderId="16" xfId="0" applyNumberFormat="1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9" fillId="13" borderId="16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5" fillId="13" borderId="41" xfId="0" applyFont="1" applyFill="1" applyBorder="1" applyAlignment="1">
      <alignment vertical="center"/>
    </xf>
    <xf numFmtId="166" fontId="5" fillId="3" borderId="2" xfId="0" applyNumberFormat="1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5" fillId="13" borderId="19" xfId="0" applyFont="1" applyFill="1" applyBorder="1" applyAlignment="1">
      <alignment vertical="center"/>
    </xf>
    <xf numFmtId="166" fontId="5" fillId="0" borderId="30" xfId="0" applyNumberFormat="1" applyFont="1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3" fontId="5" fillId="0" borderId="30" xfId="0" applyNumberFormat="1" applyFont="1" applyBorder="1" applyAlignment="1">
      <alignment horizontal="center" vertical="center"/>
    </xf>
    <xf numFmtId="0" fontId="5" fillId="13" borderId="93" xfId="0" applyFont="1" applyFill="1" applyBorder="1" applyAlignment="1">
      <alignment vertical="center"/>
    </xf>
    <xf numFmtId="166" fontId="5" fillId="0" borderId="29" xfId="0" applyNumberFormat="1" applyFont="1" applyFill="1" applyBorder="1" applyAlignment="1">
      <alignment horizontal="center" vertical="center"/>
    </xf>
    <xf numFmtId="3" fontId="5" fillId="0" borderId="29" xfId="0" applyNumberFormat="1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2" fontId="5" fillId="0" borderId="65" xfId="0" applyNumberFormat="1" applyFont="1" applyBorder="1" applyAlignment="1">
      <alignment horizontal="center" vertical="center"/>
    </xf>
    <xf numFmtId="166" fontId="5" fillId="3" borderId="68" xfId="0" applyNumberFormat="1" applyFont="1" applyFill="1" applyBorder="1" applyAlignment="1">
      <alignment horizontal="center" vertical="center"/>
    </xf>
    <xf numFmtId="0" fontId="5" fillId="0" borderId="9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2" fontId="5" fillId="0" borderId="30" xfId="0" applyNumberFormat="1" applyFont="1" applyBorder="1" applyAlignment="1">
      <alignment horizontal="center" vertical="center"/>
    </xf>
    <xf numFmtId="166" fontId="5" fillId="0" borderId="67" xfId="0" applyNumberFormat="1" applyFont="1" applyBorder="1" applyAlignment="1">
      <alignment horizontal="center" vertical="center"/>
    </xf>
    <xf numFmtId="0" fontId="5" fillId="0" borderId="95" xfId="0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2" fontId="5" fillId="0" borderId="96" xfId="0" applyNumberFormat="1" applyFont="1" applyBorder="1" applyAlignment="1">
      <alignment horizontal="center" vertical="center"/>
    </xf>
    <xf numFmtId="166" fontId="5" fillId="0" borderId="97" xfId="0" applyNumberFormat="1" applyFont="1" applyBorder="1" applyAlignment="1">
      <alignment horizontal="center" vertical="center"/>
    </xf>
    <xf numFmtId="0" fontId="0" fillId="13" borderId="98" xfId="0" applyFill="1" applyBorder="1" applyAlignment="1">
      <alignment horizontal="center" vertical="center"/>
    </xf>
    <xf numFmtId="0" fontId="0" fillId="13" borderId="99" xfId="0" applyFill="1" applyBorder="1" applyAlignment="1">
      <alignment horizontal="center" vertical="center"/>
    </xf>
    <xf numFmtId="3" fontId="0" fillId="0" borderId="30" xfId="0" applyNumberFormat="1" applyBorder="1" applyAlignment="1">
      <alignment horizontal="center" vertical="center"/>
    </xf>
    <xf numFmtId="0" fontId="0" fillId="13" borderId="100" xfId="0" applyFill="1" applyBorder="1" applyAlignment="1">
      <alignment horizontal="center" vertical="center"/>
    </xf>
    <xf numFmtId="3" fontId="0" fillId="0" borderId="29" xfId="0" applyNumberFormat="1" applyBorder="1" applyAlignment="1">
      <alignment horizontal="center" vertical="center"/>
    </xf>
    <xf numFmtId="0" fontId="0" fillId="6" borderId="98" xfId="0" applyFill="1" applyBorder="1" applyAlignment="1">
      <alignment vertical="center"/>
    </xf>
    <xf numFmtId="0" fontId="0" fillId="13" borderId="55" xfId="0" applyFill="1" applyBorder="1" applyAlignment="1">
      <alignment horizontal="center" vertical="center"/>
    </xf>
    <xf numFmtId="0" fontId="0" fillId="6" borderId="100" xfId="0" applyFill="1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0" fillId="13" borderId="101" xfId="0" applyFill="1" applyBorder="1" applyAlignment="1">
      <alignment horizontal="center" vertical="center"/>
    </xf>
    <xf numFmtId="0" fontId="0" fillId="4" borderId="98" xfId="0" applyFill="1" applyBorder="1" applyAlignment="1">
      <alignment vertical="center"/>
    </xf>
    <xf numFmtId="0" fontId="0" fillId="4" borderId="100" xfId="0" applyFill="1" applyBorder="1" applyAlignment="1">
      <alignment vertical="center"/>
    </xf>
    <xf numFmtId="0" fontId="0" fillId="7" borderId="98" xfId="0" applyFill="1" applyBorder="1" applyAlignment="1">
      <alignment vertical="center"/>
    </xf>
    <xf numFmtId="0" fontId="0" fillId="7" borderId="100" xfId="0" applyFill="1" applyBorder="1" applyAlignment="1">
      <alignment vertical="center"/>
    </xf>
    <xf numFmtId="0" fontId="0" fillId="0" borderId="51" xfId="0" applyBorder="1" applyAlignment="1">
      <alignment horizontal="center" vertical="center"/>
    </xf>
    <xf numFmtId="0" fontId="0" fillId="4" borderId="98" xfId="0" applyFill="1" applyBorder="1" applyAlignment="1">
      <alignment horizontal="left" vertical="center"/>
    </xf>
    <xf numFmtId="0" fontId="0" fillId="4" borderId="100" xfId="0" applyFill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2" fontId="0" fillId="0" borderId="29" xfId="0" applyNumberFormat="1" applyFont="1" applyBorder="1" applyAlignment="1">
      <alignment horizontal="center" vertical="center"/>
    </xf>
    <xf numFmtId="0" fontId="0" fillId="13" borderId="98" xfId="0" applyFont="1" applyFill="1" applyBorder="1" applyAlignment="1">
      <alignment vertical="center"/>
    </xf>
    <xf numFmtId="0" fontId="0" fillId="13" borderId="99" xfId="0" applyFont="1" applyFill="1" applyBorder="1" applyAlignment="1">
      <alignment vertical="center"/>
    </xf>
    <xf numFmtId="0" fontId="0" fillId="13" borderId="100" xfId="0" applyFont="1" applyFill="1" applyBorder="1" applyAlignment="1">
      <alignment vertical="center"/>
    </xf>
    <xf numFmtId="0" fontId="0" fillId="13" borderId="17" xfId="0" applyFont="1" applyFill="1" applyBorder="1" applyAlignment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2" xfId="0" applyFont="1" applyFill="1" applyBorder="1" applyAlignment="1">
      <alignment horizontal="center" vertical="center"/>
    </xf>
    <xf numFmtId="0" fontId="0" fillId="13" borderId="2" xfId="0" applyFont="1" applyFill="1" applyBorder="1" applyAlignment="1">
      <alignment vertical="center"/>
    </xf>
    <xf numFmtId="0" fontId="0" fillId="13" borderId="30" xfId="0" applyFont="1" applyFill="1" applyBorder="1" applyAlignment="1">
      <alignment vertical="center"/>
    </xf>
    <xf numFmtId="0" fontId="0" fillId="13" borderId="29" xfId="0" applyFont="1" applyFill="1" applyBorder="1" applyAlignment="1">
      <alignment vertical="center"/>
    </xf>
    <xf numFmtId="0" fontId="0" fillId="13" borderId="1" xfId="0" applyFill="1" applyBorder="1" applyAlignment="1">
      <alignment horizontal="center" vertical="center" wrapText="1"/>
    </xf>
    <xf numFmtId="0" fontId="0" fillId="13" borderId="2" xfId="0" applyFill="1" applyBorder="1" applyAlignment="1">
      <alignment vertical="center"/>
    </xf>
    <xf numFmtId="0" fontId="0" fillId="13" borderId="29" xfId="0" applyFill="1" applyBorder="1" applyAlignment="1">
      <alignment vertical="center"/>
    </xf>
    <xf numFmtId="0" fontId="0" fillId="13" borderId="1" xfId="0" applyFill="1" applyBorder="1" applyAlignment="1">
      <alignment horizontal="left" vertical="center"/>
    </xf>
    <xf numFmtId="3" fontId="0" fillId="13" borderId="1" xfId="0" applyNumberFormat="1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13" borderId="6" xfId="0" applyFill="1" applyBorder="1" applyAlignment="1">
      <alignment vertical="center"/>
    </xf>
    <xf numFmtId="3" fontId="0" fillId="13" borderId="8" xfId="0" applyNumberFormat="1" applyFill="1" applyBorder="1" applyAlignment="1">
      <alignment vertical="center"/>
    </xf>
    <xf numFmtId="0" fontId="3" fillId="13" borderId="15" xfId="0" applyFont="1" applyFill="1" applyBorder="1" applyAlignment="1">
      <alignment vertical="center"/>
    </xf>
    <xf numFmtId="0" fontId="3" fillId="13" borderId="6" xfId="0" applyFont="1" applyFill="1" applyBorder="1" applyAlignment="1">
      <alignment vertical="center"/>
    </xf>
    <xf numFmtId="0" fontId="3" fillId="13" borderId="40" xfId="0" applyFont="1" applyFill="1" applyBorder="1" applyAlignment="1">
      <alignment vertical="center"/>
    </xf>
    <xf numFmtId="0" fontId="0" fillId="13" borderId="2" xfId="0" applyFill="1" applyBorder="1" applyAlignment="1">
      <alignment horizontal="left" vertical="center"/>
    </xf>
    <xf numFmtId="0" fontId="0" fillId="13" borderId="30" xfId="0" applyFill="1" applyBorder="1" applyAlignment="1">
      <alignment horizontal="left" vertical="center"/>
    </xf>
    <xf numFmtId="3" fontId="0" fillId="0" borderId="2" xfId="0" applyNumberFormat="1" applyFont="1" applyBorder="1" applyAlignment="1">
      <alignment vertical="center"/>
    </xf>
    <xf numFmtId="3" fontId="0" fillId="0" borderId="30" xfId="0" applyNumberFormat="1" applyFont="1" applyBorder="1" applyAlignment="1">
      <alignment vertical="center"/>
    </xf>
    <xf numFmtId="3" fontId="0" fillId="0" borderId="29" xfId="0" applyNumberFormat="1" applyFont="1" applyBorder="1" applyAlignment="1">
      <alignment vertical="center"/>
    </xf>
    <xf numFmtId="0" fontId="0" fillId="13" borderId="32" xfId="0" applyFill="1" applyBorder="1" applyAlignment="1">
      <alignment horizontal="left" vertical="center"/>
    </xf>
    <xf numFmtId="0" fontId="0" fillId="13" borderId="94" xfId="0" applyFill="1" applyBorder="1" applyAlignment="1">
      <alignment horizontal="left" vertical="center"/>
    </xf>
    <xf numFmtId="0" fontId="0" fillId="13" borderId="94" xfId="0" applyFill="1" applyBorder="1" applyAlignment="1">
      <alignment vertical="center"/>
    </xf>
    <xf numFmtId="0" fontId="0" fillId="13" borderId="54" xfId="0" applyFill="1" applyBorder="1" applyAlignment="1">
      <alignment vertical="center"/>
    </xf>
    <xf numFmtId="3" fontId="0" fillId="0" borderId="21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0" fontId="0" fillId="0" borderId="2" xfId="0" applyBorder="1"/>
    <xf numFmtId="3" fontId="0" fillId="0" borderId="2" xfId="0" applyNumberFormat="1" applyBorder="1"/>
    <xf numFmtId="0" fontId="0" fillId="0" borderId="30" xfId="0" applyBorder="1"/>
    <xf numFmtId="3" fontId="0" fillId="0" borderId="30" xfId="0" applyNumberFormat="1" applyBorder="1"/>
    <xf numFmtId="171" fontId="0" fillId="0" borderId="30" xfId="0" applyNumberFormat="1" applyBorder="1"/>
    <xf numFmtId="1" fontId="22" fillId="0" borderId="30" xfId="0" applyNumberFormat="1" applyFont="1" applyFill="1" applyBorder="1"/>
    <xf numFmtId="3" fontId="22" fillId="0" borderId="30" xfId="0" applyNumberFormat="1" applyFont="1" applyFill="1" applyBorder="1"/>
    <xf numFmtId="171" fontId="0" fillId="0" borderId="29" xfId="0" applyNumberFormat="1" applyFill="1" applyBorder="1"/>
    <xf numFmtId="171" fontId="0" fillId="0" borderId="29" xfId="0" applyNumberFormat="1" applyBorder="1"/>
    <xf numFmtId="3" fontId="0" fillId="0" borderId="29" xfId="0" applyNumberFormat="1" applyBorder="1"/>
    <xf numFmtId="0" fontId="0" fillId="13" borderId="1" xfId="0" applyFill="1" applyBorder="1" applyAlignment="1">
      <alignment horizontal="center"/>
    </xf>
    <xf numFmtId="0" fontId="0" fillId="13" borderId="2" xfId="0" applyFill="1" applyBorder="1"/>
    <xf numFmtId="0" fontId="0" fillId="13" borderId="30" xfId="0" applyFill="1" applyBorder="1"/>
    <xf numFmtId="0" fontId="0" fillId="13" borderId="29" xfId="0" applyFill="1" applyBorder="1"/>
    <xf numFmtId="0" fontId="0" fillId="13" borderId="1" xfId="0" applyFill="1" applyBorder="1"/>
    <xf numFmtId="4" fontId="0" fillId="0" borderId="2" xfId="0" applyNumberFormat="1" applyBorder="1"/>
    <xf numFmtId="4" fontId="7" fillId="3" borderId="2" xfId="0" applyNumberFormat="1" applyFont="1" applyFill="1" applyBorder="1"/>
    <xf numFmtId="4" fontId="0" fillId="0" borderId="30" xfId="0" applyNumberFormat="1" applyBorder="1"/>
    <xf numFmtId="4" fontId="0" fillId="0" borderId="29" xfId="0" applyNumberFormat="1" applyBorder="1"/>
    <xf numFmtId="0" fontId="0" fillId="13" borderId="2" xfId="0" applyFill="1" applyBorder="1" applyAlignment="1">
      <alignment horizontal="center"/>
    </xf>
    <xf numFmtId="0" fontId="0" fillId="13" borderId="30" xfId="0" applyFill="1" applyBorder="1" applyAlignment="1">
      <alignment horizontal="center"/>
    </xf>
    <xf numFmtId="0" fontId="0" fillId="13" borderId="29" xfId="0" applyFill="1" applyBorder="1" applyAlignment="1">
      <alignment horizontal="center"/>
    </xf>
    <xf numFmtId="0" fontId="9" fillId="13" borderId="1" xfId="0" applyFont="1" applyFill="1" applyBorder="1" applyAlignment="1">
      <alignment vertical="center"/>
    </xf>
    <xf numFmtId="167" fontId="8" fillId="13" borderId="1" xfId="0" applyNumberFormat="1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vertical="center"/>
    </xf>
    <xf numFmtId="165" fontId="0" fillId="13" borderId="1" xfId="0" applyNumberFormat="1" applyFill="1" applyBorder="1" applyAlignment="1">
      <alignment horizontal="center" vertical="center"/>
    </xf>
    <xf numFmtId="0" fontId="7" fillId="13" borderId="1" xfId="0" applyFont="1" applyFill="1" applyBorder="1" applyAlignment="1">
      <alignment vertical="center"/>
    </xf>
    <xf numFmtId="3" fontId="9" fillId="13" borderId="1" xfId="0" applyNumberFormat="1" applyFont="1" applyFill="1" applyBorder="1" applyAlignment="1">
      <alignment horizontal="center" vertical="center"/>
    </xf>
    <xf numFmtId="0" fontId="7" fillId="13" borderId="29" xfId="0" applyFont="1" applyFill="1" applyBorder="1" applyAlignment="1">
      <alignment vertical="center"/>
    </xf>
    <xf numFmtId="1" fontId="21" fillId="13" borderId="1" xfId="0" applyNumberFormat="1" applyFont="1" applyFill="1" applyBorder="1" applyAlignment="1">
      <alignment horizontal="center" vertical="center"/>
    </xf>
    <xf numFmtId="3" fontId="7" fillId="13" borderId="1" xfId="0" applyNumberFormat="1" applyFont="1" applyFill="1" applyBorder="1" applyAlignment="1">
      <alignment horizontal="center" vertical="center"/>
    </xf>
    <xf numFmtId="0" fontId="0" fillId="6" borderId="2" xfId="0" applyFill="1" applyBorder="1" applyAlignment="1">
      <alignment vertical="center"/>
    </xf>
    <xf numFmtId="0" fontId="0" fillId="6" borderId="29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30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9" fillId="4" borderId="29" xfId="0" applyFont="1" applyFill="1" applyBorder="1" applyAlignment="1">
      <alignment vertical="center"/>
    </xf>
    <xf numFmtId="0" fontId="8" fillId="13" borderId="29" xfId="0" applyFont="1" applyFill="1" applyBorder="1" applyAlignment="1">
      <alignment horizontal="center" vertical="center"/>
    </xf>
    <xf numFmtId="0" fontId="9" fillId="13" borderId="29" xfId="0" applyFont="1" applyFill="1" applyBorder="1" applyAlignment="1">
      <alignment horizontal="center" vertical="center"/>
    </xf>
    <xf numFmtId="0" fontId="0" fillId="6" borderId="30" xfId="0" applyFill="1" applyBorder="1" applyAlignment="1">
      <alignment vertical="center"/>
    </xf>
    <xf numFmtId="0" fontId="9" fillId="6" borderId="29" xfId="0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0" fontId="0" fillId="7" borderId="30" xfId="0" applyFill="1" applyBorder="1" applyAlignment="1">
      <alignment vertical="center"/>
    </xf>
    <xf numFmtId="0" fontId="9" fillId="7" borderId="29" xfId="0" applyFont="1" applyFill="1" applyBorder="1" applyAlignment="1">
      <alignment vertical="center"/>
    </xf>
    <xf numFmtId="3" fontId="0" fillId="6" borderId="2" xfId="0" applyNumberFormat="1" applyFill="1" applyBorder="1" applyAlignment="1">
      <alignment vertical="center"/>
    </xf>
    <xf numFmtId="3" fontId="0" fillId="6" borderId="29" xfId="0" applyNumberFormat="1" applyFill="1" applyBorder="1" applyAlignment="1">
      <alignment vertical="center"/>
    </xf>
    <xf numFmtId="3" fontId="0" fillId="4" borderId="2" xfId="0" applyNumberFormat="1" applyFill="1" applyBorder="1" applyAlignment="1">
      <alignment vertical="center"/>
    </xf>
    <xf numFmtId="3" fontId="0" fillId="4" borderId="29" xfId="0" applyNumberFormat="1" applyFill="1" applyBorder="1" applyAlignment="1">
      <alignment vertical="center"/>
    </xf>
    <xf numFmtId="3" fontId="0" fillId="7" borderId="2" xfId="0" applyNumberFormat="1" applyFill="1" applyBorder="1" applyAlignment="1">
      <alignment vertical="center"/>
    </xf>
    <xf numFmtId="3" fontId="0" fillId="7" borderId="29" xfId="0" applyNumberFormat="1" applyFill="1" applyBorder="1" applyAlignment="1">
      <alignment vertical="center"/>
    </xf>
    <xf numFmtId="0" fontId="0" fillId="4" borderId="29" xfId="0" applyFill="1" applyBorder="1" applyAlignment="1">
      <alignment vertical="center"/>
    </xf>
    <xf numFmtId="0" fontId="0" fillId="7" borderId="29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29" xfId="0" applyFill="1" applyBorder="1" applyAlignment="1">
      <alignment vertical="center"/>
    </xf>
    <xf numFmtId="0" fontId="21" fillId="13" borderId="2" xfId="0" applyFont="1" applyFill="1" applyBorder="1" applyAlignment="1">
      <alignment vertical="center"/>
    </xf>
    <xf numFmtId="0" fontId="21" fillId="13" borderId="29" xfId="0" applyFont="1" applyFill="1" applyBorder="1" applyAlignment="1">
      <alignment vertical="center"/>
    </xf>
    <xf numFmtId="3" fontId="0" fillId="0" borderId="30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/>
    </xf>
    <xf numFmtId="3" fontId="0" fillId="0" borderId="29" xfId="0" applyNumberFormat="1" applyFill="1" applyBorder="1" applyAlignment="1">
      <alignment horizontal="center" vertical="center"/>
    </xf>
    <xf numFmtId="0" fontId="0" fillId="12" borderId="72" xfId="0" applyFill="1" applyBorder="1" applyAlignment="1">
      <alignment vertical="center"/>
    </xf>
    <xf numFmtId="0" fontId="0" fillId="12" borderId="72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7" fillId="13" borderId="74" xfId="0" applyFont="1" applyFill="1" applyBorder="1" applyAlignment="1">
      <alignment vertical="center"/>
    </xf>
    <xf numFmtId="0" fontId="0" fillId="13" borderId="89" xfId="0" applyFill="1" applyBorder="1" applyAlignment="1">
      <alignment vertical="center"/>
    </xf>
    <xf numFmtId="3" fontId="0" fillId="13" borderId="75" xfId="0" applyNumberFormat="1" applyFill="1" applyBorder="1" applyAlignment="1">
      <alignment vertical="center"/>
    </xf>
    <xf numFmtId="0" fontId="0" fillId="13" borderId="1" xfId="0" applyFill="1" applyBorder="1" applyAlignment="1">
      <alignment horizontal="center" vertical="center"/>
    </xf>
    <xf numFmtId="0" fontId="0" fillId="13" borderId="1" xfId="0" applyFill="1" applyBorder="1" applyAlignment="1">
      <alignment vertical="center"/>
    </xf>
    <xf numFmtId="3" fontId="5" fillId="13" borderId="1" xfId="0" applyNumberFormat="1" applyFont="1" applyFill="1" applyBorder="1" applyAlignment="1">
      <alignment horizontal="center" vertical="center"/>
    </xf>
    <xf numFmtId="3" fontId="0" fillId="0" borderId="14" xfId="0" applyNumberFormat="1" applyFill="1" applyBorder="1" applyAlignment="1">
      <alignment horizontal="center" vertical="center"/>
    </xf>
    <xf numFmtId="0" fontId="0" fillId="13" borderId="102" xfId="0" applyFill="1" applyBorder="1" applyAlignment="1">
      <alignment vertical="center"/>
    </xf>
    <xf numFmtId="0" fontId="0" fillId="13" borderId="76" xfId="0" applyFill="1" applyBorder="1" applyAlignment="1">
      <alignment vertical="center"/>
    </xf>
    <xf numFmtId="3" fontId="0" fillId="0" borderId="88" xfId="0" applyNumberFormat="1" applyFill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3" fontId="0" fillId="0" borderId="83" xfId="0" applyNumberFormat="1" applyBorder="1" applyAlignment="1">
      <alignment horizontal="center" vertical="center"/>
    </xf>
    <xf numFmtId="3" fontId="1" fillId="0" borderId="25" xfId="1" applyNumberFormat="1" applyFont="1" applyBorder="1" applyAlignment="1">
      <alignment horizontal="center" vertical="center"/>
    </xf>
    <xf numFmtId="3" fontId="1" fillId="0" borderId="30" xfId="1" applyNumberFormat="1" applyFont="1" applyBorder="1" applyAlignment="1">
      <alignment horizontal="center" vertical="center"/>
    </xf>
    <xf numFmtId="0" fontId="0" fillId="13" borderId="77" xfId="0" applyFill="1" applyBorder="1" applyAlignment="1">
      <alignment vertical="center"/>
    </xf>
    <xf numFmtId="3" fontId="0" fillId="0" borderId="82" xfId="0" applyNumberFormat="1" applyFill="1" applyBorder="1" applyAlignment="1">
      <alignment horizontal="center" vertical="center"/>
    </xf>
    <xf numFmtId="3" fontId="0" fillId="0" borderId="88" xfId="0" applyNumberFormat="1" applyBorder="1" applyAlignment="1">
      <alignment horizontal="center" vertical="center"/>
    </xf>
    <xf numFmtId="9" fontId="30" fillId="0" borderId="27" xfId="3" applyFont="1" applyBorder="1" applyAlignment="1">
      <alignment horizontal="center" vertical="center"/>
    </xf>
    <xf numFmtId="9" fontId="30" fillId="0" borderId="82" xfId="3" applyFont="1" applyBorder="1" applyAlignment="1">
      <alignment horizontal="center" vertical="center"/>
    </xf>
    <xf numFmtId="3" fontId="0" fillId="0" borderId="82" xfId="0" applyNumberFormat="1" applyBorder="1" applyAlignment="1">
      <alignment horizontal="center" vertical="center"/>
    </xf>
    <xf numFmtId="3" fontId="0" fillId="0" borderId="82" xfId="0" applyNumberFormat="1" applyBorder="1" applyAlignment="1">
      <alignment vertical="center"/>
    </xf>
    <xf numFmtId="0" fontId="0" fillId="13" borderId="2" xfId="0" applyFill="1" applyBorder="1" applyAlignment="1">
      <alignment horizontal="left" vertical="center"/>
    </xf>
    <xf numFmtId="3" fontId="0" fillId="0" borderId="88" xfId="0" applyNumberFormat="1" applyBorder="1" applyAlignment="1">
      <alignment vertical="center"/>
    </xf>
    <xf numFmtId="3" fontId="0" fillId="0" borderId="83" xfId="0" applyNumberFormat="1" applyBorder="1" applyAlignment="1">
      <alignment vertical="center"/>
    </xf>
    <xf numFmtId="3" fontId="0" fillId="0" borderId="88" xfId="0" applyNumberFormat="1" applyFill="1" applyBorder="1" applyAlignment="1">
      <alignment vertical="center"/>
    </xf>
    <xf numFmtId="0" fontId="0" fillId="13" borderId="30" xfId="0" applyFill="1" applyBorder="1" applyAlignment="1">
      <alignment horizontal="left" vertical="center"/>
    </xf>
    <xf numFmtId="0" fontId="7" fillId="13" borderId="2" xfId="0" applyFont="1" applyFill="1" applyBorder="1" applyAlignment="1">
      <alignment horizontal="left" vertical="center"/>
    </xf>
    <xf numFmtId="0" fontId="7" fillId="13" borderId="30" xfId="0" applyFont="1" applyFill="1" applyBorder="1" applyAlignment="1">
      <alignment horizontal="left" vertical="center"/>
    </xf>
    <xf numFmtId="0" fontId="7" fillId="13" borderId="29" xfId="0" applyFont="1" applyFill="1" applyBorder="1" applyAlignment="1">
      <alignment horizontal="left" vertical="center"/>
    </xf>
    <xf numFmtId="0" fontId="0" fillId="13" borderId="21" xfId="0" applyFill="1" applyBorder="1" applyAlignment="1">
      <alignment horizontal="center"/>
    </xf>
    <xf numFmtId="0" fontId="0" fillId="0" borderId="2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0" fillId="0" borderId="30" xfId="0" applyBorder="1" applyAlignment="1">
      <alignment horizontal="center"/>
    </xf>
    <xf numFmtId="1" fontId="0" fillId="0" borderId="30" xfId="0" applyNumberFormat="1" applyBorder="1" applyAlignment="1">
      <alignment horizontal="center"/>
    </xf>
    <xf numFmtId="0" fontId="0" fillId="13" borderId="26" xfId="0" applyFill="1" applyBorder="1" applyAlignment="1">
      <alignment horizontal="center"/>
    </xf>
    <xf numFmtId="0" fontId="0" fillId="0" borderId="29" xfId="0" applyBorder="1" applyAlignment="1">
      <alignment horizontal="center"/>
    </xf>
    <xf numFmtId="1" fontId="0" fillId="0" borderId="29" xfId="0" applyNumberFormat="1" applyBorder="1" applyAlignment="1">
      <alignment horizontal="center"/>
    </xf>
    <xf numFmtId="0" fontId="0" fillId="13" borderId="24" xfId="0" applyFill="1" applyBorder="1" applyAlignment="1">
      <alignment vertical="center"/>
    </xf>
    <xf numFmtId="0" fontId="0" fillId="13" borderId="29" xfId="0" applyFill="1" applyBorder="1" applyAlignment="1">
      <alignment vertical="center"/>
    </xf>
    <xf numFmtId="0" fontId="0" fillId="13" borderId="26" xfId="0" applyFill="1" applyBorder="1" applyAlignment="1">
      <alignment vertical="center"/>
    </xf>
    <xf numFmtId="0" fontId="7" fillId="13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7" fillId="13" borderId="30" xfId="0" applyFon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7" fillId="13" borderId="29" xfId="0" applyFont="1" applyFill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13" borderId="6" xfId="0" applyFill="1" applyBorder="1" applyAlignment="1">
      <alignment horizontal="center" vertical="center"/>
    </xf>
    <xf numFmtId="2" fontId="0" fillId="13" borderId="7" xfId="0" applyNumberFormat="1" applyFill="1" applyBorder="1" applyAlignment="1">
      <alignment horizontal="center" vertical="center"/>
    </xf>
    <xf numFmtId="2" fontId="0" fillId="13" borderId="11" xfId="0" applyNumberFormat="1" applyFill="1" applyBorder="1" applyAlignment="1">
      <alignment horizontal="center" vertical="center"/>
    </xf>
    <xf numFmtId="3" fontId="37" fillId="13" borderId="74" xfId="0" applyNumberFormat="1" applyFont="1" applyFill="1" applyBorder="1" applyAlignment="1">
      <alignment vertical="center"/>
    </xf>
    <xf numFmtId="3" fontId="37" fillId="13" borderId="12" xfId="0" applyNumberFormat="1" applyFont="1" applyFill="1" applyBorder="1" applyAlignment="1">
      <alignment vertical="center"/>
    </xf>
    <xf numFmtId="3" fontId="5" fillId="13" borderId="12" xfId="0" applyNumberFormat="1" applyFont="1" applyFill="1" applyBorder="1" applyAlignment="1">
      <alignment vertical="center"/>
    </xf>
    <xf numFmtId="3" fontId="5" fillId="0" borderId="102" xfId="0" applyNumberFormat="1" applyFont="1" applyBorder="1" applyAlignment="1">
      <alignment vertical="center"/>
    </xf>
    <xf numFmtId="3" fontId="5" fillId="0" borderId="30" xfId="2" applyNumberFormat="1" applyFont="1" applyBorder="1" applyAlignment="1">
      <alignment vertical="center"/>
    </xf>
    <xf numFmtId="3" fontId="37" fillId="13" borderId="77" xfId="0" applyNumberFormat="1" applyFont="1" applyFill="1" applyBorder="1" applyAlignment="1">
      <alignment vertical="center"/>
    </xf>
    <xf numFmtId="3" fontId="5" fillId="13" borderId="29" xfId="0" applyNumberFormat="1" applyFont="1" applyFill="1" applyBorder="1" applyAlignment="1">
      <alignment horizontal="center" vertical="center"/>
    </xf>
    <xf numFmtId="0" fontId="5" fillId="0" borderId="102" xfId="0" applyFont="1" applyBorder="1" applyAlignment="1">
      <alignment vertical="center"/>
    </xf>
    <xf numFmtId="3" fontId="5" fillId="0" borderId="30" xfId="0" applyNumberFormat="1" applyFont="1" applyBorder="1" applyAlignment="1">
      <alignment horizontal="right" vertical="center"/>
    </xf>
    <xf numFmtId="3" fontId="5" fillId="0" borderId="29" xfId="0" applyNumberFormat="1" applyFont="1" applyFill="1" applyBorder="1" applyAlignment="1">
      <alignment horizontal="left" vertical="center"/>
    </xf>
    <xf numFmtId="3" fontId="5" fillId="0" borderId="2" xfId="2" applyNumberFormat="1" applyFont="1" applyBorder="1" applyAlignment="1">
      <alignment horizontal="left" vertical="center"/>
    </xf>
    <xf numFmtId="3" fontId="5" fillId="0" borderId="30" xfId="2" applyNumberFormat="1" applyFont="1" applyBorder="1" applyAlignment="1">
      <alignment horizontal="left" vertical="center"/>
    </xf>
    <xf numFmtId="3" fontId="5" fillId="13" borderId="75" xfId="0" applyNumberFormat="1" applyFont="1" applyFill="1" applyBorder="1" applyAlignment="1">
      <alignment vertical="center"/>
    </xf>
    <xf numFmtId="3" fontId="5" fillId="0" borderId="88" xfId="0" applyNumberFormat="1" applyFont="1" applyBorder="1" applyAlignment="1">
      <alignment vertical="center"/>
    </xf>
    <xf numFmtId="3" fontId="5" fillId="0" borderId="83" xfId="0" applyNumberFormat="1" applyFont="1" applyBorder="1" applyAlignment="1">
      <alignment vertical="center"/>
    </xf>
    <xf numFmtId="3" fontId="5" fillId="0" borderId="83" xfId="0" applyNumberFormat="1" applyFont="1" applyFill="1" applyBorder="1" applyAlignment="1">
      <alignment vertical="center"/>
    </xf>
    <xf numFmtId="3" fontId="5" fillId="0" borderId="102" xfId="0" applyNumberFormat="1" applyFont="1" applyBorder="1" applyAlignment="1">
      <alignment horizontal="center" vertical="center"/>
    </xf>
    <xf numFmtId="3" fontId="5" fillId="0" borderId="82" xfId="0" applyNumberFormat="1" applyFont="1" applyBorder="1" applyAlignment="1">
      <alignment vertical="center"/>
    </xf>
    <xf numFmtId="3" fontId="5" fillId="0" borderId="77" xfId="0" applyNumberFormat="1" applyFont="1" applyBorder="1" applyAlignment="1">
      <alignment horizontal="center" vertical="center"/>
    </xf>
    <xf numFmtId="3" fontId="5" fillId="0" borderId="88" xfId="0" applyNumberFormat="1" applyFont="1" applyFill="1" applyBorder="1" applyAlignment="1">
      <alignment vertical="center"/>
    </xf>
    <xf numFmtId="3" fontId="5" fillId="13" borderId="89" xfId="0" applyNumberFormat="1" applyFont="1" applyFill="1" applyBorder="1" applyAlignment="1">
      <alignment horizontal="center" vertical="center"/>
    </xf>
    <xf numFmtId="3" fontId="5" fillId="13" borderId="106" xfId="0" applyNumberFormat="1" applyFont="1" applyFill="1" applyBorder="1" applyAlignment="1">
      <alignment vertical="center"/>
    </xf>
    <xf numFmtId="3" fontId="5" fillId="13" borderId="85" xfId="0" applyNumberFormat="1" applyFont="1" applyFill="1" applyBorder="1" applyAlignment="1">
      <alignment vertical="center"/>
    </xf>
    <xf numFmtId="3" fontId="5" fillId="0" borderId="22" xfId="2" applyNumberFormat="1" applyFont="1" applyBorder="1" applyAlignment="1">
      <alignment horizontal="left" vertical="center"/>
    </xf>
    <xf numFmtId="3" fontId="5" fillId="0" borderId="0" xfId="2" applyNumberFormat="1" applyFont="1" applyBorder="1" applyAlignment="1">
      <alignment horizontal="left" vertical="center"/>
    </xf>
    <xf numFmtId="3" fontId="5" fillId="0" borderId="27" xfId="0" applyNumberFormat="1" applyFont="1" applyFill="1" applyBorder="1" applyAlignment="1">
      <alignment horizontal="left" vertical="center"/>
    </xf>
    <xf numFmtId="3" fontId="5" fillId="0" borderId="23" xfId="2" applyNumberFormat="1" applyFont="1" applyBorder="1" applyAlignment="1">
      <alignment horizontal="left" vertical="center"/>
    </xf>
    <xf numFmtId="3" fontId="5" fillId="0" borderId="25" xfId="2" applyNumberFormat="1" applyFont="1" applyBorder="1" applyAlignment="1">
      <alignment horizontal="left" vertical="center"/>
    </xf>
    <xf numFmtId="3" fontId="5" fillId="13" borderId="75" xfId="0" applyNumberFormat="1" applyFont="1" applyFill="1" applyBorder="1" applyAlignment="1">
      <alignment horizontal="center" vertical="center"/>
    </xf>
    <xf numFmtId="3" fontId="5" fillId="0" borderId="83" xfId="2" applyNumberFormat="1" applyFont="1" applyBorder="1" applyAlignment="1">
      <alignment vertical="center"/>
    </xf>
    <xf numFmtId="3" fontId="5" fillId="0" borderId="82" xfId="2" applyNumberFormat="1" applyFont="1" applyBorder="1" applyAlignment="1">
      <alignment vertical="center"/>
    </xf>
    <xf numFmtId="3" fontId="5" fillId="13" borderId="82" xfId="0" applyNumberFormat="1" applyFont="1" applyFill="1" applyBorder="1" applyAlignment="1">
      <alignment horizontal="center" vertical="center"/>
    </xf>
    <xf numFmtId="3" fontId="4" fillId="13" borderId="104" xfId="0" applyNumberFormat="1" applyFont="1" applyFill="1" applyBorder="1" applyAlignment="1">
      <alignment horizontal="center" vertical="center"/>
    </xf>
    <xf numFmtId="3" fontId="5" fillId="13" borderId="12" xfId="0" applyNumberFormat="1" applyFont="1" applyFill="1" applyBorder="1" applyAlignment="1">
      <alignment horizontal="center" vertical="center"/>
    </xf>
    <xf numFmtId="3" fontId="5" fillId="13" borderId="103" xfId="0" applyNumberFormat="1" applyFont="1" applyFill="1" applyBorder="1" applyAlignment="1">
      <alignment horizontal="center" vertical="center"/>
    </xf>
    <xf numFmtId="3" fontId="8" fillId="13" borderId="1" xfId="0" applyNumberFormat="1" applyFont="1" applyFill="1" applyBorder="1" applyAlignment="1">
      <alignment horizontal="center" vertical="center"/>
    </xf>
    <xf numFmtId="0" fontId="0" fillId="13" borderId="30" xfId="0" applyFont="1" applyFill="1" applyBorder="1" applyAlignment="1">
      <alignment horizontal="center" vertical="center"/>
    </xf>
    <xf numFmtId="3" fontId="0" fillId="8" borderId="2" xfId="0" applyNumberFormat="1" applyFill="1" applyBorder="1" applyAlignment="1">
      <alignment horizontal="center" vertical="center"/>
    </xf>
    <xf numFmtId="3" fontId="0" fillId="8" borderId="30" xfId="0" applyNumberFormat="1" applyFill="1" applyBorder="1" applyAlignment="1">
      <alignment horizontal="center" vertical="center"/>
    </xf>
    <xf numFmtId="3" fontId="0" fillId="8" borderId="29" xfId="0" applyNumberFormat="1" applyFill="1" applyBorder="1" applyAlignment="1">
      <alignment horizontal="center" vertical="center"/>
    </xf>
    <xf numFmtId="9" fontId="1" fillId="0" borderId="30" xfId="3" applyFont="1" applyBorder="1"/>
    <xf numFmtId="0" fontId="0" fillId="13" borderId="2" xfId="0" applyFill="1" applyBorder="1" applyAlignment="1">
      <alignment horizontal="left"/>
    </xf>
    <xf numFmtId="0" fontId="0" fillId="13" borderId="30" xfId="0" applyFill="1" applyBorder="1" applyAlignment="1">
      <alignment horizontal="left"/>
    </xf>
    <xf numFmtId="0" fontId="0" fillId="13" borderId="29" xfId="0" applyFill="1" applyBorder="1" applyAlignment="1">
      <alignment horizontal="left"/>
    </xf>
    <xf numFmtId="3" fontId="7" fillId="13" borderId="11" xfId="0" applyNumberFormat="1" applyFont="1" applyFill="1" applyBorder="1" applyAlignment="1">
      <alignment horizontal="center" vertical="center"/>
    </xf>
    <xf numFmtId="3" fontId="7" fillId="13" borderId="38" xfId="0" applyNumberFormat="1" applyFont="1" applyFill="1" applyBorder="1" applyAlignment="1">
      <alignment horizontal="center" vertical="center"/>
    </xf>
    <xf numFmtId="3" fontId="0" fillId="0" borderId="86" xfId="0" applyNumberFormat="1" applyFill="1" applyBorder="1" applyAlignment="1">
      <alignment horizontal="center" vertical="center"/>
    </xf>
    <xf numFmtId="3" fontId="0" fillId="0" borderId="108" xfId="0" applyNumberFormat="1" applyFill="1" applyBorder="1" applyAlignment="1">
      <alignment horizontal="center" vertical="center"/>
    </xf>
    <xf numFmtId="3" fontId="7" fillId="13" borderId="2" xfId="0" applyNumberFormat="1" applyFont="1" applyFill="1" applyBorder="1" applyAlignment="1">
      <alignment horizontal="center" vertical="center"/>
    </xf>
    <xf numFmtId="3" fontId="7" fillId="13" borderId="86" xfId="0" applyNumberFormat="1" applyFont="1" applyFill="1" applyBorder="1" applyAlignment="1">
      <alignment horizontal="center" vertical="center"/>
    </xf>
    <xf numFmtId="9" fontId="30" fillId="13" borderId="29" xfId="3" applyFont="1" applyFill="1" applyBorder="1" applyAlignment="1">
      <alignment horizontal="center" vertical="center"/>
    </xf>
    <xf numFmtId="3" fontId="0" fillId="0" borderId="108" xfId="0" applyNumberFormat="1" applyBorder="1" applyAlignment="1">
      <alignment horizontal="center" vertical="center"/>
    </xf>
    <xf numFmtId="10" fontId="30" fillId="13" borderId="108" xfId="3" applyNumberFormat="1" applyFont="1" applyFill="1" applyBorder="1" applyAlignment="1">
      <alignment horizontal="center" vertical="center"/>
    </xf>
    <xf numFmtId="170" fontId="0" fillId="0" borderId="22" xfId="0" applyNumberForma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13" borderId="26" xfId="0" applyFont="1" applyFill="1" applyBorder="1" applyAlignment="1">
      <alignment horizontal="left" vertical="center"/>
    </xf>
    <xf numFmtId="3" fontId="3" fillId="13" borderId="1" xfId="0" applyNumberFormat="1" applyFont="1" applyFill="1" applyBorder="1" applyAlignment="1">
      <alignment vertical="center"/>
    </xf>
    <xf numFmtId="0" fontId="0" fillId="0" borderId="22" xfId="0" applyFont="1" applyBorder="1" applyAlignment="1">
      <alignment horizontal="left" vertical="center"/>
    </xf>
    <xf numFmtId="3" fontId="0" fillId="0" borderId="22" xfId="0" applyNumberFormat="1" applyFont="1" applyBorder="1" applyAlignment="1">
      <alignment vertical="center"/>
    </xf>
    <xf numFmtId="0" fontId="0" fillId="13" borderId="76" xfId="0" applyFont="1" applyFill="1" applyBorder="1" applyAlignment="1">
      <alignment horizontal="left" vertical="center"/>
    </xf>
    <xf numFmtId="3" fontId="0" fillId="0" borderId="2" xfId="0" applyNumberFormat="1" applyFont="1" applyFill="1" applyBorder="1" applyAlignment="1">
      <alignment vertical="center"/>
    </xf>
    <xf numFmtId="0" fontId="0" fillId="13" borderId="102" xfId="0" applyFont="1" applyFill="1" applyBorder="1" applyAlignment="1">
      <alignment horizontal="left" vertical="center"/>
    </xf>
    <xf numFmtId="3" fontId="0" fillId="0" borderId="30" xfId="0" applyNumberFormat="1" applyFont="1" applyFill="1" applyBorder="1" applyAlignment="1">
      <alignment vertical="center"/>
    </xf>
    <xf numFmtId="3" fontId="0" fillId="0" borderId="29" xfId="0" applyNumberFormat="1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3" fillId="2" borderId="45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9" fillId="5" borderId="19" xfId="0" applyFont="1" applyFill="1" applyBorder="1" applyAlignment="1">
      <alignment vertical="center"/>
    </xf>
    <xf numFmtId="0" fontId="29" fillId="5" borderId="20" xfId="0" applyFont="1" applyFill="1" applyBorder="1" applyAlignment="1">
      <alignment vertical="center"/>
    </xf>
    <xf numFmtId="0" fontId="29" fillId="5" borderId="62" xfId="0" applyFont="1" applyFill="1" applyBorder="1" applyAlignment="1">
      <alignment vertical="center"/>
    </xf>
    <xf numFmtId="0" fontId="29" fillId="5" borderId="39" xfId="0" applyFont="1" applyFill="1" applyBorder="1" applyAlignment="1">
      <alignment vertical="center"/>
    </xf>
    <xf numFmtId="0" fontId="0" fillId="13" borderId="11" xfId="0" applyFill="1" applyBorder="1" applyAlignment="1">
      <alignment vertical="center"/>
    </xf>
    <xf numFmtId="0" fontId="0" fillId="13" borderId="12" xfId="0" applyFill="1" applyBorder="1" applyAlignment="1">
      <alignment vertical="center"/>
    </xf>
    <xf numFmtId="0" fontId="0" fillId="13" borderId="14" xfId="0" applyFill="1" applyBorder="1" applyAlignment="1">
      <alignment vertical="center"/>
    </xf>
    <xf numFmtId="0" fontId="3" fillId="2" borderId="63" xfId="0" applyFont="1" applyFill="1" applyBorder="1" applyAlignment="1">
      <alignment vertical="center" wrapText="1"/>
    </xf>
    <xf numFmtId="0" fontId="3" fillId="2" borderId="54" xfId="0" applyFont="1" applyFill="1" applyBorder="1" applyAlignment="1">
      <alignment vertical="center"/>
    </xf>
    <xf numFmtId="0" fontId="3" fillId="2" borderId="59" xfId="0" applyFont="1" applyFill="1" applyBorder="1" applyAlignment="1">
      <alignment horizontal="centerContinuous" vertical="center"/>
    </xf>
    <xf numFmtId="0" fontId="3" fillId="2" borderId="57" xfId="0" applyFont="1" applyFill="1" applyBorder="1" applyAlignment="1">
      <alignment horizontal="centerContinuous" vertical="center"/>
    </xf>
    <xf numFmtId="0" fontId="3" fillId="2" borderId="60" xfId="0" applyFont="1" applyFill="1" applyBorder="1" applyAlignment="1">
      <alignment horizontal="centerContinuous" vertical="center"/>
    </xf>
    <xf numFmtId="0" fontId="3" fillId="2" borderId="56" xfId="0" applyFont="1" applyFill="1" applyBorder="1" applyAlignment="1">
      <alignment horizontal="centerContinuous" vertical="center"/>
    </xf>
    <xf numFmtId="0" fontId="3" fillId="2" borderId="58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 wrapText="1"/>
    </xf>
    <xf numFmtId="0" fontId="0" fillId="13" borderId="27" xfId="0" applyFill="1" applyBorder="1" applyAlignment="1">
      <alignment horizontal="centerContinuous" vertical="center" wrapText="1"/>
    </xf>
    <xf numFmtId="0" fontId="3" fillId="2" borderId="32" xfId="0" applyFont="1" applyFill="1" applyBorder="1" applyAlignment="1">
      <alignment vertical="center" wrapText="1"/>
    </xf>
    <xf numFmtId="0" fontId="3" fillId="2" borderId="54" xfId="0" applyFont="1" applyFill="1" applyBorder="1" applyAlignment="1">
      <alignment vertical="center" wrapText="1"/>
    </xf>
    <xf numFmtId="0" fontId="3" fillId="2" borderId="94" xfId="0" applyFont="1" applyFill="1" applyBorder="1" applyAlignment="1">
      <alignment vertical="center" wrapText="1"/>
    </xf>
    <xf numFmtId="0" fontId="0" fillId="13" borderId="21" xfId="0" applyFill="1" applyBorder="1" applyAlignment="1">
      <alignment horizontal="centerContinuous" vertical="center"/>
    </xf>
    <xf numFmtId="0" fontId="0" fillId="13" borderId="23" xfId="0" applyFill="1" applyBorder="1" applyAlignment="1">
      <alignment horizontal="centerContinuous" vertical="center" wrapText="1"/>
    </xf>
    <xf numFmtId="0" fontId="0" fillId="13" borderId="31" xfId="0" applyFill="1" applyBorder="1" applyAlignment="1">
      <alignment horizontal="centerContinuous" vertical="center"/>
    </xf>
    <xf numFmtId="0" fontId="0" fillId="13" borderId="64" xfId="0" applyFill="1" applyBorder="1" applyAlignment="1">
      <alignment horizontal="centerContinuous" vertical="center"/>
    </xf>
    <xf numFmtId="0" fontId="0" fillId="13" borderId="60" xfId="0" applyFill="1" applyBorder="1" applyAlignment="1">
      <alignment horizontal="centerContinuous" vertical="center"/>
    </xf>
    <xf numFmtId="0" fontId="0" fillId="13" borderId="11" xfId="0" applyFill="1" applyBorder="1" applyAlignment="1">
      <alignment horizontal="centerContinuous" vertical="center"/>
    </xf>
    <xf numFmtId="0" fontId="0" fillId="13" borderId="14" xfId="0" applyFill="1" applyBorder="1" applyAlignment="1">
      <alignment horizontal="centerContinuous" vertical="center"/>
    </xf>
    <xf numFmtId="0" fontId="0" fillId="13" borderId="34" xfId="0" applyFill="1" applyBorder="1" applyAlignment="1">
      <alignment horizontal="centerContinuous" vertical="center"/>
    </xf>
    <xf numFmtId="0" fontId="7" fillId="2" borderId="6" xfId="0" applyFont="1" applyFill="1" applyBorder="1" applyAlignment="1">
      <alignment horizontal="centerContinuous" vertical="center"/>
    </xf>
    <xf numFmtId="0" fontId="7" fillId="2" borderId="1" xfId="0" applyFont="1" applyFill="1" applyBorder="1" applyAlignment="1">
      <alignment horizontal="centerContinuous" vertical="center"/>
    </xf>
    <xf numFmtId="0" fontId="7" fillId="2" borderId="7" xfId="0" applyFont="1" applyFill="1" applyBorder="1" applyAlignment="1">
      <alignment horizontal="centerContinuous" vertical="center"/>
    </xf>
    <xf numFmtId="0" fontId="0" fillId="9" borderId="11" xfId="0" applyFill="1" applyBorder="1" applyAlignment="1">
      <alignment vertical="center"/>
    </xf>
    <xf numFmtId="0" fontId="0" fillId="9" borderId="12" xfId="0" applyFill="1" applyBorder="1" applyAlignment="1">
      <alignment vertical="center"/>
    </xf>
    <xf numFmtId="0" fontId="0" fillId="9" borderId="14" xfId="0" applyFill="1" applyBorder="1" applyAlignment="1">
      <alignment vertical="center"/>
    </xf>
    <xf numFmtId="0" fontId="29" fillId="5" borderId="61" xfId="0" applyFont="1" applyFill="1" applyBorder="1" applyAlignment="1">
      <alignment horizontal="centerContinuous" vertical="center" wrapText="1"/>
    </xf>
    <xf numFmtId="0" fontId="29" fillId="5" borderId="43" xfId="0" applyFont="1" applyFill="1" applyBorder="1" applyAlignment="1">
      <alignment horizontal="centerContinuous" vertical="center"/>
    </xf>
    <xf numFmtId="0" fontId="29" fillId="5" borderId="19" xfId="0" applyFont="1" applyFill="1" applyBorder="1" applyAlignment="1">
      <alignment horizontal="centerContinuous" vertical="center"/>
    </xf>
    <xf numFmtId="0" fontId="29" fillId="5" borderId="20" xfId="0" applyFont="1" applyFill="1" applyBorder="1" applyAlignment="1">
      <alignment horizontal="centerContinuous" vertical="center"/>
    </xf>
    <xf numFmtId="0" fontId="3" fillId="2" borderId="11" xfId="0" applyFont="1" applyFill="1" applyBorder="1" applyAlignment="1">
      <alignment horizontal="centerContinuous" vertical="center"/>
    </xf>
    <xf numFmtId="0" fontId="3" fillId="2" borderId="12" xfId="0" applyFont="1" applyFill="1" applyBorder="1" applyAlignment="1">
      <alignment horizontal="centerContinuous" vertical="center"/>
    </xf>
    <xf numFmtId="0" fontId="3" fillId="2" borderId="14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165" fontId="0" fillId="13" borderId="1" xfId="0" applyNumberFormat="1" applyFill="1" applyBorder="1" applyAlignment="1">
      <alignment horizontal="centerContinuous" vertical="center"/>
    </xf>
    <xf numFmtId="0" fontId="0" fillId="13" borderId="74" xfId="0" applyFill="1" applyBorder="1" applyAlignment="1">
      <alignment vertical="center"/>
    </xf>
    <xf numFmtId="3" fontId="1" fillId="5" borderId="11" xfId="1" applyNumberFormat="1" applyFont="1" applyFill="1" applyBorder="1" applyAlignment="1">
      <alignment vertical="center"/>
    </xf>
    <xf numFmtId="3" fontId="1" fillId="5" borderId="12" xfId="1" applyNumberFormat="1" applyFont="1" applyFill="1" applyBorder="1" applyAlignment="1">
      <alignment vertical="center"/>
    </xf>
    <xf numFmtId="3" fontId="1" fillId="5" borderId="14" xfId="1" applyNumberFormat="1" applyFont="1" applyFill="1" applyBorder="1" applyAlignment="1">
      <alignment vertical="center"/>
    </xf>
    <xf numFmtId="0" fontId="7" fillId="13" borderId="76" xfId="0" applyFont="1" applyFill="1" applyBorder="1" applyAlignment="1">
      <alignment vertical="center"/>
    </xf>
    <xf numFmtId="0" fontId="7" fillId="13" borderId="77" xfId="0" applyFont="1" applyFill="1" applyBorder="1" applyAlignment="1">
      <alignment vertical="center"/>
    </xf>
    <xf numFmtId="0" fontId="0" fillId="13" borderId="84" xfId="0" applyFill="1" applyBorder="1" applyAlignment="1">
      <alignment vertical="center"/>
    </xf>
    <xf numFmtId="0" fontId="0" fillId="13" borderId="91" xfId="0" applyFill="1" applyBorder="1" applyAlignment="1">
      <alignment vertical="center"/>
    </xf>
    <xf numFmtId="0" fontId="0" fillId="13" borderId="23" xfId="0" applyFill="1" applyBorder="1" applyAlignment="1">
      <alignment vertical="center"/>
    </xf>
    <xf numFmtId="0" fontId="0" fillId="13" borderId="0" xfId="0" applyFill="1" applyBorder="1" applyAlignment="1">
      <alignment vertical="center"/>
    </xf>
    <xf numFmtId="0" fontId="0" fillId="13" borderId="27" xfId="0" applyFill="1" applyBorder="1" applyAlignment="1">
      <alignment vertical="center"/>
    </xf>
    <xf numFmtId="0" fontId="0" fillId="13" borderId="25" xfId="0" applyFill="1" applyBorder="1" applyAlignment="1">
      <alignment vertical="center"/>
    </xf>
    <xf numFmtId="0" fontId="0" fillId="13" borderId="105" xfId="0" applyFill="1" applyBorder="1" applyAlignment="1">
      <alignment vertical="center"/>
    </xf>
    <xf numFmtId="0" fontId="0" fillId="13" borderId="72" xfId="0" applyFill="1" applyBorder="1" applyAlignment="1">
      <alignment vertical="center"/>
    </xf>
    <xf numFmtId="0" fontId="0" fillId="13" borderId="110" xfId="0" applyFill="1" applyBorder="1" applyAlignment="1">
      <alignment vertical="center"/>
    </xf>
    <xf numFmtId="0" fontId="0" fillId="13" borderId="104" xfId="0" applyFill="1" applyBorder="1" applyAlignment="1">
      <alignment vertical="center"/>
    </xf>
    <xf numFmtId="0" fontId="18" fillId="2" borderId="69" xfId="0" applyFont="1" applyFill="1" applyBorder="1" applyAlignment="1">
      <alignment horizontal="centerContinuous" vertical="center"/>
    </xf>
    <xf numFmtId="0" fontId="18" fillId="2" borderId="70" xfId="0" applyFont="1" applyFill="1" applyBorder="1" applyAlignment="1">
      <alignment horizontal="centerContinuous" vertical="center"/>
    </xf>
    <xf numFmtId="0" fontId="18" fillId="2" borderId="81" xfId="0" applyFont="1" applyFill="1" applyBorder="1" applyAlignment="1">
      <alignment horizontal="centerContinuous" vertical="center"/>
    </xf>
    <xf numFmtId="0" fontId="18" fillId="2" borderId="71" xfId="0" applyFont="1" applyFill="1" applyBorder="1" applyAlignment="1">
      <alignment horizontal="centerContinuous" vertical="center"/>
    </xf>
    <xf numFmtId="0" fontId="0" fillId="8" borderId="1" xfId="0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23" fillId="13" borderId="56" xfId="0" applyFont="1" applyFill="1" applyBorder="1" applyAlignment="1">
      <alignment vertical="center"/>
    </xf>
    <xf numFmtId="0" fontId="23" fillId="13" borderId="57" xfId="0" applyFont="1" applyFill="1" applyBorder="1" applyAlignment="1">
      <alignment vertical="center"/>
    </xf>
    <xf numFmtId="0" fontId="23" fillId="13" borderId="60" xfId="0" applyFont="1" applyFill="1" applyBorder="1" applyAlignment="1">
      <alignment vertical="center"/>
    </xf>
    <xf numFmtId="0" fontId="0" fillId="2" borderId="1" xfId="0" applyFill="1" applyBorder="1" applyAlignment="1">
      <alignment horizontal="centerContinuous"/>
    </xf>
    <xf numFmtId="0" fontId="0" fillId="13" borderId="1" xfId="0" applyFill="1" applyBorder="1" applyAlignment="1">
      <alignment horizontal="centerContinuous" vertical="center"/>
    </xf>
    <xf numFmtId="0" fontId="23" fillId="13" borderId="56" xfId="0" applyFont="1" applyFill="1" applyBorder="1" applyAlignment="1">
      <alignment horizontal="centerContinuous" vertical="center"/>
    </xf>
    <xf numFmtId="0" fontId="23" fillId="13" borderId="57" xfId="0" applyFont="1" applyFill="1" applyBorder="1" applyAlignment="1">
      <alignment horizontal="centerContinuous" vertical="center"/>
    </xf>
    <xf numFmtId="0" fontId="23" fillId="13" borderId="60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vertical="center" wrapText="1"/>
    </xf>
    <xf numFmtId="0" fontId="0" fillId="13" borderId="13" xfId="0" applyFill="1" applyBorder="1" applyAlignment="1">
      <alignment vertical="center"/>
    </xf>
    <xf numFmtId="0" fontId="0" fillId="13" borderId="11" xfId="0" applyFill="1" applyBorder="1" applyAlignment="1">
      <alignment horizontal="right" vertical="center"/>
    </xf>
    <xf numFmtId="0" fontId="3" fillId="2" borderId="2" xfId="0" applyFont="1" applyFill="1" applyBorder="1" applyAlignment="1">
      <alignment vertical="center" wrapText="1"/>
    </xf>
    <xf numFmtId="3" fontId="5" fillId="0" borderId="22" xfId="2" applyNumberFormat="1" applyFont="1" applyBorder="1" applyAlignment="1">
      <alignment vertical="center"/>
    </xf>
    <xf numFmtId="3" fontId="5" fillId="0" borderId="23" xfId="2" applyNumberFormat="1" applyFont="1" applyBorder="1" applyAlignment="1">
      <alignment vertical="center"/>
    </xf>
    <xf numFmtId="3" fontId="5" fillId="0" borderId="0" xfId="2" applyNumberFormat="1" applyFont="1" applyBorder="1" applyAlignment="1">
      <alignment vertical="center"/>
    </xf>
    <xf numFmtId="3" fontId="5" fillId="0" borderId="25" xfId="2" applyNumberFormat="1" applyFont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3" fontId="5" fillId="0" borderId="25" xfId="2" applyNumberFormat="1" applyFont="1" applyFill="1" applyBorder="1" applyAlignment="1">
      <alignment vertical="center"/>
    </xf>
    <xf numFmtId="3" fontId="5" fillId="0" borderId="13" xfId="2" applyNumberFormat="1" applyFont="1" applyFill="1" applyBorder="1" applyAlignment="1">
      <alignment vertical="center"/>
    </xf>
    <xf numFmtId="3" fontId="5" fillId="0" borderId="27" xfId="2" applyNumberFormat="1" applyFont="1" applyFill="1" applyBorder="1" applyAlignment="1">
      <alignment vertical="center"/>
    </xf>
    <xf numFmtId="3" fontId="5" fillId="0" borderId="22" xfId="0" applyNumberFormat="1" applyFont="1" applyBorder="1" applyAlignment="1">
      <alignment vertical="center"/>
    </xf>
    <xf numFmtId="3" fontId="5" fillId="0" borderId="23" xfId="0" applyNumberFormat="1" applyFont="1" applyBorder="1" applyAlignment="1">
      <alignment vertical="center"/>
    </xf>
    <xf numFmtId="3" fontId="5" fillId="0" borderId="0" xfId="0" applyNumberFormat="1" applyFont="1" applyFill="1" applyBorder="1" applyAlignment="1">
      <alignment vertical="center"/>
    </xf>
    <xf numFmtId="3" fontId="5" fillId="0" borderId="25" xfId="0" applyNumberFormat="1" applyFont="1" applyFill="1" applyBorder="1" applyAlignment="1">
      <alignment vertical="center"/>
    </xf>
    <xf numFmtId="3" fontId="5" fillId="0" borderId="13" xfId="2" applyNumberFormat="1" applyFont="1" applyBorder="1" applyAlignment="1">
      <alignment vertical="center"/>
    </xf>
    <xf numFmtId="3" fontId="5" fillId="0" borderId="27" xfId="2" applyNumberFormat="1" applyFont="1" applyBorder="1" applyAlignment="1">
      <alignment vertical="center"/>
    </xf>
    <xf numFmtId="3" fontId="5" fillId="13" borderId="91" xfId="0" applyNumberFormat="1" applyFont="1" applyFill="1" applyBorder="1" applyAlignment="1">
      <alignment vertical="center"/>
    </xf>
    <xf numFmtId="3" fontId="4" fillId="13" borderId="103" xfId="0" applyNumberFormat="1" applyFont="1" applyFill="1" applyBorder="1" applyAlignment="1">
      <alignment vertical="center"/>
    </xf>
    <xf numFmtId="3" fontId="4" fillId="13" borderId="12" xfId="0" applyNumberFormat="1" applyFont="1" applyFill="1" applyBorder="1" applyAlignment="1">
      <alignment vertical="center"/>
    </xf>
    <xf numFmtId="3" fontId="5" fillId="0" borderId="13" xfId="0" applyNumberFormat="1" applyFont="1" applyFill="1" applyBorder="1" applyAlignment="1">
      <alignment horizontal="left" vertical="center"/>
    </xf>
    <xf numFmtId="3" fontId="5" fillId="13" borderId="111" xfId="0" applyNumberFormat="1" applyFont="1" applyFill="1" applyBorder="1" applyAlignment="1">
      <alignment vertical="center"/>
    </xf>
    <xf numFmtId="3" fontId="4" fillId="13" borderId="12" xfId="0" applyNumberFormat="1" applyFont="1" applyFill="1" applyBorder="1" applyAlignment="1">
      <alignment horizontal="center" vertical="center"/>
    </xf>
    <xf numFmtId="3" fontId="4" fillId="2" borderId="79" xfId="0" applyNumberFormat="1" applyFont="1" applyFill="1" applyBorder="1" applyAlignment="1">
      <alignment horizontal="centerContinuous" vertical="center"/>
    </xf>
    <xf numFmtId="3" fontId="4" fillId="2" borderId="80" xfId="0" applyNumberFormat="1" applyFont="1" applyFill="1" applyBorder="1" applyAlignment="1">
      <alignment horizontal="centerContinuous" vertical="center"/>
    </xf>
    <xf numFmtId="3" fontId="4" fillId="2" borderId="81" xfId="0" applyNumberFormat="1" applyFont="1" applyFill="1" applyBorder="1" applyAlignment="1">
      <alignment horizontal="centerContinuous" vertical="center"/>
    </xf>
    <xf numFmtId="165" fontId="0" fillId="13" borderId="75" xfId="0" applyNumberFormat="1" applyFill="1" applyBorder="1" applyAlignment="1">
      <alignment horizontal="center" vertical="center"/>
    </xf>
    <xf numFmtId="0" fontId="0" fillId="6" borderId="76" xfId="0" applyFill="1" applyBorder="1" applyAlignment="1">
      <alignment vertical="center"/>
    </xf>
    <xf numFmtId="0" fontId="0" fillId="13" borderId="88" xfId="0" applyFill="1" applyBorder="1" applyAlignment="1">
      <alignment horizontal="center" vertical="center"/>
    </xf>
    <xf numFmtId="0" fontId="0" fillId="6" borderId="102" xfId="0" applyFill="1" applyBorder="1" applyAlignment="1">
      <alignment vertical="center"/>
    </xf>
    <xf numFmtId="0" fontId="0" fillId="13" borderId="83" xfId="0" applyFill="1" applyBorder="1" applyAlignment="1">
      <alignment horizontal="center" vertical="center"/>
    </xf>
    <xf numFmtId="0" fontId="9" fillId="6" borderId="77" xfId="0" applyFont="1" applyFill="1" applyBorder="1" applyAlignment="1">
      <alignment vertical="center"/>
    </xf>
    <xf numFmtId="0" fontId="9" fillId="13" borderId="82" xfId="0" applyFont="1" applyFill="1" applyBorder="1" applyAlignment="1">
      <alignment horizontal="center" vertical="center"/>
    </xf>
    <xf numFmtId="0" fontId="0" fillId="4" borderId="76" xfId="0" applyFill="1" applyBorder="1" applyAlignment="1">
      <alignment vertical="center"/>
    </xf>
    <xf numFmtId="0" fontId="0" fillId="4" borderId="102" xfId="0" applyFill="1" applyBorder="1" applyAlignment="1">
      <alignment vertical="center"/>
    </xf>
    <xf numFmtId="0" fontId="9" fillId="4" borderId="77" xfId="0" applyFont="1" applyFill="1" applyBorder="1" applyAlignment="1">
      <alignment vertical="center"/>
    </xf>
    <xf numFmtId="0" fontId="0" fillId="7" borderId="76" xfId="0" applyFill="1" applyBorder="1" applyAlignment="1">
      <alignment vertical="center"/>
    </xf>
    <xf numFmtId="0" fontId="0" fillId="7" borderId="102" xfId="0" applyFill="1" applyBorder="1" applyAlignment="1">
      <alignment vertical="center"/>
    </xf>
    <xf numFmtId="0" fontId="9" fillId="7" borderId="77" xfId="0" applyFont="1" applyFill="1" applyBorder="1" applyAlignment="1">
      <alignment vertical="center"/>
    </xf>
    <xf numFmtId="0" fontId="9" fillId="13" borderId="74" xfId="0" applyFont="1" applyFill="1" applyBorder="1" applyAlignment="1">
      <alignment vertical="center"/>
    </xf>
    <xf numFmtId="3" fontId="9" fillId="13" borderId="75" xfId="0" applyNumberFormat="1" applyFont="1" applyFill="1" applyBorder="1" applyAlignment="1">
      <alignment horizontal="center" vertical="center"/>
    </xf>
    <xf numFmtId="0" fontId="0" fillId="1" borderId="72" xfId="0" applyFill="1" applyBorder="1" applyAlignment="1">
      <alignment vertical="center"/>
    </xf>
    <xf numFmtId="0" fontId="0" fillId="1" borderId="73" xfId="0" applyFill="1" applyBorder="1" applyAlignment="1">
      <alignment vertical="center"/>
    </xf>
    <xf numFmtId="0" fontId="3" fillId="13" borderId="74" xfId="0" applyFont="1" applyFill="1" applyBorder="1" applyAlignment="1">
      <alignment vertical="center"/>
    </xf>
    <xf numFmtId="0" fontId="1" fillId="13" borderId="77" xfId="0" applyFont="1" applyFill="1" applyBorder="1" applyAlignment="1">
      <alignment horizontal="left" vertical="center"/>
    </xf>
    <xf numFmtId="0" fontId="0" fillId="13" borderId="76" xfId="0" applyFont="1" applyFill="1" applyBorder="1" applyAlignment="1">
      <alignment vertical="center"/>
    </xf>
    <xf numFmtId="0" fontId="0" fillId="13" borderId="102" xfId="0" applyFont="1" applyFill="1" applyBorder="1" applyAlignment="1">
      <alignment vertical="center"/>
    </xf>
    <xf numFmtId="0" fontId="0" fillId="13" borderId="77" xfId="0" applyFont="1" applyFill="1" applyBorder="1" applyAlignment="1">
      <alignment vertical="center"/>
    </xf>
    <xf numFmtId="3" fontId="0" fillId="13" borderId="74" xfId="0" applyNumberFormat="1" applyFill="1" applyBorder="1" applyAlignment="1">
      <alignment vertical="center"/>
    </xf>
    <xf numFmtId="0" fontId="7" fillId="13" borderId="89" xfId="0" applyFont="1" applyFill="1" applyBorder="1" applyAlignment="1">
      <alignment vertical="center"/>
    </xf>
    <xf numFmtId="3" fontId="21" fillId="13" borderId="106" xfId="0" applyNumberFormat="1" applyFont="1" applyFill="1" applyBorder="1" applyAlignment="1">
      <alignment horizontal="center" vertical="center"/>
    </xf>
    <xf numFmtId="0" fontId="0" fillId="1" borderId="112" xfId="0" applyFill="1" applyBorder="1" applyAlignment="1">
      <alignment vertical="center"/>
    </xf>
    <xf numFmtId="0" fontId="28" fillId="1" borderId="61" xfId="0" applyFont="1" applyFill="1" applyBorder="1" applyAlignment="1">
      <alignment vertical="center"/>
    </xf>
    <xf numFmtId="0" fontId="28" fillId="1" borderId="42" xfId="0" applyFont="1" applyFill="1" applyBorder="1" applyAlignment="1">
      <alignment vertical="center"/>
    </xf>
    <xf numFmtId="0" fontId="28" fillId="1" borderId="43" xfId="0" applyFont="1" applyFill="1" applyBorder="1" applyAlignment="1">
      <alignment vertical="center"/>
    </xf>
    <xf numFmtId="0" fontId="28" fillId="1" borderId="62" xfId="0" applyFont="1" applyFill="1" applyBorder="1" applyAlignment="1">
      <alignment vertical="center"/>
    </xf>
    <xf numFmtId="0" fontId="28" fillId="1" borderId="28" xfId="0" applyFont="1" applyFill="1" applyBorder="1" applyAlignment="1">
      <alignment vertical="center"/>
    </xf>
    <xf numFmtId="0" fontId="28" fillId="1" borderId="39" xfId="0" applyFont="1" applyFill="1" applyBorder="1" applyAlignment="1">
      <alignment vertical="center"/>
    </xf>
    <xf numFmtId="0" fontId="28" fillId="1" borderId="19" xfId="0" applyFont="1" applyFill="1" applyBorder="1" applyAlignment="1">
      <alignment horizontal="centerContinuous" vertical="center"/>
    </xf>
    <xf numFmtId="0" fontId="28" fillId="1" borderId="0" xfId="0" applyFont="1" applyFill="1" applyBorder="1" applyAlignment="1">
      <alignment horizontal="centerContinuous" vertical="center"/>
    </xf>
    <xf numFmtId="0" fontId="28" fillId="1" borderId="20" xfId="0" applyFont="1" applyFill="1" applyBorder="1" applyAlignment="1">
      <alignment horizontal="centerContinuous" vertical="center"/>
    </xf>
    <xf numFmtId="0" fontId="3" fillId="2" borderId="104" xfId="0" applyFont="1" applyFill="1" applyBorder="1" applyAlignment="1">
      <alignment horizontal="centerContinuous" vertical="center"/>
    </xf>
    <xf numFmtId="0" fontId="3" fillId="2" borderId="79" xfId="0" applyFont="1" applyFill="1" applyBorder="1" applyAlignment="1">
      <alignment horizontal="centerContinuous" vertical="center"/>
    </xf>
    <xf numFmtId="0" fontId="3" fillId="2" borderId="80" xfId="0" applyFont="1" applyFill="1" applyBorder="1" applyAlignment="1">
      <alignment horizontal="centerContinuous" vertical="center"/>
    </xf>
    <xf numFmtId="0" fontId="3" fillId="2" borderId="81" xfId="0" applyFont="1" applyFill="1" applyBorder="1" applyAlignment="1">
      <alignment horizontal="centerContinuous" vertical="center"/>
    </xf>
    <xf numFmtId="3" fontId="1" fillId="5" borderId="34" xfId="1" applyNumberFormat="1" applyFont="1" applyFill="1" applyBorder="1" applyAlignment="1">
      <alignment vertical="center"/>
    </xf>
    <xf numFmtId="0" fontId="0" fillId="13" borderId="13" xfId="0" applyFont="1" applyFill="1" applyBorder="1" applyAlignment="1">
      <alignment vertical="center"/>
    </xf>
    <xf numFmtId="0" fontId="0" fillId="13" borderId="12" xfId="0" applyFont="1" applyFill="1" applyBorder="1" applyAlignment="1">
      <alignment vertical="center"/>
    </xf>
    <xf numFmtId="0" fontId="0" fillId="13" borderId="23" xfId="0" applyFont="1" applyFill="1" applyBorder="1" applyAlignment="1">
      <alignment vertical="center"/>
    </xf>
    <xf numFmtId="0" fontId="0" fillId="13" borderId="25" xfId="0" applyFont="1" applyFill="1" applyBorder="1" applyAlignment="1">
      <alignment vertical="center"/>
    </xf>
    <xf numFmtId="0" fontId="0" fillId="13" borderId="27" xfId="0" applyFont="1" applyFill="1" applyBorder="1" applyAlignment="1">
      <alignment vertical="center"/>
    </xf>
    <xf numFmtId="0" fontId="0" fillId="13" borderId="14" xfId="0" applyFont="1" applyFill="1" applyBorder="1" applyAlignment="1">
      <alignment vertical="center"/>
    </xf>
    <xf numFmtId="0" fontId="0" fillId="13" borderId="22" xfId="0" applyFont="1" applyFill="1" applyBorder="1" applyAlignment="1">
      <alignment vertical="center"/>
    </xf>
    <xf numFmtId="0" fontId="7" fillId="13" borderId="1" xfId="0" applyFont="1" applyFill="1" applyBorder="1" applyAlignment="1">
      <alignment horizontal="centerContinuous" vertical="center"/>
    </xf>
    <xf numFmtId="0" fontId="3" fillId="13" borderId="1" xfId="0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0" fillId="13" borderId="12" xfId="0" applyFill="1" applyBorder="1" applyAlignment="1">
      <alignment horizontal="right" vertical="center"/>
    </xf>
    <xf numFmtId="0" fontId="7" fillId="13" borderId="7" xfId="0" applyFont="1" applyFill="1" applyBorder="1" applyAlignment="1">
      <alignment horizontal="centerContinuous" vertical="center"/>
    </xf>
    <xf numFmtId="0" fontId="0" fillId="13" borderId="7" xfId="0" applyFill="1" applyBorder="1" applyAlignment="1">
      <alignment horizontal="center" vertical="center" wrapText="1"/>
    </xf>
    <xf numFmtId="1" fontId="0" fillId="0" borderId="33" xfId="0" applyNumberFormat="1" applyBorder="1" applyAlignment="1">
      <alignment vertical="center"/>
    </xf>
    <xf numFmtId="1" fontId="0" fillId="0" borderId="67" xfId="0" applyNumberFormat="1" applyBorder="1" applyAlignment="1">
      <alignment vertical="center"/>
    </xf>
    <xf numFmtId="1" fontId="0" fillId="0" borderId="51" xfId="0" applyNumberFormat="1" applyBorder="1" applyAlignment="1">
      <alignment vertical="center"/>
    </xf>
    <xf numFmtId="0" fontId="3" fillId="2" borderId="29" xfId="0" applyFont="1" applyFill="1" applyBorder="1" applyAlignment="1">
      <alignment vertical="top" wrapText="1"/>
    </xf>
    <xf numFmtId="0" fontId="3" fillId="2" borderId="11" xfId="0" applyFont="1" applyFill="1" applyBorder="1" applyAlignment="1">
      <alignment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/>
    </xf>
    <xf numFmtId="0" fontId="34" fillId="2" borderId="2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Continuous"/>
    </xf>
    <xf numFmtId="0" fontId="7" fillId="2" borderId="12" xfId="0" applyFont="1" applyFill="1" applyBorder="1" applyAlignment="1">
      <alignment horizontal="centerContinuous"/>
    </xf>
    <xf numFmtId="0" fontId="7" fillId="2" borderId="14" xfId="0" applyFont="1" applyFill="1" applyBorder="1" applyAlignment="1">
      <alignment horizontal="centerContinuous"/>
    </xf>
    <xf numFmtId="0" fontId="7" fillId="13" borderId="11" xfId="0" applyFont="1" applyFill="1" applyBorder="1" applyAlignment="1">
      <alignment horizontal="centerContinuous" vertical="center"/>
    </xf>
    <xf numFmtId="0" fontId="0" fillId="13" borderId="11" xfId="0" applyFill="1" applyBorder="1" applyAlignment="1">
      <alignment horizontal="center" vertical="center" wrapText="1"/>
    </xf>
    <xf numFmtId="0" fontId="7" fillId="13" borderId="113" xfId="0" applyFont="1" applyFill="1" applyBorder="1" applyAlignment="1">
      <alignment vertical="center"/>
    </xf>
    <xf numFmtId="1" fontId="0" fillId="13" borderId="87" xfId="0" applyNumberFormat="1" applyFill="1" applyBorder="1" applyAlignment="1">
      <alignment vertical="center"/>
    </xf>
    <xf numFmtId="1" fontId="0" fillId="13" borderId="107" xfId="0" applyNumberFormat="1" applyFill="1" applyBorder="1" applyAlignment="1">
      <alignment vertical="center"/>
    </xf>
    <xf numFmtId="1" fontId="7" fillId="2" borderId="114" xfId="0" applyNumberFormat="1" applyFont="1" applyFill="1" applyBorder="1" applyAlignment="1">
      <alignment vertical="center"/>
    </xf>
    <xf numFmtId="0" fontId="3" fillId="13" borderId="109" xfId="0" applyFont="1" applyFill="1" applyBorder="1" applyAlignment="1">
      <alignment horizontal="center" vertical="center"/>
    </xf>
    <xf numFmtId="0" fontId="18" fillId="2" borderId="115" xfId="0" applyFont="1" applyFill="1" applyBorder="1" applyAlignment="1">
      <alignment horizontal="centerContinuous" vertical="center"/>
    </xf>
    <xf numFmtId="0" fontId="18" fillId="2" borderId="116" xfId="0" applyFont="1" applyFill="1" applyBorder="1" applyAlignment="1">
      <alignment horizontal="centerContinuous" vertical="center"/>
    </xf>
    <xf numFmtId="0" fontId="18" fillId="2" borderId="117" xfId="0" applyFont="1" applyFill="1" applyBorder="1" applyAlignment="1">
      <alignment horizontal="centerContinuous" vertical="center"/>
    </xf>
    <xf numFmtId="0" fontId="18" fillId="2" borderId="118" xfId="0" applyFont="1" applyFill="1" applyBorder="1" applyAlignment="1">
      <alignment horizontal="center" vertical="center"/>
    </xf>
    <xf numFmtId="0" fontId="18" fillId="2" borderId="119" xfId="0" applyFont="1" applyFill="1" applyBorder="1" applyAlignment="1">
      <alignment horizontal="center" vertical="center"/>
    </xf>
    <xf numFmtId="0" fontId="19" fillId="2" borderId="120" xfId="0" applyFont="1" applyFill="1" applyBorder="1" applyAlignment="1">
      <alignment horizontal="center" vertical="center"/>
    </xf>
    <xf numFmtId="0" fontId="7" fillId="2" borderId="121" xfId="0" applyFont="1" applyFill="1" applyBorder="1" applyAlignment="1">
      <alignment horizontal="center" vertical="center"/>
    </xf>
    <xf numFmtId="0" fontId="0" fillId="0" borderId="118" xfId="0" applyBorder="1" applyAlignment="1">
      <alignment vertical="center"/>
    </xf>
    <xf numFmtId="0" fontId="0" fillId="0" borderId="122" xfId="0" applyBorder="1" applyAlignment="1">
      <alignment vertical="center"/>
    </xf>
    <xf numFmtId="0" fontId="7" fillId="13" borderId="123" xfId="0" applyFont="1" applyFill="1" applyBorder="1" applyAlignment="1">
      <alignment vertical="center"/>
    </xf>
    <xf numFmtId="0" fontId="0" fillId="0" borderId="125" xfId="0" applyBorder="1" applyAlignment="1">
      <alignment vertical="center"/>
    </xf>
    <xf numFmtId="0" fontId="39" fillId="0" borderId="122" xfId="0" applyFont="1" applyBorder="1" applyAlignment="1">
      <alignment horizontal="center" vertical="center"/>
    </xf>
    <xf numFmtId="0" fontId="0" fillId="13" borderId="126" xfId="0" applyFill="1" applyBorder="1" applyAlignment="1">
      <alignment vertical="center"/>
    </xf>
    <xf numFmtId="3" fontId="39" fillId="0" borderId="127" xfId="0" applyNumberFormat="1" applyFont="1" applyBorder="1" applyAlignment="1">
      <alignment horizontal="center" vertical="center"/>
    </xf>
    <xf numFmtId="0" fontId="0" fillId="13" borderId="128" xfId="0" applyFill="1" applyBorder="1" applyAlignment="1">
      <alignment vertical="center"/>
    </xf>
    <xf numFmtId="3" fontId="39" fillId="0" borderId="129" xfId="0" applyNumberFormat="1" applyFont="1" applyBorder="1" applyAlignment="1">
      <alignment horizontal="center" vertical="center"/>
    </xf>
    <xf numFmtId="0" fontId="0" fillId="13" borderId="130" xfId="0" applyFill="1" applyBorder="1" applyAlignment="1">
      <alignment vertical="center"/>
    </xf>
    <xf numFmtId="3" fontId="39" fillId="0" borderId="131" xfId="0" applyNumberFormat="1" applyFont="1" applyBorder="1" applyAlignment="1">
      <alignment horizontal="center" vertical="center"/>
    </xf>
    <xf numFmtId="0" fontId="7" fillId="13" borderId="126" xfId="0" applyFont="1" applyFill="1" applyBorder="1" applyAlignment="1">
      <alignment vertical="center"/>
    </xf>
    <xf numFmtId="0" fontId="7" fillId="13" borderId="130" xfId="0" applyFont="1" applyFill="1" applyBorder="1" applyAlignment="1">
      <alignment vertical="center"/>
    </xf>
    <xf numFmtId="0" fontId="39" fillId="0" borderId="132" xfId="0" applyFont="1" applyBorder="1" applyAlignment="1">
      <alignment horizontal="center" vertical="center"/>
    </xf>
    <xf numFmtId="0" fontId="33" fillId="13" borderId="133" xfId="0" applyFont="1" applyFill="1" applyBorder="1" applyAlignment="1">
      <alignment vertical="center"/>
    </xf>
    <xf numFmtId="3" fontId="33" fillId="5" borderId="134" xfId="0" applyNumberFormat="1" applyFont="1" applyFill="1" applyBorder="1" applyAlignment="1">
      <alignment vertical="center"/>
    </xf>
    <xf numFmtId="3" fontId="33" fillId="5" borderId="135" xfId="0" applyNumberFormat="1" applyFont="1" applyFill="1" applyBorder="1" applyAlignment="1">
      <alignment vertical="center"/>
    </xf>
    <xf numFmtId="3" fontId="19" fillId="3" borderId="136" xfId="0" applyNumberFormat="1" applyFont="1" applyFill="1" applyBorder="1" applyAlignment="1">
      <alignment horizontal="center" vertical="center"/>
    </xf>
    <xf numFmtId="3" fontId="38" fillId="3" borderId="137" xfId="0" applyNumberFormat="1" applyFont="1" applyFill="1" applyBorder="1" applyAlignment="1">
      <alignment horizontal="center" vertical="center"/>
    </xf>
    <xf numFmtId="0" fontId="18" fillId="2" borderId="138" xfId="0" applyFont="1" applyFill="1" applyBorder="1" applyAlignment="1">
      <alignment horizontal="centerContinuous" vertical="center"/>
    </xf>
    <xf numFmtId="0" fontId="18" fillId="2" borderId="139" xfId="0" applyFont="1" applyFill="1" applyBorder="1" applyAlignment="1">
      <alignment horizontal="centerContinuous" vertical="center"/>
    </xf>
    <xf numFmtId="0" fontId="18" fillId="2" borderId="140" xfId="0" applyFont="1" applyFill="1" applyBorder="1" applyAlignment="1">
      <alignment horizontal="centerContinuous" vertical="center"/>
    </xf>
    <xf numFmtId="0" fontId="18" fillId="11" borderId="118" xfId="0" applyFont="1" applyFill="1" applyBorder="1" applyAlignment="1">
      <alignment horizontal="center" vertical="center"/>
    </xf>
    <xf numFmtId="0" fontId="0" fillId="13" borderId="141" xfId="0" applyFont="1" applyFill="1" applyBorder="1" applyAlignment="1">
      <alignment vertical="center"/>
    </xf>
    <xf numFmtId="0" fontId="0" fillId="13" borderId="142" xfId="0" applyFont="1" applyFill="1" applyBorder="1" applyAlignment="1">
      <alignment vertical="center"/>
    </xf>
    <xf numFmtId="0" fontId="0" fillId="0" borderId="125" xfId="0" applyFont="1" applyBorder="1" applyAlignment="1">
      <alignment horizontal="left" vertical="center"/>
    </xf>
    <xf numFmtId="3" fontId="39" fillId="0" borderId="143" xfId="0" applyNumberFormat="1" applyFont="1" applyBorder="1" applyAlignment="1">
      <alignment horizontal="center" vertical="center"/>
    </xf>
    <xf numFmtId="0" fontId="0" fillId="13" borderId="125" xfId="0" applyFont="1" applyFill="1" applyBorder="1" applyAlignment="1">
      <alignment vertical="center"/>
    </xf>
    <xf numFmtId="0" fontId="0" fillId="13" borderId="118" xfId="0" applyFont="1" applyFill="1" applyBorder="1" applyAlignment="1">
      <alignment vertical="center"/>
    </xf>
    <xf numFmtId="3" fontId="39" fillId="0" borderId="144" xfId="0" applyNumberFormat="1" applyFont="1" applyBorder="1" applyAlignment="1">
      <alignment horizontal="center" vertical="center"/>
    </xf>
    <xf numFmtId="0" fontId="0" fillId="0" borderId="118" xfId="0" applyFont="1" applyBorder="1" applyAlignment="1">
      <alignment horizontal="left" vertical="center"/>
    </xf>
    <xf numFmtId="0" fontId="33" fillId="13" borderId="145" xfId="0" applyFont="1" applyFill="1" applyBorder="1" applyAlignment="1">
      <alignment vertical="center"/>
    </xf>
    <xf numFmtId="0" fontId="33" fillId="13" borderId="135" xfId="0" applyFont="1" applyFill="1" applyBorder="1" applyAlignment="1">
      <alignment vertical="center"/>
    </xf>
    <xf numFmtId="3" fontId="19" fillId="3" borderId="146" xfId="0" applyNumberFormat="1" applyFont="1" applyFill="1" applyBorder="1" applyAlignment="1">
      <alignment vertical="center"/>
    </xf>
    <xf numFmtId="3" fontId="38" fillId="0" borderId="147" xfId="0" applyNumberFormat="1" applyFont="1" applyBorder="1" applyAlignment="1">
      <alignment horizontal="center" vertical="center"/>
    </xf>
    <xf numFmtId="0" fontId="0" fillId="13" borderId="12" xfId="0" applyFill="1" applyBorder="1" applyAlignment="1">
      <alignment horizontal="centerContinuous" vertical="center"/>
    </xf>
    <xf numFmtId="0" fontId="0" fillId="13" borderId="0" xfId="0" applyFont="1" applyFill="1" applyBorder="1" applyAlignment="1">
      <alignment vertical="center"/>
    </xf>
    <xf numFmtId="0" fontId="3" fillId="11" borderId="29" xfId="0" applyFont="1" applyFill="1" applyBorder="1" applyAlignment="1">
      <alignment horizontal="center" vertical="center"/>
    </xf>
    <xf numFmtId="0" fontId="3" fillId="11" borderId="131" xfId="0" applyFont="1" applyFill="1" applyBorder="1" applyAlignment="1">
      <alignment horizontal="center" vertical="center"/>
    </xf>
    <xf numFmtId="0" fontId="3" fillId="13" borderId="109" xfId="0" applyFont="1" applyFill="1" applyBorder="1" applyAlignment="1">
      <alignment horizontal="center"/>
    </xf>
    <xf numFmtId="0" fontId="24" fillId="12" borderId="94" xfId="0" applyFont="1" applyFill="1" applyBorder="1" applyAlignment="1">
      <alignment horizontal="center" vertical="center"/>
    </xf>
    <xf numFmtId="0" fontId="24" fillId="12" borderId="30" xfId="0" applyFont="1" applyFill="1" applyBorder="1" applyAlignment="1">
      <alignment horizontal="center" vertical="center"/>
    </xf>
    <xf numFmtId="0" fontId="24" fillId="12" borderId="35" xfId="0" applyFont="1" applyFill="1" applyBorder="1" applyAlignment="1">
      <alignment horizontal="center" vertical="center"/>
    </xf>
    <xf numFmtId="0" fontId="24" fillId="12" borderId="0" xfId="0" applyFont="1" applyFill="1" applyBorder="1" applyAlignment="1">
      <alignment horizontal="center" vertical="center"/>
    </xf>
    <xf numFmtId="0" fontId="24" fillId="12" borderId="50" xfId="0" applyFont="1" applyFill="1" applyBorder="1" applyAlignment="1">
      <alignment horizontal="center" vertical="center"/>
    </xf>
    <xf numFmtId="0" fontId="0" fillId="12" borderId="36" xfId="0" applyFill="1" applyBorder="1" applyAlignment="1">
      <alignment vertical="center"/>
    </xf>
    <xf numFmtId="0" fontId="0" fillId="12" borderId="66" xfId="0" applyFill="1" applyBorder="1" applyAlignment="1">
      <alignment horizontal="center" vertical="center"/>
    </xf>
    <xf numFmtId="0" fontId="0" fillId="12" borderId="95" xfId="0" applyFill="1" applyBorder="1" applyAlignment="1">
      <alignment horizontal="center" vertical="center"/>
    </xf>
    <xf numFmtId="0" fontId="0" fillId="12" borderId="96" xfId="0" applyFill="1" applyBorder="1" applyAlignment="1">
      <alignment horizontal="center" vertical="center"/>
    </xf>
    <xf numFmtId="0" fontId="0" fillId="12" borderId="52" xfId="0" applyFill="1" applyBorder="1" applyAlignment="1">
      <alignment horizontal="center" vertical="center"/>
    </xf>
    <xf numFmtId="3" fontId="39" fillId="13" borderId="124" xfId="0" applyNumberFormat="1" applyFont="1" applyFill="1" applyBorder="1" applyAlignment="1">
      <alignment horizontal="center" vertical="center"/>
    </xf>
    <xf numFmtId="3" fontId="39" fillId="13" borderId="131" xfId="0" applyNumberFormat="1" applyFont="1" applyFill="1" applyBorder="1" applyAlignment="1">
      <alignment horizontal="center" vertical="center"/>
    </xf>
    <xf numFmtId="3" fontId="39" fillId="13" borderId="127" xfId="0" applyNumberFormat="1" applyFont="1" applyFill="1" applyBorder="1" applyAlignment="1">
      <alignment horizontal="center" vertical="center"/>
    </xf>
    <xf numFmtId="3" fontId="0" fillId="12" borderId="2" xfId="0" applyNumberFormat="1" applyFill="1" applyBorder="1"/>
    <xf numFmtId="3" fontId="0" fillId="12" borderId="30" xfId="0" applyNumberFormat="1" applyFill="1" applyBorder="1"/>
    <xf numFmtId="3" fontId="0" fillId="12" borderId="29" xfId="0" applyNumberFormat="1" applyFill="1" applyBorder="1"/>
    <xf numFmtId="0" fontId="40" fillId="14" borderId="61" xfId="0" applyFont="1" applyFill="1" applyBorder="1" applyAlignment="1">
      <alignment vertical="center"/>
    </xf>
    <xf numFmtId="0" fontId="40" fillId="14" borderId="42" xfId="0" applyFont="1" applyFill="1" applyBorder="1" applyAlignment="1">
      <alignment vertical="center"/>
    </xf>
    <xf numFmtId="0" fontId="40" fillId="14" borderId="43" xfId="0" applyFont="1" applyFill="1" applyBorder="1" applyAlignment="1">
      <alignment vertical="center"/>
    </xf>
    <xf numFmtId="0" fontId="40" fillId="14" borderId="19" xfId="0" applyFont="1" applyFill="1" applyBorder="1" applyAlignment="1">
      <alignment vertical="center"/>
    </xf>
    <xf numFmtId="0" fontId="40" fillId="14" borderId="0" xfId="0" applyFont="1" applyFill="1" applyBorder="1" applyAlignment="1">
      <alignment vertical="center"/>
    </xf>
    <xf numFmtId="0" fontId="40" fillId="14" borderId="20" xfId="0" applyFont="1" applyFill="1" applyBorder="1" applyAlignment="1">
      <alignment vertical="center"/>
    </xf>
    <xf numFmtId="0" fontId="40" fillId="14" borderId="62" xfId="0" applyFont="1" applyFill="1" applyBorder="1" applyAlignment="1">
      <alignment vertical="center"/>
    </xf>
    <xf numFmtId="0" fontId="40" fillId="14" borderId="28" xfId="0" applyFont="1" applyFill="1" applyBorder="1" applyAlignment="1">
      <alignment vertical="center"/>
    </xf>
    <xf numFmtId="0" fontId="40" fillId="14" borderId="39" xfId="0" applyFont="1" applyFill="1" applyBorder="1" applyAlignment="1">
      <alignment vertical="center"/>
    </xf>
    <xf numFmtId="0" fontId="3" fillId="15" borderId="1" xfId="0" applyFont="1" applyFill="1" applyBorder="1"/>
    <xf numFmtId="0" fontId="3" fillId="15" borderId="11" xfId="0" applyFont="1" applyFill="1" applyBorder="1"/>
    <xf numFmtId="0" fontId="0" fillId="12" borderId="0" xfId="0" applyFill="1" applyAlignment="1"/>
    <xf numFmtId="9" fontId="24" fillId="12" borderId="30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vertical="center"/>
    </xf>
    <xf numFmtId="0" fontId="16" fillId="13" borderId="3" xfId="0" applyFont="1" applyFill="1" applyBorder="1" applyAlignment="1">
      <alignment horizontal="center" vertical="center"/>
    </xf>
    <xf numFmtId="0" fontId="16" fillId="13" borderId="4" xfId="0" applyFont="1" applyFill="1" applyBorder="1" applyAlignment="1">
      <alignment horizontal="center" vertical="center"/>
    </xf>
    <xf numFmtId="0" fontId="16" fillId="13" borderId="5" xfId="0" applyFont="1" applyFill="1" applyBorder="1" applyAlignment="1">
      <alignment horizontal="center" vertical="center"/>
    </xf>
    <xf numFmtId="0" fontId="17" fillId="13" borderId="1" xfId="0" applyFont="1" applyFill="1" applyBorder="1" applyAlignment="1">
      <alignment vertical="center"/>
    </xf>
    <xf numFmtId="166" fontId="17" fillId="0" borderId="1" xfId="0" applyNumberFormat="1" applyFont="1" applyBorder="1" applyAlignment="1">
      <alignment horizontal="center" vertical="center"/>
    </xf>
    <xf numFmtId="0" fontId="14" fillId="13" borderId="14" xfId="0" applyFont="1" applyFill="1" applyBorder="1" applyAlignment="1">
      <alignment horizontal="centerContinuous" vertical="center"/>
    </xf>
    <xf numFmtId="0" fontId="41" fillId="0" borderId="0" xfId="0" applyFont="1" applyAlignment="1">
      <alignment vertical="center"/>
    </xf>
    <xf numFmtId="0" fontId="23" fillId="13" borderId="56" xfId="0" applyFont="1" applyFill="1" applyBorder="1" applyAlignment="1">
      <alignment horizontal="center" vertical="center"/>
    </xf>
    <xf numFmtId="0" fontId="0" fillId="6" borderId="41" xfId="0" applyFill="1" applyBorder="1" applyAlignment="1">
      <alignment vertical="center"/>
    </xf>
    <xf numFmtId="0" fontId="0" fillId="6" borderId="93" xfId="0" applyFill="1" applyBorder="1" applyAlignment="1">
      <alignment vertical="center"/>
    </xf>
    <xf numFmtId="0" fontId="0" fillId="4" borderId="41" xfId="0" applyFill="1" applyBorder="1" applyAlignment="1">
      <alignment horizontal="left" vertical="center"/>
    </xf>
    <xf numFmtId="0" fontId="0" fillId="4" borderId="93" xfId="0" applyFill="1" applyBorder="1" applyAlignment="1">
      <alignment horizontal="left" vertical="center"/>
    </xf>
    <xf numFmtId="0" fontId="0" fillId="7" borderId="41" xfId="0" applyFill="1" applyBorder="1" applyAlignment="1">
      <alignment vertical="center"/>
    </xf>
    <xf numFmtId="0" fontId="0" fillId="7" borderId="93" xfId="0" applyFill="1" applyBorder="1" applyAlignment="1">
      <alignment vertical="center"/>
    </xf>
    <xf numFmtId="0" fontId="42" fillId="0" borderId="2" xfId="0" applyFont="1" applyBorder="1" applyAlignment="1">
      <alignment horizontal="center" vertical="center"/>
    </xf>
    <xf numFmtId="169" fontId="42" fillId="0" borderId="23" xfId="0" applyNumberFormat="1" applyFont="1" applyBorder="1" applyAlignment="1">
      <alignment horizontal="center" vertical="center"/>
    </xf>
    <xf numFmtId="169" fontId="42" fillId="0" borderId="2" xfId="0" applyNumberFormat="1" applyFont="1" applyBorder="1" applyAlignment="1">
      <alignment horizontal="center" vertical="center"/>
    </xf>
    <xf numFmtId="0" fontId="42" fillId="0" borderId="29" xfId="0" applyFont="1" applyBorder="1" applyAlignment="1">
      <alignment horizontal="center" vertical="center"/>
    </xf>
    <xf numFmtId="169" fontId="42" fillId="0" borderId="27" xfId="0" applyNumberFormat="1" applyFont="1" applyBorder="1" applyAlignment="1">
      <alignment horizontal="center" vertical="center"/>
    </xf>
    <xf numFmtId="169" fontId="42" fillId="0" borderId="29" xfId="0" applyNumberFormat="1" applyFont="1" applyBorder="1" applyAlignment="1">
      <alignment horizontal="center" vertical="center"/>
    </xf>
    <xf numFmtId="2" fontId="42" fillId="0" borderId="96" xfId="0" applyNumberFormat="1" applyFont="1" applyBorder="1" applyAlignment="1">
      <alignment horizontal="center" vertical="center"/>
    </xf>
    <xf numFmtId="169" fontId="42" fillId="0" borderId="9" xfId="0" applyNumberFormat="1" applyFont="1" applyBorder="1" applyAlignment="1">
      <alignment horizontal="center" vertical="center"/>
    </xf>
    <xf numFmtId="0" fontId="0" fillId="13" borderId="2" xfId="0" applyFill="1" applyBorder="1" applyAlignment="1">
      <alignment horizontal="center" vertical="center" wrapText="1"/>
    </xf>
    <xf numFmtId="3" fontId="42" fillId="0" borderId="2" xfId="0" applyNumberFormat="1" applyFont="1" applyBorder="1" applyAlignment="1">
      <alignment vertical="center"/>
    </xf>
    <xf numFmtId="3" fontId="42" fillId="0" borderId="21" xfId="0" applyNumberFormat="1" applyFont="1" applyBorder="1" applyAlignment="1">
      <alignment vertical="center"/>
    </xf>
    <xf numFmtId="3" fontId="42" fillId="0" borderId="30" xfId="0" applyNumberFormat="1" applyFont="1" applyBorder="1" applyAlignment="1">
      <alignment vertical="center"/>
    </xf>
    <xf numFmtId="3" fontId="42" fillId="0" borderId="24" xfId="0" applyNumberFormat="1" applyFont="1" applyBorder="1" applyAlignment="1">
      <alignment vertical="center"/>
    </xf>
    <xf numFmtId="3" fontId="42" fillId="0" borderId="29" xfId="0" applyNumberFormat="1" applyFont="1" applyBorder="1" applyAlignment="1">
      <alignment vertical="center"/>
    </xf>
    <xf numFmtId="3" fontId="42" fillId="0" borderId="26" xfId="0" applyNumberFormat="1" applyFont="1" applyBorder="1" applyAlignment="1">
      <alignment vertical="center"/>
    </xf>
    <xf numFmtId="3" fontId="42" fillId="0" borderId="23" xfId="0" applyNumberFormat="1" applyFont="1" applyBorder="1" applyAlignment="1">
      <alignment horizontal="centerContinuous" vertical="center"/>
    </xf>
    <xf numFmtId="3" fontId="42" fillId="0" borderId="2" xfId="0" applyNumberFormat="1" applyFont="1" applyBorder="1" applyAlignment="1">
      <alignment horizontal="center" vertical="center"/>
    </xf>
    <xf numFmtId="3" fontId="42" fillId="0" borderId="25" xfId="0" applyNumberFormat="1" applyFont="1" applyBorder="1" applyAlignment="1">
      <alignment horizontal="centerContinuous" vertical="center"/>
    </xf>
    <xf numFmtId="3" fontId="42" fillId="0" borderId="30" xfId="0" applyNumberFormat="1" applyFont="1" applyBorder="1" applyAlignment="1">
      <alignment horizontal="center" vertical="center"/>
    </xf>
    <xf numFmtId="3" fontId="42" fillId="0" borderId="27" xfId="0" applyNumberFormat="1" applyFont="1" applyBorder="1" applyAlignment="1">
      <alignment horizontal="centerContinuous" vertical="center"/>
    </xf>
    <xf numFmtId="3" fontId="42" fillId="0" borderId="29" xfId="0" applyNumberFormat="1" applyFont="1" applyBorder="1" applyAlignment="1">
      <alignment horizontal="center" vertical="center"/>
    </xf>
    <xf numFmtId="3" fontId="42" fillId="0" borderId="21" xfId="0" applyNumberFormat="1" applyFont="1" applyBorder="1" applyAlignment="1">
      <alignment horizontal="centerContinuous" vertical="center"/>
    </xf>
    <xf numFmtId="3" fontId="42" fillId="0" borderId="24" xfId="0" applyNumberFormat="1" applyFont="1" applyBorder="1" applyAlignment="1">
      <alignment horizontal="centerContinuous" vertical="center"/>
    </xf>
    <xf numFmtId="3" fontId="42" fillId="0" borderId="26" xfId="0" applyNumberFormat="1" applyFont="1" applyBorder="1" applyAlignment="1">
      <alignment horizontal="centerContinuous" vertical="center"/>
    </xf>
    <xf numFmtId="4" fontId="42" fillId="0" borderId="18" xfId="0" applyNumberFormat="1" applyFont="1" applyBorder="1" applyAlignment="1">
      <alignment horizontal="center" vertical="center"/>
    </xf>
    <xf numFmtId="4" fontId="42" fillId="13" borderId="18" xfId="0" applyNumberFormat="1" applyFont="1" applyFill="1" applyBorder="1" applyAlignment="1">
      <alignment horizontal="center" vertical="center"/>
    </xf>
    <xf numFmtId="170" fontId="42" fillId="0" borderId="30" xfId="0" applyNumberFormat="1" applyFont="1" applyBorder="1" applyAlignment="1">
      <alignment horizontal="center" vertical="center"/>
    </xf>
    <xf numFmtId="166" fontId="42" fillId="0" borderId="9" xfId="0" applyNumberFormat="1" applyFont="1" applyBorder="1" applyAlignment="1">
      <alignment horizontal="center" vertical="center"/>
    </xf>
    <xf numFmtId="176" fontId="42" fillId="0" borderId="9" xfId="0" applyNumberFormat="1" applyFont="1" applyBorder="1" applyAlignment="1">
      <alignment horizontal="center" vertical="center"/>
    </xf>
    <xf numFmtId="0" fontId="0" fillId="13" borderId="0" xfId="0" applyFill="1" applyBorder="1"/>
    <xf numFmtId="171" fontId="0" fillId="0" borderId="0" xfId="0" applyNumberFormat="1" applyFill="1" applyBorder="1"/>
    <xf numFmtId="3" fontId="0" fillId="0" borderId="0" xfId="0" applyNumberFormat="1" applyBorder="1"/>
    <xf numFmtId="177" fontId="0" fillId="2" borderId="1" xfId="0" applyNumberFormat="1" applyFill="1" applyBorder="1"/>
    <xf numFmtId="4" fontId="0" fillId="0" borderId="1" xfId="0" applyNumberFormat="1" applyBorder="1"/>
    <xf numFmtId="3" fontId="0" fillId="12" borderId="1" xfId="0" applyNumberFormat="1" applyFill="1" applyBorder="1"/>
    <xf numFmtId="3" fontId="0" fillId="11" borderId="1" xfId="0" applyNumberFormat="1" applyFill="1" applyBorder="1"/>
    <xf numFmtId="167" fontId="0" fillId="3" borderId="1" xfId="0" applyNumberFormat="1" applyFill="1" applyBorder="1"/>
    <xf numFmtId="4" fontId="0" fillId="3" borderId="1" xfId="0" applyNumberFormat="1" applyFill="1" applyBorder="1"/>
    <xf numFmtId="2" fontId="7" fillId="3" borderId="1" xfId="0" applyNumberFormat="1" applyFont="1" applyFill="1" applyBorder="1"/>
    <xf numFmtId="0" fontId="42" fillId="0" borderId="2" xfId="0" applyFont="1" applyBorder="1"/>
    <xf numFmtId="3" fontId="42" fillId="0" borderId="2" xfId="0" applyNumberFormat="1" applyFont="1" applyBorder="1"/>
    <xf numFmtId="0" fontId="42" fillId="0" borderId="30" xfId="0" applyFont="1" applyBorder="1"/>
    <xf numFmtId="171" fontId="42" fillId="0" borderId="30" xfId="0" applyNumberFormat="1" applyFont="1" applyBorder="1"/>
    <xf numFmtId="9" fontId="42" fillId="0" borderId="2" xfId="3" applyFont="1" applyBorder="1"/>
    <xf numFmtId="1" fontId="43" fillId="0" borderId="30" xfId="0" applyNumberFormat="1" applyFont="1" applyFill="1" applyBorder="1"/>
    <xf numFmtId="171" fontId="42" fillId="0" borderId="29" xfId="0" applyNumberFormat="1" applyFont="1" applyFill="1" applyBorder="1"/>
    <xf numFmtId="3" fontId="42" fillId="0" borderId="1" xfId="0" applyNumberFormat="1" applyFont="1" applyBorder="1"/>
    <xf numFmtId="4" fontId="42" fillId="0" borderId="1" xfId="0" applyNumberFormat="1" applyFont="1" applyBorder="1"/>
    <xf numFmtId="4" fontId="42" fillId="0" borderId="1" xfId="0" applyNumberFormat="1" applyFont="1" applyFill="1" applyBorder="1"/>
    <xf numFmtId="172" fontId="42" fillId="0" borderId="1" xfId="3" applyNumberFormat="1" applyFont="1" applyBorder="1"/>
    <xf numFmtId="0" fontId="42" fillId="0" borderId="0" xfId="0" applyFont="1"/>
    <xf numFmtId="3" fontId="42" fillId="13" borderId="2" xfId="0" applyNumberFormat="1" applyFont="1" applyFill="1" applyBorder="1"/>
    <xf numFmtId="3" fontId="42" fillId="0" borderId="30" xfId="0" applyNumberFormat="1" applyFont="1" applyBorder="1"/>
    <xf numFmtId="3" fontId="42" fillId="0" borderId="29" xfId="0" applyNumberFormat="1" applyFont="1" applyBorder="1"/>
    <xf numFmtId="170" fontId="0" fillId="0" borderId="2" xfId="0" applyNumberFormat="1" applyBorder="1"/>
    <xf numFmtId="170" fontId="0" fillId="0" borderId="1" xfId="0" applyNumberFormat="1" applyBorder="1"/>
    <xf numFmtId="4" fontId="7" fillId="3" borderId="1" xfId="0" applyNumberFormat="1" applyFont="1" applyFill="1" applyBorder="1"/>
    <xf numFmtId="177" fontId="0" fillId="0" borderId="0" xfId="0" applyNumberFormat="1"/>
    <xf numFmtId="3" fontId="9" fillId="13" borderId="0" xfId="0" applyNumberFormat="1" applyFont="1" applyFill="1" applyBorder="1" applyAlignment="1">
      <alignment horizontal="center" vertical="center"/>
    </xf>
    <xf numFmtId="0" fontId="9" fillId="13" borderId="11" xfId="0" applyFont="1" applyFill="1" applyBorder="1" applyAlignment="1">
      <alignment vertical="center"/>
    </xf>
    <xf numFmtId="167" fontId="8" fillId="13" borderId="12" xfId="0" applyNumberFormat="1" applyFont="1" applyFill="1" applyBorder="1" applyAlignment="1">
      <alignment horizontal="center" vertical="center"/>
    </xf>
    <xf numFmtId="167" fontId="8" fillId="13" borderId="14" xfId="0" applyNumberFormat="1" applyFont="1" applyFill="1" applyBorder="1" applyAlignment="1">
      <alignment horizontal="center" vertical="center"/>
    </xf>
    <xf numFmtId="17" fontId="0" fillId="0" borderId="0" xfId="0" applyNumberFormat="1" applyAlignment="1">
      <alignment horizontal="center"/>
    </xf>
    <xf numFmtId="0" fontId="7" fillId="13" borderId="0" xfId="0" applyFont="1" applyFill="1" applyBorder="1" applyAlignment="1">
      <alignment vertical="center"/>
    </xf>
    <xf numFmtId="3" fontId="21" fillId="13" borderId="0" xfId="0" applyNumberFormat="1" applyFont="1" applyFill="1" applyBorder="1" applyAlignment="1">
      <alignment horizontal="center" vertical="center"/>
    </xf>
    <xf numFmtId="3" fontId="9" fillId="13" borderId="0" xfId="0" applyNumberFormat="1" applyFont="1" applyFill="1" applyBorder="1" applyAlignment="1">
      <alignment horizontal="centerContinuous" vertic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/>
    </xf>
    <xf numFmtId="3" fontId="44" fillId="12" borderId="1" xfId="0" applyNumberFormat="1" applyFont="1" applyFill="1" applyBorder="1" applyAlignment="1">
      <alignment horizontal="center" vertical="center"/>
    </xf>
    <xf numFmtId="3" fontId="44" fillId="12" borderId="1" xfId="0" applyNumberFormat="1" applyFont="1" applyFill="1" applyBorder="1" applyAlignment="1">
      <alignment vertical="center"/>
    </xf>
    <xf numFmtId="3" fontId="44" fillId="0" borderId="2" xfId="0" applyNumberFormat="1" applyFont="1" applyBorder="1" applyAlignment="1">
      <alignment vertical="center"/>
    </xf>
    <xf numFmtId="3" fontId="44" fillId="0" borderId="30" xfId="0" applyNumberFormat="1" applyFont="1" applyBorder="1" applyAlignment="1">
      <alignment vertical="center"/>
    </xf>
    <xf numFmtId="3" fontId="44" fillId="0" borderId="29" xfId="0" applyNumberFormat="1" applyFont="1" applyBorder="1" applyAlignment="1">
      <alignment vertical="center"/>
    </xf>
    <xf numFmtId="4" fontId="42" fillId="0" borderId="30" xfId="0" applyNumberFormat="1" applyFont="1" applyBorder="1" applyAlignment="1">
      <alignment horizontal="center" vertical="center"/>
    </xf>
    <xf numFmtId="3" fontId="45" fillId="0" borderId="2" xfId="0" applyNumberFormat="1" applyFont="1" applyBorder="1" applyAlignment="1">
      <alignment horizontal="center" vertical="center"/>
    </xf>
    <xf numFmtId="3" fontId="45" fillId="0" borderId="30" xfId="0" applyNumberFormat="1" applyFont="1" applyBorder="1" applyAlignment="1">
      <alignment horizontal="center" vertical="center"/>
    </xf>
    <xf numFmtId="4" fontId="45" fillId="0" borderId="30" xfId="0" applyNumberFormat="1" applyFont="1" applyBorder="1" applyAlignment="1">
      <alignment horizontal="center" vertical="center"/>
    </xf>
    <xf numFmtId="3" fontId="45" fillId="0" borderId="29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/>
    </xf>
    <xf numFmtId="3" fontId="44" fillId="0" borderId="2" xfId="0" applyNumberFormat="1" applyFont="1" applyBorder="1" applyAlignment="1">
      <alignment horizontal="center" vertical="center"/>
    </xf>
    <xf numFmtId="3" fontId="44" fillId="0" borderId="24" xfId="0" applyNumberFormat="1" applyFont="1" applyBorder="1" applyAlignment="1">
      <alignment horizontal="center" vertical="center"/>
    </xf>
    <xf numFmtId="3" fontId="44" fillId="0" borderId="30" xfId="0" applyNumberFormat="1" applyFont="1" applyBorder="1" applyAlignment="1">
      <alignment horizontal="center" vertical="center"/>
    </xf>
    <xf numFmtId="3" fontId="44" fillId="0" borderId="30" xfId="0" applyNumberFormat="1" applyFont="1" applyBorder="1" applyAlignment="1">
      <alignment horizontal="center"/>
    </xf>
    <xf numFmtId="3" fontId="44" fillId="0" borderId="29" xfId="0" applyNumberFormat="1" applyFont="1" applyBorder="1" applyAlignment="1">
      <alignment horizontal="center" vertical="center"/>
    </xf>
    <xf numFmtId="3" fontId="44" fillId="0" borderId="26" xfId="0" applyNumberFormat="1" applyFont="1" applyBorder="1" applyAlignment="1">
      <alignment horizontal="center" vertical="center"/>
    </xf>
    <xf numFmtId="3" fontId="44" fillId="0" borderId="29" xfId="0" applyNumberFormat="1" applyFont="1" applyBorder="1" applyAlignment="1">
      <alignment horizontal="center"/>
    </xf>
    <xf numFmtId="3" fontId="44" fillId="0" borderId="29" xfId="0" applyNumberFormat="1" applyFont="1" applyBorder="1"/>
    <xf numFmtId="3" fontId="49" fillId="0" borderId="29" xfId="0" applyNumberFormat="1" applyFont="1" applyFill="1" applyBorder="1" applyAlignment="1">
      <alignment horizontal="center" vertical="center"/>
    </xf>
    <xf numFmtId="3" fontId="50" fillId="0" borderId="29" xfId="0" applyNumberFormat="1" applyFont="1" applyFill="1" applyBorder="1" applyAlignment="1">
      <alignment horizontal="center" vertical="center"/>
    </xf>
    <xf numFmtId="3" fontId="50" fillId="13" borderId="1" xfId="0" applyNumberFormat="1" applyFont="1" applyFill="1" applyBorder="1" applyAlignment="1">
      <alignment horizontal="center" vertical="center"/>
    </xf>
    <xf numFmtId="3" fontId="48" fillId="13" borderId="1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30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1" fontId="47" fillId="3" borderId="30" xfId="0" applyNumberFormat="1" applyFont="1" applyFill="1" applyBorder="1" applyAlignment="1">
      <alignment horizontal="center" vertical="center"/>
    </xf>
    <xf numFmtId="1" fontId="47" fillId="0" borderId="30" xfId="0" applyNumberFormat="1" applyFont="1" applyBorder="1" applyAlignment="1">
      <alignment horizontal="center" vertical="center"/>
    </xf>
    <xf numFmtId="1" fontId="48" fillId="13" borderId="29" xfId="0" applyNumberFormat="1" applyFont="1" applyFill="1" applyBorder="1" applyAlignment="1">
      <alignment horizontal="center" vertical="center"/>
    </xf>
    <xf numFmtId="1" fontId="47" fillId="0" borderId="2" xfId="0" applyNumberFormat="1" applyFont="1" applyBorder="1" applyAlignment="1">
      <alignment horizontal="center" vertical="center"/>
    </xf>
    <xf numFmtId="0" fontId="48" fillId="13" borderId="29" xfId="0" applyFont="1" applyFill="1" applyBorder="1" applyAlignment="1">
      <alignment horizontal="center" vertical="center"/>
    </xf>
    <xf numFmtId="1" fontId="48" fillId="13" borderId="1" xfId="0" applyNumberFormat="1" applyFont="1" applyFill="1" applyBorder="1" applyAlignment="1">
      <alignment horizontal="center" vertical="center"/>
    </xf>
    <xf numFmtId="0" fontId="47" fillId="0" borderId="0" xfId="0" applyFont="1"/>
    <xf numFmtId="0" fontId="47" fillId="0" borderId="1" xfId="0" applyFont="1" applyBorder="1"/>
    <xf numFmtId="2" fontId="47" fillId="0" borderId="1" xfId="0" applyNumberFormat="1" applyFont="1" applyBorder="1"/>
    <xf numFmtId="1" fontId="47" fillId="0" borderId="2" xfId="0" applyNumberFormat="1" applyFont="1" applyBorder="1"/>
    <xf numFmtId="1" fontId="47" fillId="0" borderId="29" xfId="0" applyNumberFormat="1" applyFont="1" applyBorder="1"/>
    <xf numFmtId="169" fontId="47" fillId="0" borderId="2" xfId="0" applyNumberFormat="1" applyFont="1" applyBorder="1"/>
    <xf numFmtId="169" fontId="47" fillId="0" borderId="29" xfId="0" applyNumberFormat="1" applyFont="1" applyBorder="1"/>
    <xf numFmtId="17" fontId="0" fillId="0" borderId="0" xfId="0" applyNumberFormat="1" applyFont="1" applyAlignment="1">
      <alignment horizontal="center" vertical="center"/>
    </xf>
    <xf numFmtId="1" fontId="51" fillId="13" borderId="29" xfId="0" applyNumberFormat="1" applyFont="1" applyFill="1" applyBorder="1" applyAlignment="1">
      <alignment horizontal="center" vertical="center"/>
    </xf>
    <xf numFmtId="0" fontId="51" fillId="13" borderId="29" xfId="0" applyFont="1" applyFill="1" applyBorder="1" applyAlignment="1">
      <alignment horizontal="center" vertical="center"/>
    </xf>
    <xf numFmtId="4" fontId="44" fillId="0" borderId="30" xfId="0" applyNumberFormat="1" applyFont="1" applyBorder="1" applyAlignment="1">
      <alignment horizontal="center" vertical="center"/>
    </xf>
    <xf numFmtId="3" fontId="52" fillId="0" borderId="29" xfId="0" applyNumberFormat="1" applyFont="1" applyBorder="1" applyAlignment="1">
      <alignment horizontal="center" vertical="center"/>
    </xf>
    <xf numFmtId="167" fontId="53" fillId="0" borderId="0" xfId="0" applyNumberFormat="1" applyFont="1"/>
    <xf numFmtId="0" fontId="53" fillId="0" borderId="0" xfId="0" applyFont="1"/>
    <xf numFmtId="17" fontId="0" fillId="0" borderId="0" xfId="0" applyNumberFormat="1"/>
    <xf numFmtId="0" fontId="3" fillId="0" borderId="0" xfId="0" applyFont="1" applyFill="1" applyBorder="1" applyAlignment="1">
      <alignment horizontal="centerContinuous" vertic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165" fontId="0" fillId="0" borderId="1" xfId="0" applyNumberFormat="1" applyFill="1" applyBorder="1" applyAlignment="1">
      <alignment horizontal="center" vertical="center"/>
    </xf>
    <xf numFmtId="0" fontId="0" fillId="0" borderId="30" xfId="0" applyFill="1" applyBorder="1"/>
    <xf numFmtId="0" fontId="0" fillId="0" borderId="25" xfId="0" applyBorder="1"/>
    <xf numFmtId="0" fontId="0" fillId="0" borderId="29" xfId="0" applyBorder="1"/>
    <xf numFmtId="169" fontId="0" fillId="0" borderId="1" xfId="0" applyNumberFormat="1" applyBorder="1"/>
    <xf numFmtId="1" fontId="0" fillId="0" borderId="2" xfId="0" applyNumberFormat="1" applyBorder="1"/>
    <xf numFmtId="169" fontId="0" fillId="0" borderId="0" xfId="0" applyNumberFormat="1"/>
    <xf numFmtId="0" fontId="0" fillId="12" borderId="36" xfId="0" applyFont="1" applyFill="1" applyBorder="1" applyAlignment="1">
      <alignment vertical="center"/>
    </xf>
    <xf numFmtId="0" fontId="0" fillId="12" borderId="96" xfId="0" applyFont="1" applyFill="1" applyBorder="1" applyAlignment="1">
      <alignment vertical="center"/>
    </xf>
    <xf numFmtId="0" fontId="0" fillId="12" borderId="66" xfId="0" applyFont="1" applyFill="1" applyBorder="1" applyAlignment="1">
      <alignment horizontal="center" vertical="center"/>
    </xf>
    <xf numFmtId="0" fontId="0" fillId="12" borderId="95" xfId="0" applyFont="1" applyFill="1" applyBorder="1" applyAlignment="1">
      <alignment horizontal="center" vertical="center"/>
    </xf>
    <xf numFmtId="0" fontId="0" fillId="12" borderId="96" xfId="0" applyFont="1" applyFill="1" applyBorder="1" applyAlignment="1">
      <alignment horizontal="center" vertical="center"/>
    </xf>
    <xf numFmtId="0" fontId="0" fillId="12" borderId="52" xfId="0" applyFont="1" applyFill="1" applyBorder="1" applyAlignment="1">
      <alignment horizontal="center" vertical="center"/>
    </xf>
    <xf numFmtId="0" fontId="54" fillId="12" borderId="50" xfId="0" applyFont="1" applyFill="1" applyBorder="1" applyAlignment="1">
      <alignment horizontal="center" vertical="center"/>
    </xf>
    <xf numFmtId="0" fontId="54" fillId="12" borderId="94" xfId="0" applyFont="1" applyFill="1" applyBorder="1" applyAlignment="1">
      <alignment horizontal="center" vertical="center"/>
    </xf>
    <xf numFmtId="0" fontId="54" fillId="12" borderId="30" xfId="0" applyFont="1" applyFill="1" applyBorder="1" applyAlignment="1">
      <alignment horizontal="center" vertical="center"/>
    </xf>
    <xf numFmtId="0" fontId="54" fillId="12" borderId="0" xfId="0" applyFont="1" applyFill="1" applyBorder="1" applyAlignment="1">
      <alignment horizontal="center" vertical="center"/>
    </xf>
    <xf numFmtId="0" fontId="54" fillId="14" borderId="94" xfId="0" applyFont="1" applyFill="1" applyBorder="1" applyAlignment="1">
      <alignment horizontal="center" vertical="center"/>
    </xf>
    <xf numFmtId="0" fontId="54" fillId="14" borderId="30" xfId="0" applyFont="1" applyFill="1" applyBorder="1" applyAlignment="1">
      <alignment horizontal="center" vertical="center"/>
    </xf>
    <xf numFmtId="2" fontId="0" fillId="0" borderId="30" xfId="0" applyNumberFormat="1" applyBorder="1"/>
    <xf numFmtId="1" fontId="0" fillId="0" borderId="30" xfId="0" applyNumberFormat="1" applyBorder="1"/>
    <xf numFmtId="1" fontId="0" fillId="0" borderId="30" xfId="0" applyNumberFormat="1" applyFont="1" applyBorder="1"/>
    <xf numFmtId="2" fontId="0" fillId="0" borderId="1" xfId="0" applyNumberFormat="1" applyBorder="1"/>
    <xf numFmtId="2" fontId="0" fillId="0" borderId="30" xfId="0" applyNumberFormat="1" applyFill="1" applyBorder="1"/>
    <xf numFmtId="2" fontId="0" fillId="0" borderId="0" xfId="0" applyNumberFormat="1" applyFill="1" applyBorder="1"/>
    <xf numFmtId="1" fontId="0" fillId="0" borderId="1" xfId="0" applyNumberFormat="1" applyBorder="1"/>
    <xf numFmtId="0" fontId="0" fillId="0" borderId="21" xfId="0" applyBorder="1"/>
    <xf numFmtId="43" fontId="0" fillId="0" borderId="30" xfId="1" applyFont="1" applyBorder="1"/>
    <xf numFmtId="3" fontId="7" fillId="3" borderId="85" xfId="0" applyNumberFormat="1" applyFont="1" applyFill="1" applyBorder="1" applyAlignment="1">
      <alignment horizontal="center" vertical="center"/>
    </xf>
    <xf numFmtId="3" fontId="7" fillId="3" borderId="85" xfId="0" applyNumberFormat="1" applyFont="1" applyFill="1" applyBorder="1" applyAlignment="1">
      <alignment vertical="center"/>
    </xf>
    <xf numFmtId="4" fontId="0" fillId="0" borderId="30" xfId="0" applyNumberFormat="1" applyFill="1" applyBorder="1"/>
    <xf numFmtId="4" fontId="1" fillId="0" borderId="30" xfId="3" applyNumberFormat="1" applyFont="1" applyBorder="1"/>
    <xf numFmtId="2" fontId="0" fillId="0" borderId="0" xfId="0" applyNumberFormat="1"/>
    <xf numFmtId="166" fontId="0" fillId="0" borderId="2" xfId="0" applyNumberFormat="1" applyBorder="1"/>
    <xf numFmtId="4" fontId="0" fillId="0" borderId="0" xfId="0" applyNumberFormat="1"/>
    <xf numFmtId="0" fontId="24" fillId="16" borderId="94" xfId="0" applyFont="1" applyFill="1" applyBorder="1" applyAlignment="1">
      <alignment horizontal="center" vertical="center"/>
    </xf>
    <xf numFmtId="0" fontId="24" fillId="16" borderId="30" xfId="0" applyFont="1" applyFill="1" applyBorder="1" applyAlignment="1">
      <alignment horizontal="center" vertical="center"/>
    </xf>
    <xf numFmtId="1" fontId="0" fillId="0" borderId="2" xfId="0" applyNumberFormat="1" applyBorder="1" applyAlignment="1">
      <alignment vertical="center"/>
    </xf>
    <xf numFmtId="1" fontId="0" fillId="0" borderId="30" xfId="0" applyNumberFormat="1" applyBorder="1" applyAlignment="1">
      <alignment vertical="center"/>
    </xf>
    <xf numFmtId="1" fontId="0" fillId="0" borderId="29" xfId="0" applyNumberFormat="1" applyBorder="1" applyAlignment="1">
      <alignment vertical="center"/>
    </xf>
    <xf numFmtId="1" fontId="0" fillId="0" borderId="0" xfId="0" applyNumberFormat="1" applyAlignment="1">
      <alignment vertical="center"/>
    </xf>
    <xf numFmtId="2" fontId="3" fillId="2" borderId="1" xfId="0" applyNumberFormat="1" applyFont="1" applyFill="1" applyBorder="1" applyAlignment="1">
      <alignment horizontal="center"/>
    </xf>
    <xf numFmtId="2" fontId="0" fillId="3" borderId="1" xfId="0" applyNumberFormat="1" applyFill="1" applyBorder="1"/>
    <xf numFmtId="2" fontId="0" fillId="0" borderId="0" xfId="0" applyNumberFormat="1" applyAlignment="1">
      <alignment vertical="center"/>
    </xf>
    <xf numFmtId="2" fontId="0" fillId="0" borderId="0" xfId="0" applyNumberFormat="1" applyFill="1" applyAlignment="1">
      <alignment vertical="center"/>
    </xf>
    <xf numFmtId="3" fontId="0" fillId="10" borderId="2" xfId="0" applyNumberFormat="1" applyFill="1" applyBorder="1" applyAlignment="1">
      <alignment horizontal="center" vertical="center"/>
    </xf>
    <xf numFmtId="2" fontId="0" fillId="10" borderId="0" xfId="0" applyNumberFormat="1" applyFill="1"/>
    <xf numFmtId="3" fontId="45" fillId="0" borderId="21" xfId="0" applyNumberFormat="1" applyFont="1" applyBorder="1" applyAlignment="1">
      <alignment horizontal="center" vertical="center"/>
    </xf>
    <xf numFmtId="3" fontId="45" fillId="0" borderId="23" xfId="0" applyNumberFormat="1" applyFont="1" applyBorder="1" applyAlignment="1">
      <alignment horizontal="center" vertical="center"/>
    </xf>
    <xf numFmtId="3" fontId="45" fillId="0" borderId="24" xfId="0" applyNumberFormat="1" applyFont="1" applyBorder="1" applyAlignment="1">
      <alignment horizontal="center" vertical="center"/>
    </xf>
    <xf numFmtId="3" fontId="45" fillId="0" borderId="25" xfId="0" applyNumberFormat="1" applyFont="1" applyBorder="1" applyAlignment="1">
      <alignment horizontal="center" vertical="center"/>
    </xf>
    <xf numFmtId="3" fontId="45" fillId="0" borderId="26" xfId="0" applyNumberFormat="1" applyFont="1" applyBorder="1" applyAlignment="1">
      <alignment horizontal="center" vertical="center"/>
    </xf>
    <xf numFmtId="3" fontId="45" fillId="0" borderId="27" xfId="0" applyNumberFormat="1" applyFont="1" applyBorder="1" applyAlignment="1">
      <alignment horizontal="center" vertical="center"/>
    </xf>
  </cellXfs>
  <cellStyles count="4">
    <cellStyle name="Milliers" xfId="1" builtinId="3"/>
    <cellStyle name="Milliers_Feuil1" xfId="2"/>
    <cellStyle name="Normal" xfId="0" builtinId="0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25" b="1" i="0" u="none" strike="noStrike" baseline="0">
                <a:solidFill>
                  <a:srgbClr val="00008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VENTES MENSUELLES DE MACHINOUTILS</a:t>
            </a:r>
          </a:p>
        </c:rich>
      </c:tx>
      <c:layout>
        <c:manualLayout>
          <c:xMode val="edge"/>
          <c:yMode val="edge"/>
          <c:x val="0.23860361326429522"/>
          <c:y val="5.6722694575896314E-2"/>
        </c:manualLayout>
      </c:layout>
      <c:spPr>
        <a:noFill/>
        <a:ln w="25400">
          <a:solidFill>
            <a:srgbClr val="000080"/>
          </a:solidFill>
          <a:prstDash val="solid"/>
        </a:ln>
      </c:spPr>
    </c:title>
    <c:plotArea>
      <c:layout>
        <c:manualLayout>
          <c:layoutTarget val="inner"/>
          <c:xMode val="edge"/>
          <c:yMode val="edge"/>
          <c:x val="0.13967038845400548"/>
          <c:y val="0.19537865230951959"/>
          <c:w val="0.84093213048349214"/>
          <c:h val="0.50105170511634867"/>
        </c:manualLayout>
      </c:layout>
      <c:lineChart>
        <c:grouping val="standard"/>
        <c:ser>
          <c:idx val="0"/>
          <c:order val="0"/>
          <c:tx>
            <c:v>Ventes réelles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name>Tendance linéaire des ventes</c:name>
            <c:spPr>
              <a:ln w="25400">
                <a:solidFill>
                  <a:srgbClr val="FF0000"/>
                </a:solidFill>
                <a:prstDash val="solid"/>
              </a:ln>
            </c:spPr>
            <c:trendlineType val="linear"/>
            <c:dispEq val="1"/>
            <c:trendlineLbl>
              <c:layout>
                <c:manualLayout>
                  <c:x val="-0.25690647385140702"/>
                  <c:y val="-0.24880844508444164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350" b="1" i="0" u="none" strike="noStrike" baseline="0">
                      <a:solidFill>
                        <a:srgbClr val="FF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</c:trendlineLbl>
          </c:trendline>
          <c:val>
            <c:numRef>
              <c:f>'vent pdt série'!$B$4:$B$39</c:f>
              <c:numCache>
                <c:formatCode>General</c:formatCode>
                <c:ptCount val="36"/>
                <c:pt idx="0">
                  <c:v>1900</c:v>
                </c:pt>
                <c:pt idx="1">
                  <c:v>1800</c:v>
                </c:pt>
                <c:pt idx="2">
                  <c:v>1800</c:v>
                </c:pt>
                <c:pt idx="3">
                  <c:v>2000</c:v>
                </c:pt>
                <c:pt idx="4">
                  <c:v>1500</c:v>
                </c:pt>
                <c:pt idx="5">
                  <c:v>1900</c:v>
                </c:pt>
                <c:pt idx="6">
                  <c:v>1000</c:v>
                </c:pt>
                <c:pt idx="7">
                  <c:v>600</c:v>
                </c:pt>
                <c:pt idx="8">
                  <c:v>1800</c:v>
                </c:pt>
                <c:pt idx="9">
                  <c:v>2000</c:v>
                </c:pt>
                <c:pt idx="10">
                  <c:v>1600</c:v>
                </c:pt>
                <c:pt idx="11">
                  <c:v>1200</c:v>
                </c:pt>
                <c:pt idx="12">
                  <c:v>1800</c:v>
                </c:pt>
                <c:pt idx="13">
                  <c:v>1500</c:v>
                </c:pt>
                <c:pt idx="14">
                  <c:v>1700</c:v>
                </c:pt>
                <c:pt idx="15">
                  <c:v>1200</c:v>
                </c:pt>
                <c:pt idx="16">
                  <c:v>1500</c:v>
                </c:pt>
                <c:pt idx="17">
                  <c:v>2200</c:v>
                </c:pt>
                <c:pt idx="18">
                  <c:v>500</c:v>
                </c:pt>
                <c:pt idx="19">
                  <c:v>200</c:v>
                </c:pt>
                <c:pt idx="20">
                  <c:v>1200</c:v>
                </c:pt>
                <c:pt idx="21">
                  <c:v>1500</c:v>
                </c:pt>
                <c:pt idx="22">
                  <c:v>1300</c:v>
                </c:pt>
                <c:pt idx="23">
                  <c:v>800</c:v>
                </c:pt>
                <c:pt idx="24">
                  <c:v>1400</c:v>
                </c:pt>
                <c:pt idx="25">
                  <c:v>1600</c:v>
                </c:pt>
                <c:pt idx="26">
                  <c:v>2000</c:v>
                </c:pt>
                <c:pt idx="27">
                  <c:v>1500</c:v>
                </c:pt>
                <c:pt idx="28">
                  <c:v>1000</c:v>
                </c:pt>
                <c:pt idx="29">
                  <c:v>2500</c:v>
                </c:pt>
                <c:pt idx="30">
                  <c:v>900</c:v>
                </c:pt>
                <c:pt idx="31">
                  <c:v>400</c:v>
                </c:pt>
                <c:pt idx="32">
                  <c:v>1200</c:v>
                </c:pt>
                <c:pt idx="33">
                  <c:v>2400</c:v>
                </c:pt>
                <c:pt idx="34">
                  <c:v>2000</c:v>
                </c:pt>
                <c:pt idx="35">
                  <c:v>1000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5AA-4A4B-B02E-FC828A69B68A}"/>
            </c:ext>
          </c:extLst>
        </c:ser>
        <c:dLbls/>
        <c:marker val="1"/>
        <c:axId val="93577216"/>
        <c:axId val="93579136"/>
      </c:lineChart>
      <c:catAx>
        <c:axId val="935772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25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Mois</a:t>
                </a:r>
              </a:p>
            </c:rich>
          </c:tx>
          <c:layout>
            <c:manualLayout>
              <c:xMode val="edge"/>
              <c:yMode val="edge"/>
              <c:x val="0.2240545564100207"/>
              <c:y val="0.80042217291417161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579136"/>
        <c:crosses val="autoZero"/>
        <c:auto val="1"/>
        <c:lblAlgn val="ctr"/>
        <c:lblOffset val="100"/>
        <c:tickLblSkip val="2"/>
        <c:tickMarkSkip val="1"/>
      </c:catAx>
      <c:valAx>
        <c:axId val="9357913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25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Qté vendue</a:t>
                </a:r>
              </a:p>
            </c:rich>
          </c:tx>
          <c:layout>
            <c:manualLayout>
              <c:xMode val="edge"/>
              <c:yMode val="edge"/>
              <c:x val="3.3462694595082228E-2"/>
              <c:y val="0.3529421197662013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5772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9256445084442315"/>
          <c:y val="0.84538898983780808"/>
          <c:w val="0.54863932378102542"/>
          <c:h val="7.730706043290733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8" footer="0.49212598450000028"/>
    <c:pageSetup paperSize="9" orientation="landscape" horizontalDpi="-3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175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Evolution des ventes</a:t>
            </a:r>
          </a:p>
        </c:rich>
      </c:tx>
      <c:layout>
        <c:manualLayout>
          <c:xMode val="edge"/>
          <c:yMode val="edge"/>
          <c:x val="0.28854756566025308"/>
          <c:y val="3.55170505739021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4779477928184077E-2"/>
          <c:y val="0.17758518828538972"/>
          <c:w val="0.89092819787688182"/>
          <c:h val="0.60142183765985391"/>
        </c:manualLayout>
      </c:layout>
      <c:lineChart>
        <c:grouping val="standard"/>
        <c:ser>
          <c:idx val="0"/>
          <c:order val="0"/>
          <c:tx>
            <c:strRef>
              <c:f>'données prév'!$A$3</c:f>
              <c:strCache>
                <c:ptCount val="1"/>
                <c:pt idx="0">
                  <c:v>2015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'données prév'!$A$3:$M$3</c:f>
              <c:numCache>
                <c:formatCode>#,##0</c:formatCode>
                <c:ptCount val="13"/>
                <c:pt idx="0" formatCode="General">
                  <c:v>2015</c:v>
                </c:pt>
                <c:pt idx="1">
                  <c:v>1900</c:v>
                </c:pt>
                <c:pt idx="2">
                  <c:v>1800</c:v>
                </c:pt>
                <c:pt idx="3">
                  <c:v>1800</c:v>
                </c:pt>
                <c:pt idx="4">
                  <c:v>2000</c:v>
                </c:pt>
                <c:pt idx="5">
                  <c:v>1500</c:v>
                </c:pt>
                <c:pt idx="6">
                  <c:v>1900</c:v>
                </c:pt>
                <c:pt idx="7">
                  <c:v>1000</c:v>
                </c:pt>
                <c:pt idx="8">
                  <c:v>600</c:v>
                </c:pt>
                <c:pt idx="9">
                  <c:v>1800</c:v>
                </c:pt>
                <c:pt idx="10">
                  <c:v>2000</c:v>
                </c:pt>
                <c:pt idx="11">
                  <c:v>1600</c:v>
                </c:pt>
                <c:pt idx="12">
                  <c:v>1200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8BF-4EB5-A17B-CC9D28674AEE}"/>
            </c:ext>
          </c:extLst>
        </c:ser>
        <c:ser>
          <c:idx val="1"/>
          <c:order val="1"/>
          <c:tx>
            <c:strRef>
              <c:f>'données prév'!$A$4</c:f>
              <c:strCache>
                <c:ptCount val="1"/>
                <c:pt idx="0">
                  <c:v>2016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'données prév'!$A$4:$M$4</c:f>
              <c:numCache>
                <c:formatCode>#,##0</c:formatCode>
                <c:ptCount val="13"/>
                <c:pt idx="0" formatCode="General">
                  <c:v>2016</c:v>
                </c:pt>
                <c:pt idx="1">
                  <c:v>1800</c:v>
                </c:pt>
                <c:pt idx="2">
                  <c:v>1500</c:v>
                </c:pt>
                <c:pt idx="3">
                  <c:v>1700</c:v>
                </c:pt>
                <c:pt idx="4">
                  <c:v>1200</c:v>
                </c:pt>
                <c:pt idx="5">
                  <c:v>1500</c:v>
                </c:pt>
                <c:pt idx="6">
                  <c:v>2200</c:v>
                </c:pt>
                <c:pt idx="7">
                  <c:v>500</c:v>
                </c:pt>
                <c:pt idx="8">
                  <c:v>200</c:v>
                </c:pt>
                <c:pt idx="9">
                  <c:v>1200</c:v>
                </c:pt>
                <c:pt idx="10">
                  <c:v>1500</c:v>
                </c:pt>
                <c:pt idx="11">
                  <c:v>1300</c:v>
                </c:pt>
                <c:pt idx="12">
                  <c:v>800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8BF-4EB5-A17B-CC9D28674AEE}"/>
            </c:ext>
          </c:extLst>
        </c:ser>
        <c:ser>
          <c:idx val="2"/>
          <c:order val="2"/>
          <c:tx>
            <c:strRef>
              <c:f>'données prév'!$A$5</c:f>
              <c:strCache>
                <c:ptCount val="1"/>
                <c:pt idx="0">
                  <c:v>2017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'données prév'!$A$5:$M$5</c:f>
              <c:numCache>
                <c:formatCode>#,##0</c:formatCode>
                <c:ptCount val="13"/>
                <c:pt idx="0" formatCode="General">
                  <c:v>2017</c:v>
                </c:pt>
                <c:pt idx="1">
                  <c:v>1400</c:v>
                </c:pt>
                <c:pt idx="2">
                  <c:v>1600</c:v>
                </c:pt>
                <c:pt idx="3">
                  <c:v>2000</c:v>
                </c:pt>
                <c:pt idx="4">
                  <c:v>1500</c:v>
                </c:pt>
                <c:pt idx="5">
                  <c:v>1000</c:v>
                </c:pt>
                <c:pt idx="6">
                  <c:v>2500</c:v>
                </c:pt>
                <c:pt idx="7">
                  <c:v>900</c:v>
                </c:pt>
                <c:pt idx="8">
                  <c:v>400</c:v>
                </c:pt>
                <c:pt idx="9">
                  <c:v>1200</c:v>
                </c:pt>
                <c:pt idx="10">
                  <c:v>2400</c:v>
                </c:pt>
                <c:pt idx="11">
                  <c:v>2000</c:v>
                </c:pt>
                <c:pt idx="12">
                  <c:v>1000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8BF-4EB5-A17B-CC9D28674AEE}"/>
            </c:ext>
          </c:extLst>
        </c:ser>
        <c:dLbls/>
        <c:marker val="1"/>
        <c:axId val="94037888"/>
        <c:axId val="94191616"/>
      </c:lineChart>
      <c:catAx>
        <c:axId val="940378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3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Mois</a:t>
                </a:r>
              </a:p>
            </c:rich>
          </c:tx>
          <c:layout>
            <c:manualLayout>
              <c:xMode val="edge"/>
              <c:yMode val="edge"/>
              <c:x val="0.22012914776381418"/>
              <c:y val="0.84767329690132065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4191616"/>
        <c:crosses val="autoZero"/>
        <c:auto val="1"/>
        <c:lblAlgn val="ctr"/>
        <c:lblOffset val="100"/>
        <c:tickLblSkip val="1"/>
        <c:tickMarkSkip val="1"/>
      </c:catAx>
      <c:valAx>
        <c:axId val="941916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Qté</a:t>
                </a:r>
                <a:r>
                  <a:rPr lang="fr-FR" baseline="0"/>
                  <a:t> vendue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1.0256035876310162E-2"/>
              <c:y val="9.3681564098408263E-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4037888"/>
        <c:crosses val="autoZero"/>
        <c:crossBetween val="between"/>
      </c:valAx>
      <c:spPr>
        <a:solidFill>
          <a:schemeClr val="bg1">
            <a:lumMod val="9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794788896421097"/>
          <c:y val="0.87313604222979646"/>
          <c:w val="0.43708696181189349"/>
          <c:h val="7.276143886864892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8" footer="0.49212598450000028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160020</xdr:colOff>
      <xdr:row>20</xdr:row>
      <xdr:rowOff>182880</xdr:rowOff>
    </xdr:from>
    <xdr:to>
      <xdr:col>12</xdr:col>
      <xdr:colOff>662940</xdr:colOff>
      <xdr:row>31</xdr:row>
      <xdr:rowOff>220980</xdr:rowOff>
    </xdr:to>
    <xdr:graphicFrame macro="">
      <xdr:nvGraphicFramePr>
        <xdr:cNvPr id="2203" name="Chart 1">
          <a:extLst>
            <a:ext uri="{FF2B5EF4-FFF2-40B4-BE49-F238E27FC236}">
              <a16:creationId xmlns:a16="http://schemas.microsoft.com/office/drawing/2014/main" xmlns="" id="{00000000-0008-0000-0000-00009B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213360</xdr:colOff>
      <xdr:row>2</xdr:row>
      <xdr:rowOff>68580</xdr:rowOff>
    </xdr:from>
    <xdr:to>
      <xdr:col>12</xdr:col>
      <xdr:colOff>594360</xdr:colOff>
      <xdr:row>17</xdr:row>
      <xdr:rowOff>38100</xdr:rowOff>
    </xdr:to>
    <xdr:graphicFrame macro="">
      <xdr:nvGraphicFramePr>
        <xdr:cNvPr id="2204" name="Chart 2">
          <a:extLst>
            <a:ext uri="{FF2B5EF4-FFF2-40B4-BE49-F238E27FC236}">
              <a16:creationId xmlns:a16="http://schemas.microsoft.com/office/drawing/2014/main" xmlns="" id="{00000000-0008-0000-0000-00009C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1:P58"/>
  <sheetViews>
    <sheetView showGridLines="0" topLeftCell="A36" zoomScale="80" zoomScaleNormal="80" workbookViewId="0">
      <selection activeCell="B26" sqref="B26"/>
    </sheetView>
  </sheetViews>
  <sheetFormatPr baseColWidth="10" defaultColWidth="11" defaultRowHeight="15"/>
  <cols>
    <col min="1" max="1" width="13.109375" style="8" customWidth="1"/>
    <col min="2" max="2" width="18.6640625" style="8" customWidth="1"/>
    <col min="3" max="3" width="19" style="8" customWidth="1"/>
    <col min="4" max="4" width="17.44140625" style="8" customWidth="1"/>
    <col min="5" max="5" width="13.33203125" style="8" customWidth="1"/>
    <col min="6" max="6" width="18.33203125" style="8" customWidth="1"/>
    <col min="7" max="7" width="12.5546875" style="8" customWidth="1"/>
    <col min="8" max="10" width="13.33203125" style="8" customWidth="1"/>
    <col min="11" max="11" width="12.44140625" style="8" customWidth="1"/>
    <col min="12" max="12" width="13.33203125" style="8" customWidth="1"/>
    <col min="13" max="16384" width="11" style="8"/>
  </cols>
  <sheetData>
    <row r="1" spans="1:6" s="651" customFormat="1" ht="18" customHeight="1">
      <c r="A1" s="123" t="s">
        <v>115</v>
      </c>
      <c r="B1" s="124"/>
      <c r="C1" s="125"/>
      <c r="D1" s="126" t="s">
        <v>114</v>
      </c>
      <c r="E1" s="127"/>
      <c r="F1" s="650"/>
    </row>
    <row r="2" spans="1:6" ht="15.6" thickBot="1"/>
    <row r="3" spans="1:6" ht="21.75" customHeight="1" thickBot="1">
      <c r="A3" s="645" t="s">
        <v>108</v>
      </c>
      <c r="B3" s="646" t="s">
        <v>110</v>
      </c>
      <c r="C3" s="646" t="s">
        <v>107</v>
      </c>
      <c r="D3" s="647" t="s">
        <v>109</v>
      </c>
    </row>
    <row r="4" spans="1:6" ht="21" customHeight="1" thickTop="1">
      <c r="A4" s="152">
        <v>1</v>
      </c>
      <c r="B4" s="153">
        <v>1900</v>
      </c>
      <c r="C4" s="154">
        <f t="shared" ref="C4:C39" si="0">A4*$A$43+$B$43</f>
        <v>1600.1501501501502</v>
      </c>
      <c r="D4" s="155">
        <f>B4/C4</f>
        <v>1.187388570892371</v>
      </c>
    </row>
    <row r="5" spans="1:6" ht="21" customHeight="1">
      <c r="A5" s="156">
        <v>2</v>
      </c>
      <c r="B5" s="157">
        <v>1800</v>
      </c>
      <c r="C5" s="158">
        <f t="shared" si="0"/>
        <v>1591.8876018876019</v>
      </c>
      <c r="D5" s="159">
        <f t="shared" ref="D5:D39" si="1">B5/C5</f>
        <v>1.1307330981569466</v>
      </c>
    </row>
    <row r="6" spans="1:6" ht="21" customHeight="1">
      <c r="A6" s="156">
        <v>3</v>
      </c>
      <c r="B6" s="157">
        <v>1800</v>
      </c>
      <c r="C6" s="158">
        <f t="shared" si="0"/>
        <v>1583.6250536250539</v>
      </c>
      <c r="D6" s="159">
        <f t="shared" si="1"/>
        <v>1.1366326870616534</v>
      </c>
    </row>
    <row r="7" spans="1:6" ht="21" customHeight="1">
      <c r="A7" s="156">
        <v>4</v>
      </c>
      <c r="B7" s="157">
        <v>2000</v>
      </c>
      <c r="C7" s="158">
        <f t="shared" si="0"/>
        <v>1575.3625053625055</v>
      </c>
      <c r="D7" s="159">
        <f t="shared" si="1"/>
        <v>1.269549067717453</v>
      </c>
    </row>
    <row r="8" spans="1:6" ht="21" customHeight="1">
      <c r="A8" s="156">
        <v>5</v>
      </c>
      <c r="B8" s="157">
        <v>1500</v>
      </c>
      <c r="C8" s="158">
        <f t="shared" si="0"/>
        <v>1567.0999570999572</v>
      </c>
      <c r="D8" s="159">
        <f t="shared" si="1"/>
        <v>0.9571820822303313</v>
      </c>
    </row>
    <row r="9" spans="1:6" ht="21" customHeight="1">
      <c r="A9" s="156">
        <v>6</v>
      </c>
      <c r="B9" s="157">
        <v>1900</v>
      </c>
      <c r="C9" s="158">
        <f t="shared" si="0"/>
        <v>1558.8374088374089</v>
      </c>
      <c r="D9" s="159">
        <f t="shared" si="1"/>
        <v>1.2188570720900471</v>
      </c>
    </row>
    <row r="10" spans="1:6" ht="21" customHeight="1">
      <c r="A10" s="156">
        <v>7</v>
      </c>
      <c r="B10" s="157">
        <v>1000</v>
      </c>
      <c r="C10" s="158">
        <f t="shared" si="0"/>
        <v>1550.5748605748606</v>
      </c>
      <c r="D10" s="159">
        <f t="shared" si="1"/>
        <v>0.64492210303813369</v>
      </c>
    </row>
    <row r="11" spans="1:6" ht="21" customHeight="1">
      <c r="A11" s="156">
        <v>8</v>
      </c>
      <c r="B11" s="157">
        <v>600</v>
      </c>
      <c r="C11" s="158">
        <f t="shared" si="0"/>
        <v>1542.3123123123125</v>
      </c>
      <c r="D11" s="159">
        <f t="shared" si="1"/>
        <v>0.38902626608773527</v>
      </c>
    </row>
    <row r="12" spans="1:6" ht="21" customHeight="1">
      <c r="A12" s="156">
        <v>9</v>
      </c>
      <c r="B12" s="157">
        <v>1800</v>
      </c>
      <c r="C12" s="158">
        <f t="shared" si="0"/>
        <v>1534.0497640497642</v>
      </c>
      <c r="D12" s="159">
        <f t="shared" si="1"/>
        <v>1.1733648035303295</v>
      </c>
    </row>
    <row r="13" spans="1:6" ht="21" customHeight="1">
      <c r="A13" s="156">
        <v>10</v>
      </c>
      <c r="B13" s="157">
        <v>2000</v>
      </c>
      <c r="C13" s="158">
        <f t="shared" si="0"/>
        <v>1525.7872157872159</v>
      </c>
      <c r="D13" s="159">
        <f t="shared" si="1"/>
        <v>1.3107987662408866</v>
      </c>
    </row>
    <row r="14" spans="1:6" ht="21" customHeight="1">
      <c r="A14" s="156">
        <v>11</v>
      </c>
      <c r="B14" s="157">
        <v>1600</v>
      </c>
      <c r="C14" s="158">
        <f t="shared" si="0"/>
        <v>1517.5246675246676</v>
      </c>
      <c r="D14" s="159">
        <f t="shared" si="1"/>
        <v>1.0543485942866835</v>
      </c>
    </row>
    <row r="15" spans="1:6" ht="21" customHeight="1" thickBot="1">
      <c r="A15" s="160">
        <v>12</v>
      </c>
      <c r="B15" s="161">
        <v>1200</v>
      </c>
      <c r="C15" s="162">
        <f t="shared" si="0"/>
        <v>1509.2621192621195</v>
      </c>
      <c r="D15" s="163">
        <f t="shared" si="1"/>
        <v>0.79509051786622842</v>
      </c>
    </row>
    <row r="16" spans="1:6" ht="21" customHeight="1" thickTop="1">
      <c r="A16" s="152">
        <v>13</v>
      </c>
      <c r="B16" s="153">
        <v>1800</v>
      </c>
      <c r="C16" s="154">
        <f t="shared" si="0"/>
        <v>1500.9995709995712</v>
      </c>
      <c r="D16" s="155">
        <f t="shared" si="1"/>
        <v>1.1992008757213124</v>
      </c>
    </row>
    <row r="17" spans="1:16" ht="21" customHeight="1">
      <c r="A17" s="156">
        <v>14</v>
      </c>
      <c r="B17" s="157">
        <v>1500</v>
      </c>
      <c r="C17" s="158">
        <f t="shared" si="0"/>
        <v>1492.7370227370229</v>
      </c>
      <c r="D17" s="159">
        <f t="shared" si="1"/>
        <v>1.0048655437309781</v>
      </c>
    </row>
    <row r="18" spans="1:16" ht="21" customHeight="1">
      <c r="A18" s="156">
        <v>15</v>
      </c>
      <c r="B18" s="157">
        <v>1700</v>
      </c>
      <c r="C18" s="158">
        <f t="shared" si="0"/>
        <v>1484.4744744744746</v>
      </c>
      <c r="D18" s="159">
        <f t="shared" si="1"/>
        <v>1.1451864139340115</v>
      </c>
    </row>
    <row r="19" spans="1:16" ht="21" customHeight="1">
      <c r="A19" s="156">
        <v>16</v>
      </c>
      <c r="B19" s="157">
        <v>1200</v>
      </c>
      <c r="C19" s="158">
        <f t="shared" si="0"/>
        <v>1476.2119262119263</v>
      </c>
      <c r="D19" s="159">
        <f t="shared" si="1"/>
        <v>0.81289141395794884</v>
      </c>
    </row>
    <row r="20" spans="1:16" ht="21" customHeight="1">
      <c r="A20" s="156">
        <v>17</v>
      </c>
      <c r="B20" s="157">
        <v>1500</v>
      </c>
      <c r="C20" s="158">
        <f t="shared" si="0"/>
        <v>1467.9493779493782</v>
      </c>
      <c r="D20" s="159">
        <f t="shared" si="1"/>
        <v>1.0218336017113847</v>
      </c>
    </row>
    <row r="21" spans="1:16" ht="21" customHeight="1">
      <c r="A21" s="156">
        <v>18</v>
      </c>
      <c r="B21" s="157">
        <v>2200</v>
      </c>
      <c r="C21" s="158">
        <f t="shared" si="0"/>
        <v>1459.6868296868299</v>
      </c>
      <c r="D21" s="159">
        <f t="shared" si="1"/>
        <v>1.5071726039153215</v>
      </c>
    </row>
    <row r="22" spans="1:16" ht="21" customHeight="1">
      <c r="A22" s="156">
        <v>19</v>
      </c>
      <c r="B22" s="157">
        <v>500</v>
      </c>
      <c r="C22" s="158">
        <f t="shared" si="0"/>
        <v>1451.4242814242816</v>
      </c>
      <c r="D22" s="159">
        <f t="shared" si="1"/>
        <v>0.34448920718712955</v>
      </c>
    </row>
    <row r="23" spans="1:16" ht="21" customHeight="1">
      <c r="A23" s="156">
        <v>20</v>
      </c>
      <c r="B23" s="157">
        <v>200</v>
      </c>
      <c r="C23" s="158">
        <f t="shared" si="0"/>
        <v>1443.1617331617333</v>
      </c>
      <c r="D23" s="159">
        <f t="shared" si="1"/>
        <v>0.13858460587215851</v>
      </c>
    </row>
    <row r="24" spans="1:16" ht="21" customHeight="1">
      <c r="A24" s="156">
        <v>21</v>
      </c>
      <c r="B24" s="157">
        <v>1200</v>
      </c>
      <c r="C24" s="158">
        <f t="shared" si="0"/>
        <v>1434.899184899185</v>
      </c>
      <c r="D24" s="159">
        <f t="shared" si="1"/>
        <v>0.83629568727109649</v>
      </c>
    </row>
    <row r="25" spans="1:16" ht="21" customHeight="1">
      <c r="A25" s="156">
        <v>22</v>
      </c>
      <c r="B25" s="157">
        <v>1500</v>
      </c>
      <c r="C25" s="158">
        <f t="shared" si="0"/>
        <v>1426.6366366366369</v>
      </c>
      <c r="D25" s="159">
        <f t="shared" si="1"/>
        <v>1.0514240006735847</v>
      </c>
    </row>
    <row r="26" spans="1:16" ht="21" customHeight="1">
      <c r="A26" s="156">
        <v>23</v>
      </c>
      <c r="B26" s="157">
        <v>1300</v>
      </c>
      <c r="C26" s="158">
        <f t="shared" si="0"/>
        <v>1418.3740883740886</v>
      </c>
      <c r="D26" s="159">
        <f t="shared" si="1"/>
        <v>0.9165424063056713</v>
      </c>
    </row>
    <row r="27" spans="1:16" ht="21" customHeight="1" thickBot="1">
      <c r="A27" s="160">
        <v>24</v>
      </c>
      <c r="B27" s="161">
        <v>800</v>
      </c>
      <c r="C27" s="162">
        <f t="shared" si="0"/>
        <v>1410.1115401115403</v>
      </c>
      <c r="D27" s="163">
        <f t="shared" si="1"/>
        <v>0.56733100697602956</v>
      </c>
    </row>
    <row r="28" spans="1:16" ht="21" customHeight="1" thickTop="1">
      <c r="A28" s="152">
        <v>25</v>
      </c>
      <c r="B28" s="153">
        <v>1400</v>
      </c>
      <c r="C28" s="154">
        <f t="shared" si="0"/>
        <v>1401.848991848992</v>
      </c>
      <c r="D28" s="155">
        <f t="shared" si="1"/>
        <v>0.99868103350664517</v>
      </c>
    </row>
    <row r="29" spans="1:16" ht="21" customHeight="1">
      <c r="A29" s="156">
        <v>26</v>
      </c>
      <c r="B29" s="157">
        <v>1600</v>
      </c>
      <c r="C29" s="158">
        <f t="shared" si="0"/>
        <v>1393.5864435864437</v>
      </c>
      <c r="D29" s="159">
        <f t="shared" si="1"/>
        <v>1.1481167941633701</v>
      </c>
      <c r="P29" s="8" t="s">
        <v>329</v>
      </c>
    </row>
    <row r="30" spans="1:16" ht="21" customHeight="1">
      <c r="A30" s="156">
        <v>27</v>
      </c>
      <c r="B30" s="157">
        <v>2000</v>
      </c>
      <c r="C30" s="158">
        <f t="shared" si="0"/>
        <v>1385.3238953238956</v>
      </c>
      <c r="D30" s="159">
        <f t="shared" si="1"/>
        <v>1.4437056970943174</v>
      </c>
    </row>
    <row r="31" spans="1:16" ht="21" customHeight="1">
      <c r="A31" s="156">
        <v>28</v>
      </c>
      <c r="B31" s="157">
        <v>1500</v>
      </c>
      <c r="C31" s="158">
        <f t="shared" si="0"/>
        <v>1377.0613470613473</v>
      </c>
      <c r="D31" s="159">
        <f t="shared" si="1"/>
        <v>1.0892760901328065</v>
      </c>
    </row>
    <row r="32" spans="1:16" ht="21" customHeight="1">
      <c r="A32" s="156">
        <v>29</v>
      </c>
      <c r="B32" s="157">
        <v>1000</v>
      </c>
      <c r="C32" s="158">
        <f t="shared" si="0"/>
        <v>1368.798798798799</v>
      </c>
      <c r="D32" s="159">
        <f t="shared" si="1"/>
        <v>0.73056756104517218</v>
      </c>
    </row>
    <row r="33" spans="1:6" ht="21" customHeight="1">
      <c r="A33" s="156">
        <v>30</v>
      </c>
      <c r="B33" s="157">
        <v>2500</v>
      </c>
      <c r="C33" s="158">
        <f t="shared" si="0"/>
        <v>1360.5362505362507</v>
      </c>
      <c r="D33" s="159">
        <f t="shared" si="1"/>
        <v>1.8375107601981451</v>
      </c>
    </row>
    <row r="34" spans="1:6" ht="21" customHeight="1">
      <c r="A34" s="156">
        <v>31</v>
      </c>
      <c r="B34" s="157">
        <v>900</v>
      </c>
      <c r="C34" s="158">
        <f t="shared" si="0"/>
        <v>1352.2737022737024</v>
      </c>
      <c r="D34" s="159">
        <f t="shared" si="1"/>
        <v>0.66554573862284472</v>
      </c>
    </row>
    <row r="35" spans="1:6" ht="21" customHeight="1">
      <c r="A35" s="156">
        <v>32</v>
      </c>
      <c r="B35" s="157">
        <v>400</v>
      </c>
      <c r="C35" s="158">
        <f t="shared" si="0"/>
        <v>1344.0111540111543</v>
      </c>
      <c r="D35" s="159">
        <f t="shared" si="1"/>
        <v>0.29761657766471206</v>
      </c>
    </row>
    <row r="36" spans="1:6" ht="21" customHeight="1">
      <c r="A36" s="156">
        <v>33</v>
      </c>
      <c r="B36" s="157">
        <v>1200</v>
      </c>
      <c r="C36" s="158">
        <f t="shared" si="0"/>
        <v>1335.748605748606</v>
      </c>
      <c r="D36" s="159">
        <f t="shared" si="1"/>
        <v>0.89837263900977304</v>
      </c>
    </row>
    <row r="37" spans="1:6" ht="21" customHeight="1">
      <c r="A37" s="156">
        <v>34</v>
      </c>
      <c r="B37" s="157">
        <v>2400</v>
      </c>
      <c r="C37" s="158">
        <f t="shared" si="0"/>
        <v>1327.4860574860577</v>
      </c>
      <c r="D37" s="159">
        <f t="shared" si="1"/>
        <v>1.8079285928961304</v>
      </c>
    </row>
    <row r="38" spans="1:6" ht="21" customHeight="1">
      <c r="A38" s="156">
        <v>35</v>
      </c>
      <c r="B38" s="157">
        <v>2000</v>
      </c>
      <c r="C38" s="158">
        <f t="shared" si="0"/>
        <v>1319.2235092235096</v>
      </c>
      <c r="D38" s="159">
        <f t="shared" si="1"/>
        <v>1.5160433285313366</v>
      </c>
    </row>
    <row r="39" spans="1:6" ht="21" customHeight="1" thickBot="1">
      <c r="A39" s="160">
        <v>36</v>
      </c>
      <c r="B39" s="161">
        <v>1000</v>
      </c>
      <c r="C39" s="162">
        <f t="shared" si="0"/>
        <v>1310.9609609609611</v>
      </c>
      <c r="D39" s="163">
        <f t="shared" si="1"/>
        <v>0.76279922116596033</v>
      </c>
    </row>
    <row r="40" spans="1:6" ht="15.6" thickTop="1">
      <c r="D40" s="10"/>
    </row>
    <row r="41" spans="1:6" ht="15.6">
      <c r="A41" s="648" t="s">
        <v>104</v>
      </c>
      <c r="B41" s="648"/>
    </row>
    <row r="42" spans="1:6">
      <c r="A42" s="9" t="s">
        <v>105</v>
      </c>
      <c r="B42" s="9" t="s">
        <v>106</v>
      </c>
    </row>
    <row r="43" spans="1:6" ht="15.6">
      <c r="A43" s="649">
        <f>SLOPE(B4:B39,A4:A39)</f>
        <v>-8.2625482625482594</v>
      </c>
      <c r="B43" s="649">
        <f>INTERCEPT(B4:B39,A4:A39)</f>
        <v>1608.4126984126985</v>
      </c>
    </row>
    <row r="44" spans="1:6" ht="15.6">
      <c r="D44" s="132" t="s">
        <v>310</v>
      </c>
      <c r="E44" s="132"/>
      <c r="F44" s="132"/>
    </row>
    <row r="45" spans="1:6" ht="15.6">
      <c r="B45" s="133" t="s">
        <v>271</v>
      </c>
      <c r="C45" s="130" t="s">
        <v>113</v>
      </c>
      <c r="D45" s="128" t="s">
        <v>111</v>
      </c>
      <c r="E45" s="128" t="s">
        <v>112</v>
      </c>
      <c r="F45" s="129" t="s">
        <v>259</v>
      </c>
    </row>
    <row r="46" spans="1:6">
      <c r="A46" s="141" t="s">
        <v>92</v>
      </c>
      <c r="B46" s="142">
        <f t="shared" ref="B46:B57" si="2">(D4+D16+D28)/3</f>
        <v>1.1284234933734429</v>
      </c>
      <c r="C46" s="143">
        <v>37</v>
      </c>
      <c r="D46" s="144">
        <f t="shared" ref="D46:D57" si="3">C46*$A$43+$B$43</f>
        <v>1302.698412698413</v>
      </c>
      <c r="E46" s="144">
        <f>D46*B46</f>
        <v>1469.9954936691822</v>
      </c>
      <c r="F46" s="144">
        <f>ROUNDDOWN(E46*1.05,0)</f>
        <v>1543</v>
      </c>
    </row>
    <row r="47" spans="1:6">
      <c r="A47" s="145" t="s">
        <v>93</v>
      </c>
      <c r="B47" s="146">
        <f t="shared" si="2"/>
        <v>1.0945718120170984</v>
      </c>
      <c r="C47" s="147">
        <v>38</v>
      </c>
      <c r="D47" s="148">
        <f t="shared" si="3"/>
        <v>1294.4358644358647</v>
      </c>
      <c r="E47" s="148">
        <f t="shared" ref="E47:E57" si="4">D47*B47</f>
        <v>1416.8530096754835</v>
      </c>
      <c r="F47" s="148">
        <f t="shared" ref="F47:F57" si="5">ROUNDDOWN(E47*1.05,0)</f>
        <v>1487</v>
      </c>
    </row>
    <row r="48" spans="1:6">
      <c r="A48" s="145" t="s">
        <v>94</v>
      </c>
      <c r="B48" s="146">
        <f t="shared" si="2"/>
        <v>1.2418415993633274</v>
      </c>
      <c r="C48" s="147">
        <v>39</v>
      </c>
      <c r="D48" s="148">
        <f t="shared" si="3"/>
        <v>1286.1733161733164</v>
      </c>
      <c r="E48" s="148">
        <f t="shared" si="4"/>
        <v>1597.2235280151058</v>
      </c>
      <c r="F48" s="148">
        <f t="shared" si="5"/>
        <v>1677</v>
      </c>
    </row>
    <row r="49" spans="1:6">
      <c r="A49" s="145" t="s">
        <v>95</v>
      </c>
      <c r="B49" s="146">
        <f t="shared" si="2"/>
        <v>1.0572388572694027</v>
      </c>
      <c r="C49" s="147">
        <v>40</v>
      </c>
      <c r="D49" s="148">
        <f t="shared" si="3"/>
        <v>1277.9107679107683</v>
      </c>
      <c r="E49" s="148">
        <f t="shared" si="4"/>
        <v>1351.0569199582455</v>
      </c>
      <c r="F49" s="148">
        <f t="shared" si="5"/>
        <v>1418</v>
      </c>
    </row>
    <row r="50" spans="1:6">
      <c r="A50" s="145" t="s">
        <v>96</v>
      </c>
      <c r="B50" s="146">
        <f t="shared" si="2"/>
        <v>0.90319441499562947</v>
      </c>
      <c r="C50" s="147">
        <v>41</v>
      </c>
      <c r="D50" s="148">
        <f t="shared" si="3"/>
        <v>1269.64821964822</v>
      </c>
      <c r="E50" s="148">
        <f t="shared" si="4"/>
        <v>1146.7391809954165</v>
      </c>
      <c r="F50" s="148">
        <f t="shared" si="5"/>
        <v>1204</v>
      </c>
    </row>
    <row r="51" spans="1:6">
      <c r="A51" s="145" t="s">
        <v>97</v>
      </c>
      <c r="B51" s="146">
        <f t="shared" si="2"/>
        <v>1.5211801454011713</v>
      </c>
      <c r="C51" s="147">
        <v>42</v>
      </c>
      <c r="D51" s="148">
        <f t="shared" si="3"/>
        <v>1261.3856713856717</v>
      </c>
      <c r="E51" s="148">
        <f t="shared" si="4"/>
        <v>1918.79483900541</v>
      </c>
      <c r="F51" s="148">
        <f t="shared" si="5"/>
        <v>2014</v>
      </c>
    </row>
    <row r="52" spans="1:6">
      <c r="A52" s="145" t="s">
        <v>98</v>
      </c>
      <c r="B52" s="146">
        <f t="shared" si="2"/>
        <v>0.55165234961603604</v>
      </c>
      <c r="C52" s="147">
        <v>43</v>
      </c>
      <c r="D52" s="148">
        <f t="shared" si="3"/>
        <v>1253.1231231231234</v>
      </c>
      <c r="E52" s="148">
        <f t="shared" si="4"/>
        <v>691.28831522905625</v>
      </c>
      <c r="F52" s="148">
        <f t="shared" si="5"/>
        <v>725</v>
      </c>
    </row>
    <row r="53" spans="1:6">
      <c r="A53" s="145" t="s">
        <v>99</v>
      </c>
      <c r="B53" s="146">
        <f t="shared" si="2"/>
        <v>0.27507581654153529</v>
      </c>
      <c r="C53" s="147">
        <v>44</v>
      </c>
      <c r="D53" s="148">
        <f t="shared" si="3"/>
        <v>1244.8605748605751</v>
      </c>
      <c r="E53" s="148">
        <f t="shared" si="4"/>
        <v>342.4310391101377</v>
      </c>
      <c r="F53" s="148">
        <f t="shared" si="5"/>
        <v>359</v>
      </c>
    </row>
    <row r="54" spans="1:6">
      <c r="A54" s="145" t="s">
        <v>100</v>
      </c>
      <c r="B54" s="146">
        <f t="shared" si="2"/>
        <v>0.96934437660373296</v>
      </c>
      <c r="C54" s="147">
        <v>45</v>
      </c>
      <c r="D54" s="148">
        <f t="shared" si="3"/>
        <v>1236.598026598027</v>
      </c>
      <c r="E54" s="148">
        <f t="shared" si="4"/>
        <v>1198.6893432020709</v>
      </c>
      <c r="F54" s="148">
        <f t="shared" si="5"/>
        <v>1258</v>
      </c>
    </row>
    <row r="55" spans="1:6">
      <c r="A55" s="145" t="s">
        <v>101</v>
      </c>
      <c r="B55" s="146">
        <f t="shared" si="2"/>
        <v>1.3900504532702005</v>
      </c>
      <c r="C55" s="147">
        <v>46</v>
      </c>
      <c r="D55" s="148">
        <f t="shared" si="3"/>
        <v>1228.3354783354787</v>
      </c>
      <c r="E55" s="148">
        <f t="shared" si="4"/>
        <v>1707.4482884281006</v>
      </c>
      <c r="F55" s="148">
        <f t="shared" si="5"/>
        <v>1792</v>
      </c>
    </row>
    <row r="56" spans="1:6">
      <c r="A56" s="145" t="s">
        <v>102</v>
      </c>
      <c r="B56" s="146">
        <f t="shared" si="2"/>
        <v>1.1623114430412305</v>
      </c>
      <c r="C56" s="147">
        <v>47</v>
      </c>
      <c r="D56" s="148">
        <f t="shared" si="3"/>
        <v>1220.0729300729304</v>
      </c>
      <c r="E56" s="148">
        <f t="shared" si="4"/>
        <v>1418.10472796861</v>
      </c>
      <c r="F56" s="148">
        <f t="shared" si="5"/>
        <v>1489</v>
      </c>
    </row>
    <row r="57" spans="1:6">
      <c r="A57" s="149" t="s">
        <v>103</v>
      </c>
      <c r="B57" s="150">
        <f t="shared" si="2"/>
        <v>0.70840691533607281</v>
      </c>
      <c r="C57" s="131">
        <v>48</v>
      </c>
      <c r="D57" s="151">
        <f t="shared" si="3"/>
        <v>1211.8103818103821</v>
      </c>
      <c r="E57" s="151">
        <f t="shared" si="4"/>
        <v>858.45485455052142</v>
      </c>
      <c r="F57" s="151">
        <f t="shared" si="5"/>
        <v>901</v>
      </c>
    </row>
    <row r="58" spans="1:6" ht="15.6">
      <c r="E58" s="12" t="s">
        <v>39</v>
      </c>
      <c r="F58" s="11">
        <f>SUM(F46:F57)</f>
        <v>15867</v>
      </c>
    </row>
  </sheetData>
  <phoneticPr fontId="0" type="noConversion"/>
  <pageMargins left="0.26" right="0.28000000000000003" top="0.43" bottom="0.35" header="0.28999999999999998" footer="0.24"/>
  <pageSetup paperSize="9" scale="95" orientation="portrait" r:id="rId1"/>
  <headerFooter alignWithMargins="0"/>
  <rowBreaks count="1" manualBreakCount="1">
    <brk id="39" max="16383" man="1"/>
  </rowBreaks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R65"/>
  <sheetViews>
    <sheetView showGridLines="0" topLeftCell="A41" zoomScale="85" zoomScaleNormal="85" workbookViewId="0">
      <selection activeCell="B34" sqref="B34"/>
    </sheetView>
  </sheetViews>
  <sheetFormatPr baseColWidth="10" defaultColWidth="11" defaultRowHeight="14.4"/>
  <cols>
    <col min="1" max="1" width="16.88671875" style="3" customWidth="1"/>
    <col min="2" max="2" width="13.44140625" style="3" customWidth="1"/>
    <col min="3" max="3" width="10" style="3" customWidth="1"/>
    <col min="4" max="4" width="10.33203125" style="3" customWidth="1"/>
    <col min="5" max="5" width="10.6640625" style="3" customWidth="1"/>
    <col min="6" max="6" width="9.44140625" style="3" customWidth="1"/>
    <col min="7" max="7" width="8.88671875" style="3" bestFit="1" customWidth="1"/>
    <col min="8" max="8" width="11.5546875" style="3" bestFit="1" customWidth="1"/>
    <col min="9" max="12" width="9.6640625" style="3" customWidth="1"/>
    <col min="13" max="13" width="10.44140625" style="3" customWidth="1"/>
    <col min="14" max="16384" width="11" style="3"/>
  </cols>
  <sheetData>
    <row r="1" spans="1:14">
      <c r="A1" s="55" t="s">
        <v>0</v>
      </c>
      <c r="B1" s="394" t="s">
        <v>20</v>
      </c>
      <c r="C1" s="394"/>
      <c r="D1" s="394"/>
      <c r="E1" s="394"/>
      <c r="F1" s="394"/>
      <c r="G1" s="394"/>
      <c r="H1" s="394"/>
      <c r="I1" s="65"/>
      <c r="J1" s="65"/>
      <c r="K1" s="65"/>
      <c r="L1" s="65"/>
      <c r="M1" s="65"/>
      <c r="N1" s="66"/>
    </row>
    <row r="2" spans="1:14">
      <c r="A2" s="134"/>
      <c r="B2" s="135" t="s">
        <v>1</v>
      </c>
      <c r="C2" s="135" t="s">
        <v>2</v>
      </c>
      <c r="D2" s="135" t="s">
        <v>3</v>
      </c>
      <c r="E2" s="135" t="s">
        <v>4</v>
      </c>
      <c r="F2" s="135" t="s">
        <v>5</v>
      </c>
      <c r="G2" s="135" t="s">
        <v>6</v>
      </c>
      <c r="H2" s="135" t="s">
        <v>7</v>
      </c>
      <c r="I2" s="135" t="s">
        <v>8</v>
      </c>
      <c r="J2" s="135" t="s">
        <v>9</v>
      </c>
      <c r="K2" s="135" t="s">
        <v>10</v>
      </c>
      <c r="L2" s="135" t="s">
        <v>11</v>
      </c>
      <c r="M2" s="135" t="s">
        <v>12</v>
      </c>
      <c r="N2" s="67"/>
    </row>
    <row r="3" spans="1:14">
      <c r="A3" s="164">
        <v>2015</v>
      </c>
      <c r="B3" s="49">
        <v>1900</v>
      </c>
      <c r="C3" s="49">
        <v>1800</v>
      </c>
      <c r="D3" s="49">
        <v>1800</v>
      </c>
      <c r="E3" s="49">
        <v>2000</v>
      </c>
      <c r="F3" s="49">
        <v>1500</v>
      </c>
      <c r="G3" s="49">
        <v>1900</v>
      </c>
      <c r="H3" s="49">
        <v>1000</v>
      </c>
      <c r="I3" s="49">
        <v>600</v>
      </c>
      <c r="J3" s="49">
        <v>1800</v>
      </c>
      <c r="K3" s="49">
        <v>2000</v>
      </c>
      <c r="L3" s="49">
        <v>1600</v>
      </c>
      <c r="M3" s="49">
        <v>1200</v>
      </c>
      <c r="N3" s="67"/>
    </row>
    <row r="4" spans="1:14">
      <c r="A4" s="165">
        <v>2016</v>
      </c>
      <c r="B4" s="166">
        <v>1800</v>
      </c>
      <c r="C4" s="166">
        <v>1500</v>
      </c>
      <c r="D4" s="166">
        <v>1700</v>
      </c>
      <c r="E4" s="166">
        <v>1200</v>
      </c>
      <c r="F4" s="166">
        <v>1500</v>
      </c>
      <c r="G4" s="166">
        <v>2200</v>
      </c>
      <c r="H4" s="166">
        <v>500</v>
      </c>
      <c r="I4" s="166">
        <v>200</v>
      </c>
      <c r="J4" s="166">
        <v>1200</v>
      </c>
      <c r="K4" s="166">
        <v>1500</v>
      </c>
      <c r="L4" s="166">
        <v>1300</v>
      </c>
      <c r="M4" s="166">
        <v>800</v>
      </c>
      <c r="N4" s="67"/>
    </row>
    <row r="5" spans="1:14">
      <c r="A5" s="167">
        <v>2017</v>
      </c>
      <c r="B5" s="168">
        <v>1400</v>
      </c>
      <c r="C5" s="168">
        <v>1600</v>
      </c>
      <c r="D5" s="168">
        <v>2000</v>
      </c>
      <c r="E5" s="168">
        <v>1500</v>
      </c>
      <c r="F5" s="168">
        <v>1000</v>
      </c>
      <c r="G5" s="168">
        <v>2500</v>
      </c>
      <c r="H5" s="168">
        <v>900</v>
      </c>
      <c r="I5" s="168">
        <v>400</v>
      </c>
      <c r="J5" s="168">
        <v>1200</v>
      </c>
      <c r="K5" s="168">
        <v>2400</v>
      </c>
      <c r="L5" s="168">
        <v>2000</v>
      </c>
      <c r="M5" s="168">
        <v>1000</v>
      </c>
      <c r="N5" s="67"/>
    </row>
    <row r="6" spans="1:14">
      <c r="A6" s="69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7"/>
    </row>
    <row r="7" spans="1:14">
      <c r="A7" s="120" t="s">
        <v>13</v>
      </c>
      <c r="B7" s="395" t="s">
        <v>311</v>
      </c>
      <c r="C7" s="395"/>
      <c r="D7" s="395"/>
      <c r="E7" s="395"/>
      <c r="F7" s="395"/>
      <c r="G7" s="395"/>
      <c r="H7" s="68"/>
      <c r="I7" s="68"/>
      <c r="J7" s="68"/>
      <c r="K7" s="68"/>
      <c r="L7" s="68"/>
      <c r="M7" s="68"/>
      <c r="N7" s="67"/>
    </row>
    <row r="8" spans="1:14">
      <c r="A8" s="134"/>
      <c r="B8" s="136">
        <v>43101</v>
      </c>
      <c r="C8" s="136">
        <v>43132</v>
      </c>
      <c r="D8" s="136">
        <v>43160</v>
      </c>
      <c r="E8" s="241">
        <v>43191</v>
      </c>
      <c r="F8" s="241">
        <v>43221</v>
      </c>
      <c r="G8" s="241">
        <v>43252</v>
      </c>
      <c r="H8" s="241">
        <v>43282</v>
      </c>
      <c r="I8" s="241">
        <v>43313</v>
      </c>
      <c r="J8" s="241">
        <v>43344</v>
      </c>
      <c r="K8" s="241">
        <v>43374</v>
      </c>
      <c r="L8" s="241">
        <v>43405</v>
      </c>
      <c r="M8" s="241">
        <v>43435</v>
      </c>
      <c r="N8" s="137" t="s">
        <v>39</v>
      </c>
    </row>
    <row r="9" spans="1:14">
      <c r="A9" s="169" t="s">
        <v>14</v>
      </c>
      <c r="B9" s="92">
        <v>2</v>
      </c>
      <c r="C9" s="92"/>
      <c r="D9" s="92">
        <v>2</v>
      </c>
      <c r="E9" s="92"/>
      <c r="F9" s="92"/>
      <c r="G9" s="92">
        <v>1</v>
      </c>
      <c r="H9" s="92"/>
      <c r="I9" s="92"/>
      <c r="J9" s="92">
        <v>2</v>
      </c>
      <c r="K9" s="92"/>
      <c r="L9" s="92"/>
      <c r="M9" s="92">
        <v>1</v>
      </c>
      <c r="N9" s="170">
        <f>+SUM(B9:M9)</f>
        <v>8</v>
      </c>
    </row>
    <row r="10" spans="1:14">
      <c r="A10" s="171" t="s">
        <v>15</v>
      </c>
      <c r="B10" s="172">
        <v>1</v>
      </c>
      <c r="C10" s="172"/>
      <c r="D10" s="172"/>
      <c r="E10" s="172"/>
      <c r="F10" s="172">
        <v>3</v>
      </c>
      <c r="G10" s="172"/>
      <c r="H10" s="172"/>
      <c r="I10" s="172"/>
      <c r="J10" s="172"/>
      <c r="K10" s="172"/>
      <c r="L10" s="172"/>
      <c r="M10" s="172"/>
      <c r="N10" s="173">
        <f t="shared" ref="N10:N16" si="0">+SUM(B10:M10)</f>
        <v>4</v>
      </c>
    </row>
    <row r="11" spans="1:14" s="7" customFormat="1">
      <c r="A11" s="56" t="s">
        <v>88</v>
      </c>
      <c r="B11" s="140">
        <f>+B9+B10</f>
        <v>3</v>
      </c>
      <c r="C11" s="140">
        <f t="shared" ref="C11:N11" si="1">+C9+C10</f>
        <v>0</v>
      </c>
      <c r="D11" s="140">
        <f t="shared" si="1"/>
        <v>2</v>
      </c>
      <c r="E11" s="140">
        <f t="shared" si="1"/>
        <v>0</v>
      </c>
      <c r="F11" s="140">
        <f t="shared" si="1"/>
        <v>3</v>
      </c>
      <c r="G11" s="140">
        <f t="shared" si="1"/>
        <v>1</v>
      </c>
      <c r="H11" s="140">
        <f t="shared" si="1"/>
        <v>0</v>
      </c>
      <c r="I11" s="140">
        <f t="shared" si="1"/>
        <v>0</v>
      </c>
      <c r="J11" s="140">
        <f t="shared" si="1"/>
        <v>2</v>
      </c>
      <c r="K11" s="140">
        <f t="shared" si="1"/>
        <v>0</v>
      </c>
      <c r="L11" s="140">
        <f t="shared" si="1"/>
        <v>0</v>
      </c>
      <c r="M11" s="140">
        <f t="shared" si="1"/>
        <v>1</v>
      </c>
      <c r="N11" s="139">
        <f t="shared" si="1"/>
        <v>12</v>
      </c>
    </row>
    <row r="12" spans="1:14">
      <c r="A12" s="174" t="s">
        <v>16</v>
      </c>
      <c r="B12" s="92"/>
      <c r="C12" s="92">
        <v>2</v>
      </c>
      <c r="D12" s="92">
        <v>3</v>
      </c>
      <c r="E12" s="92">
        <v>1</v>
      </c>
      <c r="F12" s="92"/>
      <c r="G12" s="92"/>
      <c r="H12" s="92"/>
      <c r="I12" s="92">
        <v>2</v>
      </c>
      <c r="J12" s="92"/>
      <c r="K12" s="92">
        <v>2</v>
      </c>
      <c r="L12" s="92">
        <v>1</v>
      </c>
      <c r="M12" s="92"/>
      <c r="N12" s="170">
        <f t="shared" si="0"/>
        <v>11</v>
      </c>
    </row>
    <row r="13" spans="1:14">
      <c r="A13" s="175" t="s">
        <v>17</v>
      </c>
      <c r="B13" s="172"/>
      <c r="C13" s="172"/>
      <c r="D13" s="172"/>
      <c r="E13" s="172">
        <v>4</v>
      </c>
      <c r="F13" s="172"/>
      <c r="G13" s="172"/>
      <c r="H13" s="172"/>
      <c r="I13" s="172"/>
      <c r="J13" s="172"/>
      <c r="K13" s="172"/>
      <c r="L13" s="172">
        <v>2</v>
      </c>
      <c r="M13" s="172"/>
      <c r="N13" s="173">
        <f t="shared" si="0"/>
        <v>6</v>
      </c>
    </row>
    <row r="14" spans="1:14" s="7" customFormat="1">
      <c r="A14" s="57" t="s">
        <v>89</v>
      </c>
      <c r="B14" s="140">
        <f>+B12+B13</f>
        <v>0</v>
      </c>
      <c r="C14" s="140">
        <f t="shared" ref="C14:N14" si="2">+C12+C13</f>
        <v>2</v>
      </c>
      <c r="D14" s="140">
        <f t="shared" si="2"/>
        <v>3</v>
      </c>
      <c r="E14" s="140">
        <f t="shared" si="2"/>
        <v>5</v>
      </c>
      <c r="F14" s="140">
        <f t="shared" si="2"/>
        <v>0</v>
      </c>
      <c r="G14" s="140">
        <f t="shared" si="2"/>
        <v>0</v>
      </c>
      <c r="H14" s="140">
        <f t="shared" si="2"/>
        <v>0</v>
      </c>
      <c r="I14" s="140">
        <f t="shared" si="2"/>
        <v>2</v>
      </c>
      <c r="J14" s="140">
        <f t="shared" si="2"/>
        <v>0</v>
      </c>
      <c r="K14" s="140">
        <f t="shared" si="2"/>
        <v>2</v>
      </c>
      <c r="L14" s="140">
        <f t="shared" si="2"/>
        <v>3</v>
      </c>
      <c r="M14" s="140">
        <f t="shared" si="2"/>
        <v>0</v>
      </c>
      <c r="N14" s="139">
        <f t="shared" si="2"/>
        <v>17</v>
      </c>
    </row>
    <row r="15" spans="1:14">
      <c r="A15" s="176" t="s">
        <v>18</v>
      </c>
      <c r="B15" s="92"/>
      <c r="C15" s="92">
        <v>1</v>
      </c>
      <c r="D15" s="92"/>
      <c r="E15" s="92"/>
      <c r="F15" s="92">
        <v>1</v>
      </c>
      <c r="G15" s="92"/>
      <c r="H15" s="92"/>
      <c r="I15" s="92"/>
      <c r="J15" s="92"/>
      <c r="K15" s="92"/>
      <c r="L15" s="92">
        <v>1</v>
      </c>
      <c r="M15" s="92"/>
      <c r="N15" s="170">
        <f t="shared" si="0"/>
        <v>3</v>
      </c>
    </row>
    <row r="16" spans="1:14">
      <c r="A16" s="177" t="s">
        <v>19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>
        <v>1</v>
      </c>
      <c r="L16" s="172"/>
      <c r="M16" s="172">
        <v>1</v>
      </c>
      <c r="N16" s="173">
        <f t="shared" si="0"/>
        <v>2</v>
      </c>
    </row>
    <row r="17" spans="1:18" s="7" customFormat="1">
      <c r="A17" s="58" t="s">
        <v>90</v>
      </c>
      <c r="B17" s="140">
        <f>+B15+B16</f>
        <v>0</v>
      </c>
      <c r="C17" s="140">
        <f t="shared" ref="C17:N17" si="3">+C15+C16</f>
        <v>1</v>
      </c>
      <c r="D17" s="140">
        <f t="shared" si="3"/>
        <v>0</v>
      </c>
      <c r="E17" s="140">
        <f t="shared" si="3"/>
        <v>0</v>
      </c>
      <c r="F17" s="140">
        <f t="shared" si="3"/>
        <v>1</v>
      </c>
      <c r="G17" s="140">
        <f t="shared" si="3"/>
        <v>0</v>
      </c>
      <c r="H17" s="140">
        <f t="shared" si="3"/>
        <v>0</v>
      </c>
      <c r="I17" s="140">
        <f t="shared" si="3"/>
        <v>0</v>
      </c>
      <c r="J17" s="140">
        <f t="shared" si="3"/>
        <v>0</v>
      </c>
      <c r="K17" s="140">
        <f t="shared" si="3"/>
        <v>1</v>
      </c>
      <c r="L17" s="140">
        <f t="shared" si="3"/>
        <v>1</v>
      </c>
      <c r="M17" s="140">
        <f t="shared" si="3"/>
        <v>1</v>
      </c>
      <c r="N17" s="139">
        <f t="shared" si="3"/>
        <v>5</v>
      </c>
      <c r="P17" s="3"/>
      <c r="Q17" s="3"/>
      <c r="R17" s="3"/>
    </row>
    <row r="18" spans="1:18">
      <c r="A18" s="69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7"/>
      <c r="R18" s="100"/>
    </row>
    <row r="19" spans="1:18">
      <c r="A19" s="101" t="s">
        <v>267</v>
      </c>
      <c r="B19" s="102">
        <v>0.2</v>
      </c>
      <c r="C19" s="68"/>
      <c r="D19" s="68"/>
      <c r="E19" s="68"/>
      <c r="F19" s="68"/>
      <c r="G19" s="426" t="s">
        <v>302</v>
      </c>
      <c r="H19" s="427"/>
      <c r="I19" s="427"/>
      <c r="J19" s="427"/>
      <c r="K19" s="427"/>
      <c r="L19" s="428"/>
      <c r="M19" s="98">
        <v>1.1000000000000001</v>
      </c>
      <c r="N19" s="67"/>
      <c r="R19" s="100"/>
    </row>
    <row r="20" spans="1:18">
      <c r="A20" s="69"/>
      <c r="B20" s="68"/>
      <c r="C20" s="68"/>
      <c r="D20" s="68"/>
      <c r="E20" s="68"/>
      <c r="F20" s="68"/>
      <c r="G20" s="97" t="s">
        <v>303</v>
      </c>
      <c r="H20" s="97"/>
      <c r="I20" s="97"/>
      <c r="J20" s="97"/>
      <c r="K20" s="97"/>
      <c r="L20" s="97"/>
      <c r="M20" s="98">
        <v>1.1499999999999999</v>
      </c>
      <c r="N20" s="67"/>
      <c r="R20" s="100"/>
    </row>
    <row r="21" spans="1:18" ht="15" thickBot="1">
      <c r="A21" s="69"/>
      <c r="B21" s="68"/>
      <c r="C21" s="68"/>
      <c r="D21" s="68"/>
      <c r="E21" s="68"/>
      <c r="F21" s="68"/>
      <c r="G21" s="97" t="s">
        <v>304</v>
      </c>
      <c r="H21" s="97"/>
      <c r="I21" s="97"/>
      <c r="J21" s="97"/>
      <c r="K21" s="97"/>
      <c r="L21" s="97"/>
      <c r="M21" s="98">
        <v>1.17</v>
      </c>
      <c r="N21" s="67"/>
    </row>
    <row r="22" spans="1:18" ht="15" thickTop="1">
      <c r="A22" s="405" t="s">
        <v>305</v>
      </c>
      <c r="B22" s="406"/>
      <c r="C22" s="406"/>
      <c r="D22" s="406"/>
      <c r="E22" s="406"/>
      <c r="F22" s="406"/>
      <c r="G22" s="407"/>
      <c r="H22" s="408" t="s">
        <v>306</v>
      </c>
      <c r="I22" s="406"/>
      <c r="J22" s="406"/>
      <c r="K22" s="406"/>
      <c r="L22" s="406"/>
      <c r="M22" s="406"/>
      <c r="N22" s="409"/>
    </row>
    <row r="23" spans="1:18">
      <c r="A23" s="202" t="s">
        <v>50</v>
      </c>
      <c r="B23" s="197" t="s">
        <v>56</v>
      </c>
      <c r="C23" s="135" t="s">
        <v>51</v>
      </c>
      <c r="D23" s="135" t="s">
        <v>57</v>
      </c>
      <c r="E23" s="135" t="s">
        <v>58</v>
      </c>
      <c r="F23" s="135" t="s">
        <v>59</v>
      </c>
      <c r="G23" s="199" t="s">
        <v>52</v>
      </c>
      <c r="H23" s="203" t="s">
        <v>50</v>
      </c>
      <c r="I23" s="189" t="s">
        <v>245</v>
      </c>
      <c r="J23" s="135" t="s">
        <v>223</v>
      </c>
      <c r="K23" s="135" t="s">
        <v>57</v>
      </c>
      <c r="L23" s="135" t="s">
        <v>58</v>
      </c>
      <c r="M23" s="135" t="s">
        <v>59</v>
      </c>
      <c r="N23" s="138" t="s">
        <v>52</v>
      </c>
    </row>
    <row r="24" spans="1:18">
      <c r="A24" s="169" t="s">
        <v>254</v>
      </c>
      <c r="B24" s="92">
        <v>150</v>
      </c>
      <c r="C24" s="92">
        <v>300</v>
      </c>
      <c r="D24" s="92">
        <v>250</v>
      </c>
      <c r="E24" s="92">
        <v>200</v>
      </c>
      <c r="F24" s="92">
        <v>400</v>
      </c>
      <c r="G24" s="93">
        <v>75</v>
      </c>
      <c r="H24" s="653" t="s">
        <v>254</v>
      </c>
      <c r="I24" s="659">
        <f>B24</f>
        <v>150</v>
      </c>
      <c r="J24" s="660">
        <f>C24</f>
        <v>300</v>
      </c>
      <c r="K24" s="660">
        <f t="shared" ref="K24:L24" si="4">D24</f>
        <v>250</v>
      </c>
      <c r="L24" s="660">
        <f t="shared" si="4"/>
        <v>200</v>
      </c>
      <c r="M24" s="661">
        <f>F24*0.95</f>
        <v>380</v>
      </c>
      <c r="N24" s="661">
        <f>G24*1.02</f>
        <v>76.5</v>
      </c>
    </row>
    <row r="25" spans="1:18">
      <c r="A25" s="171" t="s">
        <v>268</v>
      </c>
      <c r="B25" s="172">
        <v>190.4</v>
      </c>
      <c r="C25" s="172"/>
      <c r="D25" s="172"/>
      <c r="E25" s="172"/>
      <c r="F25" s="172"/>
      <c r="G25" s="178"/>
      <c r="H25" s="654" t="s">
        <v>268</v>
      </c>
      <c r="I25" s="662">
        <f t="shared" ref="I25:I29" si="5">B25</f>
        <v>190.4</v>
      </c>
      <c r="J25" s="663"/>
      <c r="K25" s="664"/>
      <c r="L25" s="664"/>
      <c r="M25" s="664">
        <f t="shared" ref="M25:M30" si="6">F25*0.95</f>
        <v>0</v>
      </c>
      <c r="N25" s="664">
        <f t="shared" ref="N25:N30" si="7">G25*1.02</f>
        <v>0</v>
      </c>
    </row>
    <row r="26" spans="1:18">
      <c r="A26" s="179" t="s">
        <v>255</v>
      </c>
      <c r="B26" s="92">
        <v>250</v>
      </c>
      <c r="C26" s="92">
        <v>500</v>
      </c>
      <c r="D26" s="92">
        <v>375</v>
      </c>
      <c r="E26" s="92">
        <v>300</v>
      </c>
      <c r="F26" s="92">
        <v>550</v>
      </c>
      <c r="G26" s="93">
        <v>100</v>
      </c>
      <c r="H26" s="655" t="s">
        <v>255</v>
      </c>
      <c r="I26" s="659">
        <f t="shared" si="5"/>
        <v>250</v>
      </c>
      <c r="J26" s="660">
        <f>C26</f>
        <v>500</v>
      </c>
      <c r="K26" s="660">
        <f t="shared" ref="K26:L26" si="8">D26</f>
        <v>375</v>
      </c>
      <c r="L26" s="660">
        <f t="shared" si="8"/>
        <v>300</v>
      </c>
      <c r="M26" s="661">
        <f t="shared" si="6"/>
        <v>522.5</v>
      </c>
      <c r="N26" s="661">
        <f t="shared" si="7"/>
        <v>102</v>
      </c>
    </row>
    <row r="27" spans="1:18">
      <c r="A27" s="180" t="s">
        <v>269</v>
      </c>
      <c r="B27" s="172">
        <v>315</v>
      </c>
      <c r="C27" s="172"/>
      <c r="D27" s="172"/>
      <c r="E27" s="172"/>
      <c r="F27" s="172"/>
      <c r="G27" s="178"/>
      <c r="H27" s="656" t="s">
        <v>269</v>
      </c>
      <c r="I27" s="662">
        <f t="shared" si="5"/>
        <v>315</v>
      </c>
      <c r="J27" s="663"/>
      <c r="K27" s="664"/>
      <c r="L27" s="664"/>
      <c r="M27" s="664">
        <f t="shared" si="6"/>
        <v>0</v>
      </c>
      <c r="N27" s="664">
        <f t="shared" si="7"/>
        <v>0</v>
      </c>
    </row>
    <row r="28" spans="1:18">
      <c r="A28" s="176" t="s">
        <v>18</v>
      </c>
      <c r="B28" s="92">
        <v>500</v>
      </c>
      <c r="C28" s="92">
        <v>800</v>
      </c>
      <c r="D28" s="92">
        <v>600</v>
      </c>
      <c r="E28" s="92">
        <v>400</v>
      </c>
      <c r="F28" s="92">
        <v>950</v>
      </c>
      <c r="G28" s="93">
        <v>240</v>
      </c>
      <c r="H28" s="657" t="s">
        <v>18</v>
      </c>
      <c r="I28" s="659">
        <f t="shared" si="5"/>
        <v>500</v>
      </c>
      <c r="J28" s="660">
        <f>C28</f>
        <v>800</v>
      </c>
      <c r="K28" s="660">
        <f t="shared" ref="K28:L28" si="9">D28</f>
        <v>600</v>
      </c>
      <c r="L28" s="660">
        <f t="shared" si="9"/>
        <v>400</v>
      </c>
      <c r="M28" s="661">
        <f t="shared" si="6"/>
        <v>902.5</v>
      </c>
      <c r="N28" s="661">
        <f t="shared" si="7"/>
        <v>244.8</v>
      </c>
    </row>
    <row r="29" spans="1:18">
      <c r="A29" s="177" t="s">
        <v>19</v>
      </c>
      <c r="B29" s="172">
        <v>625.1</v>
      </c>
      <c r="C29" s="172"/>
      <c r="D29" s="172"/>
      <c r="E29" s="172"/>
      <c r="F29" s="172"/>
      <c r="G29" s="178"/>
      <c r="H29" s="658" t="s">
        <v>19</v>
      </c>
      <c r="I29" s="662">
        <f t="shared" si="5"/>
        <v>625.1</v>
      </c>
      <c r="J29" s="663"/>
      <c r="K29" s="664"/>
      <c r="L29" s="664"/>
      <c r="M29" s="664">
        <f t="shared" si="6"/>
        <v>0</v>
      </c>
      <c r="N29" s="664">
        <f t="shared" si="7"/>
        <v>0</v>
      </c>
    </row>
    <row r="30" spans="1:18" ht="15" thickBot="1">
      <c r="A30" s="204" t="s">
        <v>60</v>
      </c>
      <c r="B30" s="63">
        <v>0.5</v>
      </c>
      <c r="C30" s="50"/>
      <c r="D30" s="50"/>
      <c r="E30" s="61">
        <f>2+5/60</f>
        <v>2.0833333333333335</v>
      </c>
      <c r="F30" s="50">
        <v>2</v>
      </c>
      <c r="G30" s="62">
        <v>0.14499999999999999</v>
      </c>
      <c r="H30" s="204" t="s">
        <v>60</v>
      </c>
      <c r="I30" s="665">
        <f>B30*1.02</f>
        <v>0.51</v>
      </c>
      <c r="J30" s="666">
        <f>C30</f>
        <v>0</v>
      </c>
      <c r="K30" s="666">
        <f t="shared" ref="K30:L30" si="10">D30</f>
        <v>0</v>
      </c>
      <c r="L30" s="686">
        <f t="shared" si="10"/>
        <v>2.0833333333333335</v>
      </c>
      <c r="M30" s="666">
        <f t="shared" si="6"/>
        <v>1.9</v>
      </c>
      <c r="N30" s="687">
        <f t="shared" si="7"/>
        <v>0.1479</v>
      </c>
    </row>
    <row r="31" spans="1:18" ht="15" thickTop="1">
      <c r="A31" s="69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7"/>
    </row>
    <row r="32" spans="1:18" ht="15" thickBot="1">
      <c r="A32" s="64" t="s">
        <v>307</v>
      </c>
      <c r="B32" s="189" t="s">
        <v>81</v>
      </c>
      <c r="C32" s="190" t="s">
        <v>62</v>
      </c>
      <c r="D32" s="190" t="s">
        <v>63</v>
      </c>
      <c r="E32" s="190" t="s">
        <v>64</v>
      </c>
      <c r="F32" s="190" t="s">
        <v>65</v>
      </c>
      <c r="G32" s="190" t="s">
        <v>52</v>
      </c>
      <c r="H32" s="190" t="s">
        <v>66</v>
      </c>
      <c r="I32" s="190" t="s">
        <v>288</v>
      </c>
      <c r="J32" s="190" t="s">
        <v>289</v>
      </c>
      <c r="K32" s="189" t="s">
        <v>256</v>
      </c>
      <c r="L32" s="190" t="s">
        <v>69</v>
      </c>
      <c r="M32" s="68"/>
      <c r="N32" s="67"/>
    </row>
    <row r="33" spans="1:18" ht="14.4" customHeight="1">
      <c r="A33" s="185" t="s">
        <v>70</v>
      </c>
      <c r="B33" s="181"/>
      <c r="C33" s="181">
        <v>7</v>
      </c>
      <c r="D33" s="181">
        <v>20</v>
      </c>
      <c r="E33" s="181">
        <v>32</v>
      </c>
      <c r="F33" s="181">
        <v>1</v>
      </c>
      <c r="G33" s="181"/>
      <c r="H33" s="181"/>
      <c r="I33" s="181"/>
      <c r="J33" s="181"/>
      <c r="K33" s="181"/>
      <c r="L33" s="191">
        <f t="shared" ref="L33:L38" si="11">SUM(B33:K33)</f>
        <v>60</v>
      </c>
      <c r="M33" s="429" t="s">
        <v>246</v>
      </c>
      <c r="N33" s="430"/>
    </row>
    <row r="34" spans="1:18" ht="14.4" customHeight="1">
      <c r="A34" s="186" t="s">
        <v>71</v>
      </c>
      <c r="B34" s="182">
        <v>8</v>
      </c>
      <c r="C34" s="182"/>
      <c r="D34" s="182"/>
      <c r="E34" s="182"/>
      <c r="F34" s="182">
        <v>1</v>
      </c>
      <c r="G34" s="182"/>
      <c r="H34" s="182"/>
      <c r="I34" s="182"/>
      <c r="J34" s="182"/>
      <c r="K34" s="182"/>
      <c r="L34" s="192">
        <f t="shared" si="11"/>
        <v>9</v>
      </c>
      <c r="M34" s="396"/>
      <c r="N34" s="397"/>
    </row>
    <row r="35" spans="1:18" ht="14.4" customHeight="1">
      <c r="A35" s="186" t="s">
        <v>72</v>
      </c>
      <c r="B35" s="182"/>
      <c r="C35" s="182">
        <v>1</v>
      </c>
      <c r="D35" s="182">
        <v>2</v>
      </c>
      <c r="E35" s="182">
        <v>3</v>
      </c>
      <c r="F35" s="182"/>
      <c r="G35" s="182">
        <v>3</v>
      </c>
      <c r="H35" s="182">
        <v>12</v>
      </c>
      <c r="I35" s="182">
        <v>6</v>
      </c>
      <c r="J35" s="182">
        <v>1</v>
      </c>
      <c r="K35" s="182">
        <v>1</v>
      </c>
      <c r="L35" s="192">
        <f t="shared" si="11"/>
        <v>29</v>
      </c>
      <c r="M35" s="431" t="s">
        <v>281</v>
      </c>
      <c r="N35" s="432"/>
      <c r="R35" s="3">
        <f>1617*L33+1771*L34+1771*L35+2695*L36+2695*L37+L38*3080</f>
        <v>230538</v>
      </c>
    </row>
    <row r="36" spans="1:18" ht="15" customHeight="1" thickBot="1">
      <c r="A36" s="186" t="s">
        <v>73</v>
      </c>
      <c r="B36" s="182">
        <v>5</v>
      </c>
      <c r="C36" s="182"/>
      <c r="D36" s="182"/>
      <c r="E36" s="182"/>
      <c r="F36" s="182"/>
      <c r="G36" s="182"/>
      <c r="H36" s="182"/>
      <c r="I36" s="182"/>
      <c r="J36" s="182"/>
      <c r="K36" s="182"/>
      <c r="L36" s="192">
        <f t="shared" si="11"/>
        <v>5</v>
      </c>
      <c r="M36" s="398"/>
      <c r="N36" s="399"/>
      <c r="R36" s="3">
        <f>B47/1.23</f>
        <v>3252.0325203252032</v>
      </c>
    </row>
    <row r="37" spans="1:18">
      <c r="A37" s="186" t="s">
        <v>74</v>
      </c>
      <c r="B37" s="182"/>
      <c r="C37" s="182"/>
      <c r="D37" s="182"/>
      <c r="E37" s="182"/>
      <c r="F37" s="182"/>
      <c r="G37" s="182">
        <v>1</v>
      </c>
      <c r="H37" s="182">
        <v>10</v>
      </c>
      <c r="I37" s="182">
        <v>2</v>
      </c>
      <c r="J37" s="182">
        <v>1</v>
      </c>
      <c r="K37" s="182">
        <v>1</v>
      </c>
      <c r="L37" s="192">
        <f t="shared" si="11"/>
        <v>15</v>
      </c>
      <c r="M37" s="68"/>
      <c r="N37" s="67"/>
      <c r="R37" s="3">
        <f>4000-(4000*0.23)/100</f>
        <v>3990.8</v>
      </c>
    </row>
    <row r="38" spans="1:18">
      <c r="A38" s="187" t="s">
        <v>75</v>
      </c>
      <c r="B38" s="183">
        <v>1</v>
      </c>
      <c r="C38" s="184">
        <f>1/3</f>
        <v>0.33333333333333331</v>
      </c>
      <c r="D38" s="184">
        <f>1/3</f>
        <v>0.33333333333333331</v>
      </c>
      <c r="E38" s="184">
        <f>1/3</f>
        <v>0.33333333333333331</v>
      </c>
      <c r="F38" s="183"/>
      <c r="G38" s="183"/>
      <c r="H38" s="183">
        <v>1</v>
      </c>
      <c r="I38" s="183">
        <v>1</v>
      </c>
      <c r="J38" s="183"/>
      <c r="K38" s="183"/>
      <c r="L38" s="193">
        <f t="shared" si="11"/>
        <v>4</v>
      </c>
      <c r="M38" s="68"/>
      <c r="N38" s="67"/>
    </row>
    <row r="39" spans="1:18" ht="15" thickBot="1">
      <c r="A39" s="188" t="s">
        <v>76</v>
      </c>
      <c r="B39" s="683">
        <f>SUMPRODUCT(B33:B38,$F$42:$F$47)/1000</f>
        <v>766.57875000000001</v>
      </c>
      <c r="C39" s="683">
        <f>SUMPRODUCT(C33:C38,$F$42:$F$47)/1000</f>
        <v>352.22916666666669</v>
      </c>
      <c r="D39" s="683">
        <f t="shared" ref="D39:J39" si="12">SUMPRODUCT(D33:D38,$F$42:$F$47)/1000</f>
        <v>920.91916666666668</v>
      </c>
      <c r="E39" s="683">
        <f t="shared" si="12"/>
        <v>1449.2629166666668</v>
      </c>
      <c r="F39" s="683">
        <f t="shared" si="12"/>
        <v>84.534999999999997</v>
      </c>
      <c r="G39" s="683">
        <f t="shared" si="12"/>
        <v>199.81</v>
      </c>
      <c r="H39" s="683">
        <f t="shared" si="12"/>
        <v>1279.5525</v>
      </c>
      <c r="I39" s="683">
        <f t="shared" si="12"/>
        <v>476.47</v>
      </c>
      <c r="J39" s="683">
        <f t="shared" si="12"/>
        <v>111.43249999999999</v>
      </c>
      <c r="K39" s="683">
        <f>SUMPRODUCT(K33:K38,$F$42:$F$47)/1000</f>
        <v>111.43249999999999</v>
      </c>
      <c r="L39" s="684">
        <f>SUM(B39:K39)</f>
        <v>5752.2224999999999</v>
      </c>
      <c r="M39" s="70"/>
      <c r="N39" s="71"/>
      <c r="Q39" s="3">
        <f>4000*0.23</f>
        <v>920</v>
      </c>
    </row>
    <row r="40" spans="1:18">
      <c r="Q40" s="3">
        <f>4000-Q39</f>
        <v>3080</v>
      </c>
    </row>
    <row r="41" spans="1:18" s="4" customFormat="1" ht="42.75" customHeight="1">
      <c r="A41" s="119" t="s">
        <v>308</v>
      </c>
      <c r="B41" s="194" t="s">
        <v>79</v>
      </c>
      <c r="C41" s="194" t="s">
        <v>290</v>
      </c>
      <c r="D41" s="194" t="s">
        <v>77</v>
      </c>
      <c r="E41" s="194" t="s">
        <v>78</v>
      </c>
      <c r="F41" s="667" t="s">
        <v>80</v>
      </c>
      <c r="H41" s="410" t="s">
        <v>116</v>
      </c>
      <c r="I41" s="410"/>
      <c r="J41" s="410"/>
      <c r="K41" s="410"/>
      <c r="L41" s="410"/>
      <c r="M41" s="410"/>
      <c r="N41" s="410"/>
      <c r="Q41" s="4">
        <f>B47*1.46/1.23</f>
        <v>4747.9674796747968</v>
      </c>
    </row>
    <row r="42" spans="1:18" ht="14.4" customHeight="1">
      <c r="A42" s="191" t="s">
        <v>70</v>
      </c>
      <c r="B42" s="207">
        <v>2100</v>
      </c>
      <c r="C42" s="668">
        <f>B42*(1+2.5%)</f>
        <v>2152.5</v>
      </c>
      <c r="D42" s="668">
        <f>B42*3+C42*10</f>
        <v>27825</v>
      </c>
      <c r="E42" s="669">
        <f>D42*0.45</f>
        <v>12521.25</v>
      </c>
      <c r="F42" s="668">
        <f>D42+E42</f>
        <v>40346.25</v>
      </c>
      <c r="H42" s="195"/>
      <c r="I42" s="415" t="s">
        <v>276</v>
      </c>
      <c r="J42" s="416"/>
      <c r="K42" s="420" t="s">
        <v>309</v>
      </c>
      <c r="L42" s="610"/>
      <c r="M42" s="610"/>
      <c r="N42" s="421"/>
    </row>
    <row r="43" spans="1:18">
      <c r="A43" s="192" t="s">
        <v>71</v>
      </c>
      <c r="B43" s="208">
        <v>2300</v>
      </c>
      <c r="C43" s="670">
        <f t="shared" ref="C43:C47" si="13">B43*(1+2.5%)</f>
        <v>2357.5</v>
      </c>
      <c r="D43" s="670">
        <f t="shared" ref="D43:D47" si="14">B43*3+C43*10</f>
        <v>30475</v>
      </c>
      <c r="E43" s="671">
        <f t="shared" ref="E43:E47" si="15">D43*0.45</f>
        <v>13713.75</v>
      </c>
      <c r="F43" s="670">
        <f t="shared" ref="F43:F47" si="16">D43+E43</f>
        <v>44188.75</v>
      </c>
      <c r="H43" s="196"/>
      <c r="I43" s="384" t="s">
        <v>328</v>
      </c>
      <c r="J43" s="411"/>
      <c r="K43" s="189" t="s">
        <v>61</v>
      </c>
      <c r="L43" s="190" t="s">
        <v>62</v>
      </c>
      <c r="M43" s="190" t="s">
        <v>63</v>
      </c>
      <c r="N43" s="190" t="s">
        <v>64</v>
      </c>
    </row>
    <row r="44" spans="1:18">
      <c r="A44" s="192" t="s">
        <v>72</v>
      </c>
      <c r="B44" s="208">
        <v>2300</v>
      </c>
      <c r="C44" s="670">
        <f t="shared" si="13"/>
        <v>2357.5</v>
      </c>
      <c r="D44" s="670">
        <f t="shared" si="14"/>
        <v>30475</v>
      </c>
      <c r="E44" s="671">
        <f t="shared" si="15"/>
        <v>13713.75</v>
      </c>
      <c r="F44" s="670">
        <f t="shared" si="16"/>
        <v>44188.75</v>
      </c>
      <c r="H44" s="205" t="s">
        <v>53</v>
      </c>
      <c r="I44" s="680">
        <f>N11</f>
        <v>12</v>
      </c>
      <c r="J44" s="674"/>
      <c r="K44" s="675">
        <f>N11-M11</f>
        <v>11</v>
      </c>
      <c r="L44" s="675">
        <f>N11-SUM(L11:M11)</f>
        <v>11</v>
      </c>
      <c r="M44" s="675">
        <f>L44</f>
        <v>11</v>
      </c>
      <c r="N44" s="675">
        <f>N11-SUM(K11:M11)+2</f>
        <v>13</v>
      </c>
    </row>
    <row r="45" spans="1:18">
      <c r="A45" s="192" t="s">
        <v>73</v>
      </c>
      <c r="B45" s="208">
        <v>3500</v>
      </c>
      <c r="C45" s="670">
        <f t="shared" si="13"/>
        <v>3587.4999999999995</v>
      </c>
      <c r="D45" s="670">
        <f t="shared" si="14"/>
        <v>46374.999999999993</v>
      </c>
      <c r="E45" s="671">
        <f t="shared" si="15"/>
        <v>20868.749999999996</v>
      </c>
      <c r="F45" s="670">
        <f t="shared" si="16"/>
        <v>67243.749999999985</v>
      </c>
      <c r="H45" s="206" t="s">
        <v>54</v>
      </c>
      <c r="I45" s="681">
        <f>N14</f>
        <v>17</v>
      </c>
      <c r="J45" s="676"/>
      <c r="K45" s="677">
        <f>N14-M14</f>
        <v>17</v>
      </c>
      <c r="L45" s="677">
        <f>N14-SUM(L14:M14)</f>
        <v>14</v>
      </c>
      <c r="M45" s="677">
        <f t="shared" ref="M45:M46" si="17">L45</f>
        <v>14</v>
      </c>
      <c r="N45" s="677">
        <f>N14-SUM(K14:M14)+2</f>
        <v>14</v>
      </c>
    </row>
    <row r="46" spans="1:18">
      <c r="A46" s="192" t="s">
        <v>74</v>
      </c>
      <c r="B46" s="208">
        <v>3500</v>
      </c>
      <c r="C46" s="670">
        <f t="shared" si="13"/>
        <v>3587.4999999999995</v>
      </c>
      <c r="D46" s="670">
        <f t="shared" si="14"/>
        <v>46374.999999999993</v>
      </c>
      <c r="E46" s="671">
        <f t="shared" si="15"/>
        <v>20868.749999999996</v>
      </c>
      <c r="F46" s="670">
        <f t="shared" si="16"/>
        <v>67243.749999999985</v>
      </c>
      <c r="H46" s="206" t="s">
        <v>55</v>
      </c>
      <c r="I46" s="681">
        <f>N17</f>
        <v>5</v>
      </c>
      <c r="J46" s="676"/>
      <c r="K46" s="677">
        <f>N17-M17</f>
        <v>4</v>
      </c>
      <c r="L46" s="677">
        <f>N17-SUM(L17:M17)</f>
        <v>3</v>
      </c>
      <c r="M46" s="677">
        <f t="shared" si="17"/>
        <v>3</v>
      </c>
      <c r="N46" s="677">
        <f>N17-SUM(K17:M17)+2</f>
        <v>4</v>
      </c>
    </row>
    <row r="47" spans="1:18">
      <c r="A47" s="193" t="s">
        <v>75</v>
      </c>
      <c r="B47" s="209">
        <v>4000</v>
      </c>
      <c r="C47" s="672">
        <f t="shared" si="13"/>
        <v>4100</v>
      </c>
      <c r="D47" s="672">
        <f t="shared" si="14"/>
        <v>53000</v>
      </c>
      <c r="E47" s="673">
        <f t="shared" si="15"/>
        <v>23850</v>
      </c>
      <c r="F47" s="672">
        <f t="shared" si="16"/>
        <v>76850</v>
      </c>
      <c r="H47" s="196" t="s">
        <v>232</v>
      </c>
      <c r="I47" s="682">
        <f>'vent pdt série'!F58</f>
        <v>15867</v>
      </c>
      <c r="J47" s="678"/>
      <c r="K47" s="679">
        <v>0</v>
      </c>
      <c r="L47" s="679">
        <v>0</v>
      </c>
      <c r="M47" s="679">
        <f>I47</f>
        <v>15867</v>
      </c>
      <c r="N47" s="679">
        <f>I47</f>
        <v>15867</v>
      </c>
    </row>
    <row r="48" spans="1:18" ht="15" thickBot="1"/>
    <row r="49" spans="1:9" ht="15" customHeight="1" thickTop="1">
      <c r="A49" s="403" t="s">
        <v>278</v>
      </c>
      <c r="B49" s="417" t="s">
        <v>83</v>
      </c>
      <c r="C49" s="418"/>
      <c r="D49" s="417" t="s">
        <v>84</v>
      </c>
      <c r="E49" s="418"/>
      <c r="F49" s="417" t="s">
        <v>85</v>
      </c>
      <c r="G49" s="418"/>
      <c r="H49" s="417" t="s">
        <v>86</v>
      </c>
      <c r="I49" s="419"/>
    </row>
    <row r="50" spans="1:9" ht="15" customHeight="1">
      <c r="A50" s="404" t="s">
        <v>277</v>
      </c>
      <c r="B50" s="135" t="s">
        <v>91</v>
      </c>
      <c r="C50" s="135" t="s">
        <v>87</v>
      </c>
      <c r="D50" s="135" t="s">
        <v>91</v>
      </c>
      <c r="E50" s="135" t="s">
        <v>87</v>
      </c>
      <c r="F50" s="135" t="s">
        <v>91</v>
      </c>
      <c r="G50" s="135" t="s">
        <v>87</v>
      </c>
      <c r="H50" s="135" t="s">
        <v>91</v>
      </c>
      <c r="I50" s="199" t="s">
        <v>87</v>
      </c>
    </row>
    <row r="51" spans="1:9">
      <c r="A51" s="210" t="s">
        <v>53</v>
      </c>
      <c r="B51" s="675">
        <f>J24</f>
        <v>300</v>
      </c>
      <c r="C51" s="675">
        <f>B51*K44</f>
        <v>3300</v>
      </c>
      <c r="D51" s="675">
        <f>K24</f>
        <v>250</v>
      </c>
      <c r="E51" s="675">
        <f>D51*L44</f>
        <v>2750</v>
      </c>
      <c r="F51" s="675">
        <f>L24</f>
        <v>200</v>
      </c>
      <c r="G51" s="675">
        <f>F51*M44</f>
        <v>2200</v>
      </c>
      <c r="H51" s="675">
        <f>M24</f>
        <v>380</v>
      </c>
      <c r="I51" s="675">
        <f>N44*H51</f>
        <v>4940</v>
      </c>
    </row>
    <row r="52" spans="1:9">
      <c r="A52" s="211" t="s">
        <v>54</v>
      </c>
      <c r="B52" s="677">
        <f>J26</f>
        <v>500</v>
      </c>
      <c r="C52" s="677">
        <f t="shared" ref="C52:C54" si="18">B52*K45</f>
        <v>8500</v>
      </c>
      <c r="D52" s="677">
        <f>K26</f>
        <v>375</v>
      </c>
      <c r="E52" s="677">
        <f t="shared" ref="E52:E54" si="19">D52*L45</f>
        <v>5250</v>
      </c>
      <c r="F52" s="677">
        <f>L26</f>
        <v>300</v>
      </c>
      <c r="G52" s="677">
        <f t="shared" ref="G52:G53" si="20">F52*M45</f>
        <v>4200</v>
      </c>
      <c r="H52" s="677">
        <f>M26</f>
        <v>522.5</v>
      </c>
      <c r="I52" s="677">
        <f t="shared" ref="I52:I54" si="21">N45*H52</f>
        <v>7315</v>
      </c>
    </row>
    <row r="53" spans="1:9">
      <c r="A53" s="211" t="s">
        <v>55</v>
      </c>
      <c r="B53" s="677">
        <f>J28</f>
        <v>800</v>
      </c>
      <c r="C53" s="677">
        <f t="shared" si="18"/>
        <v>3200</v>
      </c>
      <c r="D53" s="677">
        <f>K28</f>
        <v>600</v>
      </c>
      <c r="E53" s="677">
        <f t="shared" si="19"/>
        <v>1800</v>
      </c>
      <c r="F53" s="677">
        <f>L28</f>
        <v>400</v>
      </c>
      <c r="G53" s="677">
        <f t="shared" si="20"/>
        <v>1200</v>
      </c>
      <c r="H53" s="677">
        <f>M28</f>
        <v>902.5</v>
      </c>
      <c r="I53" s="677">
        <f t="shared" si="21"/>
        <v>3610</v>
      </c>
    </row>
    <row r="54" spans="1:9">
      <c r="A54" s="212" t="s">
        <v>232</v>
      </c>
      <c r="B54" s="677">
        <f>J30</f>
        <v>0</v>
      </c>
      <c r="C54" s="677">
        <f t="shared" si="18"/>
        <v>0</v>
      </c>
      <c r="D54" s="677">
        <f>K30</f>
        <v>0</v>
      </c>
      <c r="E54" s="677">
        <f t="shared" si="19"/>
        <v>0</v>
      </c>
      <c r="F54" s="685">
        <f>L30</f>
        <v>2.0833333333333335</v>
      </c>
      <c r="G54" s="677">
        <f>F54*M47</f>
        <v>33056.25</v>
      </c>
      <c r="H54" s="677">
        <f>M30</f>
        <v>1.9</v>
      </c>
      <c r="I54" s="677">
        <f t="shared" si="21"/>
        <v>30147.3</v>
      </c>
    </row>
    <row r="55" spans="1:9">
      <c r="A55" s="213" t="s">
        <v>82</v>
      </c>
      <c r="B55" s="679"/>
      <c r="C55" s="679">
        <v>5500</v>
      </c>
      <c r="D55" s="679"/>
      <c r="E55" s="679"/>
      <c r="F55" s="679"/>
      <c r="G55" s="679"/>
      <c r="H55" s="679"/>
      <c r="I55" s="679"/>
    </row>
    <row r="56" spans="1:9">
      <c r="A56" s="200" t="s">
        <v>117</v>
      </c>
      <c r="B56" s="15"/>
      <c r="C56" s="14">
        <f>SUM(C51:C55)</f>
        <v>20500</v>
      </c>
      <c r="D56" s="15"/>
      <c r="E56" s="14">
        <f>SUM(E51:E55)</f>
        <v>9800</v>
      </c>
      <c r="F56" s="15"/>
      <c r="G56" s="14">
        <f>SUM(G51:G55)</f>
        <v>40656.25</v>
      </c>
      <c r="H56" s="15"/>
      <c r="I56" s="83">
        <f>SUM(I51:I55)</f>
        <v>46012.3</v>
      </c>
    </row>
    <row r="57" spans="1:9" ht="15" customHeight="1">
      <c r="A57" s="412"/>
      <c r="B57" s="420" t="s">
        <v>83</v>
      </c>
      <c r="C57" s="421"/>
      <c r="D57" s="420" t="s">
        <v>84</v>
      </c>
      <c r="E57" s="421"/>
      <c r="F57" s="420" t="s">
        <v>85</v>
      </c>
      <c r="G57" s="421"/>
      <c r="H57" s="420" t="s">
        <v>86</v>
      </c>
      <c r="I57" s="422"/>
    </row>
    <row r="58" spans="1:9" ht="15" customHeight="1">
      <c r="A58" s="414" t="s">
        <v>279</v>
      </c>
      <c r="B58" s="135" t="s">
        <v>118</v>
      </c>
      <c r="C58" s="135" t="s">
        <v>87</v>
      </c>
      <c r="D58" s="135" t="s">
        <v>118</v>
      </c>
      <c r="E58" s="135" t="s">
        <v>87</v>
      </c>
      <c r="F58" s="135" t="s">
        <v>118</v>
      </c>
      <c r="G58" s="135" t="s">
        <v>87</v>
      </c>
      <c r="H58" s="135" t="s">
        <v>118</v>
      </c>
      <c r="I58" s="199" t="s">
        <v>87</v>
      </c>
    </row>
    <row r="59" spans="1:9">
      <c r="A59" s="413" t="s">
        <v>280</v>
      </c>
      <c r="B59" s="6">
        <f>B34+B36</f>
        <v>13</v>
      </c>
      <c r="C59" s="14">
        <f>B59*35/5*225*0.95*(1-2.5%)</f>
        <v>18964.96875</v>
      </c>
      <c r="D59" s="6">
        <f>C33</f>
        <v>7</v>
      </c>
      <c r="E59" s="14">
        <f>D59*35/5*225*0.95*(1-2.5%)</f>
        <v>10211.90625</v>
      </c>
      <c r="F59" s="6">
        <f>D33</f>
        <v>20</v>
      </c>
      <c r="G59" s="14">
        <f>F59*35/5*225*0.95*(1-2.5%)*3/2</f>
        <v>43765.3125</v>
      </c>
      <c r="H59" s="6">
        <f>E33</f>
        <v>32</v>
      </c>
      <c r="I59" s="14">
        <f>H59*35/5*225*0.95*(1-2.5%)</f>
        <v>46683</v>
      </c>
    </row>
    <row r="60" spans="1:9">
      <c r="A60" s="84"/>
      <c r="B60" s="68"/>
      <c r="C60" s="68"/>
      <c r="D60" s="68"/>
      <c r="E60" s="44"/>
      <c r="F60" s="68"/>
      <c r="G60" s="68"/>
      <c r="H60" s="68"/>
      <c r="I60" s="85"/>
    </row>
    <row r="61" spans="1:9">
      <c r="A61" s="423" t="s">
        <v>249</v>
      </c>
      <c r="B61" s="424"/>
      <c r="C61" s="424"/>
      <c r="D61" s="424"/>
      <c r="E61" s="424"/>
      <c r="F61" s="424"/>
      <c r="G61" s="424"/>
      <c r="H61" s="424"/>
      <c r="I61" s="425"/>
    </row>
    <row r="62" spans="1:9">
      <c r="A62" s="200" t="s">
        <v>291</v>
      </c>
      <c r="B62" s="68"/>
      <c r="C62" s="21">
        <f>IF(C56&gt;C59,C56-C59,0)</f>
        <v>1535.03125</v>
      </c>
      <c r="D62" s="68"/>
      <c r="E62" s="21">
        <f>IF(E56&gt;E59,E56-E59,0)</f>
        <v>0</v>
      </c>
      <c r="F62" s="68"/>
      <c r="G62" s="21">
        <f>IF(G56&gt;G59,G56-G59,0)</f>
        <v>0</v>
      </c>
      <c r="H62" s="68"/>
      <c r="I62" s="21">
        <f>IF(I56&gt;I59,I56-I59,0)</f>
        <v>0</v>
      </c>
    </row>
    <row r="63" spans="1:9">
      <c r="A63" s="84"/>
      <c r="B63" s="68"/>
      <c r="C63" s="68"/>
      <c r="D63" s="68"/>
      <c r="E63" s="68"/>
      <c r="F63" s="68"/>
      <c r="G63" s="68"/>
      <c r="H63" s="68"/>
      <c r="I63" s="85"/>
    </row>
    <row r="64" spans="1:9" s="13" customFormat="1" ht="15" thickBot="1">
      <c r="A64" s="201" t="s">
        <v>250</v>
      </c>
      <c r="B64" s="86"/>
      <c r="C64" s="21">
        <f>IF(C56&lt;C59,C56-C59,0)</f>
        <v>0</v>
      </c>
      <c r="D64" s="86"/>
      <c r="E64" s="21">
        <f>IF(E56&lt;E59,-(E56-E59),0)</f>
        <v>411.90625</v>
      </c>
      <c r="F64" s="86"/>
      <c r="G64" s="21">
        <f>IF(G56&lt;G59,-(G56-G59),0)</f>
        <v>3109.0625</v>
      </c>
      <c r="H64" s="86"/>
      <c r="I64" s="21">
        <f>IF(I56&lt;I59,-(I56-I59),0)</f>
        <v>670.69999999999709</v>
      </c>
    </row>
    <row r="65" ht="15" thickTop="1"/>
  </sheetData>
  <phoneticPr fontId="0" type="noConversion"/>
  <pageMargins left="0.19685039370078741" right="0.23622047244094491" top="0.31496062992125984" bottom="0.23622047244094491" header="0.23622047244094491" footer="0.15748031496062992"/>
  <pageSetup paperSize="9" scale="67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A1:O51"/>
  <sheetViews>
    <sheetView showGridLines="0" zoomScale="90" zoomScaleNormal="90" workbookViewId="0">
      <selection activeCell="C43" sqref="C43"/>
    </sheetView>
  </sheetViews>
  <sheetFormatPr baseColWidth="10" defaultRowHeight="14.4"/>
  <cols>
    <col min="1" max="1" width="30" customWidth="1"/>
    <col min="2" max="2" width="12.5546875" bestFit="1" customWidth="1"/>
    <col min="8" max="8" width="13.88671875" bestFit="1" customWidth="1"/>
    <col min="12" max="12" width="13.33203125" customWidth="1"/>
    <col min="13" max="13" width="15.88671875" customWidth="1"/>
  </cols>
  <sheetData>
    <row r="1" spans="1:15">
      <c r="A1" s="2" t="s">
        <v>330</v>
      </c>
      <c r="B1" s="226" t="s">
        <v>61</v>
      </c>
      <c r="C1" s="226" t="s">
        <v>62</v>
      </c>
      <c r="D1" s="226" t="s">
        <v>63</v>
      </c>
      <c r="E1" s="226" t="s">
        <v>64</v>
      </c>
      <c r="F1" s="226" t="s">
        <v>65</v>
      </c>
      <c r="G1" s="226" t="s">
        <v>52</v>
      </c>
      <c r="H1" s="226" t="s">
        <v>66</v>
      </c>
      <c r="I1" s="226" t="s">
        <v>257</v>
      </c>
      <c r="J1" s="226" t="s">
        <v>68</v>
      </c>
      <c r="K1" s="226" t="s">
        <v>69</v>
      </c>
    </row>
    <row r="2" spans="1:15">
      <c r="A2" s="227" t="s">
        <v>148</v>
      </c>
      <c r="B2" s="698">
        <v>300</v>
      </c>
      <c r="C2" s="698">
        <v>1500</v>
      </c>
      <c r="D2" s="698">
        <v>1500</v>
      </c>
      <c r="E2" s="698">
        <v>1500</v>
      </c>
      <c r="F2" s="698">
        <v>0</v>
      </c>
      <c r="G2" s="698">
        <v>100</v>
      </c>
      <c r="H2" s="698">
        <v>500</v>
      </c>
      <c r="I2" s="698">
        <f>240+60</f>
        <v>300</v>
      </c>
      <c r="J2" s="698">
        <v>50</v>
      </c>
      <c r="K2" s="699">
        <f>SUM(B2:J2)</f>
        <v>5750</v>
      </c>
    </row>
    <row r="3" spans="1:15">
      <c r="A3" s="228" t="s">
        <v>147</v>
      </c>
      <c r="B3" s="700">
        <f>B2*2</f>
        <v>600</v>
      </c>
      <c r="C3" s="700">
        <f>C2</f>
        <v>1500</v>
      </c>
      <c r="D3" s="700">
        <f t="shared" ref="D3:F3" si="0">D2</f>
        <v>1500</v>
      </c>
      <c r="E3" s="700">
        <f t="shared" si="0"/>
        <v>1500</v>
      </c>
      <c r="F3" s="700">
        <f t="shared" si="0"/>
        <v>0</v>
      </c>
      <c r="G3" s="700">
        <f>G2*2</f>
        <v>200</v>
      </c>
      <c r="H3" s="700">
        <f t="shared" ref="H3:J3" si="1">H2*2</f>
        <v>1000</v>
      </c>
      <c r="I3" s="700">
        <f t="shared" si="1"/>
        <v>600</v>
      </c>
      <c r="J3" s="700">
        <f t="shared" si="1"/>
        <v>100</v>
      </c>
      <c r="K3" s="699">
        <f t="shared" ref="K3:K4" si="2">SUM(B3:J3)</f>
        <v>7000</v>
      </c>
    </row>
    <row r="4" spans="1:15">
      <c r="A4" s="228" t="s">
        <v>149</v>
      </c>
      <c r="B4" s="701">
        <f>B3/$K$3</f>
        <v>8.5714285714285715E-2</v>
      </c>
      <c r="C4" s="701">
        <f t="shared" ref="C4:J4" si="3">C3/$K$3</f>
        <v>0.21428571428571427</v>
      </c>
      <c r="D4" s="701">
        <f t="shared" si="3"/>
        <v>0.21428571428571427</v>
      </c>
      <c r="E4" s="701">
        <f t="shared" si="3"/>
        <v>0.21428571428571427</v>
      </c>
      <c r="F4" s="701">
        <f t="shared" si="3"/>
        <v>0</v>
      </c>
      <c r="G4" s="701">
        <f t="shared" si="3"/>
        <v>2.8571428571428571E-2</v>
      </c>
      <c r="H4" s="701">
        <f t="shared" si="3"/>
        <v>0.14285714285714285</v>
      </c>
      <c r="I4" s="701">
        <f t="shared" si="3"/>
        <v>8.5714285714285715E-2</v>
      </c>
      <c r="J4" s="701">
        <f t="shared" si="3"/>
        <v>1.4285714285714285E-2</v>
      </c>
      <c r="K4" s="702">
        <f t="shared" si="2"/>
        <v>0.99999999999999989</v>
      </c>
    </row>
    <row r="5" spans="1:15">
      <c r="A5" s="2" t="s">
        <v>331</v>
      </c>
      <c r="B5" s="226" t="s">
        <v>61</v>
      </c>
      <c r="C5" s="226" t="s">
        <v>62</v>
      </c>
      <c r="D5" s="226" t="s">
        <v>63</v>
      </c>
      <c r="E5" s="226" t="s">
        <v>64</v>
      </c>
      <c r="F5" s="226" t="s">
        <v>65</v>
      </c>
      <c r="G5" s="226" t="s">
        <v>52</v>
      </c>
      <c r="H5" s="226" t="s">
        <v>66</v>
      </c>
      <c r="I5" s="226" t="s">
        <v>257</v>
      </c>
      <c r="J5" s="226" t="s">
        <v>68</v>
      </c>
      <c r="K5" s="226" t="s">
        <v>69</v>
      </c>
    </row>
    <row r="6" spans="1:15">
      <c r="A6" s="228" t="s">
        <v>332</v>
      </c>
      <c r="B6" s="703">
        <f>SUM('données prév'!B34:B38)</f>
        <v>14</v>
      </c>
      <c r="C6" s="703">
        <f>SUM('données prév'!C34:C38)</f>
        <v>1.3333333333333333</v>
      </c>
      <c r="D6" s="703">
        <f>SUM('données prév'!D34:D38)</f>
        <v>2.3333333333333335</v>
      </c>
      <c r="E6" s="703">
        <f>SUM('données prév'!E34:E38)</f>
        <v>3.3333333333333335</v>
      </c>
      <c r="F6" s="703"/>
      <c r="G6" s="703">
        <f>SUM('données prév'!G34:G38)</f>
        <v>4</v>
      </c>
      <c r="H6" s="703">
        <f>SUM('données prév'!H34:H38)</f>
        <v>23</v>
      </c>
      <c r="I6" s="703">
        <f>SUM('données prév'!I35:I38)+SUM('données prév'!K35:K38)</f>
        <v>11</v>
      </c>
      <c r="J6" s="703"/>
      <c r="K6" s="699">
        <f>SUM(B6:J6)</f>
        <v>59</v>
      </c>
    </row>
    <row r="7" spans="1:15">
      <c r="A7" s="229" t="s">
        <v>151</v>
      </c>
      <c r="B7" s="704">
        <f>B6/$K$6</f>
        <v>0.23728813559322035</v>
      </c>
      <c r="C7" s="704">
        <f t="shared" ref="C7:K7" si="4">C6/$K$6</f>
        <v>2.2598870056497175E-2</v>
      </c>
      <c r="D7" s="704">
        <f t="shared" si="4"/>
        <v>3.954802259887006E-2</v>
      </c>
      <c r="E7" s="704">
        <f t="shared" si="4"/>
        <v>5.6497175141242938E-2</v>
      </c>
      <c r="F7" s="704">
        <f t="shared" si="4"/>
        <v>0</v>
      </c>
      <c r="G7" s="704">
        <f t="shared" si="4"/>
        <v>6.7796610169491525E-2</v>
      </c>
      <c r="H7" s="704">
        <f t="shared" si="4"/>
        <v>0.38983050847457629</v>
      </c>
      <c r="I7" s="704">
        <f t="shared" si="4"/>
        <v>0.1864406779661017</v>
      </c>
      <c r="J7" s="704">
        <f t="shared" si="4"/>
        <v>0</v>
      </c>
      <c r="K7" s="704">
        <f t="shared" si="4"/>
        <v>1</v>
      </c>
    </row>
    <row r="8" spans="1:15">
      <c r="A8" s="688"/>
      <c r="B8" s="689"/>
      <c r="C8" s="689"/>
      <c r="D8" s="689"/>
      <c r="E8" s="689"/>
      <c r="F8" s="689"/>
      <c r="G8" s="689"/>
      <c r="H8" s="689"/>
      <c r="I8" s="689"/>
      <c r="J8" s="689"/>
      <c r="K8" s="690"/>
    </row>
    <row r="9" spans="1:15">
      <c r="A9" s="688"/>
      <c r="B9" s="689"/>
      <c r="C9" s="689"/>
      <c r="D9" s="689"/>
      <c r="E9" s="689"/>
      <c r="F9" s="689"/>
      <c r="G9" s="689"/>
      <c r="H9" s="689"/>
      <c r="I9" s="689"/>
      <c r="J9" s="689"/>
      <c r="K9" s="690"/>
    </row>
    <row r="11" spans="1:15">
      <c r="A11" s="16" t="s">
        <v>119</v>
      </c>
      <c r="B11" s="19" t="s">
        <v>144</v>
      </c>
      <c r="C11" s="226" t="s">
        <v>61</v>
      </c>
      <c r="D11" s="226" t="s">
        <v>62</v>
      </c>
      <c r="E11" s="226" t="s">
        <v>63</v>
      </c>
      <c r="F11" s="226" t="s">
        <v>64</v>
      </c>
      <c r="G11" s="226" t="s">
        <v>65</v>
      </c>
      <c r="H11" s="226" t="s">
        <v>52</v>
      </c>
      <c r="I11" s="226" t="s">
        <v>66</v>
      </c>
      <c r="J11" s="226" t="s">
        <v>67</v>
      </c>
      <c r="K11" s="226" t="s">
        <v>68</v>
      </c>
      <c r="L11" s="226" t="s">
        <v>120</v>
      </c>
      <c r="M11" s="226" t="s">
        <v>121</v>
      </c>
      <c r="N11" s="236" t="s">
        <v>39</v>
      </c>
      <c r="O11" s="236" t="s">
        <v>333</v>
      </c>
    </row>
    <row r="12" spans="1:15">
      <c r="A12" s="227" t="s">
        <v>122</v>
      </c>
      <c r="B12" s="705">
        <f>'données prév'!L39</f>
        <v>5752.2224999999999</v>
      </c>
      <c r="C12" s="705">
        <f>'données prév'!B39</f>
        <v>766.57875000000001</v>
      </c>
      <c r="D12" s="705">
        <f>'données prév'!C39</f>
        <v>352.22916666666669</v>
      </c>
      <c r="E12" s="705">
        <f>'données prév'!D39</f>
        <v>920.91916666666668</v>
      </c>
      <c r="F12" s="705">
        <f>'données prév'!E39</f>
        <v>1449.2629166666668</v>
      </c>
      <c r="G12" s="705">
        <f>'données prév'!F39</f>
        <v>84.534999999999997</v>
      </c>
      <c r="H12" s="705">
        <f>'données prév'!G39</f>
        <v>199.81</v>
      </c>
      <c r="I12" s="705">
        <f>'données prév'!H39</f>
        <v>1279.5525</v>
      </c>
      <c r="J12" s="705">
        <f>'données prév'!I39+'données prév'!K39</f>
        <v>587.90250000000003</v>
      </c>
      <c r="K12" s="705">
        <f>'données prév'!J39</f>
        <v>111.43249999999999</v>
      </c>
      <c r="L12" s="705"/>
      <c r="M12" s="5">
        <f t="shared" ref="M12" si="5">$B$12*L7</f>
        <v>0</v>
      </c>
      <c r="N12" s="17">
        <f>SUM(C12:M12)</f>
        <v>5752.2224999999999</v>
      </c>
      <c r="O12" s="17">
        <f>B12-N12</f>
        <v>0</v>
      </c>
    </row>
    <row r="13" spans="1:15">
      <c r="A13" s="228" t="s">
        <v>123</v>
      </c>
      <c r="B13" s="705">
        <f>SUM(C13:M13)</f>
        <v>58.024181249999998</v>
      </c>
      <c r="C13" s="705">
        <f>'données prév'!C62*20/1000*1.89</f>
        <v>58.024181249999998</v>
      </c>
      <c r="D13" s="705">
        <f>'données prév'!D62*20/1000*1.89</f>
        <v>0</v>
      </c>
      <c r="E13" s="705">
        <f>'données prév'!E62*20/1000*1.89</f>
        <v>0</v>
      </c>
      <c r="F13" s="705">
        <f>'données prév'!F62*20/1000*1.89</f>
        <v>0</v>
      </c>
      <c r="G13" s="705"/>
      <c r="H13" s="705"/>
      <c r="I13" s="705"/>
      <c r="J13" s="705"/>
      <c r="K13" s="705"/>
      <c r="L13" s="705"/>
      <c r="M13" s="5"/>
      <c r="N13" s="17">
        <f t="shared" ref="N13:N31" si="6">SUM(C13:M13)</f>
        <v>58.024181249999998</v>
      </c>
      <c r="O13" s="17">
        <f t="shared" ref="O13:O31" si="7">B13-N13</f>
        <v>0</v>
      </c>
    </row>
    <row r="14" spans="1:15">
      <c r="A14" s="228" t="s">
        <v>152</v>
      </c>
      <c r="B14" s="706">
        <v>115.2</v>
      </c>
      <c r="C14" s="705"/>
      <c r="D14" s="707">
        <f>$B$14*('données prév'!E56/('données prév'!$E$56+'données prév'!$G$56))</f>
        <v>22.375027870680047</v>
      </c>
      <c r="E14" s="707">
        <f>$B$14*('données prév'!G56/('données prév'!$E$56+'données prév'!$G$56))</f>
        <v>92.82497212931996</v>
      </c>
      <c r="F14" s="705"/>
      <c r="G14" s="705"/>
      <c r="H14" s="705"/>
      <c r="I14" s="705"/>
      <c r="J14" s="705"/>
      <c r="K14" s="705"/>
      <c r="L14" s="705"/>
      <c r="M14" s="5"/>
      <c r="N14" s="17">
        <f t="shared" si="6"/>
        <v>115.2</v>
      </c>
      <c r="O14" s="17">
        <f t="shared" si="7"/>
        <v>0</v>
      </c>
    </row>
    <row r="15" spans="1:15">
      <c r="A15" s="228" t="s">
        <v>124</v>
      </c>
      <c r="B15" s="705">
        <v>60</v>
      </c>
      <c r="C15" s="705"/>
      <c r="D15" s="708"/>
      <c r="E15" s="705"/>
      <c r="F15" s="705"/>
      <c r="G15" s="705"/>
      <c r="H15" s="705">
        <f>$B$15/3</f>
        <v>20</v>
      </c>
      <c r="I15" s="705">
        <f>$B$15/3</f>
        <v>20</v>
      </c>
      <c r="J15" s="705">
        <f>$B$15/3</f>
        <v>20</v>
      </c>
      <c r="K15" s="705"/>
      <c r="L15" s="705"/>
      <c r="M15" s="5"/>
      <c r="N15" s="17">
        <f t="shared" si="6"/>
        <v>60</v>
      </c>
      <c r="O15" s="17">
        <f t="shared" si="7"/>
        <v>0</v>
      </c>
    </row>
    <row r="16" spans="1:15">
      <c r="A16" s="228" t="s">
        <v>125</v>
      </c>
      <c r="B16" s="705">
        <v>100</v>
      </c>
      <c r="C16" s="705"/>
      <c r="D16" s="708"/>
      <c r="E16" s="705"/>
      <c r="F16" s="705"/>
      <c r="G16" s="705"/>
      <c r="H16" s="705"/>
      <c r="I16" s="705"/>
      <c r="J16" s="705"/>
      <c r="K16" s="705"/>
      <c r="L16" s="705">
        <f>B16</f>
        <v>100</v>
      </c>
      <c r="M16" s="5"/>
      <c r="N16" s="17">
        <f t="shared" si="6"/>
        <v>100</v>
      </c>
      <c r="O16" s="17">
        <f t="shared" si="7"/>
        <v>0</v>
      </c>
    </row>
    <row r="17" spans="1:15">
      <c r="A17" s="228" t="s">
        <v>153</v>
      </c>
      <c r="B17" s="705">
        <v>200</v>
      </c>
      <c r="C17" s="705"/>
      <c r="D17" s="707">
        <f>B17*('données prév'!E56/('données prév'!$E$56+'données prév'!$G$56))</f>
        <v>38.845534497708414</v>
      </c>
      <c r="E17" s="707">
        <f>B17*('données prév'!G56/('données prév'!$E$56+'données prév'!$G$56))</f>
        <v>161.1544655022916</v>
      </c>
      <c r="F17" s="705"/>
      <c r="G17" s="705"/>
      <c r="H17" s="705"/>
      <c r="I17" s="705"/>
      <c r="J17" s="705"/>
      <c r="K17" s="705"/>
      <c r="L17" s="705"/>
      <c r="M17" s="5"/>
      <c r="N17" s="17">
        <f t="shared" si="6"/>
        <v>200</v>
      </c>
      <c r="O17" s="17">
        <f t="shared" si="7"/>
        <v>0</v>
      </c>
    </row>
    <row r="18" spans="1:15">
      <c r="A18" s="228" t="s">
        <v>126</v>
      </c>
      <c r="B18" s="705">
        <v>30</v>
      </c>
      <c r="C18" s="705"/>
      <c r="D18" s="705"/>
      <c r="E18" s="705"/>
      <c r="F18" s="705"/>
      <c r="G18" s="705"/>
      <c r="H18" s="705"/>
      <c r="I18" s="705"/>
      <c r="J18" s="705"/>
      <c r="K18" s="705"/>
      <c r="L18" s="705">
        <f>B18</f>
        <v>30</v>
      </c>
      <c r="M18" s="5"/>
      <c r="N18" s="17">
        <f t="shared" si="6"/>
        <v>30</v>
      </c>
      <c r="O18" s="17">
        <f t="shared" si="7"/>
        <v>0</v>
      </c>
    </row>
    <row r="19" spans="1:15">
      <c r="A19" s="228" t="s">
        <v>154</v>
      </c>
      <c r="B19" s="705">
        <v>110</v>
      </c>
      <c r="C19" s="705"/>
      <c r="D19" s="707">
        <f>$B$19*('données prév'!E56/('données prév'!$E$56+'données prév'!$G$56))</f>
        <v>21.365043973739628</v>
      </c>
      <c r="E19" s="707">
        <f>$B$19*('données prév'!G56/('données prév'!$E$56+'données prév'!$G$56))</f>
        <v>88.634956026260383</v>
      </c>
      <c r="F19" s="705"/>
      <c r="G19" s="705"/>
      <c r="H19" s="705"/>
      <c r="I19" s="705"/>
      <c r="J19" s="705"/>
      <c r="K19" s="705"/>
      <c r="L19" s="705"/>
      <c r="M19" s="5"/>
      <c r="N19" s="17">
        <f t="shared" si="6"/>
        <v>110.00000000000001</v>
      </c>
      <c r="O19" s="17">
        <f t="shared" si="7"/>
        <v>0</v>
      </c>
    </row>
    <row r="20" spans="1:15">
      <c r="A20" s="228" t="s">
        <v>127</v>
      </c>
      <c r="B20" s="705">
        <v>90</v>
      </c>
      <c r="C20" s="705">
        <f>0.1*B20</f>
        <v>9</v>
      </c>
      <c r="D20" s="705"/>
      <c r="E20" s="705"/>
      <c r="F20" s="705"/>
      <c r="G20" s="705"/>
      <c r="H20" s="705">
        <f>0.05*B20</f>
        <v>4.5</v>
      </c>
      <c r="I20" s="705">
        <f>0.75*B20</f>
        <v>67.5</v>
      </c>
      <c r="J20" s="705">
        <f>0.1*B20</f>
        <v>9</v>
      </c>
      <c r="K20" s="705"/>
      <c r="L20" s="705"/>
      <c r="M20" s="5"/>
      <c r="N20" s="17">
        <f t="shared" si="6"/>
        <v>90</v>
      </c>
      <c r="O20" s="17">
        <f t="shared" si="7"/>
        <v>0</v>
      </c>
    </row>
    <row r="21" spans="1:15">
      <c r="A21" s="228" t="s">
        <v>128</v>
      </c>
      <c r="B21" s="705">
        <v>15</v>
      </c>
      <c r="C21" s="705">
        <f>B21</f>
        <v>15</v>
      </c>
      <c r="D21" s="705"/>
      <c r="E21" s="705"/>
      <c r="F21" s="705"/>
      <c r="G21" s="705"/>
      <c r="H21" s="705"/>
      <c r="I21" s="705"/>
      <c r="J21" s="705"/>
      <c r="K21" s="709"/>
      <c r="L21" s="705"/>
      <c r="M21" s="5"/>
      <c r="N21" s="17">
        <f>SUM(C21:M21)</f>
        <v>15</v>
      </c>
      <c r="O21" s="17">
        <f t="shared" si="7"/>
        <v>0</v>
      </c>
    </row>
    <row r="22" spans="1:15">
      <c r="A22" s="228" t="s">
        <v>129</v>
      </c>
      <c r="B22" s="705">
        <v>95</v>
      </c>
      <c r="C22" s="705"/>
      <c r="D22" s="705"/>
      <c r="E22" s="705"/>
      <c r="F22" s="705"/>
      <c r="G22" s="705"/>
      <c r="H22" s="705"/>
      <c r="I22" s="705"/>
      <c r="J22" s="705"/>
      <c r="K22" s="705"/>
      <c r="L22" s="705">
        <f>B22</f>
        <v>95</v>
      </c>
      <c r="M22" s="693"/>
      <c r="N22" s="17">
        <f t="shared" si="6"/>
        <v>95</v>
      </c>
      <c r="O22" s="17">
        <f t="shared" si="7"/>
        <v>0</v>
      </c>
    </row>
    <row r="23" spans="1:15">
      <c r="A23" s="228" t="s">
        <v>130</v>
      </c>
      <c r="B23" s="705">
        <v>125</v>
      </c>
      <c r="C23" s="705"/>
      <c r="D23" s="705"/>
      <c r="E23" s="705"/>
      <c r="F23" s="705"/>
      <c r="G23" s="705"/>
      <c r="H23" s="705"/>
      <c r="I23" s="705"/>
      <c r="J23" s="705"/>
      <c r="K23" s="705"/>
      <c r="L23" s="705"/>
      <c r="M23" s="694">
        <f>B23</f>
        <v>125</v>
      </c>
      <c r="N23" s="17">
        <f t="shared" si="6"/>
        <v>125</v>
      </c>
      <c r="O23" s="17">
        <f t="shared" si="7"/>
        <v>0</v>
      </c>
    </row>
    <row r="24" spans="1:15">
      <c r="A24" s="228" t="s">
        <v>131</v>
      </c>
      <c r="B24" s="705">
        <v>250</v>
      </c>
      <c r="C24" s="705"/>
      <c r="D24" s="705"/>
      <c r="E24" s="705"/>
      <c r="F24" s="705"/>
      <c r="G24" s="705"/>
      <c r="H24" s="705"/>
      <c r="I24" s="705"/>
      <c r="J24" s="705"/>
      <c r="K24" s="705"/>
      <c r="L24" s="705"/>
      <c r="M24" s="694">
        <f>B24</f>
        <v>250</v>
      </c>
      <c r="N24" s="17">
        <f t="shared" si="6"/>
        <v>250</v>
      </c>
      <c r="O24" s="17">
        <f t="shared" si="7"/>
        <v>0</v>
      </c>
    </row>
    <row r="25" spans="1:15">
      <c r="A25" s="228" t="s">
        <v>132</v>
      </c>
      <c r="B25" s="705">
        <v>210</v>
      </c>
      <c r="C25" s="705"/>
      <c r="D25" s="705"/>
      <c r="E25" s="705"/>
      <c r="F25" s="705"/>
      <c r="G25" s="705"/>
      <c r="H25" s="705"/>
      <c r="I25" s="705"/>
      <c r="J25" s="705"/>
      <c r="K25" s="705"/>
      <c r="L25" s="705"/>
      <c r="M25" s="694">
        <f>B25</f>
        <v>210</v>
      </c>
      <c r="N25" s="17">
        <f t="shared" si="6"/>
        <v>210</v>
      </c>
      <c r="O25" s="17">
        <f t="shared" si="7"/>
        <v>0</v>
      </c>
    </row>
    <row r="26" spans="1:15">
      <c r="A26" s="228" t="s">
        <v>133</v>
      </c>
      <c r="B26" s="705">
        <v>35</v>
      </c>
      <c r="C26" s="705"/>
      <c r="D26" s="705"/>
      <c r="E26" s="705"/>
      <c r="F26" s="705">
        <v>25</v>
      </c>
      <c r="G26" s="705"/>
      <c r="H26" s="705"/>
      <c r="I26" s="705"/>
      <c r="J26" s="705"/>
      <c r="K26" s="705">
        <v>10</v>
      </c>
      <c r="L26" s="705"/>
      <c r="M26" s="5"/>
      <c r="N26" s="17">
        <f t="shared" si="6"/>
        <v>35</v>
      </c>
      <c r="O26" s="17">
        <f t="shared" si="7"/>
        <v>0</v>
      </c>
    </row>
    <row r="27" spans="1:15">
      <c r="A27" s="228" t="s">
        <v>134</v>
      </c>
      <c r="B27" s="705">
        <v>800</v>
      </c>
      <c r="C27" s="705">
        <f>0.05*B27</f>
        <v>40</v>
      </c>
      <c r="D27" s="705"/>
      <c r="E27" s="705"/>
      <c r="F27" s="705"/>
      <c r="G27" s="705"/>
      <c r="H27" s="705">
        <f>0.05*B27</f>
        <v>40</v>
      </c>
      <c r="I27" s="705">
        <f>0.8*B27</f>
        <v>640</v>
      </c>
      <c r="J27" s="705">
        <f>0.1*B27</f>
        <v>80</v>
      </c>
      <c r="K27" s="705"/>
      <c r="L27" s="705"/>
      <c r="M27" s="5"/>
      <c r="N27" s="17">
        <f t="shared" si="6"/>
        <v>800</v>
      </c>
      <c r="O27" s="17">
        <f t="shared" si="7"/>
        <v>0</v>
      </c>
    </row>
    <row r="28" spans="1:15">
      <c r="A28" s="228" t="s">
        <v>135</v>
      </c>
      <c r="B28" s="705">
        <v>125</v>
      </c>
      <c r="C28" s="705"/>
      <c r="D28" s="705"/>
      <c r="E28" s="705"/>
      <c r="F28" s="705"/>
      <c r="G28" s="705"/>
      <c r="H28" s="705"/>
      <c r="I28" s="705">
        <f>B28</f>
        <v>125</v>
      </c>
      <c r="J28" s="705"/>
      <c r="K28" s="705"/>
      <c r="L28" s="705"/>
      <c r="M28" s="5"/>
      <c r="N28" s="17">
        <f t="shared" si="6"/>
        <v>125</v>
      </c>
      <c r="O28" s="17">
        <f t="shared" si="7"/>
        <v>0</v>
      </c>
    </row>
    <row r="29" spans="1:15">
      <c r="A29" s="228" t="s">
        <v>136</v>
      </c>
      <c r="B29" s="705">
        <v>35</v>
      </c>
      <c r="C29" s="705"/>
      <c r="D29" s="705"/>
      <c r="E29" s="705"/>
      <c r="F29" s="705"/>
      <c r="G29" s="705"/>
      <c r="H29" s="705"/>
      <c r="I29" s="705"/>
      <c r="J29" s="705">
        <f>B29</f>
        <v>35</v>
      </c>
      <c r="K29" s="705"/>
      <c r="L29" s="705"/>
      <c r="M29" s="5"/>
      <c r="N29" s="17">
        <f t="shared" si="6"/>
        <v>35</v>
      </c>
      <c r="O29" s="17">
        <f t="shared" si="7"/>
        <v>0</v>
      </c>
    </row>
    <row r="30" spans="1:15">
      <c r="A30" s="228" t="s">
        <v>137</v>
      </c>
      <c r="B30" s="705">
        <v>100</v>
      </c>
      <c r="C30" s="705"/>
      <c r="D30" s="705"/>
      <c r="E30" s="705"/>
      <c r="F30" s="705"/>
      <c r="G30" s="705"/>
      <c r="H30" s="705"/>
      <c r="I30" s="705">
        <f>B30</f>
        <v>100</v>
      </c>
      <c r="J30" s="705"/>
      <c r="K30" s="705"/>
      <c r="L30" s="705"/>
      <c r="M30" s="5"/>
      <c r="N30" s="17">
        <f t="shared" si="6"/>
        <v>100</v>
      </c>
      <c r="O30" s="17">
        <f t="shared" si="7"/>
        <v>0</v>
      </c>
    </row>
    <row r="31" spans="1:15">
      <c r="A31" s="229" t="s">
        <v>138</v>
      </c>
      <c r="B31" s="705">
        <f t="shared" ref="B31" si="8">SUM(C31:M31)</f>
        <v>840</v>
      </c>
      <c r="C31" s="705"/>
      <c r="D31" s="705">
        <f>150</f>
        <v>150</v>
      </c>
      <c r="E31" s="705">
        <f>450+(336)/7*10/12</f>
        <v>490</v>
      </c>
      <c r="F31" s="705">
        <v>75</v>
      </c>
      <c r="G31" s="705"/>
      <c r="H31" s="705"/>
      <c r="I31" s="705"/>
      <c r="J31" s="705"/>
      <c r="K31" s="705">
        <v>25</v>
      </c>
      <c r="L31" s="705">
        <v>100</v>
      </c>
      <c r="M31" s="5"/>
      <c r="N31" s="17">
        <f t="shared" si="6"/>
        <v>840</v>
      </c>
      <c r="O31" s="17">
        <f t="shared" si="7"/>
        <v>0</v>
      </c>
    </row>
    <row r="32" spans="1:15">
      <c r="A32" s="20" t="s">
        <v>143</v>
      </c>
      <c r="B32" s="697">
        <f>SUM(B12:B31)</f>
        <v>9145.4466812499995</v>
      </c>
      <c r="C32" s="697">
        <f t="shared" ref="C32:M32" si="9">SUM(C12:C31)</f>
        <v>888.60293124999998</v>
      </c>
      <c r="D32" s="697">
        <f t="shared" si="9"/>
        <v>584.81477300879476</v>
      </c>
      <c r="E32" s="697">
        <f t="shared" si="9"/>
        <v>1753.5335603245387</v>
      </c>
      <c r="F32" s="697">
        <f t="shared" si="9"/>
        <v>1549.2629166666668</v>
      </c>
      <c r="G32" s="697">
        <f t="shared" si="9"/>
        <v>84.534999999999997</v>
      </c>
      <c r="H32" s="697">
        <f t="shared" si="9"/>
        <v>264.31</v>
      </c>
      <c r="I32" s="697">
        <f t="shared" si="9"/>
        <v>2232.0524999999998</v>
      </c>
      <c r="J32" s="697">
        <f t="shared" si="9"/>
        <v>731.90250000000003</v>
      </c>
      <c r="K32" s="697">
        <f t="shared" si="9"/>
        <v>146.4325</v>
      </c>
      <c r="L32" s="697">
        <f t="shared" si="9"/>
        <v>325</v>
      </c>
      <c r="M32" s="20">
        <f t="shared" si="9"/>
        <v>585</v>
      </c>
      <c r="N32" s="17"/>
      <c r="O32" s="17"/>
    </row>
    <row r="33" spans="1:15">
      <c r="A33" s="227" t="s">
        <v>139</v>
      </c>
      <c r="B33" s="217"/>
      <c r="C33" s="699">
        <f>G32*B4*30%</f>
        <v>2.1737571428571427</v>
      </c>
      <c r="D33" s="699">
        <f>$G$32*35%+$G$32*30%*C4</f>
        <v>35.021642857142851</v>
      </c>
      <c r="E33" s="699">
        <f>$G$32*35%+$G$32*30%*D4</f>
        <v>35.021642857142851</v>
      </c>
      <c r="F33" s="699">
        <f>$G$32*E4*30%</f>
        <v>5.4343928571428561</v>
      </c>
      <c r="G33" s="710">
        <f>-G32</f>
        <v>-84.534999999999997</v>
      </c>
      <c r="H33" s="699">
        <f>$G$32*G4*30%</f>
        <v>0.72458571428571417</v>
      </c>
      <c r="I33" s="699">
        <f t="shared" ref="I33:K33" si="10">$G$32*H4*30%</f>
        <v>3.6229285714285711</v>
      </c>
      <c r="J33" s="699">
        <f t="shared" si="10"/>
        <v>2.1737571428571427</v>
      </c>
      <c r="K33" s="699">
        <f t="shared" si="10"/>
        <v>0.36229285714285708</v>
      </c>
      <c r="L33" s="699">
        <v>0</v>
      </c>
      <c r="M33" s="699"/>
      <c r="N33" s="17"/>
      <c r="O33" s="17"/>
    </row>
    <row r="34" spans="1:15">
      <c r="A34" s="228" t="s">
        <v>140</v>
      </c>
      <c r="B34" s="219"/>
      <c r="C34" s="711">
        <f>$L$32*B4</f>
        <v>27.857142857142858</v>
      </c>
      <c r="D34" s="711">
        <f t="shared" ref="D34:J34" si="11">$L$32*C4</f>
        <v>69.642857142857139</v>
      </c>
      <c r="E34" s="711">
        <f t="shared" si="11"/>
        <v>69.642857142857139</v>
      </c>
      <c r="F34" s="711">
        <f t="shared" si="11"/>
        <v>69.642857142857139</v>
      </c>
      <c r="G34" s="711">
        <f t="shared" si="11"/>
        <v>0</v>
      </c>
      <c r="H34" s="711">
        <f t="shared" si="11"/>
        <v>9.2857142857142847</v>
      </c>
      <c r="I34" s="711">
        <f t="shared" si="11"/>
        <v>46.428571428571423</v>
      </c>
      <c r="J34" s="711">
        <f t="shared" si="11"/>
        <v>27.857142857142858</v>
      </c>
      <c r="K34" s="711">
        <f>$L$32*J4</f>
        <v>4.6428571428571423</v>
      </c>
      <c r="L34" s="711">
        <f>-L32</f>
        <v>-325</v>
      </c>
      <c r="M34" s="711">
        <f t="shared" ref="M34" si="12">M32*L4</f>
        <v>0</v>
      </c>
      <c r="N34" s="17"/>
      <c r="O34" s="17">
        <f>150/5*2/12</f>
        <v>5</v>
      </c>
    </row>
    <row r="35" spans="1:15">
      <c r="A35" s="229" t="s">
        <v>141</v>
      </c>
      <c r="B35" s="225"/>
      <c r="C35" s="712">
        <f>-$K$35*B7</f>
        <v>35.848389830508474</v>
      </c>
      <c r="D35" s="712">
        <f t="shared" ref="D35:J35" si="13">-$K$35*C7</f>
        <v>3.4141323648103308</v>
      </c>
      <c r="E35" s="712">
        <f t="shared" si="13"/>
        <v>5.9747316384180795</v>
      </c>
      <c r="F35" s="712">
        <f t="shared" si="13"/>
        <v>8.5353309120258274</v>
      </c>
      <c r="G35" s="712">
        <f>-$K$35*F7</f>
        <v>0</v>
      </c>
      <c r="H35" s="712">
        <f t="shared" si="13"/>
        <v>10.242397094430993</v>
      </c>
      <c r="I35" s="712">
        <f t="shared" si="13"/>
        <v>58.893783292978213</v>
      </c>
      <c r="J35" s="712">
        <f t="shared" si="13"/>
        <v>28.166592009685232</v>
      </c>
      <c r="K35" s="712">
        <f>-(K32+K34)</f>
        <v>-151.07535714285714</v>
      </c>
      <c r="L35" s="712">
        <v>0</v>
      </c>
      <c r="M35" s="712"/>
      <c r="N35" s="17"/>
      <c r="O35" s="17"/>
    </row>
    <row r="36" spans="1:15">
      <c r="A36" s="20" t="s">
        <v>144</v>
      </c>
      <c r="B36" s="18">
        <f>SUM(C36:M36)</f>
        <v>9145.4466812499995</v>
      </c>
      <c r="C36" s="18">
        <f>SUM(C32:C35)</f>
        <v>954.48222108050857</v>
      </c>
      <c r="D36" s="695">
        <f t="shared" ref="D36:J36" si="14">SUM(D32:D35)</f>
        <v>692.89340537360511</v>
      </c>
      <c r="E36" s="18">
        <f t="shared" si="14"/>
        <v>1864.1727919629566</v>
      </c>
      <c r="F36" s="18">
        <f t="shared" si="14"/>
        <v>1632.8754975786926</v>
      </c>
      <c r="G36" s="18">
        <f t="shared" si="14"/>
        <v>0</v>
      </c>
      <c r="H36" s="696">
        <f t="shared" si="14"/>
        <v>284.56269709443097</v>
      </c>
      <c r="I36" s="18">
        <f t="shared" si="14"/>
        <v>2340.9977832929781</v>
      </c>
      <c r="J36" s="696">
        <f t="shared" si="14"/>
        <v>790.09999200968537</v>
      </c>
      <c r="K36" s="18">
        <f t="shared" ref="K36" si="15">SUM(K32:K35)</f>
        <v>0.36229285714284742</v>
      </c>
      <c r="L36" s="18">
        <f t="shared" ref="L36:M36" si="16">SUM(L32:L35)</f>
        <v>0</v>
      </c>
      <c r="M36" s="18">
        <f t="shared" si="16"/>
        <v>585</v>
      </c>
      <c r="N36" s="17"/>
      <c r="O36" s="17"/>
    </row>
    <row r="37" spans="1:15">
      <c r="A37" s="230" t="s">
        <v>142</v>
      </c>
      <c r="B37" s="5"/>
      <c r="C37" s="5">
        <f>MAX('données prév'!C56,'données prév'!C59)</f>
        <v>20500</v>
      </c>
      <c r="D37" s="5">
        <f>MAX('données prév'!E56,'données prév'!E59)</f>
        <v>10211.90625</v>
      </c>
      <c r="E37" s="5">
        <f>MAX('données prév'!G56,'données prév'!G59)</f>
        <v>43765.3125</v>
      </c>
      <c r="F37" s="5">
        <f>MAX('données prév'!I56,'données prév'!I59)</f>
        <v>46683</v>
      </c>
      <c r="G37" s="5"/>
      <c r="H37" s="5"/>
      <c r="I37" s="5"/>
      <c r="J37" s="5"/>
      <c r="K37" s="5"/>
      <c r="L37" s="5"/>
      <c r="M37" s="5"/>
      <c r="N37" s="17"/>
      <c r="O37" s="17"/>
    </row>
    <row r="38" spans="1:15">
      <c r="A38" s="20" t="s">
        <v>145</v>
      </c>
      <c r="B38" s="5"/>
      <c r="C38" s="691">
        <f>C36/C37*1000</f>
        <v>46.560108345390667</v>
      </c>
      <c r="D38" s="691">
        <f t="shared" ref="D38:F38" si="17">D36/D37*1000</f>
        <v>67.851524329613312</v>
      </c>
      <c r="E38" s="691">
        <f t="shared" si="17"/>
        <v>42.594755651818012</v>
      </c>
      <c r="F38" s="691">
        <f t="shared" si="17"/>
        <v>34.97794695239579</v>
      </c>
      <c r="G38" s="5"/>
      <c r="H38" s="5"/>
      <c r="I38" s="5"/>
      <c r="J38" s="5"/>
      <c r="K38" s="5"/>
      <c r="L38" s="5"/>
      <c r="M38" s="5"/>
      <c r="N38" s="17"/>
      <c r="O38" s="17"/>
    </row>
    <row r="39" spans="1:15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</row>
    <row r="40" spans="1:15">
      <c r="A40" s="22" t="s">
        <v>201</v>
      </c>
      <c r="B40" s="23"/>
      <c r="C40" s="23"/>
      <c r="D40" s="23"/>
      <c r="E40" s="23"/>
      <c r="F40" s="23"/>
      <c r="G40" s="23"/>
      <c r="H40" s="24"/>
      <c r="I40" s="17"/>
      <c r="J40" s="17"/>
      <c r="K40" s="17"/>
      <c r="L40" s="17"/>
      <c r="M40" s="17"/>
      <c r="N40" s="17"/>
      <c r="O40" s="17"/>
    </row>
    <row r="41" spans="1:15" ht="13.2" customHeight="1"/>
    <row r="42" spans="1:15">
      <c r="A42" s="25" t="s">
        <v>160</v>
      </c>
      <c r="B42" s="226" t="s">
        <v>156</v>
      </c>
      <c r="C42" s="226" t="s">
        <v>61</v>
      </c>
      <c r="D42" s="226" t="s">
        <v>157</v>
      </c>
      <c r="E42" s="226" t="s">
        <v>158</v>
      </c>
      <c r="F42" s="226" t="s">
        <v>159</v>
      </c>
      <c r="G42" s="226" t="s">
        <v>39</v>
      </c>
      <c r="H42" s="226" t="s">
        <v>334</v>
      </c>
    </row>
    <row r="43" spans="1:15">
      <c r="A43" s="235" t="s">
        <v>53</v>
      </c>
      <c r="B43" s="231">
        <f>'données prév'!N24*1000</f>
        <v>76500</v>
      </c>
      <c r="C43" s="231">
        <f>$C$38*'données prév'!J24</f>
        <v>13968.0325036172</v>
      </c>
      <c r="D43" s="713">
        <f>$D$38*'données prév'!K24</f>
        <v>16962.881082403328</v>
      </c>
      <c r="E43" s="231">
        <f>$E$38*'données prév'!L24</f>
        <v>8518.9511303636027</v>
      </c>
      <c r="F43" s="231">
        <f>$F$38*'données prév'!M24</f>
        <v>13291.6198419104</v>
      </c>
      <c r="G43" s="232">
        <f>SUM(B43:F43)</f>
        <v>129241.48455829453</v>
      </c>
      <c r="H43" s="231">
        <f>G43/1000</f>
        <v>129.24148455829453</v>
      </c>
    </row>
    <row r="44" spans="1:15">
      <c r="A44" s="236" t="s">
        <v>54</v>
      </c>
      <c r="B44" s="231">
        <f>'données prév'!N26*1000</f>
        <v>102000</v>
      </c>
      <c r="C44" s="231">
        <f>$C$38*'données prév'!J26</f>
        <v>23280.054172695334</v>
      </c>
      <c r="D44" s="713">
        <f>$D$38*'données prév'!K26</f>
        <v>25444.321623604992</v>
      </c>
      <c r="E44" s="231">
        <f>$E$38*'données prév'!L26</f>
        <v>12778.426695545404</v>
      </c>
      <c r="F44" s="231">
        <f>$F$38*'données prév'!M26</f>
        <v>18275.977282626802</v>
      </c>
      <c r="G44" s="232">
        <f t="shared" ref="G44:G46" si="18">SUM(B44:F44)</f>
        <v>181778.77977447252</v>
      </c>
      <c r="H44" s="231">
        <f t="shared" ref="H44:H46" si="19">G44/1000</f>
        <v>181.77877977447253</v>
      </c>
    </row>
    <row r="45" spans="1:15">
      <c r="A45" s="236" t="s">
        <v>55</v>
      </c>
      <c r="B45" s="231">
        <f>'données prév'!N28*1000</f>
        <v>244800</v>
      </c>
      <c r="C45" s="231">
        <f>$C$38*'données prév'!J28</f>
        <v>37248.08667631253</v>
      </c>
      <c r="D45" s="713">
        <f>$D$38*'données prév'!K28</f>
        <v>40710.914597767987</v>
      </c>
      <c r="E45" s="231">
        <f>$E$38*'données prév'!L28</f>
        <v>17037.902260727205</v>
      </c>
      <c r="F45" s="231">
        <f>$F$38*'données prév'!M28</f>
        <v>31567.597124537202</v>
      </c>
      <c r="G45" s="232">
        <f t="shared" si="18"/>
        <v>371364.50065934495</v>
      </c>
      <c r="H45" s="231">
        <f t="shared" si="19"/>
        <v>371.36450065934497</v>
      </c>
    </row>
    <row r="46" spans="1:15">
      <c r="A46" s="237" t="s">
        <v>155</v>
      </c>
      <c r="B46" s="692">
        <f>'données prév'!N30*1000</f>
        <v>147.9</v>
      </c>
      <c r="C46" s="692">
        <f>$C$38*'données prév'!J30</f>
        <v>0</v>
      </c>
      <c r="D46" s="714">
        <f>$D$38*'données prév'!K30</f>
        <v>0</v>
      </c>
      <c r="E46" s="692">
        <f>$E$38*'données prév'!L30</f>
        <v>88.739074274620862</v>
      </c>
      <c r="F46" s="692">
        <f>$F$38*'données prév'!M30</f>
        <v>66.458099209552003</v>
      </c>
      <c r="G46" s="715">
        <f t="shared" si="18"/>
        <v>303.09717348417286</v>
      </c>
      <c r="H46" s="692">
        <f t="shared" si="19"/>
        <v>0.30309717348417287</v>
      </c>
    </row>
    <row r="51" spans="2:2">
      <c r="B51" s="716"/>
    </row>
  </sheetData>
  <phoneticPr fontId="0" type="noConversion"/>
  <pageMargins left="0.23622047244094491" right="0.19685039370078741" top="0.23622047244094491" bottom="0.27559055118110237" header="0.15748031496062992" footer="7.874015748031496E-2"/>
  <pageSetup paperSize="9" scale="89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AB145"/>
  <sheetViews>
    <sheetView showGridLines="0" topLeftCell="J121" zoomScale="70" zoomScaleNormal="70" workbookViewId="0">
      <selection activeCell="B142" sqref="B142:M143"/>
    </sheetView>
  </sheetViews>
  <sheetFormatPr baseColWidth="10" defaultRowHeight="14.4"/>
  <cols>
    <col min="1" max="1" width="36.44140625" bestFit="1" customWidth="1"/>
    <col min="2" max="2" width="16.44140625" customWidth="1"/>
    <col min="3" max="13" width="19.6640625" bestFit="1" customWidth="1"/>
    <col min="14" max="14" width="15.5546875" bestFit="1" customWidth="1"/>
    <col min="15" max="15" width="10.5546875" bestFit="1" customWidth="1"/>
    <col min="16" max="17" width="11.5546875" bestFit="1" customWidth="1"/>
  </cols>
  <sheetData>
    <row r="1" spans="1:21" s="3" customFormat="1">
      <c r="A1" s="433" t="s">
        <v>187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5"/>
    </row>
    <row r="2" spans="1:21" s="3" customFormat="1">
      <c r="A2" s="283"/>
      <c r="B2" s="241">
        <f>+'données prév'!B8</f>
        <v>43101</v>
      </c>
      <c r="C2" s="241">
        <f>+'données prév'!C8</f>
        <v>43132</v>
      </c>
      <c r="D2" s="241">
        <f>+'données prév'!D8</f>
        <v>43160</v>
      </c>
      <c r="E2" s="241">
        <f>+'données prév'!E8</f>
        <v>43191</v>
      </c>
      <c r="F2" s="241">
        <f>+'données prév'!F8</f>
        <v>43221</v>
      </c>
      <c r="G2" s="241">
        <f>+'données prév'!G8</f>
        <v>43252</v>
      </c>
      <c r="H2" s="241">
        <f>+'données prév'!H8</f>
        <v>43282</v>
      </c>
      <c r="I2" s="241">
        <f>+'données prév'!I8</f>
        <v>43313</v>
      </c>
      <c r="J2" s="241">
        <f>+'données prév'!J8</f>
        <v>43344</v>
      </c>
      <c r="K2" s="241">
        <f>+'données prév'!K8</f>
        <v>43374</v>
      </c>
      <c r="L2" s="241">
        <f>+'données prév'!L8</f>
        <v>43405</v>
      </c>
      <c r="M2" s="241">
        <f>+'données prév'!M8</f>
        <v>43435</v>
      </c>
      <c r="N2" s="241" t="s">
        <v>39</v>
      </c>
    </row>
    <row r="3" spans="1:21" s="3" customFormat="1">
      <c r="A3" s="247" t="s">
        <v>14</v>
      </c>
      <c r="B3" s="92">
        <v>2</v>
      </c>
      <c r="C3" s="92"/>
      <c r="D3" s="92">
        <v>2</v>
      </c>
      <c r="E3" s="92"/>
      <c r="F3" s="92"/>
      <c r="G3" s="92">
        <v>1</v>
      </c>
      <c r="H3" s="92"/>
      <c r="I3" s="92"/>
      <c r="J3" s="92">
        <v>2</v>
      </c>
      <c r="K3" s="92"/>
      <c r="L3" s="92"/>
      <c r="M3" s="92">
        <v>1</v>
      </c>
      <c r="N3" s="189">
        <f>+SUM(B3:M3)</f>
        <v>8</v>
      </c>
    </row>
    <row r="4" spans="1:21" s="3" customFormat="1">
      <c r="A4" s="256" t="s">
        <v>15</v>
      </c>
      <c r="B4" s="251">
        <v>1</v>
      </c>
      <c r="C4" s="251"/>
      <c r="D4" s="251"/>
      <c r="E4" s="251"/>
      <c r="F4" s="251">
        <v>3</v>
      </c>
      <c r="G4" s="251"/>
      <c r="H4" s="251"/>
      <c r="I4" s="251"/>
      <c r="J4" s="251"/>
      <c r="K4" s="251"/>
      <c r="L4" s="251"/>
      <c r="M4" s="251"/>
      <c r="N4" s="252">
        <f t="shared" ref="N4:N10" si="0">+SUM(B4:M4)</f>
        <v>4</v>
      </c>
    </row>
    <row r="5" spans="1:21" s="7" customFormat="1">
      <c r="A5" s="257" t="s">
        <v>88</v>
      </c>
      <c r="B5" s="254">
        <f>+B3+B4</f>
        <v>3</v>
      </c>
      <c r="C5" s="254">
        <f t="shared" ref="C5:N5" si="1">+C3+C4</f>
        <v>0</v>
      </c>
      <c r="D5" s="254">
        <f t="shared" si="1"/>
        <v>2</v>
      </c>
      <c r="E5" s="254">
        <f t="shared" si="1"/>
        <v>0</v>
      </c>
      <c r="F5" s="254">
        <f t="shared" si="1"/>
        <v>3</v>
      </c>
      <c r="G5" s="254">
        <f t="shared" si="1"/>
        <v>1</v>
      </c>
      <c r="H5" s="254">
        <f t="shared" si="1"/>
        <v>0</v>
      </c>
      <c r="I5" s="254">
        <f t="shared" si="1"/>
        <v>0</v>
      </c>
      <c r="J5" s="254">
        <f t="shared" si="1"/>
        <v>2</v>
      </c>
      <c r="K5" s="254">
        <f t="shared" si="1"/>
        <v>0</v>
      </c>
      <c r="L5" s="254">
        <f t="shared" si="1"/>
        <v>0</v>
      </c>
      <c r="M5" s="254">
        <f t="shared" si="1"/>
        <v>1</v>
      </c>
      <c r="N5" s="255">
        <f t="shared" si="1"/>
        <v>12</v>
      </c>
    </row>
    <row r="6" spans="1:21" s="3" customFormat="1">
      <c r="A6" s="249" t="s">
        <v>16</v>
      </c>
      <c r="B6" s="92"/>
      <c r="C6" s="92">
        <v>2</v>
      </c>
      <c r="D6" s="92">
        <v>3</v>
      </c>
      <c r="E6" s="92">
        <v>1</v>
      </c>
      <c r="F6" s="92"/>
      <c r="G6" s="92"/>
      <c r="H6" s="92"/>
      <c r="I6" s="92">
        <v>2</v>
      </c>
      <c r="J6" s="92"/>
      <c r="K6" s="92">
        <v>2</v>
      </c>
      <c r="L6" s="92">
        <v>1</v>
      </c>
      <c r="M6" s="92"/>
      <c r="N6" s="189">
        <f t="shared" si="0"/>
        <v>11</v>
      </c>
    </row>
    <row r="7" spans="1:21" s="3" customFormat="1">
      <c r="A7" s="250" t="s">
        <v>17</v>
      </c>
      <c r="B7" s="251"/>
      <c r="C7" s="251"/>
      <c r="D7" s="251"/>
      <c r="E7" s="251">
        <v>4</v>
      </c>
      <c r="F7" s="251"/>
      <c r="G7" s="251"/>
      <c r="H7" s="251"/>
      <c r="I7" s="251"/>
      <c r="J7" s="251"/>
      <c r="K7" s="251"/>
      <c r="L7" s="251">
        <v>2</v>
      </c>
      <c r="M7" s="251"/>
      <c r="N7" s="252">
        <f t="shared" si="0"/>
        <v>6</v>
      </c>
    </row>
    <row r="8" spans="1:21" s="7" customFormat="1">
      <c r="A8" s="253" t="s">
        <v>89</v>
      </c>
      <c r="B8" s="254">
        <f>+B6+B7</f>
        <v>0</v>
      </c>
      <c r="C8" s="254">
        <f t="shared" ref="C8:N8" si="2">+C6+C7</f>
        <v>2</v>
      </c>
      <c r="D8" s="254">
        <f t="shared" si="2"/>
        <v>3</v>
      </c>
      <c r="E8" s="254">
        <f t="shared" si="2"/>
        <v>5</v>
      </c>
      <c r="F8" s="254">
        <f t="shared" si="2"/>
        <v>0</v>
      </c>
      <c r="G8" s="254">
        <f t="shared" si="2"/>
        <v>0</v>
      </c>
      <c r="H8" s="254">
        <f t="shared" si="2"/>
        <v>0</v>
      </c>
      <c r="I8" s="254">
        <f t="shared" si="2"/>
        <v>2</v>
      </c>
      <c r="J8" s="254">
        <f t="shared" si="2"/>
        <v>0</v>
      </c>
      <c r="K8" s="254">
        <f t="shared" si="2"/>
        <v>2</v>
      </c>
      <c r="L8" s="254">
        <f t="shared" si="2"/>
        <v>3</v>
      </c>
      <c r="M8" s="254">
        <f t="shared" si="2"/>
        <v>0</v>
      </c>
      <c r="N8" s="255">
        <f t="shared" si="2"/>
        <v>17</v>
      </c>
    </row>
    <row r="9" spans="1:21" s="3" customFormat="1">
      <c r="A9" s="258" t="s">
        <v>18</v>
      </c>
      <c r="B9" s="92"/>
      <c r="C9" s="92">
        <v>1</v>
      </c>
      <c r="D9" s="92"/>
      <c r="E9" s="92"/>
      <c r="F9" s="92">
        <v>1</v>
      </c>
      <c r="G9" s="92"/>
      <c r="H9" s="92"/>
      <c r="I9" s="92"/>
      <c r="J9" s="92"/>
      <c r="K9" s="92"/>
      <c r="L9" s="92">
        <v>1</v>
      </c>
      <c r="M9" s="92"/>
      <c r="N9" s="189">
        <f t="shared" si="0"/>
        <v>3</v>
      </c>
    </row>
    <row r="10" spans="1:21" s="3" customFormat="1">
      <c r="A10" s="259" t="s">
        <v>19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>
        <v>1</v>
      </c>
      <c r="L10" s="251"/>
      <c r="M10" s="251">
        <v>1</v>
      </c>
      <c r="N10" s="252">
        <f t="shared" si="0"/>
        <v>2</v>
      </c>
    </row>
    <row r="11" spans="1:21" s="7" customFormat="1">
      <c r="A11" s="260" t="s">
        <v>90</v>
      </c>
      <c r="B11" s="254">
        <f>+B9+B10</f>
        <v>0</v>
      </c>
      <c r="C11" s="254">
        <f t="shared" ref="C11:N11" si="3">+C9+C10</f>
        <v>1</v>
      </c>
      <c r="D11" s="254">
        <f t="shared" si="3"/>
        <v>0</v>
      </c>
      <c r="E11" s="254">
        <f t="shared" si="3"/>
        <v>0</v>
      </c>
      <c r="F11" s="254">
        <f t="shared" si="3"/>
        <v>1</v>
      </c>
      <c r="G11" s="254">
        <f t="shared" si="3"/>
        <v>0</v>
      </c>
      <c r="H11" s="254">
        <f t="shared" si="3"/>
        <v>0</v>
      </c>
      <c r="I11" s="254">
        <f t="shared" si="3"/>
        <v>0</v>
      </c>
      <c r="J11" s="254">
        <f t="shared" si="3"/>
        <v>0</v>
      </c>
      <c r="K11" s="254">
        <f t="shared" si="3"/>
        <v>1</v>
      </c>
      <c r="L11" s="254">
        <f t="shared" si="3"/>
        <v>1</v>
      </c>
      <c r="M11" s="254">
        <f t="shared" si="3"/>
        <v>1</v>
      </c>
      <c r="N11" s="255">
        <f t="shared" si="3"/>
        <v>5</v>
      </c>
    </row>
    <row r="12" spans="1:21">
      <c r="A12" s="238" t="s">
        <v>186</v>
      </c>
      <c r="B12" s="239">
        <f>'vent pdt série'!F46</f>
        <v>1543</v>
      </c>
      <c r="C12" s="239">
        <f>'vent pdt série'!F47</f>
        <v>1487</v>
      </c>
      <c r="D12" s="239">
        <f>'vent pdt série'!F48</f>
        <v>1677</v>
      </c>
      <c r="E12" s="239">
        <f>'vent pdt série'!F49</f>
        <v>1418</v>
      </c>
      <c r="F12" s="239">
        <f>'vent pdt série'!F50</f>
        <v>1204</v>
      </c>
      <c r="G12" s="239">
        <f>'vent pdt série'!F51</f>
        <v>2014</v>
      </c>
      <c r="H12" s="239">
        <f>'vent pdt série'!F52</f>
        <v>725</v>
      </c>
      <c r="I12" s="239">
        <f>'vent pdt série'!F53</f>
        <v>359</v>
      </c>
      <c r="J12" s="239">
        <f>'vent pdt série'!F54</f>
        <v>1258</v>
      </c>
      <c r="K12" s="239">
        <f>'vent pdt série'!F55</f>
        <v>1792</v>
      </c>
      <c r="L12" s="239">
        <f>'vent pdt série'!F56</f>
        <v>1489</v>
      </c>
      <c r="M12" s="239">
        <f>'vent pdt série'!F57</f>
        <v>901</v>
      </c>
      <c r="N12" s="243">
        <f>SUM(B12:M12)</f>
        <v>15867</v>
      </c>
    </row>
    <row r="13" spans="1:21" ht="15.75" customHeight="1">
      <c r="A13" s="718"/>
      <c r="B13" s="719"/>
      <c r="C13" s="719"/>
      <c r="D13" s="719"/>
      <c r="E13" s="719"/>
      <c r="F13" s="719"/>
      <c r="G13" s="719"/>
      <c r="H13" s="719"/>
      <c r="I13" s="719"/>
      <c r="J13" s="719"/>
      <c r="K13" s="719"/>
      <c r="L13" s="719"/>
      <c r="M13" s="720"/>
      <c r="N13" s="717"/>
    </row>
    <row r="14" spans="1:21">
      <c r="A14" s="433" t="s">
        <v>301</v>
      </c>
      <c r="B14" s="434"/>
      <c r="C14" s="434"/>
      <c r="D14" s="434"/>
      <c r="E14" s="434"/>
      <c r="F14" s="434"/>
      <c r="G14" s="434"/>
      <c r="H14" s="434"/>
      <c r="I14" s="434"/>
      <c r="J14" s="434"/>
      <c r="K14" s="434"/>
      <c r="L14" s="434"/>
      <c r="M14" s="435"/>
      <c r="O14" s="3"/>
    </row>
    <row r="15" spans="1:21">
      <c r="A15" s="283"/>
      <c r="B15" s="241">
        <f>B2</f>
        <v>43101</v>
      </c>
      <c r="C15" s="241">
        <f t="shared" ref="C15:M15" si="4">C2</f>
        <v>43132</v>
      </c>
      <c r="D15" s="241">
        <f t="shared" si="4"/>
        <v>43160</v>
      </c>
      <c r="E15" s="241">
        <f t="shared" si="4"/>
        <v>43191</v>
      </c>
      <c r="F15" s="241">
        <f t="shared" si="4"/>
        <v>43221</v>
      </c>
      <c r="G15" s="241">
        <f t="shared" si="4"/>
        <v>43252</v>
      </c>
      <c r="H15" s="241">
        <f t="shared" si="4"/>
        <v>43282</v>
      </c>
      <c r="I15" s="241">
        <f t="shared" si="4"/>
        <v>43313</v>
      </c>
      <c r="J15" s="241">
        <f t="shared" si="4"/>
        <v>43344</v>
      </c>
      <c r="K15" s="241">
        <f t="shared" si="4"/>
        <v>43374</v>
      </c>
      <c r="L15" s="241">
        <f t="shared" si="4"/>
        <v>43405</v>
      </c>
      <c r="M15" s="241">
        <f t="shared" si="4"/>
        <v>43435</v>
      </c>
      <c r="N15" s="48"/>
      <c r="O15" s="3"/>
      <c r="P15" s="48"/>
      <c r="Q15" s="48"/>
      <c r="R15" s="48"/>
      <c r="S15" s="48"/>
      <c r="T15" s="48"/>
      <c r="U15" s="48"/>
    </row>
    <row r="16" spans="1:21">
      <c r="A16" s="283" t="s">
        <v>260</v>
      </c>
      <c r="B16" s="761">
        <f>'données prév'!$M$19</f>
        <v>1.1000000000000001</v>
      </c>
      <c r="C16" s="761">
        <f>'données prév'!$M$19</f>
        <v>1.1000000000000001</v>
      </c>
      <c r="D16" s="761">
        <f>'données prév'!$M$19</f>
        <v>1.1000000000000001</v>
      </c>
      <c r="E16" s="761">
        <f>'données prév'!$M$20</f>
        <v>1.1499999999999999</v>
      </c>
      <c r="F16" s="761">
        <f>'données prév'!$M$20</f>
        <v>1.1499999999999999</v>
      </c>
      <c r="G16" s="761">
        <f>'données prév'!$M$20</f>
        <v>1.1499999999999999</v>
      </c>
      <c r="H16" s="761">
        <f>'données prév'!$M$20</f>
        <v>1.1499999999999999</v>
      </c>
      <c r="I16" s="761">
        <f>'données prév'!$M$20</f>
        <v>1.1499999999999999</v>
      </c>
      <c r="J16" s="761">
        <f>'données prév'!$M$20</f>
        <v>1.1499999999999999</v>
      </c>
      <c r="K16" s="761">
        <f>'données prév'!$M$20</f>
        <v>1.1499999999999999</v>
      </c>
      <c r="L16" s="761">
        <f>'données prév'!$M$20</f>
        <v>1.1499999999999999</v>
      </c>
      <c r="M16" s="761">
        <f>'données prév'!$M$20</f>
        <v>1.1499999999999999</v>
      </c>
    </row>
    <row r="17" spans="1:21">
      <c r="A17" s="261" t="s">
        <v>262</v>
      </c>
      <c r="B17" s="762">
        <f>'données prév'!$I$25</f>
        <v>190.4</v>
      </c>
      <c r="C17" s="762">
        <f>'données prév'!$I$25</f>
        <v>190.4</v>
      </c>
      <c r="D17" s="762">
        <f>'données prév'!$I$25</f>
        <v>190.4</v>
      </c>
      <c r="E17" s="762">
        <f>'données prév'!$I$25</f>
        <v>190.4</v>
      </c>
      <c r="F17" s="762">
        <f>'données prév'!$I$25</f>
        <v>190.4</v>
      </c>
      <c r="G17" s="762">
        <f>'données prév'!$I$25</f>
        <v>190.4</v>
      </c>
      <c r="H17" s="762">
        <f>'données prév'!$I$25</f>
        <v>190.4</v>
      </c>
      <c r="I17" s="762">
        <f>'données prév'!$I$25</f>
        <v>190.4</v>
      </c>
      <c r="J17" s="762">
        <f>'données prév'!$I$25</f>
        <v>190.4</v>
      </c>
      <c r="K17" s="762">
        <f>'données prév'!$I$25</f>
        <v>190.4</v>
      </c>
      <c r="L17" s="762">
        <f>'données prév'!$I$25</f>
        <v>190.4</v>
      </c>
      <c r="M17" s="762">
        <f>'données prév'!$I$25</f>
        <v>190.4</v>
      </c>
    </row>
    <row r="18" spans="1:21">
      <c r="A18" s="262" t="s">
        <v>261</v>
      </c>
      <c r="B18" s="763">
        <f>B17/B16</f>
        <v>173.09090909090909</v>
      </c>
      <c r="C18" s="763">
        <f t="shared" ref="C18:M18" si="5">C17/C16</f>
        <v>173.09090909090909</v>
      </c>
      <c r="D18" s="763">
        <f t="shared" si="5"/>
        <v>173.09090909090909</v>
      </c>
      <c r="E18" s="763">
        <f t="shared" si="5"/>
        <v>165.56521739130437</v>
      </c>
      <c r="F18" s="763">
        <f t="shared" si="5"/>
        <v>165.56521739130437</v>
      </c>
      <c r="G18" s="763">
        <f t="shared" si="5"/>
        <v>165.56521739130437</v>
      </c>
      <c r="H18" s="763">
        <f t="shared" si="5"/>
        <v>165.56521739130437</v>
      </c>
      <c r="I18" s="763">
        <f t="shared" si="5"/>
        <v>165.56521739130437</v>
      </c>
      <c r="J18" s="763">
        <f t="shared" si="5"/>
        <v>165.56521739130437</v>
      </c>
      <c r="K18" s="763">
        <f t="shared" si="5"/>
        <v>165.56521739130437</v>
      </c>
      <c r="L18" s="763">
        <f t="shared" si="5"/>
        <v>165.56521739130437</v>
      </c>
      <c r="M18" s="763">
        <f t="shared" si="5"/>
        <v>165.56521739130437</v>
      </c>
    </row>
    <row r="19" spans="1:21">
      <c r="A19" s="263" t="s">
        <v>263</v>
      </c>
      <c r="B19" s="762">
        <f>'données prév'!$I$27</f>
        <v>315</v>
      </c>
      <c r="C19" s="762">
        <f>'données prév'!$I$27</f>
        <v>315</v>
      </c>
      <c r="D19" s="762">
        <f>'données prév'!$I$27</f>
        <v>315</v>
      </c>
      <c r="E19" s="762">
        <f>'données prév'!$I$27</f>
        <v>315</v>
      </c>
      <c r="F19" s="762">
        <f>'données prév'!$I$27</f>
        <v>315</v>
      </c>
      <c r="G19" s="762">
        <f>'données prév'!$I$27</f>
        <v>315</v>
      </c>
      <c r="H19" s="762">
        <f>'données prév'!$I$27</f>
        <v>315</v>
      </c>
      <c r="I19" s="762">
        <f>'données prév'!$I$27</f>
        <v>315</v>
      </c>
      <c r="J19" s="762">
        <f>'données prév'!$I$27</f>
        <v>315</v>
      </c>
      <c r="K19" s="762">
        <f>'données prév'!$I$27</f>
        <v>315</v>
      </c>
      <c r="L19" s="762">
        <f>'données prév'!$I$27</f>
        <v>315</v>
      </c>
      <c r="M19" s="762">
        <f>'données prév'!$I$27</f>
        <v>315</v>
      </c>
    </row>
    <row r="20" spans="1:21">
      <c r="A20" s="264" t="s">
        <v>264</v>
      </c>
      <c r="B20" s="763">
        <f>B19/B16</f>
        <v>286.36363636363632</v>
      </c>
      <c r="C20" s="763">
        <f t="shared" ref="C20:M20" si="6">C19/C16</f>
        <v>286.36363636363632</v>
      </c>
      <c r="D20" s="763">
        <f t="shared" si="6"/>
        <v>286.36363636363632</v>
      </c>
      <c r="E20" s="763">
        <f t="shared" si="6"/>
        <v>273.91304347826087</v>
      </c>
      <c r="F20" s="763">
        <f t="shared" si="6"/>
        <v>273.91304347826087</v>
      </c>
      <c r="G20" s="763">
        <f t="shared" si="6"/>
        <v>273.91304347826087</v>
      </c>
      <c r="H20" s="763">
        <f t="shared" si="6"/>
        <v>273.91304347826087</v>
      </c>
      <c r="I20" s="763">
        <f t="shared" si="6"/>
        <v>273.91304347826087</v>
      </c>
      <c r="J20" s="763">
        <f t="shared" si="6"/>
        <v>273.91304347826087</v>
      </c>
      <c r="K20" s="763">
        <f t="shared" si="6"/>
        <v>273.91304347826087</v>
      </c>
      <c r="L20" s="763">
        <f t="shared" si="6"/>
        <v>273.91304347826087</v>
      </c>
      <c r="M20" s="763">
        <f t="shared" si="6"/>
        <v>273.91304347826087</v>
      </c>
    </row>
    <row r="21" spans="1:21">
      <c r="A21" s="265" t="s">
        <v>265</v>
      </c>
      <c r="B21" s="762">
        <f>'données prév'!$I$29</f>
        <v>625.1</v>
      </c>
      <c r="C21" s="762">
        <f>'données prév'!$I$29</f>
        <v>625.1</v>
      </c>
      <c r="D21" s="762">
        <f>'données prév'!$I$29</f>
        <v>625.1</v>
      </c>
      <c r="E21" s="762">
        <f>'données prév'!$I$29</f>
        <v>625.1</v>
      </c>
      <c r="F21" s="762">
        <f>'données prév'!$I$29</f>
        <v>625.1</v>
      </c>
      <c r="G21" s="762">
        <f>'données prév'!$I$29</f>
        <v>625.1</v>
      </c>
      <c r="H21" s="762">
        <f>'données prév'!$I$29</f>
        <v>625.1</v>
      </c>
      <c r="I21" s="762">
        <f>'données prév'!$I$29</f>
        <v>625.1</v>
      </c>
      <c r="J21" s="762">
        <f>'données prév'!$I$29</f>
        <v>625.1</v>
      </c>
      <c r="K21" s="762">
        <f>'données prév'!$I$29</f>
        <v>625.1</v>
      </c>
      <c r="L21" s="762">
        <f>'données prév'!$I$29</f>
        <v>625.1</v>
      </c>
      <c r="M21" s="762">
        <f>'données prév'!$I$29</f>
        <v>625.1</v>
      </c>
    </row>
    <row r="22" spans="1:21">
      <c r="A22" s="266" t="s">
        <v>266</v>
      </c>
      <c r="B22" s="763">
        <f>B21/B16</f>
        <v>568.27272727272725</v>
      </c>
      <c r="C22" s="763">
        <f t="shared" ref="C22:M22" si="7">C21/C16</f>
        <v>568.27272727272725</v>
      </c>
      <c r="D22" s="763">
        <f t="shared" si="7"/>
        <v>568.27272727272725</v>
      </c>
      <c r="E22" s="763">
        <f t="shared" si="7"/>
        <v>543.56521739130437</v>
      </c>
      <c r="F22" s="763">
        <f t="shared" si="7"/>
        <v>543.56521739130437</v>
      </c>
      <c r="G22" s="763">
        <f t="shared" si="7"/>
        <v>543.56521739130437</v>
      </c>
      <c r="H22" s="763">
        <f t="shared" si="7"/>
        <v>543.56521739130437</v>
      </c>
      <c r="I22" s="763">
        <f t="shared" si="7"/>
        <v>543.56521739130437</v>
      </c>
      <c r="J22" s="763">
        <f t="shared" si="7"/>
        <v>543.56521739130437</v>
      </c>
      <c r="K22" s="763">
        <f t="shared" si="7"/>
        <v>543.56521739130437</v>
      </c>
      <c r="L22" s="763">
        <f t="shared" si="7"/>
        <v>543.56521739130437</v>
      </c>
      <c r="M22" s="763">
        <f t="shared" si="7"/>
        <v>543.56521739130437</v>
      </c>
    </row>
    <row r="24" spans="1:21">
      <c r="A24" s="433" t="s">
        <v>336</v>
      </c>
      <c r="B24" s="434"/>
      <c r="C24" s="434"/>
      <c r="D24" s="434"/>
      <c r="E24" s="434"/>
      <c r="F24" s="434"/>
      <c r="G24" s="434"/>
      <c r="H24" s="434"/>
      <c r="I24" s="434"/>
      <c r="J24" s="434"/>
      <c r="K24" s="434"/>
      <c r="L24" s="434"/>
      <c r="M24" s="434"/>
      <c r="N24" s="436"/>
    </row>
    <row r="25" spans="1:21">
      <c r="A25" s="283"/>
      <c r="B25" s="241">
        <f>B2</f>
        <v>43101</v>
      </c>
      <c r="C25" s="241">
        <f t="shared" ref="C25:M25" si="8">C2</f>
        <v>43132</v>
      </c>
      <c r="D25" s="241">
        <f t="shared" si="8"/>
        <v>43160</v>
      </c>
      <c r="E25" s="241">
        <f t="shared" si="8"/>
        <v>43191</v>
      </c>
      <c r="F25" s="241">
        <f t="shared" si="8"/>
        <v>43221</v>
      </c>
      <c r="G25" s="241">
        <f t="shared" si="8"/>
        <v>43252</v>
      </c>
      <c r="H25" s="241">
        <f t="shared" si="8"/>
        <v>43282</v>
      </c>
      <c r="I25" s="241">
        <f t="shared" si="8"/>
        <v>43313</v>
      </c>
      <c r="J25" s="241">
        <f t="shared" si="8"/>
        <v>43344</v>
      </c>
      <c r="K25" s="241">
        <f t="shared" si="8"/>
        <v>43374</v>
      </c>
      <c r="L25" s="241">
        <f t="shared" si="8"/>
        <v>43405</v>
      </c>
      <c r="M25" s="241">
        <f t="shared" si="8"/>
        <v>43435</v>
      </c>
      <c r="N25" s="241" t="s">
        <v>39</v>
      </c>
      <c r="O25" s="721">
        <v>43466</v>
      </c>
      <c r="P25" s="721">
        <v>43497</v>
      </c>
      <c r="Q25" s="721">
        <v>43525</v>
      </c>
      <c r="R25" s="48"/>
      <c r="S25" s="48"/>
      <c r="T25" s="48"/>
      <c r="U25" s="48"/>
    </row>
    <row r="26" spans="1:21">
      <c r="A26" s="247" t="s">
        <v>14</v>
      </c>
      <c r="B26" s="756"/>
      <c r="C26" s="756"/>
      <c r="D26" s="756"/>
      <c r="E26" s="752">
        <v>2</v>
      </c>
      <c r="F26" s="752"/>
      <c r="G26" s="752">
        <v>2</v>
      </c>
      <c r="H26" s="752"/>
      <c r="I26" s="752"/>
      <c r="J26" s="752">
        <v>1</v>
      </c>
      <c r="K26" s="752"/>
      <c r="L26" s="752"/>
      <c r="M26" s="752">
        <v>2</v>
      </c>
      <c r="N26" s="751">
        <f t="shared" ref="N26:N27" si="9">SUM(B26:M26)</f>
        <v>7</v>
      </c>
      <c r="O26" s="752"/>
      <c r="P26" s="752"/>
      <c r="Q26" s="752">
        <v>1</v>
      </c>
      <c r="R26" s="48"/>
      <c r="S26" s="48"/>
      <c r="T26" s="48"/>
      <c r="U26" s="48"/>
    </row>
    <row r="27" spans="1:21">
      <c r="A27" s="256" t="s">
        <v>15</v>
      </c>
      <c r="B27" s="754">
        <v>2</v>
      </c>
      <c r="C27" s="754"/>
      <c r="D27" s="754"/>
      <c r="E27" s="751">
        <v>1</v>
      </c>
      <c r="F27" s="751"/>
      <c r="G27" s="751"/>
      <c r="H27" s="751"/>
      <c r="I27" s="751">
        <v>3</v>
      </c>
      <c r="J27" s="751"/>
      <c r="K27" s="751"/>
      <c r="L27" s="751"/>
      <c r="M27" s="751"/>
      <c r="N27" s="751">
        <f t="shared" si="9"/>
        <v>6</v>
      </c>
      <c r="O27" s="751"/>
      <c r="P27" s="751"/>
      <c r="Q27" s="751"/>
      <c r="R27" s="48"/>
      <c r="S27" s="48"/>
      <c r="T27" s="48"/>
      <c r="U27" s="48"/>
    </row>
    <row r="28" spans="1:21">
      <c r="A28" s="257" t="s">
        <v>88</v>
      </c>
      <c r="B28" s="755">
        <f>SUM(B26:B27)</f>
        <v>2</v>
      </c>
      <c r="C28" s="755">
        <f t="shared" ref="C28:D28" si="10">SUM(C26:C27)</f>
        <v>0</v>
      </c>
      <c r="D28" s="755">
        <f t="shared" si="10"/>
        <v>0</v>
      </c>
      <c r="E28" s="757">
        <f>+E26+E27</f>
        <v>3</v>
      </c>
      <c r="F28" s="757">
        <f t="shared" ref="F28:M28" si="11">+F26+F27</f>
        <v>0</v>
      </c>
      <c r="G28" s="757">
        <f t="shared" si="11"/>
        <v>2</v>
      </c>
      <c r="H28" s="757">
        <f t="shared" si="11"/>
        <v>0</v>
      </c>
      <c r="I28" s="757">
        <f t="shared" si="11"/>
        <v>3</v>
      </c>
      <c r="J28" s="757">
        <f t="shared" si="11"/>
        <v>1</v>
      </c>
      <c r="K28" s="757">
        <f t="shared" si="11"/>
        <v>0</v>
      </c>
      <c r="L28" s="757">
        <f t="shared" si="11"/>
        <v>0</v>
      </c>
      <c r="M28" s="757">
        <f t="shared" si="11"/>
        <v>2</v>
      </c>
      <c r="N28" s="755">
        <f>SUM(B28:M28)</f>
        <v>13</v>
      </c>
      <c r="O28" s="757">
        <f>+O26+O27</f>
        <v>0</v>
      </c>
      <c r="P28" s="757">
        <f>+P26+P27</f>
        <v>0</v>
      </c>
      <c r="Q28" s="757">
        <f>+Q26+Q27</f>
        <v>1</v>
      </c>
      <c r="R28" s="48"/>
      <c r="S28" s="48"/>
      <c r="T28" s="48"/>
      <c r="U28" s="48"/>
    </row>
    <row r="29" spans="1:21">
      <c r="A29" s="249" t="s">
        <v>16</v>
      </c>
      <c r="B29" s="756"/>
      <c r="C29" s="756"/>
      <c r="D29" s="756"/>
      <c r="E29" s="752"/>
      <c r="F29" s="752">
        <v>2</v>
      </c>
      <c r="G29" s="752">
        <v>3</v>
      </c>
      <c r="H29" s="752">
        <v>1</v>
      </c>
      <c r="I29" s="752"/>
      <c r="J29" s="752"/>
      <c r="K29" s="752"/>
      <c r="L29" s="752">
        <v>2</v>
      </c>
      <c r="M29" s="752"/>
      <c r="N29" s="752">
        <f>SUM(B29:M29)</f>
        <v>8</v>
      </c>
      <c r="O29" s="752">
        <v>2</v>
      </c>
      <c r="P29" s="752">
        <v>1</v>
      </c>
      <c r="Q29" s="752"/>
      <c r="R29" s="48"/>
      <c r="S29" s="48"/>
      <c r="T29" s="48"/>
      <c r="U29" s="48"/>
    </row>
    <row r="30" spans="1:21">
      <c r="A30" s="250" t="s">
        <v>17</v>
      </c>
      <c r="B30" s="754">
        <v>2</v>
      </c>
      <c r="C30" s="754"/>
      <c r="D30" s="754"/>
      <c r="E30" s="751"/>
      <c r="F30" s="751"/>
      <c r="G30" s="751"/>
      <c r="H30" s="751">
        <v>4</v>
      </c>
      <c r="I30" s="751"/>
      <c r="J30" s="751"/>
      <c r="K30" s="751"/>
      <c r="L30" s="751"/>
      <c r="M30" s="751"/>
      <c r="N30" s="751">
        <f>SUM(B30:M30)</f>
        <v>6</v>
      </c>
      <c r="O30" s="751"/>
      <c r="P30" s="751">
        <v>2</v>
      </c>
      <c r="Q30" s="751"/>
      <c r="R30" s="48"/>
      <c r="S30" s="48"/>
      <c r="T30" s="48"/>
      <c r="U30" s="48"/>
    </row>
    <row r="31" spans="1:21">
      <c r="A31" s="253" t="s">
        <v>89</v>
      </c>
      <c r="B31" s="755">
        <f>SUM(B29:B30)</f>
        <v>2</v>
      </c>
      <c r="C31" s="755">
        <f t="shared" ref="C31:D31" si="12">SUM(C29:C30)</f>
        <v>0</v>
      </c>
      <c r="D31" s="755">
        <f t="shared" si="12"/>
        <v>0</v>
      </c>
      <c r="E31" s="757">
        <f>+E29+E30</f>
        <v>0</v>
      </c>
      <c r="F31" s="757">
        <f t="shared" ref="F31:M31" si="13">+F29+F30</f>
        <v>2</v>
      </c>
      <c r="G31" s="757">
        <f t="shared" si="13"/>
        <v>3</v>
      </c>
      <c r="H31" s="757">
        <f t="shared" si="13"/>
        <v>5</v>
      </c>
      <c r="I31" s="757">
        <f t="shared" si="13"/>
        <v>0</v>
      </c>
      <c r="J31" s="757">
        <f t="shared" si="13"/>
        <v>0</v>
      </c>
      <c r="K31" s="757">
        <f t="shared" si="13"/>
        <v>0</v>
      </c>
      <c r="L31" s="757">
        <f t="shared" si="13"/>
        <v>2</v>
      </c>
      <c r="M31" s="757">
        <f t="shared" si="13"/>
        <v>0</v>
      </c>
      <c r="N31" s="755">
        <f>SUM(B31:M31)</f>
        <v>14</v>
      </c>
      <c r="O31" s="757">
        <f>+O29+O30</f>
        <v>2</v>
      </c>
      <c r="P31" s="757">
        <f>+P29+P30</f>
        <v>3</v>
      </c>
      <c r="Q31" s="757">
        <f>+Q29+Q30</f>
        <v>0</v>
      </c>
      <c r="R31" s="48"/>
      <c r="S31" s="48"/>
      <c r="T31" s="48"/>
      <c r="U31" s="48"/>
    </row>
    <row r="32" spans="1:21">
      <c r="A32" s="258" t="s">
        <v>18</v>
      </c>
      <c r="B32" s="756"/>
      <c r="C32" s="756"/>
      <c r="D32" s="756"/>
      <c r="E32" s="752"/>
      <c r="F32" s="752">
        <v>1</v>
      </c>
      <c r="G32" s="752"/>
      <c r="H32" s="752"/>
      <c r="I32" s="752">
        <v>1</v>
      </c>
      <c r="J32" s="752"/>
      <c r="K32" s="752"/>
      <c r="L32" s="752"/>
      <c r="M32" s="752"/>
      <c r="N32" s="752">
        <f t="shared" ref="N32:N33" si="14">SUM(B32:M32)</f>
        <v>2</v>
      </c>
      <c r="O32" s="752"/>
      <c r="P32" s="752">
        <v>1</v>
      </c>
      <c r="Q32" s="752"/>
      <c r="R32" s="48"/>
      <c r="S32" s="48"/>
      <c r="T32" s="48"/>
      <c r="U32" s="48"/>
    </row>
    <row r="33" spans="1:17">
      <c r="A33" s="259" t="s">
        <v>19</v>
      </c>
      <c r="B33" s="754">
        <v>2</v>
      </c>
      <c r="C33" s="754"/>
      <c r="D33" s="754"/>
      <c r="E33" s="751"/>
      <c r="F33" s="751"/>
      <c r="G33" s="751"/>
      <c r="H33" s="751"/>
      <c r="I33" s="751"/>
      <c r="J33" s="751"/>
      <c r="K33" s="751"/>
      <c r="L33" s="751"/>
      <c r="M33" s="751"/>
      <c r="N33" s="751">
        <f t="shared" si="14"/>
        <v>2</v>
      </c>
      <c r="O33" s="751">
        <v>1</v>
      </c>
      <c r="P33" s="751"/>
      <c r="Q33" s="751">
        <v>1</v>
      </c>
    </row>
    <row r="34" spans="1:17">
      <c r="A34" s="260" t="s">
        <v>90</v>
      </c>
      <c r="B34" s="755">
        <f>SUM(B32:B33)</f>
        <v>2</v>
      </c>
      <c r="C34" s="755">
        <f t="shared" ref="C34:D34" si="15">SUM(C32:C33)</f>
        <v>0</v>
      </c>
      <c r="D34" s="755">
        <f t="shared" si="15"/>
        <v>0</v>
      </c>
      <c r="E34" s="757">
        <f>+E32+E33</f>
        <v>0</v>
      </c>
      <c r="F34" s="757">
        <f t="shared" ref="F34:M34" si="16">+F32+F33</f>
        <v>1</v>
      </c>
      <c r="G34" s="757">
        <f t="shared" si="16"/>
        <v>0</v>
      </c>
      <c r="H34" s="757">
        <f t="shared" si="16"/>
        <v>0</v>
      </c>
      <c r="I34" s="757">
        <f t="shared" si="16"/>
        <v>1</v>
      </c>
      <c r="J34" s="757">
        <f t="shared" si="16"/>
        <v>0</v>
      </c>
      <c r="K34" s="757">
        <f t="shared" si="16"/>
        <v>0</v>
      </c>
      <c r="L34" s="757">
        <f t="shared" si="16"/>
        <v>0</v>
      </c>
      <c r="M34" s="757">
        <f t="shared" si="16"/>
        <v>0</v>
      </c>
      <c r="N34" s="755">
        <f>SUM(B34:M34)</f>
        <v>4</v>
      </c>
      <c r="O34" s="757">
        <f>+O32+O33</f>
        <v>1</v>
      </c>
      <c r="P34" s="757">
        <f>+P32+P33</f>
        <v>1</v>
      </c>
      <c r="Q34" s="757">
        <f>+Q32+Q33</f>
        <v>1</v>
      </c>
    </row>
    <row r="35" spans="1:17">
      <c r="A35" s="238" t="s">
        <v>186</v>
      </c>
      <c r="B35" s="758">
        <f>B12</f>
        <v>1543</v>
      </c>
      <c r="C35" s="758">
        <f t="shared" ref="C35:M35" si="17">C12</f>
        <v>1487</v>
      </c>
      <c r="D35" s="758">
        <f t="shared" si="17"/>
        <v>1677</v>
      </c>
      <c r="E35" s="758">
        <f t="shared" si="17"/>
        <v>1418</v>
      </c>
      <c r="F35" s="758">
        <f t="shared" si="17"/>
        <v>1204</v>
      </c>
      <c r="G35" s="758">
        <f t="shared" si="17"/>
        <v>2014</v>
      </c>
      <c r="H35" s="758">
        <f t="shared" si="17"/>
        <v>725</v>
      </c>
      <c r="I35" s="758">
        <f t="shared" si="17"/>
        <v>359</v>
      </c>
      <c r="J35" s="758">
        <f t="shared" si="17"/>
        <v>1258</v>
      </c>
      <c r="K35" s="758">
        <f t="shared" si="17"/>
        <v>1792</v>
      </c>
      <c r="L35" s="758">
        <f t="shared" si="17"/>
        <v>1489</v>
      </c>
      <c r="M35" s="758">
        <f t="shared" si="17"/>
        <v>901</v>
      </c>
      <c r="N35" s="758">
        <f>SUM(B35:M35)</f>
        <v>15867</v>
      </c>
      <c r="O35" s="759"/>
      <c r="P35" s="759"/>
      <c r="Q35" s="759"/>
    </row>
    <row r="37" spans="1:17" s="3" customFormat="1">
      <c r="A37" s="433" t="s">
        <v>335</v>
      </c>
      <c r="B37" s="434"/>
      <c r="C37" s="434"/>
      <c r="D37" s="434"/>
      <c r="E37" s="434"/>
      <c r="F37" s="434"/>
      <c r="G37" s="434"/>
      <c r="H37" s="434"/>
      <c r="I37" s="434"/>
      <c r="J37" s="434"/>
      <c r="K37" s="434"/>
      <c r="L37" s="434"/>
      <c r="M37" s="434"/>
      <c r="N37" s="435"/>
    </row>
    <row r="38" spans="1:17" s="3" customFormat="1">
      <c r="A38" s="283"/>
      <c r="B38" s="241">
        <f>+B2</f>
        <v>43101</v>
      </c>
      <c r="C38" s="241">
        <f t="shared" ref="C38:M38" si="18">+C2</f>
        <v>43132</v>
      </c>
      <c r="D38" s="241">
        <f t="shared" si="18"/>
        <v>43160</v>
      </c>
      <c r="E38" s="241">
        <f t="shared" si="18"/>
        <v>43191</v>
      </c>
      <c r="F38" s="241">
        <f t="shared" si="18"/>
        <v>43221</v>
      </c>
      <c r="G38" s="241">
        <f t="shared" si="18"/>
        <v>43252</v>
      </c>
      <c r="H38" s="241">
        <f t="shared" si="18"/>
        <v>43282</v>
      </c>
      <c r="I38" s="241">
        <f t="shared" si="18"/>
        <v>43313</v>
      </c>
      <c r="J38" s="241">
        <f t="shared" si="18"/>
        <v>43344</v>
      </c>
      <c r="K38" s="241">
        <f t="shared" si="18"/>
        <v>43374</v>
      </c>
      <c r="L38" s="241">
        <f t="shared" si="18"/>
        <v>43405</v>
      </c>
      <c r="M38" s="241">
        <f t="shared" si="18"/>
        <v>43435</v>
      </c>
      <c r="N38" s="241" t="s">
        <v>39</v>
      </c>
      <c r="O38" s="766">
        <v>43466</v>
      </c>
      <c r="P38" s="766">
        <v>43497</v>
      </c>
      <c r="Q38" s="766">
        <v>43525</v>
      </c>
    </row>
    <row r="39" spans="1:17" s="3" customFormat="1">
      <c r="A39" s="247" t="s">
        <v>14</v>
      </c>
      <c r="B39" s="750">
        <f>B26*B18</f>
        <v>0</v>
      </c>
      <c r="C39" s="751">
        <v>0</v>
      </c>
      <c r="D39" s="750">
        <v>0</v>
      </c>
      <c r="E39" s="752">
        <f>B3*'données prév'!$I$24</f>
        <v>300</v>
      </c>
      <c r="F39" s="752">
        <f>C3*'données prév'!$I$24</f>
        <v>0</v>
      </c>
      <c r="G39" s="752">
        <f>D3*'données prév'!$I$24</f>
        <v>300</v>
      </c>
      <c r="H39" s="752">
        <f>E3*'données prév'!$I$24</f>
        <v>0</v>
      </c>
      <c r="I39" s="752">
        <f>F3*'données prév'!$I$24</f>
        <v>0</v>
      </c>
      <c r="J39" s="752">
        <f>G3*'données prév'!$I$24</f>
        <v>150</v>
      </c>
      <c r="K39" s="752">
        <f>H3*'données prév'!$I$24</f>
        <v>0</v>
      </c>
      <c r="L39" s="752">
        <f>I3*'données prév'!$I$24</f>
        <v>0</v>
      </c>
      <c r="M39" s="752">
        <f>J3*'données prév'!$I$24</f>
        <v>300</v>
      </c>
      <c r="N39" s="752">
        <f>SUM(B39:M39)</f>
        <v>1050</v>
      </c>
      <c r="O39" s="752">
        <f>O26*'données prév'!$I$24</f>
        <v>0</v>
      </c>
      <c r="P39" s="752">
        <f>P26*'données prév'!$I$24</f>
        <v>0</v>
      </c>
      <c r="Q39" s="752">
        <f>Q26*'données prév'!$I$24</f>
        <v>150</v>
      </c>
    </row>
    <row r="40" spans="1:17" s="3" customFormat="1">
      <c r="A40" s="256" t="s">
        <v>15</v>
      </c>
      <c r="B40" s="753">
        <f>B18*B27</f>
        <v>346.18181818181819</v>
      </c>
      <c r="C40" s="754">
        <f t="shared" ref="C40:M40" si="19">C18*C27</f>
        <v>0</v>
      </c>
      <c r="D40" s="754">
        <f t="shared" si="19"/>
        <v>0</v>
      </c>
      <c r="E40" s="754">
        <f t="shared" si="19"/>
        <v>165.56521739130437</v>
      </c>
      <c r="F40" s="754">
        <f t="shared" si="19"/>
        <v>0</v>
      </c>
      <c r="G40" s="754">
        <f t="shared" si="19"/>
        <v>0</v>
      </c>
      <c r="H40" s="754">
        <f t="shared" si="19"/>
        <v>0</v>
      </c>
      <c r="I40" s="754">
        <f t="shared" si="19"/>
        <v>496.69565217391312</v>
      </c>
      <c r="J40" s="754">
        <f t="shared" si="19"/>
        <v>0</v>
      </c>
      <c r="K40" s="754">
        <f t="shared" si="19"/>
        <v>0</v>
      </c>
      <c r="L40" s="754">
        <f t="shared" si="19"/>
        <v>0</v>
      </c>
      <c r="M40" s="754">
        <f t="shared" si="19"/>
        <v>0</v>
      </c>
      <c r="N40" s="754">
        <f>SUM(B40:M40)</f>
        <v>1008.4426877470357</v>
      </c>
      <c r="O40" s="754"/>
      <c r="P40" s="754"/>
      <c r="Q40" s="754"/>
    </row>
    <row r="41" spans="1:17" s="7" customFormat="1">
      <c r="A41" s="257" t="s">
        <v>88</v>
      </c>
      <c r="B41" s="755">
        <f>SUM(B39:B40)</f>
        <v>346.18181818181819</v>
      </c>
      <c r="C41" s="755">
        <f t="shared" ref="C41:M41" si="20">SUM(C39:C40)</f>
        <v>0</v>
      </c>
      <c r="D41" s="755">
        <f t="shared" si="20"/>
        <v>0</v>
      </c>
      <c r="E41" s="755">
        <f t="shared" si="20"/>
        <v>465.56521739130437</v>
      </c>
      <c r="F41" s="755">
        <f t="shared" si="20"/>
        <v>0</v>
      </c>
      <c r="G41" s="755">
        <f t="shared" si="20"/>
        <v>300</v>
      </c>
      <c r="H41" s="755">
        <f t="shared" si="20"/>
        <v>0</v>
      </c>
      <c r="I41" s="755">
        <f t="shared" si="20"/>
        <v>496.69565217391312</v>
      </c>
      <c r="J41" s="755">
        <f t="shared" si="20"/>
        <v>150</v>
      </c>
      <c r="K41" s="755">
        <f t="shared" si="20"/>
        <v>0</v>
      </c>
      <c r="L41" s="755">
        <f t="shared" si="20"/>
        <v>0</v>
      </c>
      <c r="M41" s="755">
        <f t="shared" si="20"/>
        <v>300</v>
      </c>
      <c r="N41" s="755">
        <f>SUM(N39:N40)</f>
        <v>2058.442687747036</v>
      </c>
      <c r="O41" s="767">
        <f>SUM(O39:O40)</f>
        <v>0</v>
      </c>
      <c r="P41" s="767">
        <f t="shared" ref="P41:Q41" si="21">SUM(P39:P40)</f>
        <v>0</v>
      </c>
      <c r="Q41" s="767">
        <f t="shared" si="21"/>
        <v>150</v>
      </c>
    </row>
    <row r="42" spans="1:17" s="3" customFormat="1">
      <c r="A42" s="249" t="s">
        <v>16</v>
      </c>
      <c r="B42" s="756">
        <v>0</v>
      </c>
      <c r="C42" s="754">
        <v>0</v>
      </c>
      <c r="D42" s="754">
        <v>0</v>
      </c>
      <c r="E42" s="754">
        <f>B6*'données prév'!$I$26</f>
        <v>0</v>
      </c>
      <c r="F42" s="754">
        <f>C6*'données prév'!$I$26</f>
        <v>500</v>
      </c>
      <c r="G42" s="754">
        <f>D6*'données prév'!$I$26</f>
        <v>750</v>
      </c>
      <c r="H42" s="754">
        <f>E6*'données prév'!$I$26</f>
        <v>250</v>
      </c>
      <c r="I42" s="754">
        <f>F6*'données prév'!$I$26</f>
        <v>0</v>
      </c>
      <c r="J42" s="754">
        <f>G6*'données prév'!$I$26</f>
        <v>0</v>
      </c>
      <c r="K42" s="754">
        <f>H6*'données prév'!$I$26</f>
        <v>0</v>
      </c>
      <c r="L42" s="754">
        <f>I6*'données prév'!$I$26</f>
        <v>500</v>
      </c>
      <c r="M42" s="754">
        <f>J6*'données prév'!$I$26</f>
        <v>0</v>
      </c>
      <c r="N42" s="752">
        <f>SUM(B42:M42)</f>
        <v>2000</v>
      </c>
      <c r="O42" s="754">
        <f>O29*'données prév'!$I$26</f>
        <v>500</v>
      </c>
      <c r="P42" s="754">
        <f>P29*'données prév'!$I$26</f>
        <v>250</v>
      </c>
      <c r="Q42" s="754">
        <f>Q29*'données prév'!$I$26</f>
        <v>0</v>
      </c>
    </row>
    <row r="43" spans="1:17" s="3" customFormat="1">
      <c r="A43" s="250" t="s">
        <v>17</v>
      </c>
      <c r="B43" s="753">
        <f>B30*B20</f>
        <v>572.72727272727263</v>
      </c>
      <c r="C43" s="754">
        <f t="shared" ref="C43:M43" si="22">C30*C20</f>
        <v>0</v>
      </c>
      <c r="D43" s="754">
        <f t="shared" si="22"/>
        <v>0</v>
      </c>
      <c r="E43" s="754">
        <f t="shared" si="22"/>
        <v>0</v>
      </c>
      <c r="F43" s="754">
        <f t="shared" si="22"/>
        <v>0</v>
      </c>
      <c r="G43" s="754">
        <f t="shared" si="22"/>
        <v>0</v>
      </c>
      <c r="H43" s="754">
        <f t="shared" si="22"/>
        <v>1095.6521739130435</v>
      </c>
      <c r="I43" s="754">
        <f t="shared" si="22"/>
        <v>0</v>
      </c>
      <c r="J43" s="754">
        <f t="shared" si="22"/>
        <v>0</v>
      </c>
      <c r="K43" s="754">
        <f t="shared" si="22"/>
        <v>0</v>
      </c>
      <c r="L43" s="754">
        <f t="shared" si="22"/>
        <v>0</v>
      </c>
      <c r="M43" s="754">
        <f t="shared" si="22"/>
        <v>0</v>
      </c>
      <c r="N43" s="754">
        <f>SUM(B43:M43)</f>
        <v>1668.379446640316</v>
      </c>
      <c r="O43" s="754">
        <f>O30*K20</f>
        <v>0</v>
      </c>
      <c r="P43" s="754">
        <f t="shared" ref="P43:Q43" si="23">P30*L20</f>
        <v>547.82608695652175</v>
      </c>
      <c r="Q43" s="754">
        <f t="shared" si="23"/>
        <v>0</v>
      </c>
    </row>
    <row r="44" spans="1:17" s="7" customFormat="1">
      <c r="A44" s="253" t="s">
        <v>89</v>
      </c>
      <c r="B44" s="755">
        <f>SUM(B42:B43)</f>
        <v>572.72727272727263</v>
      </c>
      <c r="C44" s="755">
        <f t="shared" ref="C44:M44" si="24">SUM(C42:C43)</f>
        <v>0</v>
      </c>
      <c r="D44" s="755">
        <f t="shared" si="24"/>
        <v>0</v>
      </c>
      <c r="E44" s="755">
        <f t="shared" si="24"/>
        <v>0</v>
      </c>
      <c r="F44" s="755">
        <f t="shared" si="24"/>
        <v>500</v>
      </c>
      <c r="G44" s="755">
        <f t="shared" si="24"/>
        <v>750</v>
      </c>
      <c r="H44" s="755">
        <f t="shared" si="24"/>
        <v>1345.6521739130435</v>
      </c>
      <c r="I44" s="755">
        <f t="shared" si="24"/>
        <v>0</v>
      </c>
      <c r="J44" s="755">
        <f t="shared" si="24"/>
        <v>0</v>
      </c>
      <c r="K44" s="755">
        <f t="shared" si="24"/>
        <v>0</v>
      </c>
      <c r="L44" s="755">
        <f t="shared" si="24"/>
        <v>500</v>
      </c>
      <c r="M44" s="755">
        <f t="shared" si="24"/>
        <v>0</v>
      </c>
      <c r="N44" s="755">
        <f>SUM(N42:N43)</f>
        <v>3668.379446640316</v>
      </c>
      <c r="O44" s="768">
        <f>SUM(O42:O43)</f>
        <v>500</v>
      </c>
      <c r="P44" s="768">
        <f t="shared" ref="P44:Q44" si="25">SUM(P42:P43)</f>
        <v>797.82608695652175</v>
      </c>
      <c r="Q44" s="768">
        <f t="shared" si="25"/>
        <v>0</v>
      </c>
    </row>
    <row r="45" spans="1:17" s="3" customFormat="1">
      <c r="A45" s="258" t="s">
        <v>18</v>
      </c>
      <c r="B45" s="752">
        <v>0</v>
      </c>
      <c r="C45" s="754">
        <v>0</v>
      </c>
      <c r="D45" s="754">
        <v>0</v>
      </c>
      <c r="E45" s="754">
        <f>B9*'données prév'!$I$28</f>
        <v>0</v>
      </c>
      <c r="F45" s="754">
        <f>C9*'données prév'!$I$28</f>
        <v>500</v>
      </c>
      <c r="G45" s="754">
        <f>D9*'données prév'!$I$28</f>
        <v>0</v>
      </c>
      <c r="H45" s="754">
        <f>E9*'données prév'!$I$28</f>
        <v>0</v>
      </c>
      <c r="I45" s="754">
        <f>F9*'données prév'!$I$28</f>
        <v>500</v>
      </c>
      <c r="J45" s="754">
        <f>G9*'données prév'!$I$28</f>
        <v>0</v>
      </c>
      <c r="K45" s="754">
        <f>H9*'données prév'!$I$28</f>
        <v>0</v>
      </c>
      <c r="L45" s="754">
        <f>I9*'données prév'!$I$28</f>
        <v>0</v>
      </c>
      <c r="M45" s="754">
        <f>J9*'données prév'!$I$28</f>
        <v>0</v>
      </c>
      <c r="N45" s="752">
        <f>SUM(B45:M45)</f>
        <v>1000</v>
      </c>
      <c r="O45" s="754">
        <f>O32*'données prév'!$I$28</f>
        <v>0</v>
      </c>
      <c r="P45" s="754">
        <f>P32*'données prév'!$I$28</f>
        <v>500</v>
      </c>
      <c r="Q45" s="754">
        <f>Q32*'données prév'!$I$28</f>
        <v>0</v>
      </c>
    </row>
    <row r="46" spans="1:17" s="3" customFormat="1">
      <c r="A46" s="259" t="s">
        <v>19</v>
      </c>
      <c r="B46" s="753">
        <f>B33*B22</f>
        <v>1136.5454545454545</v>
      </c>
      <c r="C46" s="754">
        <f t="shared" ref="C46:M46" si="26">C33*C22</f>
        <v>0</v>
      </c>
      <c r="D46" s="754">
        <f t="shared" si="26"/>
        <v>0</v>
      </c>
      <c r="E46" s="754">
        <f t="shared" si="26"/>
        <v>0</v>
      </c>
      <c r="F46" s="754">
        <f t="shared" si="26"/>
        <v>0</v>
      </c>
      <c r="G46" s="754">
        <f t="shared" si="26"/>
        <v>0</v>
      </c>
      <c r="H46" s="754">
        <f t="shared" si="26"/>
        <v>0</v>
      </c>
      <c r="I46" s="754">
        <f t="shared" si="26"/>
        <v>0</v>
      </c>
      <c r="J46" s="754">
        <f t="shared" si="26"/>
        <v>0</v>
      </c>
      <c r="K46" s="754">
        <f t="shared" si="26"/>
        <v>0</v>
      </c>
      <c r="L46" s="754">
        <f t="shared" si="26"/>
        <v>0</v>
      </c>
      <c r="M46" s="754">
        <f t="shared" si="26"/>
        <v>0</v>
      </c>
      <c r="N46" s="754">
        <f>SUM(B46:M46)</f>
        <v>1136.5454545454545</v>
      </c>
      <c r="O46" s="754">
        <f>O33*K22</f>
        <v>543.56521739130437</v>
      </c>
      <c r="P46" s="754">
        <f t="shared" ref="P46:Q46" si="27">P33*L22</f>
        <v>0</v>
      </c>
      <c r="Q46" s="754">
        <f t="shared" si="27"/>
        <v>543.56521739130437</v>
      </c>
    </row>
    <row r="47" spans="1:17" s="7" customFormat="1">
      <c r="A47" s="260" t="s">
        <v>90</v>
      </c>
      <c r="B47" s="755">
        <f>SUM(B45:B46)</f>
        <v>1136.5454545454545</v>
      </c>
      <c r="C47" s="757">
        <f t="shared" ref="C47:M47" si="28">SUM(C45:C46)</f>
        <v>0</v>
      </c>
      <c r="D47" s="757">
        <f t="shared" si="28"/>
        <v>0</v>
      </c>
      <c r="E47" s="757">
        <f t="shared" si="28"/>
        <v>0</v>
      </c>
      <c r="F47" s="757">
        <f t="shared" si="28"/>
        <v>500</v>
      </c>
      <c r="G47" s="757">
        <f t="shared" si="28"/>
        <v>0</v>
      </c>
      <c r="H47" s="757">
        <f t="shared" si="28"/>
        <v>0</v>
      </c>
      <c r="I47" s="757">
        <f t="shared" si="28"/>
        <v>500</v>
      </c>
      <c r="J47" s="757">
        <f t="shared" si="28"/>
        <v>0</v>
      </c>
      <c r="K47" s="757">
        <f t="shared" si="28"/>
        <v>0</v>
      </c>
      <c r="L47" s="757">
        <f t="shared" si="28"/>
        <v>0</v>
      </c>
      <c r="M47" s="757">
        <f t="shared" si="28"/>
        <v>0</v>
      </c>
      <c r="N47" s="755">
        <f>SUM(N45:N46)</f>
        <v>2136.5454545454545</v>
      </c>
      <c r="O47" s="768">
        <f>SUM(O45:O46)</f>
        <v>543.56521739130437</v>
      </c>
      <c r="P47" s="768">
        <f t="shared" ref="P47:Q47" si="29">SUM(P45:P46)</f>
        <v>500</v>
      </c>
      <c r="Q47" s="768">
        <f t="shared" si="29"/>
        <v>543.56521739130437</v>
      </c>
    </row>
    <row r="48" spans="1:17">
      <c r="A48" s="238" t="s">
        <v>186</v>
      </c>
      <c r="B48" s="749">
        <f>B12*'données prév'!$I$30</f>
        <v>786.93000000000006</v>
      </c>
      <c r="C48" s="749">
        <f>C12*'données prév'!$I$30</f>
        <v>758.37</v>
      </c>
      <c r="D48" s="749">
        <f>D12*'données prév'!$I$30</f>
        <v>855.27</v>
      </c>
      <c r="E48" s="749">
        <f>E12*'données prév'!$I$30</f>
        <v>723.18000000000006</v>
      </c>
      <c r="F48" s="749">
        <f>F12*'données prév'!$I$30</f>
        <v>614.04</v>
      </c>
      <c r="G48" s="749">
        <f>G12*'données prév'!$I$30</f>
        <v>1027.1400000000001</v>
      </c>
      <c r="H48" s="749">
        <f>H12*'données prév'!$I$30</f>
        <v>369.75</v>
      </c>
      <c r="I48" s="749">
        <f>I12*'données prév'!$I$30</f>
        <v>183.09</v>
      </c>
      <c r="J48" s="749">
        <f>J12*'données prév'!$I$30</f>
        <v>641.58000000000004</v>
      </c>
      <c r="K48" s="749">
        <f>K12*'données prév'!$I$30</f>
        <v>913.92000000000007</v>
      </c>
      <c r="L48" s="749">
        <f>L12*'données prév'!$I$30</f>
        <v>759.39</v>
      </c>
      <c r="M48" s="749">
        <f>M12*'données prév'!$I$30</f>
        <v>459.51</v>
      </c>
      <c r="N48" s="749">
        <f>SUM(B48:M48)</f>
        <v>8092.170000000001</v>
      </c>
      <c r="O48" s="752"/>
      <c r="P48" s="752"/>
      <c r="Q48" s="752"/>
    </row>
    <row r="50" spans="1:21">
      <c r="A50" s="433" t="s">
        <v>258</v>
      </c>
      <c r="B50" s="434"/>
      <c r="C50" s="434"/>
      <c r="D50" s="434"/>
      <c r="E50" s="434"/>
      <c r="F50" s="434"/>
      <c r="G50" s="434"/>
      <c r="H50" s="434"/>
      <c r="I50" s="434"/>
      <c r="J50" s="434"/>
      <c r="K50" s="434"/>
      <c r="L50" s="434"/>
      <c r="M50" s="434"/>
      <c r="N50" s="433"/>
      <c r="O50" s="436"/>
    </row>
    <row r="51" spans="1:21">
      <c r="A51" s="283"/>
      <c r="B51" s="241">
        <f>B38</f>
        <v>43101</v>
      </c>
      <c r="C51" s="241">
        <f t="shared" ref="C51:M51" si="30">C38</f>
        <v>43132</v>
      </c>
      <c r="D51" s="241">
        <f t="shared" si="30"/>
        <v>43160</v>
      </c>
      <c r="E51" s="241">
        <f t="shared" si="30"/>
        <v>43191</v>
      </c>
      <c r="F51" s="241">
        <f t="shared" si="30"/>
        <v>43221</v>
      </c>
      <c r="G51" s="241">
        <f t="shared" si="30"/>
        <v>43252</v>
      </c>
      <c r="H51" s="241">
        <f t="shared" si="30"/>
        <v>43282</v>
      </c>
      <c r="I51" s="241">
        <f t="shared" si="30"/>
        <v>43313</v>
      </c>
      <c r="J51" s="241">
        <f t="shared" si="30"/>
        <v>43344</v>
      </c>
      <c r="K51" s="241">
        <f t="shared" si="30"/>
        <v>43374</v>
      </c>
      <c r="L51" s="241">
        <f t="shared" si="30"/>
        <v>43405</v>
      </c>
      <c r="M51" s="241">
        <f t="shared" si="30"/>
        <v>43435</v>
      </c>
      <c r="N51" s="437" t="s">
        <v>189</v>
      </c>
      <c r="O51" s="437"/>
      <c r="P51" s="48"/>
      <c r="Q51" s="737"/>
      <c r="R51" s="48"/>
      <c r="S51" s="737" t="s">
        <v>342</v>
      </c>
      <c r="T51" s="48"/>
      <c r="U51" s="48"/>
    </row>
    <row r="52" spans="1:21" ht="18">
      <c r="A52" s="240" t="s">
        <v>312</v>
      </c>
      <c r="B52" s="738">
        <f>1720/2</f>
        <v>860</v>
      </c>
      <c r="C52" s="738">
        <v>860</v>
      </c>
      <c r="D52" s="738">
        <v>0</v>
      </c>
      <c r="E52" s="738">
        <v>0</v>
      </c>
      <c r="F52" s="738">
        <v>0</v>
      </c>
      <c r="G52" s="738">
        <v>0</v>
      </c>
      <c r="H52" s="738">
        <v>0</v>
      </c>
      <c r="I52" s="738">
        <v>0</v>
      </c>
      <c r="J52" s="738">
        <v>0</v>
      </c>
      <c r="K52" s="738">
        <v>0</v>
      </c>
      <c r="L52" s="738">
        <v>0</v>
      </c>
      <c r="M52" s="738">
        <v>0</v>
      </c>
      <c r="N52" s="738">
        <v>0</v>
      </c>
      <c r="O52" s="738">
        <v>0</v>
      </c>
      <c r="P52" s="48"/>
      <c r="Q52" s="48"/>
      <c r="R52" s="48"/>
      <c r="S52" s="48"/>
      <c r="T52" s="48"/>
      <c r="U52" s="48"/>
    </row>
    <row r="53" spans="1:21" ht="18">
      <c r="A53" s="247" t="s">
        <v>14</v>
      </c>
      <c r="B53" s="738">
        <v>0</v>
      </c>
      <c r="C53" s="738">
        <v>0</v>
      </c>
      <c r="D53" s="738">
        <v>0</v>
      </c>
      <c r="E53" s="738">
        <v>0</v>
      </c>
      <c r="F53" s="738">
        <v>0</v>
      </c>
      <c r="G53" s="738">
        <f>E39*1.2</f>
        <v>360</v>
      </c>
      <c r="H53" s="738">
        <f t="shared" ref="H53:O53" si="31">F39*1.2</f>
        <v>0</v>
      </c>
      <c r="I53" s="738">
        <f t="shared" si="31"/>
        <v>360</v>
      </c>
      <c r="J53" s="738">
        <f t="shared" si="31"/>
        <v>0</v>
      </c>
      <c r="K53" s="738">
        <f t="shared" si="31"/>
        <v>0</v>
      </c>
      <c r="L53" s="738">
        <f t="shared" si="31"/>
        <v>180</v>
      </c>
      <c r="M53" s="738">
        <f t="shared" si="31"/>
        <v>0</v>
      </c>
      <c r="N53" s="738">
        <f t="shared" si="31"/>
        <v>0</v>
      </c>
      <c r="O53" s="738">
        <f t="shared" si="31"/>
        <v>360</v>
      </c>
      <c r="P53" s="48"/>
      <c r="Q53" s="48"/>
      <c r="R53" s="96" t="s">
        <v>338</v>
      </c>
      <c r="S53" s="48"/>
      <c r="T53" s="48"/>
      <c r="U53" s="48"/>
    </row>
    <row r="54" spans="1:21" ht="18">
      <c r="A54" s="256" t="s">
        <v>190</v>
      </c>
      <c r="B54" s="740">
        <f>30%*E40</f>
        <v>49.669565217391309</v>
      </c>
      <c r="C54" s="740">
        <f t="shared" ref="C54:M54" si="32">30%*F40</f>
        <v>0</v>
      </c>
      <c r="D54" s="740">
        <f t="shared" si="32"/>
        <v>0</v>
      </c>
      <c r="E54" s="740">
        <f t="shared" si="32"/>
        <v>0</v>
      </c>
      <c r="F54" s="740">
        <f t="shared" si="32"/>
        <v>149.00869565217394</v>
      </c>
      <c r="G54" s="740">
        <f t="shared" si="32"/>
        <v>0</v>
      </c>
      <c r="H54" s="740">
        <f t="shared" si="32"/>
        <v>0</v>
      </c>
      <c r="I54" s="740">
        <f t="shared" si="32"/>
        <v>0</v>
      </c>
      <c r="J54" s="740">
        <f t="shared" si="32"/>
        <v>0</v>
      </c>
      <c r="K54" s="740">
        <v>0</v>
      </c>
      <c r="L54" s="740">
        <f t="shared" si="32"/>
        <v>0</v>
      </c>
      <c r="M54" s="740">
        <f t="shared" si="32"/>
        <v>0</v>
      </c>
      <c r="N54" s="740">
        <v>0</v>
      </c>
      <c r="O54" s="741">
        <v>0</v>
      </c>
      <c r="P54" s="48"/>
      <c r="Q54" s="48"/>
      <c r="R54" s="725" t="s">
        <v>339</v>
      </c>
      <c r="S54" s="48"/>
      <c r="T54" s="48"/>
      <c r="U54" s="48"/>
    </row>
    <row r="55" spans="1:21" ht="18">
      <c r="A55" s="248" t="s">
        <v>191</v>
      </c>
      <c r="B55" s="742">
        <v>0</v>
      </c>
      <c r="C55" s="742">
        <f>B40*0.7</f>
        <v>242.32727272727271</v>
      </c>
      <c r="D55" s="742">
        <v>0</v>
      </c>
      <c r="E55" s="742">
        <v>0</v>
      </c>
      <c r="F55" s="742">
        <f>E40*0.7</f>
        <v>115.89565217391305</v>
      </c>
      <c r="G55" s="742">
        <v>0</v>
      </c>
      <c r="H55" s="742">
        <v>0</v>
      </c>
      <c r="I55" s="742">
        <v>0</v>
      </c>
      <c r="J55" s="742">
        <f>I40*0.7</f>
        <v>347.68695652173915</v>
      </c>
      <c r="K55" s="742">
        <v>0</v>
      </c>
      <c r="L55" s="742">
        <v>0</v>
      </c>
      <c r="M55" s="743">
        <v>0</v>
      </c>
      <c r="N55" s="742">
        <v>0</v>
      </c>
      <c r="O55" s="744">
        <v>0</v>
      </c>
      <c r="P55" s="48"/>
      <c r="Q55" s="48"/>
      <c r="R55" s="725" t="s">
        <v>340</v>
      </c>
      <c r="S55" s="48"/>
      <c r="T55" s="48"/>
      <c r="U55" s="48"/>
    </row>
    <row r="56" spans="1:21" ht="18">
      <c r="A56" s="249" t="s">
        <v>16</v>
      </c>
      <c r="B56" s="738">
        <v>0</v>
      </c>
      <c r="C56" s="738">
        <v>0</v>
      </c>
      <c r="D56" s="738">
        <v>0</v>
      </c>
      <c r="E56" s="738">
        <v>0</v>
      </c>
      <c r="F56" s="738">
        <v>0</v>
      </c>
      <c r="G56" s="738">
        <v>0</v>
      </c>
      <c r="H56" s="738">
        <f>F42*1.2</f>
        <v>600</v>
      </c>
      <c r="I56" s="738">
        <f t="shared" ref="I56:O56" si="33">G42*1.2</f>
        <v>900</v>
      </c>
      <c r="J56" s="738">
        <f t="shared" si="33"/>
        <v>300</v>
      </c>
      <c r="K56" s="738">
        <f t="shared" si="33"/>
        <v>0</v>
      </c>
      <c r="L56" s="738">
        <f t="shared" si="33"/>
        <v>0</v>
      </c>
      <c r="M56" s="738">
        <f t="shared" si="33"/>
        <v>0</v>
      </c>
      <c r="N56" s="738">
        <f t="shared" si="33"/>
        <v>600</v>
      </c>
      <c r="O56" s="738">
        <f t="shared" si="33"/>
        <v>0</v>
      </c>
      <c r="P56" s="48"/>
      <c r="Q56" s="48"/>
      <c r="R56" s="96" t="s">
        <v>338</v>
      </c>
      <c r="S56" s="48"/>
      <c r="T56" s="48"/>
      <c r="U56" s="48"/>
    </row>
    <row r="57" spans="1:21" ht="18">
      <c r="A57" s="250" t="s">
        <v>193</v>
      </c>
      <c r="B57" s="740">
        <v>0</v>
      </c>
      <c r="C57" s="740">
        <v>0</v>
      </c>
      <c r="D57" s="740">
        <v>0</v>
      </c>
      <c r="E57" s="740">
        <f>30%*H43</f>
        <v>328.69565217391306</v>
      </c>
      <c r="F57" s="740">
        <v>0</v>
      </c>
      <c r="G57" s="740">
        <v>0</v>
      </c>
      <c r="H57" s="740">
        <v>0</v>
      </c>
      <c r="I57" s="740">
        <v>0</v>
      </c>
      <c r="J57" s="740">
        <v>0</v>
      </c>
      <c r="K57" s="740">
        <v>0</v>
      </c>
      <c r="L57" s="740">
        <f>P43*0.3</f>
        <v>164.34782608695653</v>
      </c>
      <c r="M57" s="739">
        <v>0</v>
      </c>
      <c r="N57" s="740">
        <v>0</v>
      </c>
      <c r="O57" s="740">
        <v>0</v>
      </c>
      <c r="P57" s="48"/>
      <c r="Q57" s="48"/>
      <c r="R57" s="48"/>
      <c r="S57" s="48"/>
      <c r="T57" s="48"/>
      <c r="U57" s="48"/>
    </row>
    <row r="58" spans="1:21" ht="18">
      <c r="A58" s="267" t="s">
        <v>192</v>
      </c>
      <c r="B58" s="742">
        <v>0</v>
      </c>
      <c r="C58" s="742">
        <f>B43*0.7</f>
        <v>400.90909090909082</v>
      </c>
      <c r="D58" s="742">
        <v>0</v>
      </c>
      <c r="E58" s="742">
        <v>0</v>
      </c>
      <c r="F58" s="742">
        <v>0</v>
      </c>
      <c r="G58" s="742">
        <v>0</v>
      </c>
      <c r="H58" s="742">
        <v>0</v>
      </c>
      <c r="I58" s="742">
        <f>H43*0.7</f>
        <v>766.95652173913038</v>
      </c>
      <c r="J58" s="742">
        <v>0</v>
      </c>
      <c r="K58" s="742">
        <v>0</v>
      </c>
      <c r="L58" s="742">
        <v>0</v>
      </c>
      <c r="M58" s="743">
        <v>0</v>
      </c>
      <c r="N58" s="742">
        <v>0</v>
      </c>
      <c r="O58" s="744">
        <v>0</v>
      </c>
      <c r="P58" s="48"/>
      <c r="Q58" s="48"/>
      <c r="R58" s="48"/>
      <c r="S58" s="48"/>
      <c r="T58" s="48"/>
      <c r="U58" s="48"/>
    </row>
    <row r="59" spans="1:21" ht="18">
      <c r="A59" s="258" t="s">
        <v>18</v>
      </c>
      <c r="B59" s="738">
        <v>0</v>
      </c>
      <c r="C59" s="738">
        <v>0</v>
      </c>
      <c r="D59" s="738">
        <v>0</v>
      </c>
      <c r="E59" s="738">
        <v>0</v>
      </c>
      <c r="F59" s="738">
        <v>0</v>
      </c>
      <c r="G59" s="738">
        <v>0</v>
      </c>
      <c r="H59" s="738">
        <f>F45*1.2</f>
        <v>600</v>
      </c>
      <c r="I59" s="738">
        <f t="shared" ref="I59:O59" si="34">G45*1.2</f>
        <v>0</v>
      </c>
      <c r="J59" s="738">
        <f t="shared" si="34"/>
        <v>0</v>
      </c>
      <c r="K59" s="738">
        <f t="shared" si="34"/>
        <v>600</v>
      </c>
      <c r="L59" s="738">
        <f t="shared" si="34"/>
        <v>0</v>
      </c>
      <c r="M59" s="738">
        <f t="shared" si="34"/>
        <v>0</v>
      </c>
      <c r="N59" s="738">
        <f t="shared" si="34"/>
        <v>0</v>
      </c>
      <c r="O59" s="738">
        <f t="shared" si="34"/>
        <v>0</v>
      </c>
      <c r="P59" s="48"/>
      <c r="Q59" s="48"/>
      <c r="R59" s="96" t="s">
        <v>338</v>
      </c>
      <c r="S59" s="48"/>
      <c r="T59" s="48"/>
      <c r="U59" s="48"/>
    </row>
    <row r="60" spans="1:21" ht="18">
      <c r="A60" s="259" t="s">
        <v>194</v>
      </c>
      <c r="B60" s="740">
        <v>0</v>
      </c>
      <c r="C60" s="740">
        <v>0</v>
      </c>
      <c r="D60" s="740">
        <v>0</v>
      </c>
      <c r="E60" s="740">
        <v>0</v>
      </c>
      <c r="F60" s="740">
        <v>0</v>
      </c>
      <c r="G60" s="740">
        <v>0</v>
      </c>
      <c r="H60" s="740">
        <v>0</v>
      </c>
      <c r="I60" s="740">
        <v>0</v>
      </c>
      <c r="J60" s="740">
        <v>0</v>
      </c>
      <c r="K60" s="740">
        <f>O46*0.3</f>
        <v>163.0695652173913</v>
      </c>
      <c r="L60" s="740">
        <f>P46*0.3</f>
        <v>0</v>
      </c>
      <c r="M60" s="739">
        <f>Q46*0.3</f>
        <v>163.0695652173913</v>
      </c>
      <c r="N60" s="740">
        <v>0</v>
      </c>
      <c r="O60" s="740">
        <v>0</v>
      </c>
      <c r="P60" s="48"/>
      <c r="Q60" s="48"/>
      <c r="R60" s="48"/>
      <c r="S60" s="48"/>
      <c r="T60" s="48"/>
      <c r="U60" s="48"/>
    </row>
    <row r="61" spans="1:21" ht="18">
      <c r="A61" s="268" t="s">
        <v>195</v>
      </c>
      <c r="B61" s="742">
        <v>0</v>
      </c>
      <c r="C61" s="742">
        <f>B46*0.7</f>
        <v>795.58181818181811</v>
      </c>
      <c r="D61" s="742">
        <v>0</v>
      </c>
      <c r="E61" s="742">
        <v>0</v>
      </c>
      <c r="F61" s="742">
        <v>0</v>
      </c>
      <c r="G61" s="742">
        <v>0</v>
      </c>
      <c r="H61" s="742">
        <v>0</v>
      </c>
      <c r="I61" s="742">
        <v>0</v>
      </c>
      <c r="J61" s="742">
        <v>0</v>
      </c>
      <c r="K61" s="742">
        <v>0</v>
      </c>
      <c r="L61" s="742">
        <v>0</v>
      </c>
      <c r="M61" s="743">
        <v>0</v>
      </c>
      <c r="N61" s="742">
        <v>0</v>
      </c>
      <c r="O61" s="745">
        <v>0</v>
      </c>
    </row>
    <row r="62" spans="1:21" ht="18">
      <c r="A62" s="244" t="s">
        <v>186</v>
      </c>
      <c r="B62" s="746"/>
      <c r="C62" s="747">
        <f>B48*1.2</f>
        <v>944.31600000000003</v>
      </c>
      <c r="D62" s="747">
        <f t="shared" ref="D62:M62" si="35">C48*1.2</f>
        <v>910.04399999999998</v>
      </c>
      <c r="E62" s="747">
        <f t="shared" si="35"/>
        <v>1026.3239999999998</v>
      </c>
      <c r="F62" s="747">
        <f t="shared" si="35"/>
        <v>867.81600000000003</v>
      </c>
      <c r="G62" s="747">
        <f t="shared" si="35"/>
        <v>736.84799999999996</v>
      </c>
      <c r="H62" s="747">
        <f t="shared" si="35"/>
        <v>1232.568</v>
      </c>
      <c r="I62" s="747">
        <f t="shared" si="35"/>
        <v>443.7</v>
      </c>
      <c r="J62" s="747">
        <f t="shared" si="35"/>
        <v>219.708</v>
      </c>
      <c r="K62" s="747">
        <f t="shared" si="35"/>
        <v>769.89600000000007</v>
      </c>
      <c r="L62" s="747">
        <f t="shared" si="35"/>
        <v>1096.704</v>
      </c>
      <c r="M62" s="747">
        <f t="shared" si="35"/>
        <v>911.26799999999992</v>
      </c>
      <c r="N62" s="747">
        <f>M48*1.2</f>
        <v>551.41199999999992</v>
      </c>
      <c r="O62" s="747"/>
      <c r="R62" t="s">
        <v>337</v>
      </c>
    </row>
    <row r="63" spans="1:21" ht="18">
      <c r="A63" s="242" t="s">
        <v>188</v>
      </c>
      <c r="B63" s="748">
        <f>SUM(B52:B62)</f>
        <v>909.66956521739132</v>
      </c>
      <c r="C63" s="748">
        <f t="shared" ref="C63:M63" si="36">SUM(C52:C62)</f>
        <v>3243.1341818181818</v>
      </c>
      <c r="D63" s="748">
        <f t="shared" si="36"/>
        <v>910.04399999999998</v>
      </c>
      <c r="E63" s="748">
        <f t="shared" si="36"/>
        <v>1355.0196521739128</v>
      </c>
      <c r="F63" s="748">
        <f t="shared" si="36"/>
        <v>1132.7203478260872</v>
      </c>
      <c r="G63" s="748">
        <f t="shared" si="36"/>
        <v>1096.848</v>
      </c>
      <c r="H63" s="748">
        <f t="shared" si="36"/>
        <v>2432.5680000000002</v>
      </c>
      <c r="I63" s="748">
        <f t="shared" si="36"/>
        <v>2470.6565217391303</v>
      </c>
      <c r="J63" s="748">
        <f t="shared" si="36"/>
        <v>867.39495652173912</v>
      </c>
      <c r="K63" s="748">
        <f t="shared" si="36"/>
        <v>1532.9655652173915</v>
      </c>
      <c r="L63" s="748">
        <f t="shared" si="36"/>
        <v>1441.0518260869565</v>
      </c>
      <c r="M63" s="748">
        <f t="shared" si="36"/>
        <v>1074.3375652173913</v>
      </c>
      <c r="N63" s="748">
        <f>SUM(N53:N62)</f>
        <v>1151.4119999999998</v>
      </c>
      <c r="O63" s="748">
        <f>SUM(O53:O62)</f>
        <v>360</v>
      </c>
    </row>
    <row r="64" spans="1:21">
      <c r="A64" s="722"/>
      <c r="B64" s="723"/>
      <c r="C64" s="723"/>
      <c r="D64" s="723"/>
      <c r="E64" s="723"/>
      <c r="F64" s="723"/>
      <c r="G64" s="723"/>
      <c r="H64" s="723"/>
      <c r="I64" s="723"/>
      <c r="J64" s="723"/>
      <c r="K64" s="723"/>
      <c r="L64" s="723"/>
      <c r="M64" s="723"/>
      <c r="N64" s="724"/>
      <c r="O64" s="724"/>
    </row>
    <row r="65" spans="1:28">
      <c r="B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</row>
    <row r="66" spans="1:28">
      <c r="A66" s="433" t="s">
        <v>196</v>
      </c>
      <c r="B66" s="434"/>
      <c r="C66" s="434"/>
      <c r="D66" s="434"/>
      <c r="E66" s="434"/>
      <c r="F66" s="434"/>
      <c r="G66" s="434"/>
      <c r="H66" s="434"/>
      <c r="I66" s="434"/>
      <c r="J66" s="434"/>
      <c r="K66" s="434"/>
      <c r="L66" s="434"/>
      <c r="M66" s="434"/>
      <c r="N66" s="435"/>
    </row>
    <row r="67" spans="1:28">
      <c r="A67" s="283"/>
      <c r="B67" s="241">
        <f>+B51</f>
        <v>43101</v>
      </c>
      <c r="C67" s="241">
        <f t="shared" ref="C67:M67" si="37">+C51</f>
        <v>43132</v>
      </c>
      <c r="D67" s="241">
        <f t="shared" si="37"/>
        <v>43160</v>
      </c>
      <c r="E67" s="241">
        <f t="shared" si="37"/>
        <v>43191</v>
      </c>
      <c r="F67" s="241">
        <f t="shared" si="37"/>
        <v>43221</v>
      </c>
      <c r="G67" s="241">
        <f t="shared" si="37"/>
        <v>43252</v>
      </c>
      <c r="H67" s="241">
        <f t="shared" si="37"/>
        <v>43282</v>
      </c>
      <c r="I67" s="241">
        <f t="shared" si="37"/>
        <v>43313</v>
      </c>
      <c r="J67" s="241">
        <f t="shared" si="37"/>
        <v>43344</v>
      </c>
      <c r="K67" s="241">
        <f t="shared" si="37"/>
        <v>43374</v>
      </c>
      <c r="L67" s="241">
        <f t="shared" si="37"/>
        <v>43405</v>
      </c>
      <c r="M67" s="241">
        <f t="shared" si="37"/>
        <v>43435</v>
      </c>
      <c r="N67" s="241" t="s">
        <v>39</v>
      </c>
      <c r="O67" s="48"/>
      <c r="P67" s="48"/>
      <c r="Q67" s="48"/>
      <c r="R67" s="726"/>
      <c r="S67" s="48"/>
      <c r="T67" s="48"/>
      <c r="U67" s="48"/>
    </row>
    <row r="68" spans="1:28" ht="18">
      <c r="A68" s="247" t="s">
        <v>14</v>
      </c>
      <c r="B68" s="740">
        <v>0</v>
      </c>
      <c r="C68" s="740">
        <v>0</v>
      </c>
      <c r="D68" s="740">
        <f>('coûts prévis'!$B$43/1000)*'tréso prév'!B3</f>
        <v>153</v>
      </c>
      <c r="E68" s="740">
        <f>('coûts prévis'!$B$43/1000)*'tréso prév'!C3</f>
        <v>0</v>
      </c>
      <c r="F68" s="740">
        <f>('coûts prévis'!$B$43/1000)*'tréso prév'!D3</f>
        <v>153</v>
      </c>
      <c r="G68" s="740">
        <f>('coûts prévis'!$B$43/1000)*'tréso prév'!E3</f>
        <v>0</v>
      </c>
      <c r="H68" s="740">
        <f>('coûts prévis'!$B$43/1000)*'tréso prév'!F3</f>
        <v>0</v>
      </c>
      <c r="I68" s="740">
        <f>('coûts prévis'!$B$43/1000)*'tréso prév'!G3</f>
        <v>76.5</v>
      </c>
      <c r="J68" s="740">
        <f>('coûts prévis'!$B$43/1000)*'tréso prév'!H3</f>
        <v>0</v>
      </c>
      <c r="K68" s="740">
        <f>('coûts prévis'!$B$43/1000)*'tréso prév'!I3</f>
        <v>0</v>
      </c>
      <c r="L68" s="740">
        <f>('coûts prévis'!$B$43/1000)*'tréso prév'!J3</f>
        <v>153</v>
      </c>
      <c r="M68" s="740">
        <f>('coûts prévis'!$B$43/1000)*'tréso prév'!K3</f>
        <v>0</v>
      </c>
      <c r="N68" s="740">
        <f>SUM(B68:M68)</f>
        <v>535.5</v>
      </c>
      <c r="O68" s="48"/>
      <c r="P68" s="48"/>
      <c r="Q68" s="48"/>
      <c r="R68" s="48"/>
      <c r="S68" s="48"/>
      <c r="T68" s="48"/>
      <c r="U68" s="48"/>
    </row>
    <row r="69" spans="1:28" ht="18">
      <c r="A69" s="248" t="s">
        <v>15</v>
      </c>
      <c r="B69" s="742">
        <v>0</v>
      </c>
      <c r="C69" s="742">
        <v>0</v>
      </c>
      <c r="D69" s="742">
        <f>('coûts prévis'!$B$43/1000)*'tréso prév'!B4</f>
        <v>76.5</v>
      </c>
      <c r="E69" s="742">
        <f>('coûts prévis'!$B$43/1000)*'tréso prév'!C4</f>
        <v>0</v>
      </c>
      <c r="F69" s="742">
        <f>('coûts prévis'!$B$43/1000)*'tréso prév'!D4</f>
        <v>0</v>
      </c>
      <c r="G69" s="742">
        <f>('coûts prévis'!$B$43/1000)*'tréso prév'!E4</f>
        <v>0</v>
      </c>
      <c r="H69" s="742">
        <f>('coûts prévis'!$B$43/1000)*'tréso prév'!F4</f>
        <v>229.5</v>
      </c>
      <c r="I69" s="742">
        <f>('coûts prévis'!$B$43/1000)*'tréso prév'!G4</f>
        <v>0</v>
      </c>
      <c r="J69" s="742">
        <f>('coûts prévis'!$B$43/1000)*'tréso prév'!H4</f>
        <v>0</v>
      </c>
      <c r="K69" s="742">
        <f>('coûts prévis'!$B$43/1000)*'tréso prév'!I4</f>
        <v>0</v>
      </c>
      <c r="L69" s="742">
        <f>('coûts prévis'!$B$43/1000)*'tréso prév'!J4</f>
        <v>0</v>
      </c>
      <c r="M69" s="742">
        <f>('coûts prévis'!$B$43/1000)*'tréso prév'!K4</f>
        <v>0</v>
      </c>
      <c r="N69" s="742">
        <f t="shared" ref="N69:N73" si="38">SUM(B69:M69)</f>
        <v>306</v>
      </c>
      <c r="O69" s="48"/>
      <c r="P69" s="48"/>
      <c r="Q69" s="48"/>
      <c r="R69" s="48"/>
      <c r="S69" s="48"/>
      <c r="T69" s="48"/>
      <c r="U69" s="48"/>
    </row>
    <row r="70" spans="1:28" ht="18">
      <c r="A70" s="269" t="s">
        <v>16</v>
      </c>
      <c r="B70" s="740">
        <v>0</v>
      </c>
      <c r="C70" s="740">
        <v>0</v>
      </c>
      <c r="D70" s="740">
        <v>0</v>
      </c>
      <c r="E70" s="740">
        <f>('coûts prévis'!$B$44/1000)*'tréso prév'!C6</f>
        <v>204</v>
      </c>
      <c r="F70" s="740">
        <f>('coûts prévis'!$B$44/1000)*'tréso prév'!D6</f>
        <v>306</v>
      </c>
      <c r="G70" s="740">
        <f>('coûts prévis'!$B$44/1000)*'tréso prév'!E6</f>
        <v>102</v>
      </c>
      <c r="H70" s="740">
        <f>('coûts prévis'!$B$44/1000)*'tréso prév'!F6</f>
        <v>0</v>
      </c>
      <c r="I70" s="740">
        <f>('coûts prévis'!$B$44/1000)*'tréso prév'!G6</f>
        <v>0</v>
      </c>
      <c r="J70" s="740">
        <f>('coûts prévis'!$B$44/1000)*'tréso prév'!H6</f>
        <v>0</v>
      </c>
      <c r="K70" s="740">
        <f>('coûts prévis'!$B$44/1000)*'tréso prév'!I6</f>
        <v>204</v>
      </c>
      <c r="L70" s="740">
        <f>('coûts prévis'!$B$44/1000)*'tréso prév'!J6</f>
        <v>0</v>
      </c>
      <c r="M70" s="740">
        <f>('coûts prévis'!$B$44/1000)*'tréso prév'!K6</f>
        <v>204</v>
      </c>
      <c r="N70" s="740">
        <f t="shared" si="38"/>
        <v>1020</v>
      </c>
      <c r="O70" s="48"/>
      <c r="P70" s="48"/>
      <c r="Q70" s="48"/>
      <c r="R70" s="48"/>
      <c r="S70" s="48"/>
      <c r="T70" s="48"/>
      <c r="U70" s="48"/>
    </row>
    <row r="71" spans="1:28" ht="18">
      <c r="A71" s="270" t="s">
        <v>17</v>
      </c>
      <c r="B71" s="742">
        <v>0</v>
      </c>
      <c r="C71" s="742">
        <v>0</v>
      </c>
      <c r="D71" s="742">
        <v>0</v>
      </c>
      <c r="E71" s="742">
        <v>0</v>
      </c>
      <c r="F71" s="742">
        <v>0</v>
      </c>
      <c r="G71" s="742">
        <f>('coûts prévis'!$B$44/1000)*'tréso prév'!E7</f>
        <v>408</v>
      </c>
      <c r="H71" s="742">
        <f>('coûts prévis'!$B$44/1000)*'tréso prév'!F7</f>
        <v>0</v>
      </c>
      <c r="I71" s="742">
        <f>('coûts prévis'!$B$44/1000)*'tréso prév'!G7</f>
        <v>0</v>
      </c>
      <c r="J71" s="742">
        <f>('coûts prévis'!$B$44/1000)*'tréso prév'!H7</f>
        <v>0</v>
      </c>
      <c r="K71" s="742">
        <f>('coûts prévis'!$B$44/1000)*'tréso prév'!I7</f>
        <v>0</v>
      </c>
      <c r="L71" s="742">
        <f>('coûts prévis'!$B$44/1000)*'tréso prév'!J7</f>
        <v>0</v>
      </c>
      <c r="M71" s="742">
        <f>('coûts prévis'!$B$44/1000)*'tréso prév'!K7</f>
        <v>0</v>
      </c>
      <c r="N71" s="742">
        <f t="shared" si="38"/>
        <v>408</v>
      </c>
      <c r="O71" s="48"/>
      <c r="P71" s="48"/>
      <c r="Q71" s="48"/>
      <c r="R71" s="48"/>
      <c r="S71" s="48"/>
      <c r="T71" s="48"/>
      <c r="U71" s="48"/>
    </row>
    <row r="72" spans="1:28" ht="18">
      <c r="A72" s="258" t="s">
        <v>18</v>
      </c>
      <c r="B72" s="740">
        <v>0</v>
      </c>
      <c r="C72" s="740">
        <v>0</v>
      </c>
      <c r="D72" s="740">
        <v>0</v>
      </c>
      <c r="E72" s="740">
        <f>('coûts prévis'!$B$45/1000)*'tréso prév'!C9</f>
        <v>244.8</v>
      </c>
      <c r="F72" s="740">
        <f>('coûts prévis'!$B$45/1000)*'tréso prév'!D9</f>
        <v>0</v>
      </c>
      <c r="G72" s="740">
        <f>('coûts prévis'!$B$45/1000)*'tréso prév'!E9</f>
        <v>0</v>
      </c>
      <c r="H72" s="740">
        <f>('coûts prévis'!$B$45/1000)*'tréso prév'!F9</f>
        <v>244.8</v>
      </c>
      <c r="I72" s="740">
        <f>('coûts prévis'!$B$45/1000)*'tréso prév'!G9</f>
        <v>0</v>
      </c>
      <c r="J72" s="740">
        <f>('coûts prévis'!$B$45/1000)*'tréso prév'!H9</f>
        <v>0</v>
      </c>
      <c r="K72" s="740">
        <f>('coûts prévis'!$B$45/1000)*'tréso prév'!I9</f>
        <v>0</v>
      </c>
      <c r="L72" s="740">
        <f>('coûts prévis'!$B$45/1000)*'tréso prév'!J9</f>
        <v>0</v>
      </c>
      <c r="M72" s="740">
        <f>('coûts prévis'!$B$45/1000)*'tréso prév'!K9</f>
        <v>0</v>
      </c>
      <c r="N72" s="740">
        <f t="shared" si="38"/>
        <v>489.6</v>
      </c>
      <c r="O72" s="48"/>
      <c r="P72" s="48"/>
      <c r="Q72" s="48"/>
      <c r="R72" s="48"/>
      <c r="S72" s="48"/>
      <c r="T72" s="48"/>
      <c r="U72" s="48"/>
    </row>
    <row r="73" spans="1:28" ht="18">
      <c r="A73" s="268" t="s">
        <v>19</v>
      </c>
      <c r="B73" s="742">
        <v>0</v>
      </c>
      <c r="C73" s="742">
        <v>0</v>
      </c>
      <c r="D73" s="742">
        <v>0</v>
      </c>
      <c r="E73" s="742">
        <v>0</v>
      </c>
      <c r="F73" s="742">
        <v>0</v>
      </c>
      <c r="G73" s="742">
        <v>0</v>
      </c>
      <c r="H73" s="742">
        <v>0</v>
      </c>
      <c r="I73" s="742">
        <v>0</v>
      </c>
      <c r="J73" s="742">
        <v>0</v>
      </c>
      <c r="K73" s="742">
        <v>0</v>
      </c>
      <c r="L73" s="742">
        <v>0</v>
      </c>
      <c r="M73" s="743">
        <f>('coûts prévis'!$B$45/1000)*'tréso prév'!K10</f>
        <v>244.8</v>
      </c>
      <c r="N73" s="742">
        <f t="shared" si="38"/>
        <v>244.8</v>
      </c>
    </row>
    <row r="74" spans="1:28" ht="18">
      <c r="A74" s="271" t="s">
        <v>186</v>
      </c>
      <c r="B74" s="769">
        <f>'coûts prévis'!$B$46/1000*'tréso prév'!B12</f>
        <v>228.2097</v>
      </c>
      <c r="C74" s="769">
        <f>'coûts prévis'!$B$46/1000*'tréso prév'!C12</f>
        <v>219.9273</v>
      </c>
      <c r="D74" s="769">
        <f>'coûts prévis'!$B$46/1000*'tréso prév'!D12</f>
        <v>248.0283</v>
      </c>
      <c r="E74" s="769">
        <f>'coûts prévis'!$B$46/1000*'tréso prév'!E12</f>
        <v>209.72220000000002</v>
      </c>
      <c r="F74" s="769">
        <f>'coûts prévis'!$B$46/1000*'tréso prév'!F12</f>
        <v>178.07160000000002</v>
      </c>
      <c r="G74" s="769">
        <f>'coûts prévis'!$B$46/1000*'tréso prév'!G12</f>
        <v>297.87060000000002</v>
      </c>
      <c r="H74" s="769">
        <f>'coûts prévis'!$B$46/1000*'tréso prév'!H12</f>
        <v>107.22750000000001</v>
      </c>
      <c r="I74" s="769">
        <f>'coûts prévis'!$B$46/1000*'tréso prév'!I12</f>
        <v>53.0961</v>
      </c>
      <c r="J74" s="769">
        <f>'coûts prévis'!$B$46/1000*'tréso prév'!J12</f>
        <v>186.0582</v>
      </c>
      <c r="K74" s="769">
        <f>'coûts prévis'!$B$46/1000*'tréso prév'!K12</f>
        <v>265.03680000000003</v>
      </c>
      <c r="L74" s="769">
        <f>'coûts prévis'!$B$46/1000*'tréso prév'!L12</f>
        <v>220.22310000000002</v>
      </c>
      <c r="M74" s="769">
        <f>'coûts prévis'!$B$46/1000*'tréso prév'!M12</f>
        <v>133.25790000000001</v>
      </c>
      <c r="N74" s="769">
        <f>SUM(B74:M74)</f>
        <v>2346.7293</v>
      </c>
    </row>
    <row r="75" spans="1:28" ht="18">
      <c r="A75" s="272" t="s">
        <v>198</v>
      </c>
      <c r="B75" s="740">
        <f>'état fi prévis'!$G$60/6</f>
        <v>23.333333333333332</v>
      </c>
      <c r="C75" s="740">
        <f>'état fi prévis'!$G$60/6</f>
        <v>23.333333333333332</v>
      </c>
      <c r="D75" s="740">
        <f>'état fi prévis'!$G$60/6</f>
        <v>23.333333333333332</v>
      </c>
      <c r="E75" s="740">
        <f>'état fi prévis'!$G$60/6</f>
        <v>23.333333333333332</v>
      </c>
      <c r="F75" s="740">
        <f>'état fi prévis'!$G$60/6</f>
        <v>23.333333333333332</v>
      </c>
      <c r="G75" s="740">
        <f>'état fi prévis'!$G$60/6</f>
        <v>23.333333333333332</v>
      </c>
      <c r="H75" s="770"/>
      <c r="I75" s="770"/>
      <c r="J75" s="770"/>
      <c r="K75" s="770"/>
      <c r="L75" s="770"/>
      <c r="M75" s="770"/>
      <c r="N75" s="740">
        <f>SUM(B75:M75)</f>
        <v>140</v>
      </c>
    </row>
    <row r="76" spans="1:28">
      <c r="A76" s="242" t="s">
        <v>197</v>
      </c>
      <c r="B76" s="245">
        <f>SUM(B68:B75)</f>
        <v>251.54303333333334</v>
      </c>
      <c r="C76" s="245">
        <f t="shared" ref="C76:M76" si="39">SUM(C68:C75)</f>
        <v>243.26063333333335</v>
      </c>
      <c r="D76" s="245">
        <f t="shared" si="39"/>
        <v>500.86163333333332</v>
      </c>
      <c r="E76" s="245">
        <f t="shared" si="39"/>
        <v>681.85553333333337</v>
      </c>
      <c r="F76" s="245">
        <f t="shared" si="39"/>
        <v>660.40493333333336</v>
      </c>
      <c r="G76" s="245">
        <f t="shared" si="39"/>
        <v>831.20393333333334</v>
      </c>
      <c r="H76" s="245">
        <f t="shared" si="39"/>
        <v>581.52750000000003</v>
      </c>
      <c r="I76" s="245">
        <f t="shared" si="39"/>
        <v>129.59610000000001</v>
      </c>
      <c r="J76" s="245">
        <f t="shared" si="39"/>
        <v>186.0582</v>
      </c>
      <c r="K76" s="245">
        <f t="shared" si="39"/>
        <v>469.03680000000003</v>
      </c>
      <c r="L76" s="245">
        <f t="shared" si="39"/>
        <v>373.22310000000004</v>
      </c>
      <c r="M76" s="245">
        <f t="shared" si="39"/>
        <v>582.05790000000002</v>
      </c>
      <c r="N76" s="246">
        <f>SUM(B76:M76)</f>
        <v>5490.6293000000005</v>
      </c>
      <c r="O76" s="47"/>
    </row>
    <row r="77" spans="1:28" ht="15.6">
      <c r="A77" s="46"/>
      <c r="B77" s="771"/>
      <c r="C77" s="772"/>
      <c r="D77" s="771"/>
      <c r="E77" s="771"/>
      <c r="F77" s="771"/>
      <c r="G77" s="771"/>
      <c r="H77" s="771"/>
      <c r="I77" s="771"/>
      <c r="J77" s="771"/>
      <c r="K77" s="771"/>
      <c r="L77" s="771"/>
      <c r="M77" s="771"/>
      <c r="N77" s="771"/>
      <c r="O77" s="47"/>
    </row>
    <row r="78" spans="1:28">
      <c r="A78" s="640" t="s">
        <v>299</v>
      </c>
      <c r="B78" s="641" t="s">
        <v>300</v>
      </c>
      <c r="C78" s="641"/>
      <c r="D78" s="641"/>
      <c r="E78" s="641"/>
      <c r="F78" s="641"/>
      <c r="G78" s="641"/>
      <c r="H78" s="640"/>
      <c r="Q78" s="773"/>
      <c r="R78" s="773"/>
      <c r="S78" s="773"/>
      <c r="T78" s="773"/>
      <c r="U78" s="773"/>
      <c r="V78" s="773"/>
      <c r="W78" s="773"/>
      <c r="X78" s="773"/>
      <c r="Y78" s="773"/>
      <c r="Z78" s="773"/>
      <c r="AA78" s="773"/>
      <c r="AB78" s="773"/>
    </row>
    <row r="79" spans="1:28"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</row>
    <row r="80" spans="1:28">
      <c r="B80" s="241">
        <f>B67</f>
        <v>43101</v>
      </c>
      <c r="C80" s="241">
        <f t="shared" ref="C80:M80" si="40">C67</f>
        <v>43132</v>
      </c>
      <c r="D80" s="241">
        <f t="shared" si="40"/>
        <v>43160</v>
      </c>
      <c r="E80" s="241">
        <f t="shared" si="40"/>
        <v>43191</v>
      </c>
      <c r="F80" s="241">
        <f t="shared" si="40"/>
        <v>43221</v>
      </c>
      <c r="G80" s="241">
        <f t="shared" si="40"/>
        <v>43252</v>
      </c>
      <c r="H80" s="241">
        <f t="shared" si="40"/>
        <v>43282</v>
      </c>
      <c r="I80" s="241">
        <f t="shared" si="40"/>
        <v>43313</v>
      </c>
      <c r="J80" s="241">
        <f t="shared" si="40"/>
        <v>43344</v>
      </c>
      <c r="K80" s="241">
        <f t="shared" si="40"/>
        <v>43374</v>
      </c>
      <c r="L80" s="241">
        <f t="shared" si="40"/>
        <v>43405</v>
      </c>
      <c r="M80" s="241">
        <f t="shared" si="40"/>
        <v>43435</v>
      </c>
    </row>
    <row r="81" spans="1:14">
      <c r="A81" s="227" t="s">
        <v>378</v>
      </c>
      <c r="B81" s="1">
        <f>115.2/12</f>
        <v>9.6</v>
      </c>
      <c r="C81" s="1">
        <f t="shared" ref="C81:M81" si="41">115.2/12</f>
        <v>9.6</v>
      </c>
      <c r="D81" s="1">
        <f t="shared" si="41"/>
        <v>9.6</v>
      </c>
      <c r="E81" s="1">
        <f t="shared" si="41"/>
        <v>9.6</v>
      </c>
      <c r="F81" s="1">
        <f t="shared" si="41"/>
        <v>9.6</v>
      </c>
      <c r="G81" s="1">
        <f t="shared" si="41"/>
        <v>9.6</v>
      </c>
      <c r="H81" s="1">
        <f t="shared" si="41"/>
        <v>9.6</v>
      </c>
      <c r="I81" s="1">
        <f t="shared" si="41"/>
        <v>9.6</v>
      </c>
      <c r="J81" s="1">
        <f t="shared" si="41"/>
        <v>9.6</v>
      </c>
      <c r="K81" s="1">
        <f t="shared" si="41"/>
        <v>9.6</v>
      </c>
      <c r="L81" s="1">
        <f t="shared" si="41"/>
        <v>9.6</v>
      </c>
      <c r="M81" s="1">
        <f t="shared" si="41"/>
        <v>9.6</v>
      </c>
      <c r="N81" s="1"/>
    </row>
    <row r="82" spans="1:14">
      <c r="A82" s="228" t="s">
        <v>379</v>
      </c>
      <c r="B82" s="1">
        <f>60/12</f>
        <v>5</v>
      </c>
      <c r="C82" s="1">
        <f t="shared" ref="C82:M82" si="42">60/12</f>
        <v>5</v>
      </c>
      <c r="D82" s="1">
        <f t="shared" si="42"/>
        <v>5</v>
      </c>
      <c r="E82" s="1">
        <f t="shared" si="42"/>
        <v>5</v>
      </c>
      <c r="F82" s="1">
        <f t="shared" si="42"/>
        <v>5</v>
      </c>
      <c r="G82" s="1">
        <f t="shared" si="42"/>
        <v>5</v>
      </c>
      <c r="H82" s="1">
        <f t="shared" si="42"/>
        <v>5</v>
      </c>
      <c r="I82" s="1">
        <f t="shared" si="42"/>
        <v>5</v>
      </c>
      <c r="J82" s="1">
        <f t="shared" si="42"/>
        <v>5</v>
      </c>
      <c r="K82" s="1">
        <f t="shared" si="42"/>
        <v>5</v>
      </c>
      <c r="L82" s="1">
        <f t="shared" si="42"/>
        <v>5</v>
      </c>
      <c r="M82" s="1">
        <f t="shared" si="42"/>
        <v>5</v>
      </c>
      <c r="N82" s="1"/>
    </row>
    <row r="83" spans="1:14">
      <c r="A83" s="228" t="s">
        <v>125</v>
      </c>
      <c r="B83" s="799">
        <f>100/12</f>
        <v>8.3333333333333339</v>
      </c>
      <c r="C83" s="799">
        <f t="shared" ref="C83:M83" si="43">100/12</f>
        <v>8.3333333333333339</v>
      </c>
      <c r="D83" s="799">
        <f t="shared" si="43"/>
        <v>8.3333333333333339</v>
      </c>
      <c r="E83" s="799">
        <f t="shared" si="43"/>
        <v>8.3333333333333339</v>
      </c>
      <c r="F83" s="799">
        <f t="shared" si="43"/>
        <v>8.3333333333333339</v>
      </c>
      <c r="G83" s="799">
        <f t="shared" si="43"/>
        <v>8.3333333333333339</v>
      </c>
      <c r="H83" s="799">
        <f t="shared" si="43"/>
        <v>8.3333333333333339</v>
      </c>
      <c r="I83" s="799">
        <f t="shared" si="43"/>
        <v>8.3333333333333339</v>
      </c>
      <c r="J83" s="799">
        <f t="shared" si="43"/>
        <v>8.3333333333333339</v>
      </c>
      <c r="K83" s="799">
        <f t="shared" si="43"/>
        <v>8.3333333333333339</v>
      </c>
      <c r="L83" s="799">
        <f t="shared" si="43"/>
        <v>8.3333333333333339</v>
      </c>
      <c r="M83" s="799">
        <f t="shared" si="43"/>
        <v>8.3333333333333339</v>
      </c>
      <c r="N83" s="1"/>
    </row>
    <row r="84" spans="1:14">
      <c r="A84" s="228" t="s">
        <v>153</v>
      </c>
      <c r="B84" s="799">
        <f>200/12</f>
        <v>16.666666666666668</v>
      </c>
      <c r="C84" s="799">
        <f t="shared" ref="C84:M84" si="44">200/12</f>
        <v>16.666666666666668</v>
      </c>
      <c r="D84" s="799">
        <f t="shared" si="44"/>
        <v>16.666666666666668</v>
      </c>
      <c r="E84" s="799">
        <f t="shared" si="44"/>
        <v>16.666666666666668</v>
      </c>
      <c r="F84" s="799">
        <f t="shared" si="44"/>
        <v>16.666666666666668</v>
      </c>
      <c r="G84" s="799">
        <f t="shared" si="44"/>
        <v>16.666666666666668</v>
      </c>
      <c r="H84" s="799">
        <f t="shared" si="44"/>
        <v>16.666666666666668</v>
      </c>
      <c r="I84" s="799">
        <f t="shared" si="44"/>
        <v>16.666666666666668</v>
      </c>
      <c r="J84" s="799">
        <f t="shared" si="44"/>
        <v>16.666666666666668</v>
      </c>
      <c r="K84" s="799">
        <f t="shared" si="44"/>
        <v>16.666666666666668</v>
      </c>
      <c r="L84" s="799">
        <f t="shared" si="44"/>
        <v>16.666666666666668</v>
      </c>
      <c r="M84" s="799">
        <f t="shared" si="44"/>
        <v>16.666666666666668</v>
      </c>
      <c r="N84" s="1"/>
    </row>
    <row r="85" spans="1:14">
      <c r="A85" s="228" t="s">
        <v>126</v>
      </c>
      <c r="B85" s="799">
        <f>30/12</f>
        <v>2.5</v>
      </c>
      <c r="C85" s="799">
        <f t="shared" ref="C85:M85" si="45">30/12</f>
        <v>2.5</v>
      </c>
      <c r="D85" s="799">
        <f t="shared" si="45"/>
        <v>2.5</v>
      </c>
      <c r="E85" s="799">
        <f t="shared" si="45"/>
        <v>2.5</v>
      </c>
      <c r="F85" s="799">
        <f t="shared" si="45"/>
        <v>2.5</v>
      </c>
      <c r="G85" s="799">
        <f t="shared" si="45"/>
        <v>2.5</v>
      </c>
      <c r="H85" s="799">
        <f t="shared" si="45"/>
        <v>2.5</v>
      </c>
      <c r="I85" s="799">
        <f t="shared" si="45"/>
        <v>2.5</v>
      </c>
      <c r="J85" s="799">
        <f t="shared" si="45"/>
        <v>2.5</v>
      </c>
      <c r="K85" s="799">
        <f t="shared" si="45"/>
        <v>2.5</v>
      </c>
      <c r="L85" s="799">
        <f t="shared" si="45"/>
        <v>2.5</v>
      </c>
      <c r="M85" s="799">
        <f t="shared" si="45"/>
        <v>2.5</v>
      </c>
      <c r="N85" s="1"/>
    </row>
    <row r="86" spans="1:14">
      <c r="A86" s="228" t="s">
        <v>154</v>
      </c>
      <c r="B86" s="799">
        <f>110/12</f>
        <v>9.1666666666666661</v>
      </c>
      <c r="C86" s="799">
        <f t="shared" ref="C86:M86" si="46">110/12</f>
        <v>9.1666666666666661</v>
      </c>
      <c r="D86" s="799">
        <f t="shared" si="46"/>
        <v>9.1666666666666661</v>
      </c>
      <c r="E86" s="799">
        <f t="shared" si="46"/>
        <v>9.1666666666666661</v>
      </c>
      <c r="F86" s="799">
        <f t="shared" si="46"/>
        <v>9.1666666666666661</v>
      </c>
      <c r="G86" s="799">
        <f t="shared" si="46"/>
        <v>9.1666666666666661</v>
      </c>
      <c r="H86" s="799">
        <f t="shared" si="46"/>
        <v>9.1666666666666661</v>
      </c>
      <c r="I86" s="799">
        <f t="shared" si="46"/>
        <v>9.1666666666666661</v>
      </c>
      <c r="J86" s="799">
        <f t="shared" si="46"/>
        <v>9.1666666666666661</v>
      </c>
      <c r="K86" s="799">
        <f t="shared" si="46"/>
        <v>9.1666666666666661</v>
      </c>
      <c r="L86" s="799">
        <f t="shared" si="46"/>
        <v>9.1666666666666661</v>
      </c>
      <c r="M86" s="799">
        <f t="shared" si="46"/>
        <v>9.1666666666666661</v>
      </c>
      <c r="N86" s="1"/>
    </row>
    <row r="87" spans="1:14">
      <c r="A87" s="228" t="s">
        <v>127</v>
      </c>
      <c r="B87" s="799">
        <f>90/12</f>
        <v>7.5</v>
      </c>
      <c r="C87" s="799">
        <f t="shared" ref="C87:M87" si="47">90/12</f>
        <v>7.5</v>
      </c>
      <c r="D87" s="799">
        <f t="shared" si="47"/>
        <v>7.5</v>
      </c>
      <c r="E87" s="799">
        <f t="shared" si="47"/>
        <v>7.5</v>
      </c>
      <c r="F87" s="799">
        <f t="shared" si="47"/>
        <v>7.5</v>
      </c>
      <c r="G87" s="799">
        <f t="shared" si="47"/>
        <v>7.5</v>
      </c>
      <c r="H87" s="799">
        <f t="shared" si="47"/>
        <v>7.5</v>
      </c>
      <c r="I87" s="799">
        <f t="shared" si="47"/>
        <v>7.5</v>
      </c>
      <c r="J87" s="799">
        <f t="shared" si="47"/>
        <v>7.5</v>
      </c>
      <c r="K87" s="799">
        <f t="shared" si="47"/>
        <v>7.5</v>
      </c>
      <c r="L87" s="799">
        <f t="shared" si="47"/>
        <v>7.5</v>
      </c>
      <c r="M87" s="799">
        <f t="shared" si="47"/>
        <v>7.5</v>
      </c>
      <c r="N87" s="1"/>
    </row>
    <row r="88" spans="1:14">
      <c r="A88" s="228" t="s">
        <v>128</v>
      </c>
      <c r="B88" s="799">
        <f>15/12</f>
        <v>1.25</v>
      </c>
      <c r="C88" s="799">
        <f t="shared" ref="C88:M88" si="48">15/12</f>
        <v>1.25</v>
      </c>
      <c r="D88" s="799">
        <f t="shared" si="48"/>
        <v>1.25</v>
      </c>
      <c r="E88" s="799">
        <f t="shared" si="48"/>
        <v>1.25</v>
      </c>
      <c r="F88" s="799">
        <f t="shared" si="48"/>
        <v>1.25</v>
      </c>
      <c r="G88" s="799">
        <f t="shared" si="48"/>
        <v>1.25</v>
      </c>
      <c r="H88" s="799">
        <f t="shared" si="48"/>
        <v>1.25</v>
      </c>
      <c r="I88" s="799">
        <f t="shared" si="48"/>
        <v>1.25</v>
      </c>
      <c r="J88" s="799">
        <f t="shared" si="48"/>
        <v>1.25</v>
      </c>
      <c r="K88" s="799">
        <f t="shared" si="48"/>
        <v>1.25</v>
      </c>
      <c r="L88" s="799">
        <f t="shared" si="48"/>
        <v>1.25</v>
      </c>
      <c r="M88" s="799">
        <f t="shared" si="48"/>
        <v>1.25</v>
      </c>
      <c r="N88" s="1"/>
    </row>
    <row r="89" spans="1:14">
      <c r="A89" s="228" t="s">
        <v>131</v>
      </c>
      <c r="B89" s="799">
        <f>250/12</f>
        <v>20.833333333333332</v>
      </c>
      <c r="C89" s="799">
        <f t="shared" ref="C89:M89" si="49">250/12</f>
        <v>20.833333333333332</v>
      </c>
      <c r="D89" s="799">
        <f t="shared" si="49"/>
        <v>20.833333333333332</v>
      </c>
      <c r="E89" s="799">
        <f t="shared" si="49"/>
        <v>20.833333333333332</v>
      </c>
      <c r="F89" s="799">
        <f t="shared" si="49"/>
        <v>20.833333333333332</v>
      </c>
      <c r="G89" s="799">
        <f t="shared" si="49"/>
        <v>20.833333333333332</v>
      </c>
      <c r="H89" s="799">
        <f t="shared" si="49"/>
        <v>20.833333333333332</v>
      </c>
      <c r="I89" s="799">
        <f t="shared" si="49"/>
        <v>20.833333333333332</v>
      </c>
      <c r="J89" s="799">
        <f t="shared" si="49"/>
        <v>20.833333333333332</v>
      </c>
      <c r="K89" s="799">
        <f t="shared" si="49"/>
        <v>20.833333333333332</v>
      </c>
      <c r="L89" s="799">
        <f t="shared" si="49"/>
        <v>20.833333333333332</v>
      </c>
      <c r="M89" s="799">
        <f t="shared" si="49"/>
        <v>20.833333333333332</v>
      </c>
      <c r="N89" s="1"/>
    </row>
    <row r="90" spans="1:14">
      <c r="A90" s="228" t="s">
        <v>133</v>
      </c>
      <c r="B90" s="799">
        <f>35/12</f>
        <v>2.9166666666666665</v>
      </c>
      <c r="C90" s="799">
        <f t="shared" ref="C90:M90" si="50">35/12</f>
        <v>2.9166666666666665</v>
      </c>
      <c r="D90" s="799">
        <f t="shared" si="50"/>
        <v>2.9166666666666665</v>
      </c>
      <c r="E90" s="799">
        <f t="shared" si="50"/>
        <v>2.9166666666666665</v>
      </c>
      <c r="F90" s="799">
        <f t="shared" si="50"/>
        <v>2.9166666666666665</v>
      </c>
      <c r="G90" s="799">
        <f t="shared" si="50"/>
        <v>2.9166666666666665</v>
      </c>
      <c r="H90" s="799">
        <f t="shared" si="50"/>
        <v>2.9166666666666665</v>
      </c>
      <c r="I90" s="799">
        <f t="shared" si="50"/>
        <v>2.9166666666666665</v>
      </c>
      <c r="J90" s="799">
        <f t="shared" si="50"/>
        <v>2.9166666666666665</v>
      </c>
      <c r="K90" s="799">
        <f t="shared" si="50"/>
        <v>2.9166666666666665</v>
      </c>
      <c r="L90" s="799">
        <f t="shared" si="50"/>
        <v>2.9166666666666665</v>
      </c>
      <c r="M90" s="799">
        <f t="shared" si="50"/>
        <v>2.9166666666666665</v>
      </c>
      <c r="N90" s="1"/>
    </row>
    <row r="91" spans="1:14">
      <c r="A91" s="228" t="s">
        <v>134</v>
      </c>
      <c r="B91" s="799">
        <f>800/12</f>
        <v>66.666666666666671</v>
      </c>
      <c r="C91" s="799">
        <f t="shared" ref="C91:M91" si="51">800/12</f>
        <v>66.666666666666671</v>
      </c>
      <c r="D91" s="799">
        <f t="shared" si="51"/>
        <v>66.666666666666671</v>
      </c>
      <c r="E91" s="799">
        <f t="shared" si="51"/>
        <v>66.666666666666671</v>
      </c>
      <c r="F91" s="799">
        <f t="shared" si="51"/>
        <v>66.666666666666671</v>
      </c>
      <c r="G91" s="799">
        <f t="shared" si="51"/>
        <v>66.666666666666671</v>
      </c>
      <c r="H91" s="799">
        <f t="shared" si="51"/>
        <v>66.666666666666671</v>
      </c>
      <c r="I91" s="799">
        <f t="shared" si="51"/>
        <v>66.666666666666671</v>
      </c>
      <c r="J91" s="799">
        <f t="shared" si="51"/>
        <v>66.666666666666671</v>
      </c>
      <c r="K91" s="799">
        <f t="shared" si="51"/>
        <v>66.666666666666671</v>
      </c>
      <c r="L91" s="799">
        <f t="shared" si="51"/>
        <v>66.666666666666671</v>
      </c>
      <c r="M91" s="799">
        <f t="shared" si="51"/>
        <v>66.666666666666671</v>
      </c>
    </row>
    <row r="92" spans="1:14">
      <c r="A92" s="228" t="s">
        <v>135</v>
      </c>
      <c r="B92" s="799">
        <f>125/12</f>
        <v>10.416666666666666</v>
      </c>
      <c r="C92" s="799">
        <f t="shared" ref="C92:M92" si="52">125/12</f>
        <v>10.416666666666666</v>
      </c>
      <c r="D92" s="799">
        <f t="shared" si="52"/>
        <v>10.416666666666666</v>
      </c>
      <c r="E92" s="799">
        <f t="shared" si="52"/>
        <v>10.416666666666666</v>
      </c>
      <c r="F92" s="799">
        <f t="shared" si="52"/>
        <v>10.416666666666666</v>
      </c>
      <c r="G92" s="799">
        <f t="shared" si="52"/>
        <v>10.416666666666666</v>
      </c>
      <c r="H92" s="799">
        <f t="shared" si="52"/>
        <v>10.416666666666666</v>
      </c>
      <c r="I92" s="799">
        <f t="shared" si="52"/>
        <v>10.416666666666666</v>
      </c>
      <c r="J92" s="799">
        <f t="shared" si="52"/>
        <v>10.416666666666666</v>
      </c>
      <c r="K92" s="799">
        <f t="shared" si="52"/>
        <v>10.416666666666666</v>
      </c>
      <c r="L92" s="799">
        <f t="shared" si="52"/>
        <v>10.416666666666666</v>
      </c>
      <c r="M92" s="799">
        <f t="shared" si="52"/>
        <v>10.416666666666666</v>
      </c>
      <c r="N92" s="1"/>
    </row>
    <row r="93" spans="1:14">
      <c r="A93" s="228" t="s">
        <v>136</v>
      </c>
      <c r="B93" s="799"/>
      <c r="C93" s="799"/>
      <c r="D93" s="799"/>
      <c r="E93" s="799">
        <v>35</v>
      </c>
      <c r="F93" s="799"/>
      <c r="G93" s="799"/>
      <c r="H93" s="799"/>
      <c r="I93" s="799"/>
      <c r="J93" s="799"/>
      <c r="K93" s="799"/>
      <c r="L93" s="799"/>
      <c r="M93" s="799"/>
    </row>
    <row r="94" spans="1:14">
      <c r="A94" s="228" t="s">
        <v>381</v>
      </c>
      <c r="B94" s="799">
        <f>58/12</f>
        <v>4.833333333333333</v>
      </c>
      <c r="C94" s="799">
        <f t="shared" ref="C94:M94" si="53">58/12</f>
        <v>4.833333333333333</v>
      </c>
      <c r="D94" s="799">
        <f t="shared" si="53"/>
        <v>4.833333333333333</v>
      </c>
      <c r="E94" s="799">
        <f t="shared" si="53"/>
        <v>4.833333333333333</v>
      </c>
      <c r="F94" s="799">
        <f t="shared" si="53"/>
        <v>4.833333333333333</v>
      </c>
      <c r="G94" s="799">
        <f t="shared" si="53"/>
        <v>4.833333333333333</v>
      </c>
      <c r="H94" s="799">
        <f t="shared" si="53"/>
        <v>4.833333333333333</v>
      </c>
      <c r="I94" s="799">
        <f t="shared" si="53"/>
        <v>4.833333333333333</v>
      </c>
      <c r="J94" s="799">
        <f t="shared" si="53"/>
        <v>4.833333333333333</v>
      </c>
      <c r="K94" s="799">
        <f t="shared" si="53"/>
        <v>4.833333333333333</v>
      </c>
      <c r="L94" s="799">
        <f t="shared" si="53"/>
        <v>4.833333333333333</v>
      </c>
      <c r="M94" s="799">
        <f t="shared" si="53"/>
        <v>4.833333333333333</v>
      </c>
      <c r="N94" s="1"/>
    </row>
    <row r="95" spans="1:14">
      <c r="A95" s="229" t="s">
        <v>382</v>
      </c>
      <c r="B95" s="1">
        <f t="shared" ref="B95:M95" si="54">SUM(B81:B94)</f>
        <v>165.68333333333334</v>
      </c>
      <c r="C95" s="1">
        <f t="shared" si="54"/>
        <v>165.68333333333334</v>
      </c>
      <c r="D95" s="1">
        <f t="shared" si="54"/>
        <v>165.68333333333334</v>
      </c>
      <c r="E95" s="1">
        <f t="shared" si="54"/>
        <v>200.68333333333334</v>
      </c>
      <c r="F95" s="1">
        <f t="shared" si="54"/>
        <v>165.68333333333334</v>
      </c>
      <c r="G95" s="1">
        <f t="shared" si="54"/>
        <v>165.68333333333334</v>
      </c>
      <c r="H95" s="1">
        <f t="shared" si="54"/>
        <v>165.68333333333334</v>
      </c>
      <c r="I95" s="1">
        <f t="shared" si="54"/>
        <v>165.68333333333334</v>
      </c>
      <c r="J95" s="1">
        <f t="shared" si="54"/>
        <v>165.68333333333334</v>
      </c>
      <c r="K95" s="1">
        <f t="shared" si="54"/>
        <v>165.68333333333334</v>
      </c>
      <c r="L95" s="1">
        <f t="shared" si="54"/>
        <v>165.68333333333334</v>
      </c>
      <c r="M95" s="1">
        <f t="shared" si="54"/>
        <v>165.68333333333334</v>
      </c>
    </row>
    <row r="98" spans="1:17">
      <c r="A98" s="433" t="s">
        <v>345</v>
      </c>
      <c r="B98" s="434"/>
      <c r="C98" s="434"/>
      <c r="D98" s="434"/>
      <c r="E98" s="434"/>
      <c r="F98" s="434"/>
      <c r="G98" s="434"/>
      <c r="H98" s="434"/>
      <c r="I98" s="434"/>
      <c r="J98" s="434"/>
      <c r="K98" s="434"/>
      <c r="L98" s="434"/>
      <c r="M98" s="435"/>
      <c r="N98" s="774"/>
    </row>
    <row r="99" spans="1:17">
      <c r="A99" s="283"/>
      <c r="B99" s="241">
        <f t="shared" ref="B99:M99" si="55">B67</f>
        <v>43101</v>
      </c>
      <c r="C99" s="241">
        <f t="shared" si="55"/>
        <v>43132</v>
      </c>
      <c r="D99" s="241">
        <f t="shared" si="55"/>
        <v>43160</v>
      </c>
      <c r="E99" s="241">
        <f t="shared" si="55"/>
        <v>43191</v>
      </c>
      <c r="F99" s="241">
        <f t="shared" si="55"/>
        <v>43221</v>
      </c>
      <c r="G99" s="241">
        <f t="shared" si="55"/>
        <v>43252</v>
      </c>
      <c r="H99" s="241">
        <f t="shared" si="55"/>
        <v>43282</v>
      </c>
      <c r="I99" s="241">
        <f t="shared" si="55"/>
        <v>43313</v>
      </c>
      <c r="J99" s="241">
        <f t="shared" si="55"/>
        <v>43344</v>
      </c>
      <c r="K99" s="241">
        <f t="shared" si="55"/>
        <v>43374</v>
      </c>
      <c r="L99" s="241">
        <f t="shared" si="55"/>
        <v>43405</v>
      </c>
      <c r="M99" s="777">
        <f t="shared" si="55"/>
        <v>43435</v>
      </c>
      <c r="N99" s="775" t="s">
        <v>390</v>
      </c>
    </row>
    <row r="100" spans="1:17">
      <c r="A100" s="216" t="s">
        <v>346</v>
      </c>
      <c r="B100" s="782">
        <f t="shared" ref="B100:M100" si="56">0.2*B39+0.2*B42+0.2*B45+0.2*B48</f>
        <v>157.38600000000002</v>
      </c>
      <c r="C100" s="782">
        <f t="shared" si="56"/>
        <v>151.67400000000001</v>
      </c>
      <c r="D100" s="782">
        <f t="shared" si="56"/>
        <v>171.054</v>
      </c>
      <c r="E100" s="782">
        <f t="shared" si="56"/>
        <v>204.63600000000002</v>
      </c>
      <c r="F100" s="782">
        <f t="shared" si="56"/>
        <v>322.80799999999999</v>
      </c>
      <c r="G100" s="782">
        <f t="shared" si="56"/>
        <v>415.428</v>
      </c>
      <c r="H100" s="782">
        <f t="shared" si="56"/>
        <v>123.95</v>
      </c>
      <c r="I100" s="782">
        <f t="shared" si="56"/>
        <v>136.61799999999999</v>
      </c>
      <c r="J100" s="782">
        <f t="shared" si="56"/>
        <v>158.316</v>
      </c>
      <c r="K100" s="782">
        <f t="shared" si="56"/>
        <v>182.78400000000002</v>
      </c>
      <c r="L100" s="782">
        <f t="shared" si="56"/>
        <v>251.87800000000001</v>
      </c>
      <c r="M100" s="782">
        <f t="shared" si="56"/>
        <v>151.90199999999999</v>
      </c>
      <c r="N100" s="776"/>
    </row>
    <row r="101" spans="1:17">
      <c r="A101" s="218" t="s">
        <v>350</v>
      </c>
      <c r="B101" s="796">
        <f t="shared" ref="B101:M101" si="57">0.2*B68+0.2*B69+0.2*B70+0.2*B71+0.2*B72+0.2*B73+0.2*B74+0.2*B75</f>
        <v>50.30860666666667</v>
      </c>
      <c r="C101" s="796">
        <f t="shared" si="57"/>
        <v>48.652126666666668</v>
      </c>
      <c r="D101" s="796">
        <f t="shared" si="57"/>
        <v>100.17232666666668</v>
      </c>
      <c r="E101" s="796">
        <f t="shared" si="57"/>
        <v>136.37110666666669</v>
      </c>
      <c r="F101" s="796">
        <f t="shared" si="57"/>
        <v>132.08098666666669</v>
      </c>
      <c r="G101" s="796">
        <f t="shared" si="57"/>
        <v>166.24078666666668</v>
      </c>
      <c r="H101" s="796">
        <f t="shared" si="57"/>
        <v>116.30550000000002</v>
      </c>
      <c r="I101" s="796">
        <f t="shared" si="57"/>
        <v>25.919220000000003</v>
      </c>
      <c r="J101" s="796">
        <f t="shared" si="57"/>
        <v>37.211640000000003</v>
      </c>
      <c r="K101" s="796">
        <f t="shared" si="57"/>
        <v>93.807360000000017</v>
      </c>
      <c r="L101" s="796">
        <f t="shared" si="57"/>
        <v>74.644620000000003</v>
      </c>
      <c r="M101" s="796">
        <f t="shared" si="57"/>
        <v>116.41158000000001</v>
      </c>
      <c r="N101" s="776"/>
    </row>
    <row r="102" spans="1:17">
      <c r="A102" s="218" t="s">
        <v>351</v>
      </c>
      <c r="B102" s="796">
        <f>B95*0.2</f>
        <v>33.13666666666667</v>
      </c>
      <c r="C102" s="796">
        <f t="shared" ref="C102:M102" si="58">C95*0.2</f>
        <v>33.13666666666667</v>
      </c>
      <c r="D102" s="796">
        <f t="shared" si="58"/>
        <v>33.13666666666667</v>
      </c>
      <c r="E102" s="796">
        <f t="shared" si="58"/>
        <v>40.13666666666667</v>
      </c>
      <c r="F102" s="796">
        <f t="shared" si="58"/>
        <v>33.13666666666667</v>
      </c>
      <c r="G102" s="796">
        <f t="shared" si="58"/>
        <v>33.13666666666667</v>
      </c>
      <c r="H102" s="796">
        <f t="shared" si="58"/>
        <v>33.13666666666667</v>
      </c>
      <c r="I102" s="796">
        <f t="shared" si="58"/>
        <v>33.13666666666667</v>
      </c>
      <c r="J102" s="796">
        <f t="shared" si="58"/>
        <v>33.13666666666667</v>
      </c>
      <c r="K102" s="796">
        <f t="shared" si="58"/>
        <v>33.13666666666667</v>
      </c>
      <c r="L102" s="796">
        <f t="shared" si="58"/>
        <v>33.13666666666667</v>
      </c>
      <c r="M102" s="796">
        <f t="shared" si="58"/>
        <v>33.13666666666667</v>
      </c>
      <c r="O102" s="776" t="s">
        <v>352</v>
      </c>
    </row>
    <row r="103" spans="1:17">
      <c r="A103" s="218" t="s">
        <v>370</v>
      </c>
      <c r="B103" s="218"/>
      <c r="C103" s="218">
        <f>336*0.2</f>
        <v>67.2</v>
      </c>
      <c r="D103" s="218"/>
      <c r="E103" s="218"/>
      <c r="F103" s="218"/>
      <c r="G103" s="218"/>
      <c r="H103" s="218"/>
      <c r="I103" s="218"/>
      <c r="J103" s="218"/>
      <c r="K103" s="218"/>
      <c r="L103" s="218"/>
      <c r="M103" s="778"/>
      <c r="O103" s="776"/>
    </row>
    <row r="104" spans="1:17">
      <c r="A104" s="218" t="s">
        <v>380</v>
      </c>
      <c r="B104" s="797">
        <f>SUM(B101:B103)</f>
        <v>83.445273333333347</v>
      </c>
      <c r="C104" s="797">
        <f>SUM(C101:C103)</f>
        <v>148.98879333333332</v>
      </c>
      <c r="D104" s="797">
        <f t="shared" ref="D104:M104" si="59">SUM(D101:D103)</f>
        <v>133.30899333333335</v>
      </c>
      <c r="E104" s="797">
        <f t="shared" si="59"/>
        <v>176.50777333333338</v>
      </c>
      <c r="F104" s="797">
        <f t="shared" si="59"/>
        <v>165.21765333333337</v>
      </c>
      <c r="G104" s="798">
        <f t="shared" si="59"/>
        <v>199.37745333333334</v>
      </c>
      <c r="H104" s="798">
        <f t="shared" si="59"/>
        <v>149.44216666666671</v>
      </c>
      <c r="I104" s="798">
        <f t="shared" si="59"/>
        <v>59.055886666666673</v>
      </c>
      <c r="J104" s="798">
        <f t="shared" si="59"/>
        <v>70.348306666666673</v>
      </c>
      <c r="K104" s="798">
        <f t="shared" si="59"/>
        <v>126.94402666666669</v>
      </c>
      <c r="L104" s="798">
        <f t="shared" si="59"/>
        <v>107.78128666666667</v>
      </c>
      <c r="M104" s="797">
        <f t="shared" si="59"/>
        <v>149.54824666666667</v>
      </c>
      <c r="O104" s="776"/>
    </row>
    <row r="105" spans="1:17">
      <c r="A105" s="1" t="s">
        <v>347</v>
      </c>
      <c r="B105" s="799">
        <f>B100-B104</f>
        <v>73.940726666666677</v>
      </c>
      <c r="C105" s="799">
        <f t="shared" ref="C105:M105" si="60">C100-C104</f>
        <v>2.6852066666666872</v>
      </c>
      <c r="D105" s="799">
        <f t="shared" si="60"/>
        <v>37.745006666666654</v>
      </c>
      <c r="E105" s="799">
        <f t="shared" si="60"/>
        <v>28.128226666666649</v>
      </c>
      <c r="F105" s="799">
        <f t="shared" si="60"/>
        <v>157.59034666666662</v>
      </c>
      <c r="G105" s="799">
        <f t="shared" si="60"/>
        <v>216.05054666666666</v>
      </c>
      <c r="H105" s="799">
        <f t="shared" si="60"/>
        <v>-25.492166666666705</v>
      </c>
      <c r="I105" s="799">
        <f t="shared" si="60"/>
        <v>77.562113333333315</v>
      </c>
      <c r="J105" s="799">
        <f t="shared" si="60"/>
        <v>87.96769333333333</v>
      </c>
      <c r="K105" s="799">
        <f t="shared" si="60"/>
        <v>55.839973333333333</v>
      </c>
      <c r="L105" s="799">
        <f t="shared" si="60"/>
        <v>144.09671333333335</v>
      </c>
      <c r="M105" s="799">
        <f t="shared" si="60"/>
        <v>2.3537533333333158</v>
      </c>
      <c r="N105" s="776"/>
    </row>
    <row r="106" spans="1:17">
      <c r="A106" s="218" t="s">
        <v>348</v>
      </c>
      <c r="B106" s="218">
        <v>0</v>
      </c>
      <c r="C106" s="796">
        <f>IF(B105&lt;0,-B105,0)</f>
        <v>0</v>
      </c>
      <c r="D106" s="796">
        <f t="shared" ref="D106:M106" si="61">IF(C105&lt;0,-C105,0)</f>
        <v>0</v>
      </c>
      <c r="E106" s="796">
        <f t="shared" si="61"/>
        <v>0</v>
      </c>
      <c r="F106" s="796">
        <f t="shared" si="61"/>
        <v>0</v>
      </c>
      <c r="G106" s="796">
        <f t="shared" si="61"/>
        <v>0</v>
      </c>
      <c r="H106" s="796">
        <f t="shared" si="61"/>
        <v>0</v>
      </c>
      <c r="I106" s="796">
        <f t="shared" si="61"/>
        <v>25.492166666666705</v>
      </c>
      <c r="J106" s="796">
        <f t="shared" si="61"/>
        <v>0</v>
      </c>
      <c r="K106" s="796">
        <f t="shared" si="61"/>
        <v>0</v>
      </c>
      <c r="L106" s="796">
        <f t="shared" si="61"/>
        <v>0</v>
      </c>
      <c r="M106" s="800">
        <f t="shared" si="61"/>
        <v>0</v>
      </c>
      <c r="N106" s="801"/>
    </row>
    <row r="107" spans="1:17">
      <c r="A107" s="1" t="s">
        <v>349</v>
      </c>
      <c r="B107" s="5">
        <f>'état fi prévis'!G69-'état fi prévis'!D66</f>
        <v>140</v>
      </c>
      <c r="C107" s="799">
        <f>IF(B105-B106&gt;0,B105-B106,0)</f>
        <v>73.940726666666677</v>
      </c>
      <c r="D107" s="799">
        <f t="shared" ref="D107:N107" si="62">IF(C105-C106&gt;0,C105-C106,0)</f>
        <v>2.6852066666666872</v>
      </c>
      <c r="E107" s="799">
        <f t="shared" si="62"/>
        <v>37.745006666666654</v>
      </c>
      <c r="F107" s="799">
        <f t="shared" si="62"/>
        <v>28.128226666666649</v>
      </c>
      <c r="G107" s="799">
        <f t="shared" si="62"/>
        <v>157.59034666666662</v>
      </c>
      <c r="H107" s="799">
        <f t="shared" si="62"/>
        <v>216.05054666666666</v>
      </c>
      <c r="I107" s="799">
        <f t="shared" si="62"/>
        <v>0</v>
      </c>
      <c r="J107" s="799">
        <f t="shared" si="62"/>
        <v>52.06994666666661</v>
      </c>
      <c r="K107" s="799">
        <f t="shared" si="62"/>
        <v>87.96769333333333</v>
      </c>
      <c r="L107" s="799">
        <f t="shared" si="62"/>
        <v>55.839973333333333</v>
      </c>
      <c r="M107" s="799">
        <f t="shared" si="62"/>
        <v>144.09671333333335</v>
      </c>
      <c r="N107" s="799">
        <f t="shared" si="62"/>
        <v>2.3537533333333158</v>
      </c>
    </row>
    <row r="110" spans="1:17">
      <c r="A110" s="433" t="s">
        <v>353</v>
      </c>
      <c r="B110" s="434"/>
      <c r="C110" s="434"/>
      <c r="D110" s="434"/>
      <c r="E110" s="434"/>
      <c r="F110" s="434"/>
      <c r="G110" s="434"/>
      <c r="H110" s="434"/>
      <c r="I110" s="434"/>
      <c r="J110" s="434"/>
      <c r="K110" s="434"/>
      <c r="L110" s="434"/>
      <c r="M110" s="435"/>
    </row>
    <row r="111" spans="1:17">
      <c r="A111" s="283"/>
      <c r="B111" s="241">
        <f t="shared" ref="B111:M111" si="63">B99</f>
        <v>43101</v>
      </c>
      <c r="C111" s="241">
        <f t="shared" si="63"/>
        <v>43132</v>
      </c>
      <c r="D111" s="241">
        <f t="shared" si="63"/>
        <v>43160</v>
      </c>
      <c r="E111" s="241">
        <f t="shared" si="63"/>
        <v>43191</v>
      </c>
      <c r="F111" s="241">
        <f t="shared" si="63"/>
        <v>43221</v>
      </c>
      <c r="G111" s="241">
        <f t="shared" si="63"/>
        <v>43252</v>
      </c>
      <c r="H111" s="241">
        <f t="shared" si="63"/>
        <v>43282</v>
      </c>
      <c r="I111" s="241">
        <f t="shared" si="63"/>
        <v>43313</v>
      </c>
      <c r="J111" s="241">
        <f t="shared" si="63"/>
        <v>43344</v>
      </c>
      <c r="K111" s="241">
        <f t="shared" si="63"/>
        <v>43374</v>
      </c>
      <c r="L111" s="241">
        <f t="shared" si="63"/>
        <v>43405</v>
      </c>
      <c r="M111" s="241">
        <f t="shared" si="63"/>
        <v>43435</v>
      </c>
    </row>
    <row r="112" spans="1:17">
      <c r="A112" t="s">
        <v>354</v>
      </c>
      <c r="B112" s="216"/>
      <c r="C112" s="216"/>
      <c r="D112" s="216">
        <f t="shared" ref="D112:O112" si="64">B76*1.2</f>
        <v>301.85163999999997</v>
      </c>
      <c r="E112" s="216">
        <f t="shared" si="64"/>
        <v>291.91275999999999</v>
      </c>
      <c r="F112" s="216">
        <f t="shared" si="64"/>
        <v>601.03395999999998</v>
      </c>
      <c r="G112" s="216">
        <f t="shared" si="64"/>
        <v>818.22663999999997</v>
      </c>
      <c r="H112" s="216">
        <f t="shared" si="64"/>
        <v>792.48591999999996</v>
      </c>
      <c r="I112" s="216">
        <f t="shared" si="64"/>
        <v>997.44471999999996</v>
      </c>
      <c r="J112" s="216">
        <f t="shared" si="64"/>
        <v>697.83299999999997</v>
      </c>
      <c r="K112" s="216">
        <f t="shared" si="64"/>
        <v>155.51532</v>
      </c>
      <c r="L112" s="216">
        <f t="shared" si="64"/>
        <v>223.26983999999999</v>
      </c>
      <c r="M112" s="216">
        <f t="shared" si="64"/>
        <v>562.84415999999999</v>
      </c>
      <c r="N112" s="216">
        <f t="shared" si="64"/>
        <v>447.86772000000002</v>
      </c>
      <c r="O112" s="216">
        <f t="shared" si="64"/>
        <v>698.46947999999998</v>
      </c>
      <c r="Q112" t="s">
        <v>372</v>
      </c>
    </row>
    <row r="113" spans="1:14">
      <c r="A113" t="s">
        <v>355</v>
      </c>
      <c r="B113" s="218">
        <f>'état fi prévis'!$G$67/2</f>
        <v>950</v>
      </c>
      <c r="C113" s="218">
        <f>'état fi prévis'!$G$67/2</f>
        <v>950</v>
      </c>
      <c r="D113" s="218"/>
      <c r="E113" s="218"/>
      <c r="F113" s="218"/>
      <c r="G113" s="218"/>
      <c r="H113" s="218"/>
      <c r="I113" s="218"/>
      <c r="J113" s="218"/>
      <c r="K113" s="218"/>
      <c r="L113" s="218"/>
      <c r="M113" s="779"/>
    </row>
    <row r="114" spans="1:14">
      <c r="A114" t="s">
        <v>356</v>
      </c>
      <c r="B114" s="219">
        <f>'état fi prévis'!G68</f>
        <v>420</v>
      </c>
      <c r="C114" s="218"/>
      <c r="D114" s="218"/>
      <c r="E114" s="218"/>
      <c r="F114" s="218"/>
      <c r="G114" s="218"/>
      <c r="H114" s="218"/>
      <c r="I114" s="218"/>
      <c r="J114" s="218"/>
      <c r="K114" s="218"/>
      <c r="L114" s="218"/>
      <c r="M114" s="779"/>
    </row>
    <row r="115" spans="1:14">
      <c r="A115" t="s">
        <v>357</v>
      </c>
      <c r="B115" s="218"/>
      <c r="C115" s="218"/>
      <c r="D115" s="218"/>
      <c r="E115" s="218"/>
      <c r="F115" s="219">
        <f>'état fi prévis'!G70-'état fi prévis'!D67</f>
        <v>35</v>
      </c>
      <c r="G115" s="218"/>
      <c r="H115" s="218"/>
      <c r="I115" s="218"/>
      <c r="J115" s="218"/>
      <c r="K115" s="218"/>
      <c r="L115" s="218"/>
      <c r="M115" s="779"/>
    </row>
    <row r="116" spans="1:14">
      <c r="A116" t="s">
        <v>349</v>
      </c>
      <c r="B116" s="796">
        <f>B107</f>
        <v>140</v>
      </c>
      <c r="C116" s="796">
        <f t="shared" ref="C116:N116" si="65">C107</f>
        <v>73.940726666666677</v>
      </c>
      <c r="D116" s="796">
        <f t="shared" si="65"/>
        <v>2.6852066666666872</v>
      </c>
      <c r="E116" s="796">
        <f t="shared" si="65"/>
        <v>37.745006666666654</v>
      </c>
      <c r="F116" s="796">
        <f t="shared" si="65"/>
        <v>28.128226666666649</v>
      </c>
      <c r="G116" s="796">
        <f t="shared" si="65"/>
        <v>157.59034666666662</v>
      </c>
      <c r="H116" s="796">
        <f t="shared" si="65"/>
        <v>216.05054666666666</v>
      </c>
      <c r="I116" s="796">
        <f t="shared" si="65"/>
        <v>0</v>
      </c>
      <c r="J116" s="796">
        <f t="shared" si="65"/>
        <v>52.06994666666661</v>
      </c>
      <c r="K116" s="796">
        <f t="shared" si="65"/>
        <v>87.96769333333333</v>
      </c>
      <c r="L116" s="796">
        <f t="shared" si="65"/>
        <v>55.839973333333333</v>
      </c>
      <c r="M116" s="796">
        <f t="shared" si="65"/>
        <v>144.09671333333335</v>
      </c>
      <c r="N116" s="796">
        <f t="shared" si="65"/>
        <v>2.3537533333333158</v>
      </c>
    </row>
    <row r="117" spans="1:14">
      <c r="A117" t="s">
        <v>383</v>
      </c>
      <c r="B117" s="233">
        <f>(SUMPRODUCT('données prév'!$B$42:$B$47,'données prév'!$L$33:$L$38)-SUMPRODUCT('données prév'!$L$33:$L$38,'données prév'!$B$42:$B$47)*0.23)/1000</f>
        <v>230.53800000000001</v>
      </c>
      <c r="C117" s="233">
        <f>(SUMPRODUCT('données prév'!$B$42:$B$47,'données prév'!$L$33:$L$38)-SUMPRODUCT('données prév'!$L$33:$L$38,'données prév'!$B$42:$B$47)*0.23)/1000</f>
        <v>230.53800000000001</v>
      </c>
      <c r="D117" s="233">
        <f>(SUMPRODUCT('données prév'!$B$42:$B$47,'données prév'!$L$33:$L$38)-SUMPRODUCT('données prév'!$L$33:$L$38,'données prév'!$B$42:$B$47)*0.23)/1000</f>
        <v>230.53800000000001</v>
      </c>
      <c r="E117" s="233">
        <f>(SUMPRODUCT('données prév'!$C$42:$C$47,'données prév'!$L$33:$L$38)-SUMPRODUCT('données prév'!$C$42:$C$47,'données prév'!$L$33:$L$38)*0.23)/1000</f>
        <v>236.30145000000002</v>
      </c>
      <c r="F117" s="233">
        <f>(SUMPRODUCT('données prév'!$C$42:$C$47,'données prév'!$L$33:$L$38)-SUMPRODUCT('données prév'!$C$42:$C$47,'données prév'!$L$33:$L$38)*0.23)/1000</f>
        <v>236.30145000000002</v>
      </c>
      <c r="G117" s="233">
        <f>(SUMPRODUCT('données prév'!$C$42:$C$47,'données prév'!$L$33:$L$38)-SUMPRODUCT('données prév'!$C$42:$C$47,'données prév'!$L$33:$L$38)*0.23)/1000</f>
        <v>236.30145000000002</v>
      </c>
      <c r="H117" s="233">
        <f>(SUMPRODUCT('données prév'!$C$42:$C$47,'données prév'!$L$33:$L$38)-SUMPRODUCT('données prév'!$C$42:$C$47,'données prév'!$L$33:$L$38)*0.23)/1000</f>
        <v>236.30145000000002</v>
      </c>
      <c r="I117" s="233">
        <f>(SUMPRODUCT('données prév'!$C$42:$C$47,'données prév'!$L$33:$L$38)-SUMPRODUCT('données prév'!$C$42:$C$47,'données prév'!$L$33:$L$38)*0.23)/1000</f>
        <v>236.30145000000002</v>
      </c>
      <c r="J117" s="233">
        <f>(SUMPRODUCT('données prév'!$C$42:$C$47,'données prév'!$L$33:$L$38)-SUMPRODUCT('données prév'!$C$42:$C$47,'données prév'!$L$33:$L$38)*0.23)/1000</f>
        <v>236.30145000000002</v>
      </c>
      <c r="K117" s="233">
        <f>(SUMPRODUCT('données prév'!$C$42:$C$47,'données prév'!$L$33:$L$38)-SUMPRODUCT('données prév'!$C$42:$C$47,'données prév'!$L$33:$L$38)*0.23)/1000</f>
        <v>236.30145000000002</v>
      </c>
      <c r="L117" s="233">
        <f>(SUMPRODUCT('données prév'!$C$42:$C$47,'données prév'!$L$33:$L$38)-SUMPRODUCT('données prév'!$C$42:$C$47,'données prév'!$L$33:$L$38)*0.23)/1000</f>
        <v>236.30145000000002</v>
      </c>
      <c r="M117" s="233">
        <f>(SUMPRODUCT('données prév'!$C$42:$C$47,'données prév'!$L$33:$L$38)-SUMPRODUCT('données prév'!$C$42:$C$47,'données prév'!$L$33:$L$38)*0.23)/1000*2</f>
        <v>472.60290000000003</v>
      </c>
    </row>
    <row r="118" spans="1:14">
      <c r="A118" t="s">
        <v>387</v>
      </c>
      <c r="B118" s="233"/>
      <c r="C118" s="233"/>
      <c r="D118" s="233"/>
      <c r="E118" s="233"/>
      <c r="F118" s="233"/>
      <c r="G118" s="233"/>
      <c r="H118" s="233"/>
      <c r="I118" s="233"/>
      <c r="J118" s="233"/>
      <c r="K118" s="233"/>
      <c r="L118" s="233"/>
      <c r="M118" s="233"/>
    </row>
    <row r="119" spans="1:14">
      <c r="A119" t="s">
        <v>384</v>
      </c>
      <c r="B119" s="233"/>
      <c r="C119" s="218">
        <f>SUMPRODUCT('données prév'!$B$42:$B$47,'données prév'!$L$33:$L$38)*(0.45+0.23)/1000</f>
        <v>203.59200000000004</v>
      </c>
      <c r="D119" s="218">
        <f>SUMPRODUCT('données prév'!$B$42:$B$47,'données prév'!$L$33:$L$38)*(0.45+0.23)/1000</f>
        <v>203.59200000000004</v>
      </c>
      <c r="E119" s="218">
        <f>SUMPRODUCT('données prév'!$B$42:$B$47,'données prév'!$L$33:$L$38)*(0.45+0.23)/1000</f>
        <v>203.59200000000004</v>
      </c>
      <c r="F119" s="218">
        <f>SUMPRODUCT('données prév'!$C$42:$C$47,'données prév'!$L$33:$L$38)/1000*(0.45+0.23)</f>
        <v>208.68180000000001</v>
      </c>
      <c r="G119" s="218">
        <f>SUMPRODUCT('données prév'!$C$42:$C$47,'données prév'!$L$33:$L$38)/1000*(0.45+0.23)</f>
        <v>208.68180000000001</v>
      </c>
      <c r="H119" s="218">
        <f>SUMPRODUCT('données prév'!$C$42:$C$47,'données prév'!$L$33:$L$38)/1000*(0.45+0.23)</f>
        <v>208.68180000000001</v>
      </c>
      <c r="I119" s="218">
        <f>SUMPRODUCT('données prév'!$C$42:$C$47,'données prév'!$L$33:$L$38)/1000*(0.45+0.23)</f>
        <v>208.68180000000001</v>
      </c>
      <c r="J119" s="218">
        <f>SUMPRODUCT('données prév'!$C$42:$C$47,'données prév'!$L$33:$L$38)/1000*(0.45+0.23)</f>
        <v>208.68180000000001</v>
      </c>
      <c r="K119" s="218">
        <f>SUMPRODUCT('données prév'!$C$42:$C$47,'données prév'!$L$33:$L$38)/1000*(0.45+0.23)</f>
        <v>208.68180000000001</v>
      </c>
      <c r="L119" s="218">
        <f>SUMPRODUCT('données prév'!$C$42:$C$47,'données prév'!$L$33:$L$38)/1000*(0.45+0.23)</f>
        <v>208.68180000000001</v>
      </c>
      <c r="M119" s="218">
        <f>SUMPRODUCT('données prév'!$C$42:$C$47,'données prév'!$L$33:$L$38)/1000*(0.45+0.23)</f>
        <v>208.68180000000001</v>
      </c>
      <c r="N119" s="218">
        <f>SUMPRODUCT('données prév'!$C$42:$C$47,'données prév'!$L$33:$L$38)/1000*(0.45+0.23)*2</f>
        <v>417.36360000000002</v>
      </c>
    </row>
    <row r="120" spans="1:14">
      <c r="A120" t="s">
        <v>385</v>
      </c>
      <c r="B120" s="218">
        <f>B91*1.2</f>
        <v>80</v>
      </c>
      <c r="C120" s="218">
        <f>B95*1.2</f>
        <v>198.82</v>
      </c>
      <c r="D120" s="218">
        <f t="shared" ref="D120:M120" si="66">C95*1.2</f>
        <v>198.82</v>
      </c>
      <c r="E120" s="218">
        <f>D95*1.2+E93*1.2</f>
        <v>240.82</v>
      </c>
      <c r="F120" s="218">
        <f>F95*1.2</f>
        <v>198.82</v>
      </c>
      <c r="G120" s="218">
        <f t="shared" si="66"/>
        <v>198.82</v>
      </c>
      <c r="H120" s="218">
        <f t="shared" si="66"/>
        <v>198.82</v>
      </c>
      <c r="I120" s="218">
        <f t="shared" si="66"/>
        <v>198.82</v>
      </c>
      <c r="J120" s="218">
        <f t="shared" si="66"/>
        <v>198.82</v>
      </c>
      <c r="K120" s="218">
        <f t="shared" si="66"/>
        <v>198.82</v>
      </c>
      <c r="L120" s="218">
        <f t="shared" si="66"/>
        <v>198.82</v>
      </c>
      <c r="M120" s="218">
        <f t="shared" si="66"/>
        <v>198.82</v>
      </c>
      <c r="N120" s="218">
        <f>M95*1.2-M91*1.2</f>
        <v>118.82</v>
      </c>
    </row>
    <row r="121" spans="1:14">
      <c r="A121" t="s">
        <v>358</v>
      </c>
      <c r="B121" s="218">
        <f>95+125</f>
        <v>220</v>
      </c>
      <c r="C121" s="218"/>
      <c r="D121" s="218"/>
      <c r="E121" s="218"/>
      <c r="F121" s="218"/>
      <c r="G121" s="218"/>
      <c r="H121" s="218"/>
      <c r="I121" s="218"/>
      <c r="J121" s="218"/>
      <c r="K121" s="218"/>
      <c r="L121" s="218"/>
      <c r="M121" s="779"/>
    </row>
    <row r="122" spans="1:14">
      <c r="A122" t="s">
        <v>389</v>
      </c>
      <c r="B122" s="218"/>
      <c r="C122" s="218"/>
      <c r="D122" s="218"/>
      <c r="E122" s="218"/>
      <c r="F122" s="218">
        <f>0.5*210</f>
        <v>105</v>
      </c>
      <c r="G122" s="218"/>
      <c r="H122" s="218"/>
      <c r="I122" s="218"/>
      <c r="J122" s="218"/>
      <c r="K122" s="218"/>
      <c r="L122" s="218"/>
      <c r="M122" s="779">
        <f>0.5*210</f>
        <v>105</v>
      </c>
    </row>
    <row r="123" spans="1:14">
      <c r="A123" t="s">
        <v>386</v>
      </c>
      <c r="B123" s="218"/>
      <c r="C123" s="218"/>
      <c r="D123" s="218">
        <f>'état fi prévis'!$G$70/4</f>
        <v>73.75</v>
      </c>
      <c r="E123" s="218"/>
      <c r="F123" s="218"/>
      <c r="G123" s="218">
        <f>'état fi prévis'!$G$70/4</f>
        <v>73.75</v>
      </c>
      <c r="H123" s="218"/>
      <c r="I123" s="218"/>
      <c r="J123" s="218">
        <f>'état fi prévis'!$G$70/4</f>
        <v>73.75</v>
      </c>
      <c r="K123" s="218"/>
      <c r="L123" s="218"/>
      <c r="M123" s="218">
        <f>'état fi prévis'!$G$70/4</f>
        <v>73.75</v>
      </c>
    </row>
    <row r="124" spans="1:14">
      <c r="A124" t="s">
        <v>137</v>
      </c>
      <c r="B124" s="804"/>
      <c r="C124" s="804">
        <f>100/12</f>
        <v>8.3333333333333339</v>
      </c>
      <c r="D124" s="804">
        <f t="shared" ref="D124:N124" si="67">100/12</f>
        <v>8.3333333333333339</v>
      </c>
      <c r="E124" s="804">
        <f t="shared" si="67"/>
        <v>8.3333333333333339</v>
      </c>
      <c r="F124" s="804">
        <f t="shared" si="67"/>
        <v>8.3333333333333339</v>
      </c>
      <c r="G124" s="804">
        <f t="shared" si="67"/>
        <v>8.3333333333333339</v>
      </c>
      <c r="H124" s="804">
        <f t="shared" si="67"/>
        <v>8.3333333333333339</v>
      </c>
      <c r="I124" s="804">
        <f t="shared" si="67"/>
        <v>8.3333333333333339</v>
      </c>
      <c r="J124" s="804">
        <f t="shared" si="67"/>
        <v>8.3333333333333339</v>
      </c>
      <c r="K124" s="804">
        <f t="shared" si="67"/>
        <v>8.3333333333333339</v>
      </c>
      <c r="L124" s="804">
        <f t="shared" si="67"/>
        <v>8.3333333333333339</v>
      </c>
      <c r="M124" s="804">
        <f t="shared" si="67"/>
        <v>8.3333333333333339</v>
      </c>
      <c r="N124" s="804">
        <f t="shared" si="67"/>
        <v>8.3333333333333339</v>
      </c>
    </row>
    <row r="125" spans="1:14">
      <c r="A125" t="s">
        <v>359</v>
      </c>
      <c r="B125" s="218"/>
      <c r="C125" s="218"/>
      <c r="D125" s="218">
        <f>1200*3/12*4.5%</f>
        <v>13.5</v>
      </c>
      <c r="E125" s="218"/>
      <c r="F125" s="218"/>
      <c r="G125" s="218">
        <f>1200*3/12*4.5%</f>
        <v>13.5</v>
      </c>
      <c r="H125" s="218"/>
      <c r="I125" s="218"/>
      <c r="J125" s="218">
        <f>1200*4.5%*3/12</f>
        <v>13.5</v>
      </c>
      <c r="K125" s="218"/>
      <c r="L125" s="218"/>
      <c r="M125" s="779">
        <f>(1200-J126)*3/12*4.5%</f>
        <v>10.799999999999999</v>
      </c>
    </row>
    <row r="126" spans="1:14">
      <c r="A126" t="s">
        <v>360</v>
      </c>
      <c r="B126" s="218"/>
      <c r="C126" s="218"/>
      <c r="D126" s="218"/>
      <c r="E126" s="218"/>
      <c r="F126" s="218"/>
      <c r="G126" s="218"/>
      <c r="H126" s="218"/>
      <c r="I126" s="218"/>
      <c r="J126" s="218">
        <f>1200/5</f>
        <v>240</v>
      </c>
      <c r="K126" s="218"/>
      <c r="L126" s="218"/>
      <c r="M126" s="779"/>
      <c r="N126" t="s">
        <v>369</v>
      </c>
    </row>
    <row r="127" spans="1:14">
      <c r="A127" t="s">
        <v>23</v>
      </c>
      <c r="B127" s="218"/>
      <c r="C127" s="218"/>
      <c r="D127" s="218">
        <f>(336)*1.2-70</f>
        <v>333.2</v>
      </c>
      <c r="E127" s="218"/>
      <c r="F127" s="218"/>
      <c r="G127" s="218"/>
      <c r="H127" s="218"/>
      <c r="I127" s="218"/>
      <c r="J127" s="218"/>
      <c r="K127" s="218"/>
      <c r="L127" s="218"/>
      <c r="M127" s="779"/>
      <c r="N127" t="s">
        <v>373</v>
      </c>
    </row>
    <row r="128" spans="1:14">
      <c r="A128" t="s">
        <v>371</v>
      </c>
      <c r="B128" s="218"/>
      <c r="C128" s="218"/>
      <c r="D128" s="218"/>
      <c r="E128" s="218"/>
      <c r="F128" s="218"/>
      <c r="G128" s="218"/>
      <c r="H128" s="218">
        <v>200</v>
      </c>
      <c r="I128" s="218"/>
      <c r="J128" s="218"/>
      <c r="K128" s="218"/>
      <c r="L128" s="218"/>
      <c r="M128" s="779"/>
    </row>
    <row r="129" spans="1:14">
      <c r="B129" s="218"/>
      <c r="C129" s="218"/>
      <c r="D129" s="218"/>
      <c r="E129" s="218"/>
      <c r="F129" s="218"/>
      <c r="G129" s="218"/>
      <c r="H129" s="218"/>
      <c r="I129" s="218"/>
      <c r="J129" s="218"/>
      <c r="K129" s="218"/>
      <c r="L129" s="218"/>
      <c r="M129" s="779"/>
    </row>
    <row r="130" spans="1:14">
      <c r="A130" s="22" t="s">
        <v>39</v>
      </c>
      <c r="B130" s="802">
        <f>SUM(B112:B128)</f>
        <v>2040.538</v>
      </c>
      <c r="C130" s="781">
        <f t="shared" ref="C130:M130" si="68">SUM(C112:C128)</f>
        <v>1665.22406</v>
      </c>
      <c r="D130" s="781">
        <f t="shared" si="68"/>
        <v>1366.2701800000002</v>
      </c>
      <c r="E130" s="781">
        <f t="shared" si="68"/>
        <v>1018.70455</v>
      </c>
      <c r="F130" s="781">
        <f t="shared" si="68"/>
        <v>1421.2987699999999</v>
      </c>
      <c r="G130" s="781">
        <f t="shared" si="68"/>
        <v>1715.2035699999999</v>
      </c>
      <c r="H130" s="781">
        <f t="shared" si="68"/>
        <v>1860.6730499999999</v>
      </c>
      <c r="I130" s="781">
        <f t="shared" si="68"/>
        <v>1649.5813033333332</v>
      </c>
      <c r="J130" s="781">
        <f t="shared" si="68"/>
        <v>1729.2895299999998</v>
      </c>
      <c r="K130" s="781">
        <f t="shared" si="68"/>
        <v>895.61959666666678</v>
      </c>
      <c r="L130" s="781">
        <f t="shared" si="68"/>
        <v>931.24639666666656</v>
      </c>
      <c r="M130" s="781">
        <f t="shared" si="68"/>
        <v>1784.9289066666665</v>
      </c>
    </row>
    <row r="133" spans="1:14">
      <c r="B133" s="783"/>
    </row>
    <row r="136" spans="1:14">
      <c r="A136" s="433" t="s">
        <v>361</v>
      </c>
      <c r="B136" s="434"/>
      <c r="C136" s="434"/>
      <c r="D136" s="434"/>
      <c r="E136" s="434"/>
      <c r="F136" s="434"/>
      <c r="G136" s="434"/>
      <c r="H136" s="434"/>
      <c r="I136" s="434"/>
      <c r="J136" s="434"/>
      <c r="K136" s="434"/>
      <c r="L136" s="434"/>
      <c r="M136" s="435"/>
    </row>
    <row r="137" spans="1:14">
      <c r="A137" s="241"/>
      <c r="B137" s="241">
        <f t="shared" ref="B137:M137" si="69">B111</f>
        <v>43101</v>
      </c>
      <c r="C137" s="241">
        <f t="shared" si="69"/>
        <v>43132</v>
      </c>
      <c r="D137" s="241">
        <f t="shared" si="69"/>
        <v>43160</v>
      </c>
      <c r="E137" s="241">
        <f t="shared" si="69"/>
        <v>43191</v>
      </c>
      <c r="F137" s="241">
        <f t="shared" si="69"/>
        <v>43221</v>
      </c>
      <c r="G137" s="241">
        <f t="shared" si="69"/>
        <v>43252</v>
      </c>
      <c r="H137" s="241">
        <f t="shared" si="69"/>
        <v>43282</v>
      </c>
      <c r="I137" s="241">
        <f t="shared" si="69"/>
        <v>43313</v>
      </c>
      <c r="J137" s="241">
        <f t="shared" si="69"/>
        <v>43344</v>
      </c>
      <c r="K137" s="241">
        <f t="shared" si="69"/>
        <v>43374</v>
      </c>
      <c r="L137" s="241">
        <f t="shared" si="69"/>
        <v>43405</v>
      </c>
      <c r="M137" s="241">
        <f t="shared" si="69"/>
        <v>43435</v>
      </c>
    </row>
    <row r="138" spans="1:14">
      <c r="A138" t="s">
        <v>362</v>
      </c>
      <c r="B138" s="217">
        <f>-'état fi prévis'!G64+'état fi prévis'!D68</f>
        <v>-420</v>
      </c>
      <c r="C138" s="217">
        <f>B145</f>
        <v>-1551.7434347826088</v>
      </c>
      <c r="D138" s="217">
        <f t="shared" ref="D138:M138" si="70">C145</f>
        <v>22.289515948616454</v>
      </c>
      <c r="E138" s="217">
        <f t="shared" si="70"/>
        <v>-433.91921959336008</v>
      </c>
      <c r="F138" s="217">
        <f t="shared" si="70"/>
        <v>-98.671514621552149</v>
      </c>
      <c r="G138" s="217">
        <f t="shared" si="70"/>
        <v>-387.49390347786846</v>
      </c>
      <c r="H138" s="217">
        <f t="shared" si="70"/>
        <v>-1006.8175983198571</v>
      </c>
      <c r="I138" s="217">
        <f t="shared" si="70"/>
        <v>-437.43727200355141</v>
      </c>
      <c r="J138" s="217">
        <f t="shared" si="70"/>
        <v>382.55063978144602</v>
      </c>
      <c r="K138" s="217">
        <f t="shared" si="70"/>
        <v>-479.08817506587985</v>
      </c>
      <c r="L138" s="217">
        <f t="shared" si="70"/>
        <v>157.31519228153778</v>
      </c>
      <c r="M138" s="217">
        <f t="shared" si="70"/>
        <v>667.22629740323816</v>
      </c>
    </row>
    <row r="139" spans="1:14">
      <c r="A139" t="s">
        <v>363</v>
      </c>
      <c r="B139" s="219">
        <f t="shared" ref="B139" si="71">B63</f>
        <v>909.66956521739132</v>
      </c>
      <c r="C139" s="219">
        <f>C63+B144</f>
        <v>3243.1341818181818</v>
      </c>
      <c r="D139" s="219">
        <f t="shared" ref="D139:M139" si="72">D63+C144</f>
        <v>910.04399999999998</v>
      </c>
      <c r="E139" s="219">
        <f t="shared" si="72"/>
        <v>1355.0370966319365</v>
      </c>
      <c r="F139" s="219">
        <f t="shared" si="72"/>
        <v>1132.7203478260872</v>
      </c>
      <c r="G139" s="219">
        <f t="shared" si="72"/>
        <v>1096.848</v>
      </c>
      <c r="H139" s="219">
        <f t="shared" si="72"/>
        <v>2432.5680000000002</v>
      </c>
      <c r="I139" s="219">
        <f t="shared" si="72"/>
        <v>2470.6565217391303</v>
      </c>
      <c r="J139" s="219">
        <f t="shared" si="72"/>
        <v>867.39495652173912</v>
      </c>
      <c r="K139" s="219">
        <f t="shared" si="72"/>
        <v>1533.2213238483264</v>
      </c>
      <c r="L139" s="219">
        <f t="shared" si="72"/>
        <v>1441.0518260869565</v>
      </c>
      <c r="M139" s="219">
        <f t="shared" si="72"/>
        <v>1074.4432409188018</v>
      </c>
    </row>
    <row r="140" spans="1:14">
      <c r="A140" t="s">
        <v>364</v>
      </c>
      <c r="B140" s="218">
        <f t="shared" ref="B140:M140" si="73">B130</f>
        <v>2040.538</v>
      </c>
      <c r="C140" s="218">
        <f t="shared" si="73"/>
        <v>1665.22406</v>
      </c>
      <c r="D140" s="218">
        <f t="shared" si="73"/>
        <v>1366.2701800000002</v>
      </c>
      <c r="E140" s="218">
        <f t="shared" si="73"/>
        <v>1018.70455</v>
      </c>
      <c r="F140" s="218">
        <f t="shared" si="73"/>
        <v>1421.2987699999999</v>
      </c>
      <c r="G140" s="218">
        <f t="shared" si="73"/>
        <v>1715.2035699999999</v>
      </c>
      <c r="H140" s="218">
        <f t="shared" si="73"/>
        <v>1860.6730499999999</v>
      </c>
      <c r="I140" s="218">
        <f t="shared" si="73"/>
        <v>1649.5813033333332</v>
      </c>
      <c r="J140" s="218">
        <f t="shared" si="73"/>
        <v>1729.2895299999998</v>
      </c>
      <c r="K140" s="218">
        <f t="shared" si="73"/>
        <v>895.61959666666678</v>
      </c>
      <c r="L140" s="218">
        <f t="shared" si="73"/>
        <v>931.24639666666656</v>
      </c>
      <c r="M140" s="218">
        <f t="shared" si="73"/>
        <v>1784.9289066666665</v>
      </c>
    </row>
    <row r="141" spans="1:14">
      <c r="A141" s="22" t="s">
        <v>365</v>
      </c>
      <c r="B141" s="5">
        <f>B138+B139-B140</f>
        <v>-1550.8684347826088</v>
      </c>
      <c r="C141" s="5">
        <f t="shared" ref="C141:M141" si="74">C138+C139-C140</f>
        <v>26.166687035572977</v>
      </c>
      <c r="D141" s="5">
        <f t="shared" si="74"/>
        <v>-433.93666405138379</v>
      </c>
      <c r="E141" s="5">
        <f t="shared" si="74"/>
        <v>-97.586672961423687</v>
      </c>
      <c r="F141" s="5">
        <f t="shared" si="74"/>
        <v>-387.24993679546492</v>
      </c>
      <c r="G141" s="5">
        <f t="shared" si="74"/>
        <v>-1005.8494734778684</v>
      </c>
      <c r="H141" s="5">
        <f t="shared" si="74"/>
        <v>-434.92264831985676</v>
      </c>
      <c r="I141" s="5">
        <f t="shared" si="74"/>
        <v>383.63794640224569</v>
      </c>
      <c r="J141" s="5">
        <f t="shared" si="74"/>
        <v>-479.3439336968147</v>
      </c>
      <c r="K141" s="5">
        <f t="shared" si="74"/>
        <v>158.51355211577982</v>
      </c>
      <c r="L141" s="5">
        <f t="shared" si="74"/>
        <v>667.12062170182764</v>
      </c>
      <c r="M141" s="5">
        <f t="shared" si="74"/>
        <v>-43.259368344626637</v>
      </c>
      <c r="N141" s="778"/>
    </row>
    <row r="142" spans="1:14">
      <c r="A142" s="803" t="s">
        <v>388</v>
      </c>
      <c r="B142" s="217">
        <f>-B138*2.5%/12</f>
        <v>0.875</v>
      </c>
      <c r="C142" s="217"/>
      <c r="D142" s="217"/>
      <c r="E142" s="217"/>
      <c r="F142" s="217"/>
      <c r="G142" s="217"/>
      <c r="H142" s="217"/>
      <c r="I142" s="217"/>
      <c r="J142" s="217"/>
      <c r="K142" s="217"/>
      <c r="L142" s="217"/>
      <c r="M142" s="217"/>
      <c r="N142" s="778">
        <f t="shared" ref="N142" si="75">SUM(B142:M142)</f>
        <v>0.875</v>
      </c>
    </row>
    <row r="143" spans="1:14">
      <c r="A143" s="216" t="s">
        <v>366</v>
      </c>
      <c r="B143" s="216">
        <f>IF(A141&lt;0,-A141*3%/12,0)</f>
        <v>0</v>
      </c>
      <c r="C143" s="216">
        <f t="shared" ref="C143:M143" si="76">IF(B141&lt;0,-B141*3%/12,0)</f>
        <v>3.8771710869565221</v>
      </c>
      <c r="D143" s="216">
        <f t="shared" si="76"/>
        <v>0</v>
      </c>
      <c r="E143" s="216">
        <f t="shared" si="76"/>
        <v>1.0848416601284594</v>
      </c>
      <c r="F143" s="216">
        <f t="shared" si="76"/>
        <v>0.2439666824035592</v>
      </c>
      <c r="G143" s="216">
        <f t="shared" si="76"/>
        <v>0.96812484198866233</v>
      </c>
      <c r="H143" s="216">
        <f t="shared" si="76"/>
        <v>2.5146236836946709</v>
      </c>
      <c r="I143" s="216">
        <f t="shared" si="76"/>
        <v>1.0873066207996418</v>
      </c>
      <c r="J143" s="216">
        <f t="shared" si="76"/>
        <v>0</v>
      </c>
      <c r="K143" s="216">
        <f t="shared" si="76"/>
        <v>1.1983598342420367</v>
      </c>
      <c r="L143" s="216">
        <f t="shared" si="76"/>
        <v>0</v>
      </c>
      <c r="M143" s="216">
        <f t="shared" si="76"/>
        <v>0</v>
      </c>
      <c r="N143" s="778">
        <f>SUM(B143:M143)</f>
        <v>10.974394410213552</v>
      </c>
    </row>
    <row r="144" spans="1:14">
      <c r="A144" s="218" t="s">
        <v>367</v>
      </c>
      <c r="B144" s="233">
        <f>IF(B141&gt;0,B141*0.8%/12,0)</f>
        <v>0</v>
      </c>
      <c r="C144" s="233">
        <f>IF(B141&gt;0,B141*0.8%,0)</f>
        <v>0</v>
      </c>
      <c r="D144" s="233">
        <f>IF(C141&gt;0,C141*0.8%/12,0)</f>
        <v>1.7444458023715317E-2</v>
      </c>
      <c r="E144" s="233">
        <f t="shared" ref="E144:M144" si="77">IF(D141&gt;0,D141*0.8%/12,0)</f>
        <v>0</v>
      </c>
      <c r="F144" s="233">
        <f t="shared" si="77"/>
        <v>0</v>
      </c>
      <c r="G144" s="233">
        <f t="shared" si="77"/>
        <v>0</v>
      </c>
      <c r="H144" s="233">
        <f t="shared" si="77"/>
        <v>0</v>
      </c>
      <c r="I144" s="233">
        <f t="shared" si="77"/>
        <v>0</v>
      </c>
      <c r="J144" s="233">
        <f t="shared" si="77"/>
        <v>0.25575863093483048</v>
      </c>
      <c r="K144" s="233">
        <f t="shared" si="77"/>
        <v>0</v>
      </c>
      <c r="L144" s="233">
        <f t="shared" si="77"/>
        <v>0.10567570141051989</v>
      </c>
      <c r="M144" s="233">
        <f t="shared" si="77"/>
        <v>0.44474708113455175</v>
      </c>
      <c r="N144" s="778">
        <f>SUM(B144:M144)</f>
        <v>0.82362587150361743</v>
      </c>
    </row>
    <row r="145" spans="1:14">
      <c r="A145" s="780" t="s">
        <v>368</v>
      </c>
      <c r="B145" s="225">
        <f>SUM(B141-B142-B143+B144)</f>
        <v>-1551.7434347826088</v>
      </c>
      <c r="C145" s="225">
        <f t="shared" ref="C145:L145" si="78">SUM(C141-C142-C143+C144)</f>
        <v>22.289515948616454</v>
      </c>
      <c r="D145" s="225">
        <f t="shared" si="78"/>
        <v>-433.91921959336008</v>
      </c>
      <c r="E145" s="225">
        <f t="shared" si="78"/>
        <v>-98.671514621552149</v>
      </c>
      <c r="F145" s="225">
        <f t="shared" si="78"/>
        <v>-387.49390347786846</v>
      </c>
      <c r="G145" s="225">
        <f t="shared" si="78"/>
        <v>-1006.8175983198571</v>
      </c>
      <c r="H145" s="225">
        <f t="shared" si="78"/>
        <v>-437.43727200355141</v>
      </c>
      <c r="I145" s="225">
        <f t="shared" si="78"/>
        <v>382.55063978144602</v>
      </c>
      <c r="J145" s="225">
        <f t="shared" si="78"/>
        <v>-479.08817506587985</v>
      </c>
      <c r="K145" s="225">
        <f t="shared" si="78"/>
        <v>157.31519228153778</v>
      </c>
      <c r="L145" s="225">
        <f t="shared" si="78"/>
        <v>667.22629740323816</v>
      </c>
      <c r="M145" s="225">
        <f t="shared" ref="M145" si="79">M141-M143+M144</f>
        <v>-42.814621263492086</v>
      </c>
      <c r="N145">
        <v>-43</v>
      </c>
    </row>
  </sheetData>
  <phoneticPr fontId="0" type="noConversion"/>
  <pageMargins left="0.23622047244094491" right="0.19685039370078741" top="0.35433070866141736" bottom="0.23622047244094491" header="0.19685039370078741" footer="0.11811023622047245"/>
  <pageSetup paperSize="9" scale="74" fitToHeight="3" orientation="landscape" r:id="rId1"/>
  <headerFooter alignWithMargins="0"/>
  <rowBreaks count="1" manualBreakCount="1">
    <brk id="49" max="14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92D050"/>
    <pageSetUpPr fitToPage="1"/>
  </sheetPr>
  <dimension ref="A1:Q92"/>
  <sheetViews>
    <sheetView showGridLines="0" topLeftCell="A4" zoomScale="85" zoomScaleNormal="85" workbookViewId="0">
      <selection activeCell="F24" sqref="F24"/>
    </sheetView>
  </sheetViews>
  <sheetFormatPr baseColWidth="10" defaultColWidth="11" defaultRowHeight="14.4"/>
  <cols>
    <col min="1" max="1" width="25.44140625" style="3" customWidth="1"/>
    <col min="2" max="2" width="11" style="3"/>
    <col min="3" max="3" width="12.6640625" style="3" bestFit="1" customWidth="1"/>
    <col min="4" max="4" width="11.109375" style="3" bestFit="1" customWidth="1"/>
    <col min="5" max="5" width="13.44140625" style="3" customWidth="1"/>
    <col min="6" max="6" width="11" style="3"/>
    <col min="7" max="7" width="8.6640625" style="3" customWidth="1"/>
    <col min="8" max="8" width="12.109375" style="3" customWidth="1"/>
    <col min="9" max="9" width="13" style="3" bestFit="1" customWidth="1"/>
    <col min="10" max="16384" width="11" style="3"/>
  </cols>
  <sheetData>
    <row r="1" spans="1:13" ht="21">
      <c r="A1" s="454" t="s">
        <v>313</v>
      </c>
      <c r="B1" s="455"/>
      <c r="C1" s="455"/>
      <c r="D1" s="455"/>
      <c r="E1" s="455"/>
      <c r="F1" s="457"/>
      <c r="H1" s="454" t="s">
        <v>185</v>
      </c>
      <c r="I1" s="455"/>
      <c r="J1" s="456"/>
    </row>
    <row r="2" spans="1:13">
      <c r="A2" s="108"/>
      <c r="B2" s="109"/>
      <c r="C2" s="109"/>
      <c r="D2" s="109"/>
      <c r="E2" s="109"/>
      <c r="F2" s="110"/>
      <c r="H2" s="450" t="s">
        <v>172</v>
      </c>
      <c r="I2" s="446"/>
      <c r="J2" s="301">
        <f>F4</f>
        <v>15955.537588932806</v>
      </c>
    </row>
    <row r="3" spans="1:13" ht="18">
      <c r="A3" s="111"/>
      <c r="B3" s="26" t="s">
        <v>161</v>
      </c>
      <c r="C3" s="122" t="s">
        <v>54</v>
      </c>
      <c r="D3" s="122" t="s">
        <v>55</v>
      </c>
      <c r="E3" s="122" t="s">
        <v>155</v>
      </c>
      <c r="F3" s="112" t="s">
        <v>69</v>
      </c>
      <c r="H3" s="451" t="s">
        <v>239</v>
      </c>
      <c r="I3" s="447"/>
      <c r="J3" s="302">
        <f>K53-M36</f>
        <v>-452.10924228710223</v>
      </c>
    </row>
    <row r="4" spans="1:13">
      <c r="A4" s="279" t="s">
        <v>171</v>
      </c>
      <c r="B4" s="285">
        <f>('tréso prév'!N41)</f>
        <v>2058.442687747036</v>
      </c>
      <c r="C4" s="28">
        <f>'tréso prév'!N44</f>
        <v>3668.379446640316</v>
      </c>
      <c r="D4" s="28">
        <f>'tréso prév'!N47</f>
        <v>2136.5454545454545</v>
      </c>
      <c r="E4" s="6">
        <f>'tréso prév'!N48</f>
        <v>8092.170000000001</v>
      </c>
      <c r="F4" s="113">
        <f>SUM(B4:E4)</f>
        <v>15955.537588932806</v>
      </c>
      <c r="H4" s="452" t="s">
        <v>173</v>
      </c>
      <c r="I4" s="448"/>
      <c r="J4" s="299">
        <f>G60+C65</f>
        <v>390</v>
      </c>
    </row>
    <row r="5" spans="1:13">
      <c r="A5" s="276"/>
      <c r="B5" s="29"/>
      <c r="C5" s="29"/>
      <c r="D5" s="29"/>
      <c r="E5" s="29"/>
      <c r="F5" s="114"/>
      <c r="H5" s="453" t="s">
        <v>229</v>
      </c>
      <c r="I5" s="402"/>
      <c r="J5" s="281">
        <f>SUM(J2:J4)</f>
        <v>15893.428346645704</v>
      </c>
    </row>
    <row r="6" spans="1:13">
      <c r="A6" s="287" t="s">
        <v>162</v>
      </c>
      <c r="B6" s="215">
        <f>H33</f>
        <v>1677.9711134492218</v>
      </c>
      <c r="C6" s="49">
        <f>H34</f>
        <v>2542.8100635367764</v>
      </c>
      <c r="D6" s="49">
        <f>H35</f>
        <v>1477.2199002657508</v>
      </c>
      <c r="E6" s="49">
        <f>H36</f>
        <v>4809.2428516733708</v>
      </c>
      <c r="F6" s="288">
        <f>SUM(B6:E6)</f>
        <v>10507.24392892512</v>
      </c>
      <c r="H6" s="277"/>
      <c r="I6" s="278"/>
      <c r="J6" s="117"/>
    </row>
    <row r="7" spans="1:13">
      <c r="A7" s="286" t="s">
        <v>163</v>
      </c>
      <c r="B7" s="289">
        <f>'coûts prévis'!$B$24*'état fi prévis'!B4/'état fi prévis'!$F$4</f>
        <v>32.252794308460459</v>
      </c>
      <c r="C7" s="289">
        <f>'coûts prévis'!$B$24*'état fi prévis'!C4/'état fi prévis'!$F$4</f>
        <v>57.478154938270514</v>
      </c>
      <c r="D7" s="289">
        <f>'coûts prévis'!$B$24*'état fi prévis'!D4/'état fi prévis'!$F$4</f>
        <v>33.476550737272248</v>
      </c>
      <c r="E7" s="289">
        <f>'coûts prévis'!$B$24*'état fi prévis'!E4/'état fi prévis'!$F$4</f>
        <v>126.79250001599679</v>
      </c>
      <c r="F7" s="288">
        <f>SUM(B7:E7)</f>
        <v>250</v>
      </c>
      <c r="H7" s="450" t="s">
        <v>156</v>
      </c>
      <c r="I7" s="446"/>
      <c r="J7" s="303">
        <f>'tréso prév'!N76</f>
        <v>5490.6293000000005</v>
      </c>
    </row>
    <row r="8" spans="1:13">
      <c r="A8" s="286" t="s">
        <v>130</v>
      </c>
      <c r="B8" s="289">
        <f>'coûts prévis'!$B$23*'état fi prévis'!B4/'état fi prévis'!$F$4</f>
        <v>16.126397154230229</v>
      </c>
      <c r="C8" s="289">
        <f>'coûts prévis'!$B$23*'état fi prévis'!C4/'état fi prévis'!$F$4</f>
        <v>28.739077469135257</v>
      </c>
      <c r="D8" s="289">
        <f>'coûts prévis'!$B$23*'état fi prévis'!D4/'état fi prévis'!$F$4</f>
        <v>16.738275368636124</v>
      </c>
      <c r="E8" s="289">
        <f>'coûts prévis'!$B$23*'état fi prévis'!E4/'état fi prévis'!$F$4</f>
        <v>63.396250007998397</v>
      </c>
      <c r="F8" s="288">
        <f>SUM(B8:E8)</f>
        <v>125</v>
      </c>
      <c r="H8" s="451" t="s">
        <v>240</v>
      </c>
      <c r="I8" s="449"/>
      <c r="J8" s="302"/>
    </row>
    <row r="9" spans="1:13">
      <c r="A9" s="286" t="s">
        <v>164</v>
      </c>
      <c r="B9" s="291">
        <f>0.8%*B4</f>
        <v>16.467541501976289</v>
      </c>
      <c r="C9" s="291">
        <f t="shared" ref="C9:E9" si="0">0.8%*C4</f>
        <v>29.347035573122529</v>
      </c>
      <c r="D9" s="291">
        <f t="shared" si="0"/>
        <v>17.092363636363636</v>
      </c>
      <c r="E9" s="291">
        <f t="shared" si="0"/>
        <v>64.73736000000001</v>
      </c>
      <c r="F9" s="288">
        <f>SUM(B9:E9)</f>
        <v>127.64430071146246</v>
      </c>
      <c r="H9" s="451" t="s">
        <v>236</v>
      </c>
      <c r="I9" s="449"/>
      <c r="J9" s="302">
        <f>SUM('coûts prévis'!B14:B30)-'coûts prévis'!B25</f>
        <v>2285.1999999999998</v>
      </c>
      <c r="K9" s="94"/>
    </row>
    <row r="10" spans="1:13">
      <c r="A10" s="293" t="s">
        <v>233</v>
      </c>
      <c r="B10" s="439"/>
      <c r="C10" s="440"/>
      <c r="D10" s="440"/>
      <c r="E10" s="441"/>
      <c r="F10" s="294">
        <f>('données prév'!C64*'coûts prévis'!C38+'données prév'!E64*'coûts prévis'!D38+'données prév'!G64*'coûts prévis'!E38+'coûts prévis'!F38*'données prév'!I64)/1000</f>
        <v>183.83793345809696</v>
      </c>
      <c r="H10" s="451" t="s">
        <v>248</v>
      </c>
      <c r="I10" s="449"/>
      <c r="J10" s="302">
        <f>'coûts prévis'!B12+'coûts prévis'!B13</f>
        <v>5810.2466812499997</v>
      </c>
    </row>
    <row r="11" spans="1:13">
      <c r="A11" s="276"/>
      <c r="B11" s="29"/>
      <c r="C11" s="29"/>
      <c r="D11" s="29"/>
      <c r="E11" s="29"/>
      <c r="F11" s="115"/>
      <c r="H11" s="451" t="s">
        <v>174</v>
      </c>
      <c r="I11" s="449"/>
      <c r="J11" s="302">
        <f>'coûts prévis'!B25</f>
        <v>210</v>
      </c>
    </row>
    <row r="12" spans="1:13">
      <c r="A12" s="442" t="s">
        <v>165</v>
      </c>
      <c r="B12" s="215">
        <f>B4-SUM(B6:B9)</f>
        <v>315.62484133314729</v>
      </c>
      <c r="C12" s="215">
        <f t="shared" ref="C12:E12" si="1">C4-SUM(C6:C9)</f>
        <v>1010.0051151230114</v>
      </c>
      <c r="D12" s="215">
        <f t="shared" si="1"/>
        <v>592.01836453743181</v>
      </c>
      <c r="E12" s="215">
        <f t="shared" si="1"/>
        <v>3028.0010383026347</v>
      </c>
      <c r="F12" s="295">
        <f>F4-SUM(F6:F10)</f>
        <v>4761.8114258381265</v>
      </c>
      <c r="G12" s="13" t="s">
        <v>374</v>
      </c>
      <c r="H12" s="451" t="s">
        <v>200</v>
      </c>
      <c r="I12" s="449"/>
      <c r="J12" s="302">
        <f>C65</f>
        <v>250</v>
      </c>
    </row>
    <row r="13" spans="1:13">
      <c r="A13" s="443"/>
      <c r="B13" s="296">
        <f>B12/B4</f>
        <v>0.15333185772521968</v>
      </c>
      <c r="C13" s="296">
        <f t="shared" ref="C13:F13" si="2">C12/C4</f>
        <v>0.27532732908751417</v>
      </c>
      <c r="D13" s="296">
        <f t="shared" si="2"/>
        <v>0.27709139689863627</v>
      </c>
      <c r="E13" s="296">
        <f t="shared" si="2"/>
        <v>0.37418900471723088</v>
      </c>
      <c r="F13" s="296">
        <f t="shared" si="2"/>
        <v>0.29844255634113187</v>
      </c>
      <c r="G13" s="3" t="s">
        <v>375</v>
      </c>
      <c r="H13" s="451" t="s">
        <v>175</v>
      </c>
      <c r="I13" s="449"/>
      <c r="J13" s="302">
        <f>'coûts prévis'!B31</f>
        <v>840</v>
      </c>
    </row>
    <row r="14" spans="1:13">
      <c r="A14" s="276"/>
      <c r="B14" s="29"/>
      <c r="C14" s="29"/>
      <c r="D14" s="29"/>
      <c r="E14" s="29"/>
      <c r="F14" s="115"/>
      <c r="H14" s="452" t="s">
        <v>176</v>
      </c>
      <c r="I14" s="448"/>
      <c r="J14" s="299">
        <f>'état fi prévis'!F9</f>
        <v>127.64430071146246</v>
      </c>
    </row>
    <row r="15" spans="1:13">
      <c r="A15" s="287" t="s">
        <v>82</v>
      </c>
      <c r="B15" s="31"/>
      <c r="C15" s="31"/>
      <c r="D15" s="31"/>
      <c r="E15" s="32"/>
      <c r="F15" s="295">
        <f>'données prév'!C55*'coûts prévis'!C38/1000</f>
        <v>256.0805958996487</v>
      </c>
      <c r="H15" s="453" t="s">
        <v>230</v>
      </c>
      <c r="I15" s="402"/>
      <c r="J15" s="281">
        <f>SUM(J7:J14)</f>
        <v>15013.720281961463</v>
      </c>
      <c r="M15" s="99"/>
    </row>
    <row r="16" spans="1:13">
      <c r="A16" s="286" t="s">
        <v>242</v>
      </c>
      <c r="B16" s="34"/>
      <c r="C16" s="34"/>
      <c r="D16" s="34"/>
      <c r="E16" s="35"/>
      <c r="F16" s="290">
        <f>'coûts prévis'!I36</f>
        <v>2340.9977832929781</v>
      </c>
      <c r="H16" s="277"/>
      <c r="I16" s="278"/>
      <c r="J16" s="114"/>
    </row>
    <row r="17" spans="1:13">
      <c r="A17" s="286" t="s">
        <v>243</v>
      </c>
      <c r="B17" s="34"/>
      <c r="C17" s="34"/>
      <c r="D17" s="34"/>
      <c r="E17" s="35"/>
      <c r="F17" s="290">
        <f>'coûts prévis'!J36</f>
        <v>790.09999200968537</v>
      </c>
      <c r="H17" s="453" t="s">
        <v>177</v>
      </c>
      <c r="I17" s="402"/>
      <c r="J17" s="281">
        <f>J5-J15</f>
        <v>879.70806468424053</v>
      </c>
      <c r="K17" s="3">
        <v>880</v>
      </c>
    </row>
    <row r="18" spans="1:13">
      <c r="A18" s="286" t="s">
        <v>244</v>
      </c>
      <c r="B18" s="34"/>
      <c r="C18" s="34"/>
      <c r="D18" s="34"/>
      <c r="E18" s="35"/>
      <c r="F18" s="290">
        <f>'coûts prévis'!H36</f>
        <v>284.56269709443097</v>
      </c>
      <c r="H18" s="277"/>
      <c r="I18" s="278"/>
      <c r="J18" s="114"/>
    </row>
    <row r="19" spans="1:13">
      <c r="A19" s="293" t="s">
        <v>166</v>
      </c>
      <c r="B19" s="37"/>
      <c r="C19" s="37"/>
      <c r="D19" s="37"/>
      <c r="E19" s="38"/>
      <c r="F19" s="298">
        <f>'coûts prévis'!M25</f>
        <v>210</v>
      </c>
      <c r="H19" s="450" t="s">
        <v>178</v>
      </c>
      <c r="I19" s="446"/>
      <c r="J19" s="301">
        <f>F25</f>
        <v>0.82362587150361743</v>
      </c>
    </row>
    <row r="20" spans="1:13">
      <c r="A20" s="276"/>
      <c r="B20" s="29"/>
      <c r="C20" s="29"/>
      <c r="D20" s="29"/>
      <c r="E20" s="29"/>
      <c r="F20" s="115"/>
      <c r="H20" s="452" t="s">
        <v>182</v>
      </c>
      <c r="I20" s="448"/>
      <c r="J20" s="299">
        <f>F24</f>
        <v>63.149394410213546</v>
      </c>
    </row>
    <row r="21" spans="1:13">
      <c r="A21" s="442" t="s">
        <v>167</v>
      </c>
      <c r="B21" s="31"/>
      <c r="C21" s="31"/>
      <c r="D21" s="31"/>
      <c r="E21" s="32">
        <v>880</v>
      </c>
      <c r="F21" s="295">
        <f>F12-SUM(F15:F19)</f>
        <v>880.07035754138315</v>
      </c>
      <c r="H21" s="277"/>
      <c r="I21" s="278"/>
      <c r="J21" s="114"/>
    </row>
    <row r="22" spans="1:13">
      <c r="A22" s="443"/>
      <c r="B22" s="37"/>
      <c r="C22" s="37"/>
      <c r="D22" s="37"/>
      <c r="E22" s="38"/>
      <c r="F22" s="297"/>
      <c r="H22" s="453" t="s">
        <v>179</v>
      </c>
      <c r="I22" s="402"/>
      <c r="J22" s="281">
        <f>J17+J19-J20</f>
        <v>817.38229614553063</v>
      </c>
    </row>
    <row r="23" spans="1:13">
      <c r="A23" s="276"/>
      <c r="B23" s="39"/>
      <c r="C23" s="39"/>
      <c r="D23" s="39"/>
      <c r="E23" s="39"/>
      <c r="F23" s="114"/>
      <c r="H23" s="277"/>
      <c r="I23" s="278"/>
      <c r="J23" s="114"/>
    </row>
    <row r="24" spans="1:13">
      <c r="A24" s="276" t="s">
        <v>182</v>
      </c>
      <c r="B24" s="39"/>
      <c r="C24" s="39"/>
      <c r="D24" s="39"/>
      <c r="E24" s="39"/>
      <c r="F24" s="114">
        <f>'tréso prév'!N143+'tréso prév'!N142+SUM('tréso prév'!B125:M125)</f>
        <v>63.149394410213546</v>
      </c>
      <c r="H24" s="277"/>
      <c r="I24" s="278"/>
      <c r="J24" s="114"/>
    </row>
    <row r="25" spans="1:13">
      <c r="A25" s="276" t="s">
        <v>178</v>
      </c>
      <c r="B25" s="39"/>
      <c r="C25" s="39"/>
      <c r="D25" s="39"/>
      <c r="E25" s="39"/>
      <c r="F25" s="114">
        <f>'tréso prév'!N144</f>
        <v>0.82362587150361743</v>
      </c>
      <c r="H25" s="277"/>
      <c r="I25" s="278"/>
      <c r="J25" s="114"/>
    </row>
    <row r="26" spans="1:13">
      <c r="A26" s="287" t="s">
        <v>184</v>
      </c>
      <c r="B26" s="41"/>
      <c r="C26" s="41"/>
      <c r="D26" s="41"/>
      <c r="E26" s="42"/>
      <c r="F26" s="295">
        <f>F25-F24</f>
        <v>-62.32576853870993</v>
      </c>
      <c r="H26" s="450" t="s">
        <v>168</v>
      </c>
      <c r="I26" s="446"/>
      <c r="J26" s="301">
        <f>J22/3</f>
        <v>272.46076538184354</v>
      </c>
    </row>
    <row r="27" spans="1:13">
      <c r="A27" s="286" t="s">
        <v>168</v>
      </c>
      <c r="B27" s="44"/>
      <c r="C27" s="44"/>
      <c r="D27" s="44"/>
      <c r="E27" s="45"/>
      <c r="F27" s="290">
        <f>(F21+F26)*1/3</f>
        <v>272.58152966755773</v>
      </c>
      <c r="H27" s="452" t="s">
        <v>169</v>
      </c>
      <c r="I27" s="448"/>
      <c r="J27" s="299"/>
    </row>
    <row r="28" spans="1:13">
      <c r="A28" s="293" t="s">
        <v>169</v>
      </c>
      <c r="B28" s="44"/>
      <c r="C28" s="44"/>
      <c r="D28" s="44"/>
      <c r="E28" s="45"/>
      <c r="F28" s="299"/>
      <c r="H28" s="277"/>
      <c r="I28" s="278"/>
      <c r="J28" s="114"/>
    </row>
    <row r="29" spans="1:13" ht="15" thickBot="1">
      <c r="A29" s="280" t="s">
        <v>170</v>
      </c>
      <c r="B29" s="106"/>
      <c r="C29" s="106"/>
      <c r="D29" s="106"/>
      <c r="E29" s="116"/>
      <c r="F29" s="805">
        <f>F21+F26-F27</f>
        <v>545.16305933511558</v>
      </c>
      <c r="H29" s="444" t="s">
        <v>170</v>
      </c>
      <c r="I29" s="445"/>
      <c r="J29" s="806">
        <f>J22-J26</f>
        <v>544.92153076368709</v>
      </c>
      <c r="K29" s="13"/>
    </row>
    <row r="31" spans="1:13" ht="14.25" customHeight="1">
      <c r="A31" s="556" t="s">
        <v>283</v>
      </c>
      <c r="B31" s="464" t="s">
        <v>314</v>
      </c>
      <c r="C31" s="464"/>
      <c r="D31" s="464"/>
      <c r="E31" s="464" t="s">
        <v>315</v>
      </c>
      <c r="F31" s="464"/>
      <c r="G31" s="464"/>
      <c r="H31" s="554" t="s">
        <v>247</v>
      </c>
      <c r="K31" s="463" t="s">
        <v>220</v>
      </c>
      <c r="L31" s="463"/>
      <c r="M31" s="463"/>
    </row>
    <row r="32" spans="1:13" s="51" customFormat="1">
      <c r="A32" s="557" t="s">
        <v>284</v>
      </c>
      <c r="B32" s="282" t="s">
        <v>218</v>
      </c>
      <c r="C32" s="282" t="s">
        <v>219</v>
      </c>
      <c r="D32" s="282" t="s">
        <v>183</v>
      </c>
      <c r="E32" s="282" t="s">
        <v>316</v>
      </c>
      <c r="F32" s="282" t="s">
        <v>326</v>
      </c>
      <c r="G32" s="282" t="s">
        <v>221</v>
      </c>
      <c r="H32" s="555" t="s">
        <v>282</v>
      </c>
      <c r="I32" s="52"/>
      <c r="K32" s="235" t="s">
        <v>52</v>
      </c>
      <c r="L32" s="235" t="s">
        <v>180</v>
      </c>
      <c r="M32" s="235" t="s">
        <v>181</v>
      </c>
    </row>
    <row r="33" spans="1:13" s="51" customFormat="1">
      <c r="A33" s="305" t="s">
        <v>53</v>
      </c>
      <c r="B33" s="274">
        <f>'tréso prév'!N28-2</f>
        <v>11</v>
      </c>
      <c r="C33" s="274">
        <f>'coûts prévis'!H43</f>
        <v>129.24148455829453</v>
      </c>
      <c r="D33" s="274">
        <f>B33*C33</f>
        <v>1421.6563301412398</v>
      </c>
      <c r="E33" s="274">
        <f>M33</f>
        <v>229.73154362416108</v>
      </c>
      <c r="F33" s="274">
        <f>2*'coûts prévis'!F43/1000</f>
        <v>26.5832396838208</v>
      </c>
      <c r="G33" s="274">
        <f>SUM(E33:F33)</f>
        <v>256.31478330798188</v>
      </c>
      <c r="H33" s="274">
        <f>D33+G33</f>
        <v>1677.9711134492218</v>
      </c>
      <c r="I33" s="52"/>
      <c r="J33" s="308" t="s">
        <v>53</v>
      </c>
      <c r="K33" s="309">
        <v>150</v>
      </c>
      <c r="L33" s="310">
        <v>79.731543624161077</v>
      </c>
      <c r="M33" s="310">
        <v>229.73154362416108</v>
      </c>
    </row>
    <row r="34" spans="1:13" s="51" customFormat="1">
      <c r="A34" s="306" t="s">
        <v>54</v>
      </c>
      <c r="B34" s="273">
        <f>'tréso prév'!N31-2</f>
        <v>12</v>
      </c>
      <c r="C34" s="273">
        <f>'coûts prévis'!H44</f>
        <v>181.77877977447253</v>
      </c>
      <c r="D34" s="273">
        <f t="shared" ref="D34:D36" si="3">B34*C34</f>
        <v>2181.3453572936705</v>
      </c>
      <c r="E34" s="273">
        <f t="shared" ref="E34:E35" si="4">M34</f>
        <v>324.91275167785238</v>
      </c>
      <c r="F34" s="273">
        <f>2*'coûts prévis'!F44/1000</f>
        <v>36.551954565253602</v>
      </c>
      <c r="G34" s="273">
        <f t="shared" ref="G34:G35" si="5">SUM(E34:F34)</f>
        <v>361.46470624310598</v>
      </c>
      <c r="H34" s="273">
        <f t="shared" ref="H34:H36" si="6">D34+G34</f>
        <v>2542.8100635367764</v>
      </c>
      <c r="I34" s="52"/>
      <c r="J34" s="311" t="s">
        <v>54</v>
      </c>
      <c r="K34" s="312">
        <v>200</v>
      </c>
      <c r="L34" s="313">
        <v>124.91275167785236</v>
      </c>
      <c r="M34" s="313">
        <v>324.91275167785238</v>
      </c>
    </row>
    <row r="35" spans="1:13" s="51" customFormat="1">
      <c r="A35" s="306" t="s">
        <v>55</v>
      </c>
      <c r="B35" s="273">
        <f>'tréso prév'!N34-2</f>
        <v>2</v>
      </c>
      <c r="C35" s="273">
        <f>'coûts prévis'!H45</f>
        <v>371.36450065934497</v>
      </c>
      <c r="D35" s="273">
        <f t="shared" si="3"/>
        <v>742.72900131868994</v>
      </c>
      <c r="E35" s="273">
        <f t="shared" si="4"/>
        <v>671.35570469798654</v>
      </c>
      <c r="F35" s="273">
        <f>2*'coûts prévis'!F45/1000</f>
        <v>63.135194249074402</v>
      </c>
      <c r="G35" s="273">
        <f t="shared" si="5"/>
        <v>734.49089894706094</v>
      </c>
      <c r="H35" s="273">
        <f t="shared" si="6"/>
        <v>1477.2199002657508</v>
      </c>
      <c r="I35" s="52"/>
      <c r="J35" s="314" t="s">
        <v>55</v>
      </c>
      <c r="K35" s="315">
        <v>480</v>
      </c>
      <c r="L35" s="316">
        <v>191.35570469798657</v>
      </c>
      <c r="M35" s="316">
        <v>671.35570469798654</v>
      </c>
    </row>
    <row r="36" spans="1:13" s="51" customFormat="1">
      <c r="A36" s="307" t="s">
        <v>222</v>
      </c>
      <c r="B36" s="275">
        <f>'tréso prév'!N35</f>
        <v>15867</v>
      </c>
      <c r="C36" s="275">
        <f>'coûts prévis'!H46</f>
        <v>0.30309717348417287</v>
      </c>
      <c r="D36" s="275">
        <f t="shared" si="3"/>
        <v>4809.2428516733708</v>
      </c>
      <c r="E36" s="275"/>
      <c r="F36" s="275"/>
      <c r="G36" s="275"/>
      <c r="H36" s="273">
        <f t="shared" si="6"/>
        <v>4809.2428516733708</v>
      </c>
      <c r="J36" s="52"/>
      <c r="M36" s="25">
        <v>1226</v>
      </c>
    </row>
    <row r="37" spans="1:13">
      <c r="B37" s="3" t="s">
        <v>376</v>
      </c>
      <c r="H37" s="87">
        <f>SUM(H33:H36)</f>
        <v>10507.24392892512</v>
      </c>
    </row>
    <row r="38" spans="1:13" s="48" customFormat="1"/>
    <row r="39" spans="1:13" s="48" customFormat="1" ht="15" thickBot="1">
      <c r="F39" s="458" t="s">
        <v>212</v>
      </c>
      <c r="G39" s="458"/>
      <c r="L39" s="51"/>
    </row>
    <row r="40" spans="1:13" ht="12" customHeight="1" thickTop="1">
      <c r="A40" s="553" t="s">
        <v>317</v>
      </c>
      <c r="B40" s="468"/>
      <c r="C40" s="465" t="s">
        <v>202</v>
      </c>
      <c r="D40" s="466"/>
      <c r="E40" s="466"/>
      <c r="F40" s="465" t="s">
        <v>210</v>
      </c>
      <c r="G40" s="466"/>
      <c r="H40" s="466"/>
      <c r="I40" s="465" t="s">
        <v>211</v>
      </c>
      <c r="J40" s="466"/>
      <c r="K40" s="467"/>
    </row>
    <row r="41" spans="1:13">
      <c r="A41" s="470"/>
      <c r="B41" s="546" t="s">
        <v>286</v>
      </c>
      <c r="C41" s="326" t="s">
        <v>10</v>
      </c>
      <c r="D41" s="282" t="s">
        <v>11</v>
      </c>
      <c r="E41" s="327" t="s">
        <v>12</v>
      </c>
      <c r="F41" s="326" t="s">
        <v>10</v>
      </c>
      <c r="G41" s="282" t="s">
        <v>11</v>
      </c>
      <c r="H41" s="328" t="s">
        <v>12</v>
      </c>
      <c r="I41" s="326" t="s">
        <v>10</v>
      </c>
      <c r="J41" s="282" t="s">
        <v>11</v>
      </c>
      <c r="K41" s="327" t="s">
        <v>12</v>
      </c>
      <c r="L41" s="96"/>
    </row>
    <row r="42" spans="1:13">
      <c r="A42" s="317" t="s">
        <v>204</v>
      </c>
      <c r="B42" s="447"/>
      <c r="C42" s="617">
        <f>'tréso prév'!K5</f>
        <v>0</v>
      </c>
      <c r="D42" s="617">
        <f>'tréso prév'!L5</f>
        <v>0</v>
      </c>
      <c r="E42" s="617">
        <f>'tréso prév'!M5</f>
        <v>1</v>
      </c>
      <c r="F42" s="617">
        <f>'tréso prév'!K8</f>
        <v>2</v>
      </c>
      <c r="G42" s="617">
        <f>'tréso prév'!L8</f>
        <v>3</v>
      </c>
      <c r="H42" s="617">
        <f>'tréso prév'!M8</f>
        <v>0</v>
      </c>
      <c r="I42" s="615">
        <f>'tréso prév'!K11</f>
        <v>1</v>
      </c>
      <c r="J42" s="615">
        <f>'tréso prév'!L11</f>
        <v>1</v>
      </c>
      <c r="K42" s="790">
        <f>'tréso prév'!M11</f>
        <v>1</v>
      </c>
      <c r="L42" s="642"/>
    </row>
    <row r="43" spans="1:13">
      <c r="A43" s="317" t="s">
        <v>205</v>
      </c>
      <c r="B43" s="447"/>
      <c r="C43" s="617"/>
      <c r="D43" s="643"/>
      <c r="E43" s="790" t="s">
        <v>1</v>
      </c>
      <c r="F43" s="791" t="s">
        <v>11</v>
      </c>
      <c r="G43" s="792" t="s">
        <v>12</v>
      </c>
      <c r="H43" s="793" t="s">
        <v>1</v>
      </c>
      <c r="I43" s="791" t="s">
        <v>11</v>
      </c>
      <c r="J43" s="792" t="s">
        <v>12</v>
      </c>
      <c r="K43" s="790" t="s">
        <v>1</v>
      </c>
      <c r="L43" s="642"/>
    </row>
    <row r="44" spans="1:13">
      <c r="A44" s="317" t="s">
        <v>206</v>
      </c>
      <c r="B44" s="447"/>
      <c r="C44" s="617"/>
      <c r="D44" s="616"/>
      <c r="E44" s="790" t="s">
        <v>1</v>
      </c>
      <c r="F44" s="794" t="s">
        <v>11</v>
      </c>
      <c r="G44" s="795" t="s">
        <v>12</v>
      </c>
      <c r="H44" s="793" t="s">
        <v>1</v>
      </c>
      <c r="I44" s="794" t="s">
        <v>11</v>
      </c>
      <c r="J44" s="795" t="s">
        <v>12</v>
      </c>
      <c r="K44" s="790" t="s">
        <v>1</v>
      </c>
      <c r="L44" s="642"/>
    </row>
    <row r="45" spans="1:13">
      <c r="A45" s="317" t="s">
        <v>207</v>
      </c>
      <c r="B45" s="447"/>
      <c r="C45" s="617"/>
      <c r="D45" s="616"/>
      <c r="E45" s="790" t="s">
        <v>2</v>
      </c>
      <c r="F45" s="794" t="s">
        <v>12</v>
      </c>
      <c r="G45" s="792" t="s">
        <v>1</v>
      </c>
      <c r="H45" s="793" t="s">
        <v>2</v>
      </c>
      <c r="I45" s="794" t="s">
        <v>12</v>
      </c>
      <c r="J45" s="792" t="s">
        <v>1</v>
      </c>
      <c r="K45" s="790" t="s">
        <v>2</v>
      </c>
      <c r="L45" s="644"/>
    </row>
    <row r="46" spans="1:13">
      <c r="A46" s="317" t="s">
        <v>208</v>
      </c>
      <c r="B46" s="447"/>
      <c r="C46" s="617"/>
      <c r="D46" s="616"/>
      <c r="E46" s="790" t="s">
        <v>377</v>
      </c>
      <c r="F46" s="794" t="s">
        <v>12</v>
      </c>
      <c r="G46" s="792" t="s">
        <v>1</v>
      </c>
      <c r="H46" s="793" t="s">
        <v>377</v>
      </c>
      <c r="I46" s="794" t="s">
        <v>12</v>
      </c>
      <c r="J46" s="792" t="s">
        <v>1</v>
      </c>
      <c r="K46" s="790" t="s">
        <v>377</v>
      </c>
      <c r="L46" s="644"/>
    </row>
    <row r="47" spans="1:13" ht="15" thickBot="1">
      <c r="A47" s="319" t="s">
        <v>209</v>
      </c>
      <c r="B47" s="469"/>
      <c r="C47" s="784"/>
      <c r="D47" s="785"/>
      <c r="E47" s="786" t="s">
        <v>3</v>
      </c>
      <c r="F47" s="787" t="s">
        <v>1</v>
      </c>
      <c r="G47" s="788" t="s">
        <v>2</v>
      </c>
      <c r="H47" s="789" t="s">
        <v>3</v>
      </c>
      <c r="I47" s="787" t="s">
        <v>1</v>
      </c>
      <c r="J47" s="788" t="s">
        <v>2</v>
      </c>
      <c r="K47" s="786" t="s">
        <v>3</v>
      </c>
      <c r="L47" s="644"/>
    </row>
    <row r="48" spans="1:13" ht="15" customHeight="1" thickTop="1">
      <c r="A48" s="471" t="s">
        <v>287</v>
      </c>
      <c r="B48" s="542" t="s">
        <v>213</v>
      </c>
      <c r="C48" s="542"/>
      <c r="D48" s="547"/>
      <c r="E48" s="542" t="s">
        <v>216</v>
      </c>
      <c r="F48" s="542"/>
      <c r="G48" s="547"/>
      <c r="H48" s="542" t="s">
        <v>217</v>
      </c>
      <c r="I48" s="542"/>
      <c r="J48" s="561"/>
      <c r="K48" s="563"/>
    </row>
    <row r="49" spans="1:17" ht="29.25" customHeight="1">
      <c r="A49" s="552" t="s">
        <v>318</v>
      </c>
      <c r="B49" s="194" t="s">
        <v>214</v>
      </c>
      <c r="C49" s="194" t="s">
        <v>215</v>
      </c>
      <c r="D49" s="548" t="s">
        <v>183</v>
      </c>
      <c r="E49" s="194" t="s">
        <v>214</v>
      </c>
      <c r="F49" s="194" t="s">
        <v>215</v>
      </c>
      <c r="G49" s="548" t="s">
        <v>183</v>
      </c>
      <c r="H49" s="194" t="s">
        <v>214</v>
      </c>
      <c r="I49" s="194" t="s">
        <v>215</v>
      </c>
      <c r="J49" s="562" t="s">
        <v>183</v>
      </c>
      <c r="K49" s="567" t="s">
        <v>39</v>
      </c>
    </row>
    <row r="50" spans="1:17">
      <c r="A50" s="320" t="s">
        <v>53</v>
      </c>
      <c r="B50" s="321"/>
      <c r="C50" s="90"/>
      <c r="D50" s="549"/>
      <c r="E50" s="321"/>
      <c r="F50" s="90"/>
      <c r="G50" s="549"/>
      <c r="H50" s="321"/>
      <c r="I50" s="90"/>
      <c r="J50" s="549"/>
      <c r="K50" s="564">
        <v>0</v>
      </c>
    </row>
    <row r="51" spans="1:17">
      <c r="A51" s="322" t="s">
        <v>54</v>
      </c>
      <c r="B51" s="323">
        <f>F42</f>
        <v>2</v>
      </c>
      <c r="C51" s="54">
        <f>'coûts prévis'!B44/1000</f>
        <v>102</v>
      </c>
      <c r="D51" s="550">
        <f>B51*C51</f>
        <v>204</v>
      </c>
      <c r="E51" s="323">
        <f>F42+G42</f>
        <v>5</v>
      </c>
      <c r="F51" s="54">
        <f>'coûts prévis'!C44/1000</f>
        <v>23.280054172695333</v>
      </c>
      <c r="G51" s="550">
        <f>E51*F51</f>
        <v>116.40027086347666</v>
      </c>
      <c r="H51" s="323">
        <f>F42</f>
        <v>2</v>
      </c>
      <c r="I51" s="54">
        <f>('coûts prévis'!D44+'coûts prévis'!E44)/1000</f>
        <v>38.222748319150398</v>
      </c>
      <c r="J51" s="550">
        <f>H51*I51</f>
        <v>76.445496638300796</v>
      </c>
      <c r="K51" s="565">
        <f>D51+G51+J51</f>
        <v>396.84576750177746</v>
      </c>
    </row>
    <row r="52" spans="1:17">
      <c r="A52" s="324" t="s">
        <v>55</v>
      </c>
      <c r="B52" s="325">
        <f>I42</f>
        <v>1</v>
      </c>
      <c r="C52" s="91">
        <f>'coûts prévis'!B45/1000</f>
        <v>244.8</v>
      </c>
      <c r="D52" s="551">
        <f>B52*C52</f>
        <v>244.8</v>
      </c>
      <c r="E52" s="325">
        <f>I42+J42</f>
        <v>2</v>
      </c>
      <c r="F52" s="91">
        <f>'coûts prévis'!C45/1000</f>
        <v>37.248086676312532</v>
      </c>
      <c r="G52" s="551">
        <f>E52*F52</f>
        <v>74.496173352625064</v>
      </c>
      <c r="H52" s="325">
        <f>I42</f>
        <v>1</v>
      </c>
      <c r="I52" s="91">
        <f>('coûts prévis'!D45+'coûts prévis'!E45)/1000</f>
        <v>57.748816858495189</v>
      </c>
      <c r="J52" s="551">
        <f>H52*I52</f>
        <v>57.748816858495189</v>
      </c>
      <c r="K52" s="565">
        <f>D52+G52+J52</f>
        <v>377.04499021112031</v>
      </c>
    </row>
    <row r="53" spans="1:17" ht="15" thickBot="1">
      <c r="K53" s="566">
        <f>SUM(K50:K52)</f>
        <v>773.89075771289777</v>
      </c>
    </row>
    <row r="54" spans="1:17" ht="16.2" thickTop="1">
      <c r="A54" s="492" t="s">
        <v>319</v>
      </c>
      <c r="B54" s="493"/>
      <c r="C54" s="493"/>
      <c r="D54" s="493"/>
      <c r="E54" s="493"/>
      <c r="F54" s="493"/>
      <c r="G54" s="494"/>
    </row>
    <row r="55" spans="1:17" ht="15.6">
      <c r="A55" s="361"/>
      <c r="B55" s="491" t="s">
        <v>21</v>
      </c>
      <c r="C55" s="362"/>
      <c r="D55" s="363"/>
      <c r="E55" s="488"/>
      <c r="F55" s="488" t="s">
        <v>22</v>
      </c>
      <c r="G55" s="487"/>
    </row>
    <row r="56" spans="1:17" ht="15.6">
      <c r="A56" s="329" t="s">
        <v>23</v>
      </c>
      <c r="B56" s="284" t="s">
        <v>272</v>
      </c>
      <c r="C56" s="284" t="s">
        <v>273</v>
      </c>
      <c r="D56" s="357" t="s">
        <v>274</v>
      </c>
      <c r="E56" s="330" t="s">
        <v>24</v>
      </c>
      <c r="F56" s="331"/>
      <c r="G56" s="341"/>
    </row>
    <row r="57" spans="1:17" ht="15">
      <c r="A57" s="332" t="s">
        <v>25</v>
      </c>
      <c r="B57" s="333"/>
      <c r="C57" s="333"/>
      <c r="D57" s="358"/>
      <c r="E57" s="472" t="s">
        <v>26</v>
      </c>
      <c r="F57" s="473"/>
      <c r="G57" s="342">
        <v>5500</v>
      </c>
      <c r="J57"/>
      <c r="K57"/>
      <c r="L57"/>
      <c r="M57"/>
      <c r="N57"/>
      <c r="O57"/>
      <c r="P57"/>
      <c r="Q57"/>
    </row>
    <row r="58" spans="1:17" ht="15">
      <c r="A58" s="332" t="s">
        <v>27</v>
      </c>
      <c r="B58" s="333">
        <v>15300</v>
      </c>
      <c r="C58" s="333">
        <v>6700</v>
      </c>
      <c r="D58" s="358">
        <f>+B58-C58</f>
        <v>8600</v>
      </c>
      <c r="E58" s="474" t="s">
        <v>28</v>
      </c>
      <c r="F58" s="475"/>
      <c r="G58" s="343">
        <v>2048.363636363636</v>
      </c>
      <c r="I58" s="104"/>
      <c r="J58"/>
      <c r="K58"/>
      <c r="L58"/>
      <c r="M58"/>
      <c r="N58"/>
      <c r="O58"/>
      <c r="P58"/>
      <c r="Q58"/>
    </row>
    <row r="59" spans="1:17" ht="15">
      <c r="A59" s="332" t="s">
        <v>29</v>
      </c>
      <c r="B59" s="333"/>
      <c r="C59" s="333"/>
      <c r="D59" s="358"/>
      <c r="E59" s="476" t="s">
        <v>30</v>
      </c>
      <c r="F59" s="477"/>
      <c r="G59" s="344">
        <v>600</v>
      </c>
      <c r="J59"/>
      <c r="K59"/>
      <c r="L59"/>
      <c r="M59"/>
      <c r="N59"/>
      <c r="O59"/>
      <c r="P59"/>
      <c r="Q59"/>
    </row>
    <row r="60" spans="1:17" ht="15">
      <c r="A60" s="345"/>
      <c r="B60" s="148"/>
      <c r="C60" s="148"/>
      <c r="D60" s="358"/>
      <c r="E60" s="478" t="s">
        <v>42</v>
      </c>
      <c r="F60" s="479"/>
      <c r="G60" s="346">
        <v>140</v>
      </c>
      <c r="J60"/>
      <c r="K60"/>
      <c r="L60"/>
      <c r="M60"/>
      <c r="N60"/>
      <c r="O60"/>
      <c r="P60"/>
      <c r="Q60"/>
    </row>
    <row r="61" spans="1:17" ht="15.6">
      <c r="A61" s="347"/>
      <c r="B61" s="151"/>
      <c r="C61" s="151"/>
      <c r="D61" s="359"/>
      <c r="E61" s="330" t="s">
        <v>31</v>
      </c>
      <c r="F61" s="331"/>
      <c r="G61" s="341"/>
      <c r="J61"/>
      <c r="K61"/>
      <c r="L61"/>
      <c r="M61"/>
      <c r="N61"/>
      <c r="O61"/>
      <c r="P61"/>
      <c r="Q61"/>
    </row>
    <row r="62" spans="1:17" ht="15.6">
      <c r="A62" s="334" t="s">
        <v>32</v>
      </c>
      <c r="B62" s="335" t="s">
        <v>272</v>
      </c>
      <c r="C62" s="335" t="s">
        <v>273</v>
      </c>
      <c r="D62" s="360" t="s">
        <v>274</v>
      </c>
      <c r="E62" s="480" t="s">
        <v>49</v>
      </c>
      <c r="F62" s="481"/>
      <c r="G62" s="342">
        <v>1200</v>
      </c>
      <c r="J62"/>
      <c r="K62"/>
      <c r="L62"/>
      <c r="M62"/>
      <c r="N62"/>
      <c r="O62"/>
      <c r="P62"/>
      <c r="Q62"/>
    </row>
    <row r="63" spans="1:17" ht="15">
      <c r="A63" s="336" t="s">
        <v>40</v>
      </c>
      <c r="B63" s="333">
        <v>2930</v>
      </c>
      <c r="C63" s="333">
        <v>300</v>
      </c>
      <c r="D63" s="358">
        <f t="shared" ref="D63:D68" si="7">+B63-C63</f>
        <v>2630</v>
      </c>
      <c r="E63" s="482" t="s">
        <v>33</v>
      </c>
      <c r="F63" s="483"/>
      <c r="G63" s="343">
        <v>0</v>
      </c>
      <c r="J63"/>
      <c r="K63"/>
      <c r="L63"/>
      <c r="M63"/>
      <c r="N63"/>
      <c r="O63"/>
      <c r="P63"/>
      <c r="Q63"/>
    </row>
    <row r="64" spans="1:17" ht="15">
      <c r="A64" s="332" t="s">
        <v>199</v>
      </c>
      <c r="B64" s="333">
        <v>70</v>
      </c>
      <c r="C64" s="333">
        <v>0</v>
      </c>
      <c r="D64" s="358">
        <f t="shared" si="7"/>
        <v>70</v>
      </c>
      <c r="E64" s="489" t="s">
        <v>43</v>
      </c>
      <c r="F64" s="354"/>
      <c r="G64" s="346">
        <v>510</v>
      </c>
      <c r="J64"/>
      <c r="K64"/>
      <c r="L64"/>
      <c r="M64"/>
      <c r="N64"/>
      <c r="O64"/>
      <c r="P64"/>
      <c r="Q64"/>
    </row>
    <row r="65" spans="1:17" ht="15.6">
      <c r="A65" s="332" t="s">
        <v>41</v>
      </c>
      <c r="B65" s="333">
        <v>1970</v>
      </c>
      <c r="C65" s="333">
        <v>250</v>
      </c>
      <c r="D65" s="358">
        <f>+B65-C65</f>
        <v>1720</v>
      </c>
      <c r="E65" s="330" t="s">
        <v>34</v>
      </c>
      <c r="F65" s="331"/>
      <c r="G65" s="341"/>
      <c r="J65"/>
      <c r="K65"/>
      <c r="L65"/>
      <c r="M65"/>
      <c r="N65"/>
      <c r="O65"/>
      <c r="P65"/>
      <c r="Q65"/>
    </row>
    <row r="66" spans="1:17" ht="15">
      <c r="A66" s="332" t="s">
        <v>47</v>
      </c>
      <c r="B66" s="333">
        <v>130</v>
      </c>
      <c r="C66" s="333"/>
      <c r="D66" s="358">
        <f>+B66-C66</f>
        <v>130</v>
      </c>
      <c r="E66" s="352" t="s">
        <v>44</v>
      </c>
      <c r="F66" s="355"/>
      <c r="G66" s="348">
        <v>616.63636363636351</v>
      </c>
      <c r="J66"/>
      <c r="K66"/>
      <c r="L66"/>
      <c r="M66"/>
      <c r="N66"/>
      <c r="O66"/>
      <c r="P66"/>
      <c r="Q66"/>
    </row>
    <row r="67" spans="1:17" ht="15">
      <c r="A67" s="332" t="s">
        <v>48</v>
      </c>
      <c r="B67" s="333">
        <v>260</v>
      </c>
      <c r="C67" s="333"/>
      <c r="D67" s="358">
        <f t="shared" si="7"/>
        <v>260</v>
      </c>
      <c r="E67" s="353" t="s">
        <v>35</v>
      </c>
      <c r="F67" s="356"/>
      <c r="G67" s="343">
        <v>1900</v>
      </c>
      <c r="J67"/>
      <c r="K67"/>
      <c r="L67"/>
      <c r="M67"/>
      <c r="N67"/>
      <c r="O67"/>
      <c r="P67"/>
      <c r="Q67"/>
    </row>
    <row r="68" spans="1:17" ht="15">
      <c r="A68" s="332" t="s">
        <v>36</v>
      </c>
      <c r="B68" s="337">
        <v>90</v>
      </c>
      <c r="C68" s="148"/>
      <c r="D68" s="358">
        <f t="shared" si="7"/>
        <v>90</v>
      </c>
      <c r="E68" s="353" t="s">
        <v>37</v>
      </c>
      <c r="F68" s="356"/>
      <c r="G68" s="343">
        <v>420</v>
      </c>
      <c r="J68"/>
      <c r="K68"/>
      <c r="L68"/>
      <c r="M68"/>
      <c r="N68"/>
      <c r="O68"/>
      <c r="P68"/>
      <c r="Q68"/>
    </row>
    <row r="69" spans="1:17" ht="15">
      <c r="A69" s="336"/>
      <c r="B69" s="333"/>
      <c r="C69" s="333"/>
      <c r="D69" s="358"/>
      <c r="E69" s="474" t="s">
        <v>38</v>
      </c>
      <c r="F69" s="475"/>
      <c r="G69" s="343">
        <v>270</v>
      </c>
      <c r="J69"/>
      <c r="K69"/>
      <c r="L69"/>
      <c r="M69"/>
      <c r="N69"/>
      <c r="O69"/>
      <c r="P69"/>
      <c r="Q69"/>
    </row>
    <row r="70" spans="1:17" ht="15">
      <c r="A70" s="332"/>
      <c r="B70" s="333"/>
      <c r="C70" s="333"/>
      <c r="D70" s="358"/>
      <c r="E70" s="484" t="s">
        <v>45</v>
      </c>
      <c r="F70" s="485"/>
      <c r="G70" s="346">
        <v>295</v>
      </c>
      <c r="J70"/>
      <c r="K70"/>
      <c r="L70"/>
      <c r="M70"/>
      <c r="N70"/>
      <c r="O70"/>
      <c r="P70"/>
      <c r="Q70"/>
    </row>
    <row r="71" spans="1:17" ht="15.6" thickBot="1">
      <c r="A71" s="349" t="s">
        <v>39</v>
      </c>
      <c r="B71" s="350">
        <f>SUM(B57:B70)</f>
        <v>20750</v>
      </c>
      <c r="C71" s="350">
        <f>SUM(C57:C70)</f>
        <v>7250</v>
      </c>
      <c r="D71" s="351">
        <f>SUM(D57:D70)</f>
        <v>13500</v>
      </c>
      <c r="E71" s="490" t="s">
        <v>39</v>
      </c>
      <c r="F71" s="486"/>
      <c r="G71" s="351">
        <v>13500</v>
      </c>
      <c r="H71" s="103"/>
      <c r="J71"/>
      <c r="K71"/>
      <c r="L71"/>
      <c r="M71"/>
      <c r="N71"/>
      <c r="O71"/>
      <c r="P71"/>
      <c r="Q71"/>
    </row>
    <row r="72" spans="1:17" ht="15" thickBot="1">
      <c r="J72"/>
      <c r="K72"/>
      <c r="L72"/>
      <c r="M72"/>
      <c r="N72"/>
      <c r="O72"/>
      <c r="P72"/>
      <c r="Q72"/>
    </row>
    <row r="73" spans="1:17" ht="15.6">
      <c r="A73" s="492" t="s">
        <v>320</v>
      </c>
      <c r="B73" s="493"/>
      <c r="C73" s="493"/>
      <c r="D73" s="493"/>
      <c r="E73" s="493"/>
      <c r="F73" s="493"/>
      <c r="G73" s="494"/>
      <c r="J73"/>
      <c r="K73"/>
      <c r="L73"/>
      <c r="M73"/>
      <c r="N73"/>
      <c r="O73"/>
      <c r="P73"/>
      <c r="Q73"/>
    </row>
    <row r="74" spans="1:17" ht="15.6">
      <c r="A74" s="361"/>
      <c r="B74" s="491" t="s">
        <v>21</v>
      </c>
      <c r="C74" s="362"/>
      <c r="D74" s="363"/>
      <c r="E74" s="488"/>
      <c r="F74" s="488" t="s">
        <v>22</v>
      </c>
      <c r="G74" s="487"/>
      <c r="J74"/>
      <c r="K74"/>
      <c r="L74"/>
      <c r="M74"/>
      <c r="N74"/>
      <c r="O74"/>
      <c r="P74"/>
      <c r="Q74"/>
    </row>
    <row r="75" spans="1:17" ht="15.6">
      <c r="A75" s="329" t="s">
        <v>23</v>
      </c>
      <c r="B75" s="284" t="s">
        <v>272</v>
      </c>
      <c r="C75" s="284" t="s">
        <v>273</v>
      </c>
      <c r="D75" s="357" t="s">
        <v>274</v>
      </c>
      <c r="E75" s="330" t="s">
        <v>24</v>
      </c>
      <c r="F75" s="331"/>
      <c r="G75" s="341"/>
      <c r="J75"/>
      <c r="K75"/>
      <c r="L75"/>
      <c r="M75"/>
      <c r="N75"/>
      <c r="O75"/>
      <c r="P75"/>
      <c r="Q75"/>
    </row>
    <row r="76" spans="1:17" ht="15">
      <c r="A76" s="332" t="s">
        <v>25</v>
      </c>
      <c r="B76" s="333"/>
      <c r="C76" s="333"/>
      <c r="D76" s="358"/>
      <c r="E76" s="472" t="s">
        <v>26</v>
      </c>
      <c r="F76" s="473"/>
      <c r="G76" s="342">
        <f>G57</f>
        <v>5500</v>
      </c>
      <c r="J76"/>
      <c r="K76"/>
      <c r="L76"/>
      <c r="M76"/>
      <c r="N76"/>
      <c r="O76"/>
      <c r="P76"/>
      <c r="Q76"/>
    </row>
    <row r="77" spans="1:17" ht="15">
      <c r="A77" s="332" t="s">
        <v>27</v>
      </c>
      <c r="B77" s="333">
        <f>B58+336-150</f>
        <v>15486</v>
      </c>
      <c r="C77" s="333">
        <f>'état fi prévis'!C58+'état fi prévis'!J13-150</f>
        <v>7390</v>
      </c>
      <c r="D77" s="358">
        <f>B77-C77</f>
        <v>8096</v>
      </c>
      <c r="E77" s="474" t="s">
        <v>28</v>
      </c>
      <c r="F77" s="475"/>
      <c r="G77" s="343">
        <f>G59-'tréso prév'!H128+G58</f>
        <v>2448.363636363636</v>
      </c>
      <c r="J77"/>
      <c r="K77"/>
      <c r="L77"/>
      <c r="M77"/>
      <c r="N77"/>
      <c r="O77"/>
      <c r="P77"/>
      <c r="Q77"/>
    </row>
    <row r="78" spans="1:17" ht="15">
      <c r="A78" s="332" t="s">
        <v>29</v>
      </c>
      <c r="B78" s="333"/>
      <c r="C78" s="333"/>
      <c r="D78" s="358"/>
      <c r="E78" s="476" t="s">
        <v>30</v>
      </c>
      <c r="F78" s="477"/>
      <c r="G78" s="344">
        <f>J29</f>
        <v>544.92153076368709</v>
      </c>
    </row>
    <row r="79" spans="1:17" ht="15">
      <c r="A79" s="345"/>
      <c r="B79" s="148"/>
      <c r="C79" s="148"/>
      <c r="D79" s="358"/>
      <c r="E79" s="478" t="s">
        <v>42</v>
      </c>
      <c r="F79" s="479"/>
      <c r="G79" s="346">
        <f>F9</f>
        <v>127.64430071146246</v>
      </c>
    </row>
    <row r="80" spans="1:17" ht="15.6">
      <c r="A80" s="347"/>
      <c r="B80" s="151"/>
      <c r="C80" s="151"/>
      <c r="D80" s="359"/>
      <c r="E80" s="330" t="s">
        <v>31</v>
      </c>
      <c r="F80" s="331"/>
      <c r="G80" s="341"/>
    </row>
    <row r="81" spans="1:10" ht="15.6">
      <c r="A81" s="334" t="s">
        <v>32</v>
      </c>
      <c r="B81" s="335" t="s">
        <v>272</v>
      </c>
      <c r="C81" s="335" t="s">
        <v>273</v>
      </c>
      <c r="D81" s="360" t="s">
        <v>274</v>
      </c>
      <c r="E81" s="480" t="s">
        <v>49</v>
      </c>
      <c r="F81" s="481"/>
      <c r="G81" s="342">
        <f>1200-'tréso prév'!J126</f>
        <v>960</v>
      </c>
    </row>
    <row r="82" spans="1:10" ht="15">
      <c r="A82" s="336" t="s">
        <v>40</v>
      </c>
      <c r="B82" s="333">
        <f>B63+J3</f>
        <v>2477.8907577128975</v>
      </c>
      <c r="C82" s="333">
        <f>C63</f>
        <v>300</v>
      </c>
      <c r="D82" s="358">
        <f>B82-C82</f>
        <v>2177.8907577128975</v>
      </c>
      <c r="E82" s="482" t="s">
        <v>33</v>
      </c>
      <c r="F82" s="483"/>
      <c r="G82" s="343">
        <v>0</v>
      </c>
    </row>
    <row r="83" spans="1:10" ht="15">
      <c r="A83" s="332" t="s">
        <v>46</v>
      </c>
      <c r="B83" s="333"/>
      <c r="C83" s="333"/>
      <c r="D83" s="358"/>
      <c r="E83" s="354" t="s">
        <v>43</v>
      </c>
      <c r="F83" s="338"/>
      <c r="G83" s="346">
        <f>-'tréso prév'!M145</f>
        <v>42.814621263492086</v>
      </c>
    </row>
    <row r="84" spans="1:10" ht="15.6">
      <c r="A84" s="332" t="s">
        <v>41</v>
      </c>
      <c r="B84" s="333"/>
      <c r="C84" s="333"/>
      <c r="D84" s="358">
        <f>'tréso prév'!N63+'tréso prév'!O63</f>
        <v>1511.4119999999998</v>
      </c>
      <c r="E84" s="330" t="s">
        <v>34</v>
      </c>
      <c r="F84" s="331"/>
      <c r="G84" s="341"/>
    </row>
    <row r="85" spans="1:10" ht="15">
      <c r="A85" s="332" t="s">
        <v>47</v>
      </c>
      <c r="B85" s="333"/>
      <c r="C85" s="333"/>
      <c r="D85" s="358"/>
      <c r="E85" s="355" t="s">
        <v>44</v>
      </c>
      <c r="F85" s="339"/>
      <c r="G85" s="348">
        <f>SUM('tréso prév'!K54:M54,'tréso prév'!K57:M57,'tréso prév'!K60:M60)</f>
        <v>490.4869565217391</v>
      </c>
    </row>
    <row r="86" spans="1:10" ht="15">
      <c r="A86" s="332" t="s">
        <v>48</v>
      </c>
      <c r="B86" s="333"/>
      <c r="C86" s="333"/>
      <c r="D86" s="358">
        <f>SUM('tréso prév'!B123:M123)</f>
        <v>295</v>
      </c>
      <c r="E86" s="356" t="s">
        <v>35</v>
      </c>
      <c r="F86" s="340"/>
      <c r="G86" s="343">
        <f>'tréso prév'!N112+'tréso prév'!O112+'tréso prév'!N120+'tréso prév'!N124</f>
        <v>1273.4905333333331</v>
      </c>
    </row>
    <row r="87" spans="1:10" ht="15">
      <c r="A87" s="332" t="s">
        <v>36</v>
      </c>
      <c r="B87" s="333"/>
      <c r="C87" s="148"/>
      <c r="D87" s="358"/>
      <c r="E87" s="356" t="s">
        <v>37</v>
      </c>
      <c r="F87" s="340"/>
      <c r="G87" s="343">
        <f>'tréso prév'!N119</f>
        <v>417.36360000000002</v>
      </c>
    </row>
    <row r="88" spans="1:10" ht="15">
      <c r="A88" s="336"/>
      <c r="C88" s="333"/>
      <c r="D88" s="358"/>
      <c r="E88" s="474" t="s">
        <v>38</v>
      </c>
      <c r="F88" s="475"/>
      <c r="G88" s="343">
        <f>'tréso prév'!N107</f>
        <v>2.3537533333333158</v>
      </c>
    </row>
    <row r="89" spans="1:10" ht="15">
      <c r="A89" s="332"/>
      <c r="B89" s="333"/>
      <c r="C89" s="333"/>
      <c r="D89" s="358"/>
      <c r="E89" s="484" t="s">
        <v>45</v>
      </c>
      <c r="F89" s="485"/>
      <c r="G89" s="346">
        <f>J26</f>
        <v>272.46076538184354</v>
      </c>
    </row>
    <row r="90" spans="1:10" ht="15.6" thickBot="1">
      <c r="A90" s="349" t="s">
        <v>39</v>
      </c>
      <c r="B90" s="350"/>
      <c r="C90" s="350"/>
      <c r="D90" s="351">
        <f>SUM(D76:D79,D82:D89)</f>
        <v>12080.302757712898</v>
      </c>
      <c r="E90" s="490" t="s">
        <v>39</v>
      </c>
      <c r="F90" s="486"/>
      <c r="G90" s="351">
        <f>SUM(G76:G79,G81:G83,G85:G89)</f>
        <v>12079.89969767253</v>
      </c>
      <c r="H90" s="95"/>
      <c r="I90" s="99"/>
    </row>
    <row r="91" spans="1:10">
      <c r="J91" s="13"/>
    </row>
    <row r="92" spans="1:10" s="51" customFormat="1">
      <c r="I92" s="52"/>
      <c r="J92" s="52"/>
    </row>
  </sheetData>
  <phoneticPr fontId="0" type="noConversion"/>
  <pageMargins left="0.23622047244094491" right="0.23622047244094491" top="0.23622047244094491" bottom="0.15748031496062992" header="0.15748031496062992" footer="0.15748031496062992"/>
  <pageSetup paperSize="9" scale="84" fitToHeight="2" orientation="landscape" r:id="rId1"/>
  <headerFooter alignWithMargins="0"/>
  <rowBreaks count="1" manualBreakCount="1">
    <brk id="47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3" tint="0.79998168889431442"/>
  </sheetPr>
  <dimension ref="A1:N77"/>
  <sheetViews>
    <sheetView showGridLines="0" topLeftCell="A28" zoomScale="85" zoomScaleNormal="85" workbookViewId="0">
      <selection activeCell="J50" sqref="J50"/>
    </sheetView>
  </sheetViews>
  <sheetFormatPr baseColWidth="10" defaultColWidth="11" defaultRowHeight="14.4"/>
  <cols>
    <col min="1" max="1" width="15.5546875" style="3" customWidth="1"/>
    <col min="2" max="2" width="13.6640625" style="3" customWidth="1"/>
    <col min="3" max="3" width="11" style="3"/>
    <col min="4" max="4" width="10.88671875" style="3" customWidth="1"/>
    <col min="5" max="5" width="10.44140625" style="3" customWidth="1"/>
    <col min="6" max="10" width="9.6640625" style="3" customWidth="1"/>
    <col min="11" max="11" width="8.44140625" style="3" customWidth="1"/>
    <col min="12" max="12" width="10" style="3" bestFit="1" customWidth="1"/>
    <col min="13" max="13" width="11" style="3"/>
    <col min="14" max="14" width="7.88671875" style="3" customWidth="1"/>
    <col min="15" max="16384" width="11" style="3"/>
  </cols>
  <sheetData>
    <row r="1" spans="1:14">
      <c r="A1" s="531" t="s">
        <v>251</v>
      </c>
      <c r="B1" s="532"/>
      <c r="C1" s="532"/>
      <c r="D1" s="532"/>
      <c r="E1" s="532"/>
      <c r="F1" s="532"/>
      <c r="G1" s="532"/>
      <c r="H1" s="532"/>
      <c r="I1" s="532"/>
      <c r="J1" s="532"/>
      <c r="K1" s="532"/>
      <c r="L1" s="532"/>
      <c r="M1" s="532"/>
      <c r="N1" s="533"/>
    </row>
    <row r="2" spans="1:14">
      <c r="A2" s="438"/>
      <c r="B2" s="241">
        <f>+B32</f>
        <v>43101</v>
      </c>
      <c r="C2" s="241">
        <f t="shared" ref="C2:M2" si="0">+C32</f>
        <v>43132</v>
      </c>
      <c r="D2" s="241">
        <f t="shared" si="0"/>
        <v>43160</v>
      </c>
      <c r="E2" s="241">
        <f t="shared" si="0"/>
        <v>43191</v>
      </c>
      <c r="F2" s="241">
        <f t="shared" si="0"/>
        <v>43221</v>
      </c>
      <c r="G2" s="241">
        <f t="shared" si="0"/>
        <v>43252</v>
      </c>
      <c r="H2" s="241">
        <f t="shared" si="0"/>
        <v>43282</v>
      </c>
      <c r="I2" s="241">
        <f t="shared" si="0"/>
        <v>43313</v>
      </c>
      <c r="J2" s="241">
        <f t="shared" si="0"/>
        <v>43344</v>
      </c>
      <c r="K2" s="241">
        <f t="shared" si="0"/>
        <v>43374</v>
      </c>
      <c r="L2" s="241">
        <f t="shared" si="0"/>
        <v>43405</v>
      </c>
      <c r="M2" s="241">
        <f t="shared" si="0"/>
        <v>43435</v>
      </c>
      <c r="N2" s="495" t="s">
        <v>39</v>
      </c>
    </row>
    <row r="3" spans="1:14">
      <c r="A3" s="496" t="s">
        <v>14</v>
      </c>
      <c r="B3" s="92">
        <v>2</v>
      </c>
      <c r="C3" s="92"/>
      <c r="D3" s="92">
        <v>2</v>
      </c>
      <c r="E3" s="92"/>
      <c r="F3" s="92"/>
      <c r="G3" s="92">
        <v>1</v>
      </c>
      <c r="H3" s="92"/>
      <c r="I3" s="92"/>
      <c r="J3" s="92">
        <v>2</v>
      </c>
      <c r="K3" s="92"/>
      <c r="L3" s="92"/>
      <c r="M3" s="92">
        <v>1</v>
      </c>
      <c r="N3" s="497">
        <f>+SUM(B3:M3)</f>
        <v>8</v>
      </c>
    </row>
    <row r="4" spans="1:14">
      <c r="A4" s="498" t="s">
        <v>15</v>
      </c>
      <c r="B4" s="251">
        <v>1</v>
      </c>
      <c r="C4" s="251">
        <v>1</v>
      </c>
      <c r="D4" s="251"/>
      <c r="E4" s="251"/>
      <c r="F4" s="251">
        <v>3</v>
      </c>
      <c r="G4" s="251"/>
      <c r="H4" s="251">
        <v>1</v>
      </c>
      <c r="I4" s="251"/>
      <c r="J4" s="251"/>
      <c r="K4" s="251"/>
      <c r="L4" s="251"/>
      <c r="M4" s="251"/>
      <c r="N4" s="499">
        <f t="shared" ref="N4:N10" si="1">+SUM(B4:M4)</f>
        <v>6</v>
      </c>
    </row>
    <row r="5" spans="1:14" s="7" customFormat="1">
      <c r="A5" s="500" t="s">
        <v>88</v>
      </c>
      <c r="B5" s="254">
        <f>+B3+B4</f>
        <v>3</v>
      </c>
      <c r="C5" s="254">
        <f t="shared" ref="C5:N5" si="2">+C3+C4</f>
        <v>1</v>
      </c>
      <c r="D5" s="254">
        <f t="shared" si="2"/>
        <v>2</v>
      </c>
      <c r="E5" s="254">
        <f t="shared" si="2"/>
        <v>0</v>
      </c>
      <c r="F5" s="254">
        <f t="shared" si="2"/>
        <v>3</v>
      </c>
      <c r="G5" s="254">
        <f t="shared" si="2"/>
        <v>1</v>
      </c>
      <c r="H5" s="254">
        <f t="shared" si="2"/>
        <v>1</v>
      </c>
      <c r="I5" s="254">
        <f t="shared" si="2"/>
        <v>0</v>
      </c>
      <c r="J5" s="254">
        <f t="shared" si="2"/>
        <v>2</v>
      </c>
      <c r="K5" s="254">
        <f t="shared" si="2"/>
        <v>0</v>
      </c>
      <c r="L5" s="254">
        <f t="shared" si="2"/>
        <v>0</v>
      </c>
      <c r="M5" s="254">
        <f t="shared" si="2"/>
        <v>1</v>
      </c>
      <c r="N5" s="501">
        <f t="shared" si="2"/>
        <v>14</v>
      </c>
    </row>
    <row r="6" spans="1:14">
      <c r="A6" s="502" t="s">
        <v>16</v>
      </c>
      <c r="B6" s="92"/>
      <c r="C6" s="92">
        <v>2</v>
      </c>
      <c r="D6" s="92">
        <v>2</v>
      </c>
      <c r="E6" s="92">
        <v>1</v>
      </c>
      <c r="F6" s="92"/>
      <c r="G6" s="92"/>
      <c r="H6" s="92"/>
      <c r="I6" s="92">
        <v>2</v>
      </c>
      <c r="J6" s="92"/>
      <c r="K6" s="92">
        <v>2</v>
      </c>
      <c r="L6" s="92">
        <v>1</v>
      </c>
      <c r="M6" s="92"/>
      <c r="N6" s="497">
        <f t="shared" si="1"/>
        <v>10</v>
      </c>
    </row>
    <row r="7" spans="1:14">
      <c r="A7" s="503" t="s">
        <v>17</v>
      </c>
      <c r="B7" s="251"/>
      <c r="C7" s="251"/>
      <c r="D7" s="251"/>
      <c r="E7" s="251">
        <v>3</v>
      </c>
      <c r="F7" s="251"/>
      <c r="G7" s="251"/>
      <c r="H7" s="251"/>
      <c r="I7" s="251"/>
      <c r="J7" s="251"/>
      <c r="K7" s="251"/>
      <c r="L7" s="251">
        <v>2</v>
      </c>
      <c r="M7" s="251"/>
      <c r="N7" s="499">
        <f t="shared" si="1"/>
        <v>5</v>
      </c>
    </row>
    <row r="8" spans="1:14" s="7" customFormat="1">
      <c r="A8" s="504" t="s">
        <v>89</v>
      </c>
      <c r="B8" s="254">
        <f>+B6+B7</f>
        <v>0</v>
      </c>
      <c r="C8" s="254">
        <f t="shared" ref="C8:N8" si="3">+C6+C7</f>
        <v>2</v>
      </c>
      <c r="D8" s="254">
        <f t="shared" si="3"/>
        <v>2</v>
      </c>
      <c r="E8" s="254">
        <f t="shared" si="3"/>
        <v>4</v>
      </c>
      <c r="F8" s="254">
        <f t="shared" si="3"/>
        <v>0</v>
      </c>
      <c r="G8" s="254">
        <f t="shared" si="3"/>
        <v>0</v>
      </c>
      <c r="H8" s="254">
        <f t="shared" si="3"/>
        <v>0</v>
      </c>
      <c r="I8" s="254">
        <f t="shared" si="3"/>
        <v>2</v>
      </c>
      <c r="J8" s="254">
        <f t="shared" si="3"/>
        <v>0</v>
      </c>
      <c r="K8" s="254">
        <f t="shared" si="3"/>
        <v>2</v>
      </c>
      <c r="L8" s="254">
        <f t="shared" si="3"/>
        <v>3</v>
      </c>
      <c r="M8" s="254">
        <f t="shared" si="3"/>
        <v>0</v>
      </c>
      <c r="N8" s="501">
        <f t="shared" si="3"/>
        <v>15</v>
      </c>
    </row>
    <row r="9" spans="1:14">
      <c r="A9" s="505" t="s">
        <v>18</v>
      </c>
      <c r="B9" s="92"/>
      <c r="C9" s="92">
        <v>1</v>
      </c>
      <c r="D9" s="92"/>
      <c r="E9" s="92"/>
      <c r="F9" s="92">
        <v>1</v>
      </c>
      <c r="G9" s="92"/>
      <c r="H9" s="92"/>
      <c r="I9" s="92"/>
      <c r="J9" s="92"/>
      <c r="K9" s="92"/>
      <c r="L9" s="92">
        <v>1</v>
      </c>
      <c r="M9" s="92"/>
      <c r="N9" s="497">
        <f t="shared" si="1"/>
        <v>3</v>
      </c>
    </row>
    <row r="10" spans="1:14">
      <c r="A10" s="506" t="s">
        <v>19</v>
      </c>
      <c r="B10" s="251"/>
      <c r="C10" s="251"/>
      <c r="D10" s="251">
        <v>1</v>
      </c>
      <c r="E10" s="251"/>
      <c r="F10" s="251"/>
      <c r="G10" s="251"/>
      <c r="H10" s="251"/>
      <c r="I10" s="251"/>
      <c r="J10" s="251"/>
      <c r="K10" s="251">
        <v>1</v>
      </c>
      <c r="L10" s="251"/>
      <c r="M10" s="251">
        <v>1</v>
      </c>
      <c r="N10" s="499">
        <f t="shared" si="1"/>
        <v>3</v>
      </c>
    </row>
    <row r="11" spans="1:14" s="7" customFormat="1">
      <c r="A11" s="507" t="s">
        <v>90</v>
      </c>
      <c r="B11" s="254">
        <f>+B9+B10</f>
        <v>0</v>
      </c>
      <c r="C11" s="254">
        <f t="shared" ref="C11:N11" si="4">+C9+C10</f>
        <v>1</v>
      </c>
      <c r="D11" s="254">
        <f t="shared" si="4"/>
        <v>1</v>
      </c>
      <c r="E11" s="254">
        <f t="shared" si="4"/>
        <v>0</v>
      </c>
      <c r="F11" s="254">
        <f t="shared" si="4"/>
        <v>1</v>
      </c>
      <c r="G11" s="254">
        <f t="shared" si="4"/>
        <v>0</v>
      </c>
      <c r="H11" s="254">
        <f t="shared" si="4"/>
        <v>0</v>
      </c>
      <c r="I11" s="254">
        <f t="shared" si="4"/>
        <v>0</v>
      </c>
      <c r="J11" s="254">
        <f t="shared" si="4"/>
        <v>0</v>
      </c>
      <c r="K11" s="254">
        <f t="shared" si="4"/>
        <v>1</v>
      </c>
      <c r="L11" s="254">
        <f t="shared" si="4"/>
        <v>1</v>
      </c>
      <c r="M11" s="254">
        <f t="shared" si="4"/>
        <v>1</v>
      </c>
      <c r="N11" s="501">
        <f t="shared" si="4"/>
        <v>6</v>
      </c>
    </row>
    <row r="12" spans="1:14" customFormat="1">
      <c r="A12" s="508" t="s">
        <v>186</v>
      </c>
      <c r="B12" s="364">
        <v>1470</v>
      </c>
      <c r="C12" s="364">
        <v>1420</v>
      </c>
      <c r="D12" s="364">
        <v>1590</v>
      </c>
      <c r="E12" s="364">
        <v>1330</v>
      </c>
      <c r="F12" s="364">
        <v>1200</v>
      </c>
      <c r="G12" s="364">
        <v>1950</v>
      </c>
      <c r="H12" s="364">
        <v>650</v>
      </c>
      <c r="I12" s="364">
        <v>384</v>
      </c>
      <c r="J12" s="364">
        <v>1154</v>
      </c>
      <c r="K12" s="364">
        <v>1622</v>
      </c>
      <c r="L12" s="364">
        <v>1158</v>
      </c>
      <c r="M12" s="364">
        <v>932</v>
      </c>
      <c r="N12" s="509">
        <f>SUM(B12:M12)</f>
        <v>14860</v>
      </c>
    </row>
    <row r="13" spans="1:14" ht="9" customHeight="1">
      <c r="A13" s="510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11"/>
    </row>
    <row r="14" spans="1:14" ht="15" thickBot="1">
      <c r="A14" s="530" t="s">
        <v>321</v>
      </c>
      <c r="B14" s="434"/>
      <c r="C14" s="434"/>
      <c r="D14" s="434"/>
      <c r="E14" s="434"/>
      <c r="F14" s="434"/>
      <c r="G14" s="435"/>
      <c r="H14" s="59"/>
      <c r="I14" s="59"/>
      <c r="J14" s="59"/>
      <c r="K14" s="59"/>
      <c r="L14" s="59"/>
      <c r="M14" s="59"/>
      <c r="N14" s="511"/>
    </row>
    <row r="15" spans="1:14" ht="14.4" customHeight="1">
      <c r="A15" s="512" t="s">
        <v>275</v>
      </c>
      <c r="B15" s="282" t="s">
        <v>56</v>
      </c>
      <c r="C15" s="282" t="s">
        <v>223</v>
      </c>
      <c r="D15" s="282" t="s">
        <v>57</v>
      </c>
      <c r="E15" s="282" t="s">
        <v>58</v>
      </c>
      <c r="F15" s="282" t="s">
        <v>59</v>
      </c>
      <c r="G15" s="282" t="s">
        <v>52</v>
      </c>
      <c r="H15" s="59"/>
      <c r="I15" s="59"/>
      <c r="J15" s="521"/>
      <c r="K15" s="522"/>
      <c r="L15" s="522"/>
      <c r="M15" s="523"/>
      <c r="N15" s="511"/>
    </row>
    <row r="16" spans="1:14" ht="14.4" customHeight="1">
      <c r="A16" s="388" t="s">
        <v>53</v>
      </c>
      <c r="B16" s="92">
        <v>149</v>
      </c>
      <c r="C16" s="92">
        <v>280</v>
      </c>
      <c r="D16" s="92">
        <v>260</v>
      </c>
      <c r="E16" s="92">
        <v>210</v>
      </c>
      <c r="F16" s="92">
        <v>385</v>
      </c>
      <c r="G16" s="92">
        <v>77</v>
      </c>
      <c r="H16" s="59"/>
      <c r="I16" s="59"/>
      <c r="J16" s="527" t="s">
        <v>241</v>
      </c>
      <c r="K16" s="528"/>
      <c r="L16" s="528"/>
      <c r="M16" s="529"/>
      <c r="N16" s="511"/>
    </row>
    <row r="17" spans="1:14" ht="14.4" customHeight="1" thickBot="1">
      <c r="A17" s="390" t="s">
        <v>54</v>
      </c>
      <c r="B17" s="251">
        <v>254</v>
      </c>
      <c r="C17" s="251">
        <v>520</v>
      </c>
      <c r="D17" s="251">
        <v>400</v>
      </c>
      <c r="E17" s="251">
        <v>310</v>
      </c>
      <c r="F17" s="251">
        <v>525</v>
      </c>
      <c r="G17" s="251">
        <v>102</v>
      </c>
      <c r="H17" s="59"/>
      <c r="I17" s="59"/>
      <c r="J17" s="524"/>
      <c r="K17" s="525"/>
      <c r="L17" s="525"/>
      <c r="M17" s="526"/>
      <c r="N17" s="511"/>
    </row>
    <row r="18" spans="1:14" ht="15" customHeight="1">
      <c r="A18" s="390" t="s">
        <v>55</v>
      </c>
      <c r="B18" s="251">
        <v>505</v>
      </c>
      <c r="C18" s="251">
        <v>800</v>
      </c>
      <c r="D18" s="251">
        <v>620</v>
      </c>
      <c r="E18" s="251">
        <v>410</v>
      </c>
      <c r="F18" s="251">
        <v>900</v>
      </c>
      <c r="G18" s="251">
        <v>247</v>
      </c>
      <c r="H18" s="59"/>
      <c r="I18" s="59"/>
      <c r="J18" s="59"/>
      <c r="K18" s="59"/>
      <c r="L18" s="59"/>
      <c r="M18" s="59"/>
      <c r="N18" s="511"/>
    </row>
    <row r="19" spans="1:14">
      <c r="A19" s="513" t="s">
        <v>60</v>
      </c>
      <c r="B19" s="172">
        <v>0.51300000000000001</v>
      </c>
      <c r="C19" s="172"/>
      <c r="D19" s="172"/>
      <c r="E19" s="172">
        <v>2.15</v>
      </c>
      <c r="F19" s="172">
        <v>1.95</v>
      </c>
      <c r="G19" s="172">
        <v>0.151</v>
      </c>
      <c r="H19" s="59"/>
      <c r="I19" s="59"/>
      <c r="J19" s="59"/>
      <c r="K19" s="59"/>
      <c r="L19" s="59"/>
      <c r="M19" s="59"/>
      <c r="N19" s="511"/>
    </row>
    <row r="20" spans="1:14" ht="9" customHeight="1">
      <c r="A20" s="510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11"/>
    </row>
    <row r="21" spans="1:14">
      <c r="A21" s="530" t="s">
        <v>322</v>
      </c>
      <c r="B21" s="434"/>
      <c r="C21" s="434"/>
      <c r="D21" s="434"/>
      <c r="E21" s="434"/>
      <c r="F21" s="434"/>
      <c r="G21" s="434"/>
      <c r="H21" s="434"/>
      <c r="I21" s="434"/>
      <c r="J21" s="434"/>
      <c r="K21" s="434"/>
      <c r="L21" s="435"/>
      <c r="M21" s="59"/>
      <c r="N21" s="511"/>
    </row>
    <row r="22" spans="1:14">
      <c r="A22" s="451"/>
      <c r="B22" s="53" t="s">
        <v>224</v>
      </c>
      <c r="C22" s="252" t="s">
        <v>81</v>
      </c>
      <c r="D22" s="365" t="s">
        <v>62</v>
      </c>
      <c r="E22" s="365" t="s">
        <v>63</v>
      </c>
      <c r="F22" s="365" t="s">
        <v>64</v>
      </c>
      <c r="G22" s="365" t="s">
        <v>65</v>
      </c>
      <c r="H22" s="365" t="s">
        <v>52</v>
      </c>
      <c r="I22" s="365" t="s">
        <v>66</v>
      </c>
      <c r="J22" s="365" t="s">
        <v>288</v>
      </c>
      <c r="K22" s="365" t="s">
        <v>68</v>
      </c>
      <c r="L22" s="365" t="s">
        <v>69</v>
      </c>
      <c r="M22" s="59"/>
      <c r="N22" s="511"/>
    </row>
    <row r="23" spans="1:14">
      <c r="A23" s="514" t="s">
        <v>70</v>
      </c>
      <c r="B23" s="366">
        <v>2160</v>
      </c>
      <c r="C23" s="181">
        <v>0</v>
      </c>
      <c r="D23" s="181">
        <v>7</v>
      </c>
      <c r="E23" s="181">
        <v>20</v>
      </c>
      <c r="F23" s="181">
        <v>33</v>
      </c>
      <c r="G23" s="181">
        <v>1</v>
      </c>
      <c r="H23" s="181">
        <v>0</v>
      </c>
      <c r="I23" s="181">
        <v>0</v>
      </c>
      <c r="J23" s="181">
        <v>0</v>
      </c>
      <c r="K23" s="181">
        <v>0</v>
      </c>
      <c r="L23" s="191">
        <f t="shared" ref="L23:L28" si="5">SUM(C23:K23)</f>
        <v>61</v>
      </c>
      <c r="M23" s="59"/>
      <c r="N23" s="511"/>
    </row>
    <row r="24" spans="1:14">
      <c r="A24" s="515" t="s">
        <v>71</v>
      </c>
      <c r="B24" s="367">
        <v>2385</v>
      </c>
      <c r="C24" s="182">
        <v>9</v>
      </c>
      <c r="D24" s="182"/>
      <c r="E24" s="182"/>
      <c r="F24" s="182"/>
      <c r="G24" s="182">
        <v>1</v>
      </c>
      <c r="H24" s="182"/>
      <c r="I24" s="182"/>
      <c r="J24" s="182"/>
      <c r="K24" s="182"/>
      <c r="L24" s="192">
        <f t="shared" si="5"/>
        <v>10</v>
      </c>
      <c r="M24" s="59"/>
      <c r="N24" s="511"/>
    </row>
    <row r="25" spans="1:14">
      <c r="A25" s="515" t="s">
        <v>72</v>
      </c>
      <c r="B25" s="367">
        <v>2385</v>
      </c>
      <c r="C25" s="182"/>
      <c r="D25" s="182">
        <v>1</v>
      </c>
      <c r="E25" s="182">
        <v>2</v>
      </c>
      <c r="F25" s="182">
        <v>3</v>
      </c>
      <c r="G25" s="182"/>
      <c r="H25" s="182">
        <v>3</v>
      </c>
      <c r="I25" s="182">
        <v>12</v>
      </c>
      <c r="J25" s="182">
        <v>8</v>
      </c>
      <c r="K25" s="182">
        <v>1</v>
      </c>
      <c r="L25" s="192">
        <f t="shared" si="5"/>
        <v>30</v>
      </c>
      <c r="M25" s="59"/>
      <c r="N25" s="511"/>
    </row>
    <row r="26" spans="1:14">
      <c r="A26" s="515" t="s">
        <v>73</v>
      </c>
      <c r="B26" s="367">
        <v>3510</v>
      </c>
      <c r="C26" s="182">
        <v>4</v>
      </c>
      <c r="D26" s="182"/>
      <c r="E26" s="182"/>
      <c r="F26" s="182"/>
      <c r="G26" s="182"/>
      <c r="H26" s="182"/>
      <c r="I26" s="182"/>
      <c r="J26" s="182"/>
      <c r="K26" s="182"/>
      <c r="L26" s="192">
        <f t="shared" si="5"/>
        <v>4</v>
      </c>
      <c r="M26" s="59"/>
      <c r="N26" s="511"/>
    </row>
    <row r="27" spans="1:14">
      <c r="A27" s="515" t="s">
        <v>74</v>
      </c>
      <c r="B27" s="367">
        <v>3510</v>
      </c>
      <c r="C27" s="182"/>
      <c r="D27" s="182"/>
      <c r="E27" s="182"/>
      <c r="F27" s="182"/>
      <c r="G27" s="182"/>
      <c r="H27" s="182">
        <v>1</v>
      </c>
      <c r="I27" s="182">
        <v>10</v>
      </c>
      <c r="J27" s="182">
        <v>2</v>
      </c>
      <c r="K27" s="182">
        <v>1</v>
      </c>
      <c r="L27" s="192">
        <f t="shared" si="5"/>
        <v>14</v>
      </c>
      <c r="M27" s="59"/>
      <c r="N27" s="511"/>
    </row>
    <row r="28" spans="1:14">
      <c r="A28" s="516" t="s">
        <v>75</v>
      </c>
      <c r="B28" s="368">
        <v>4100</v>
      </c>
      <c r="C28" s="183">
        <v>1</v>
      </c>
      <c r="D28" s="184">
        <f>1/3</f>
        <v>0.33333333333333331</v>
      </c>
      <c r="E28" s="184">
        <f>1/3</f>
        <v>0.33333333333333331</v>
      </c>
      <c r="F28" s="184">
        <f>1/3</f>
        <v>0.33333333333333331</v>
      </c>
      <c r="G28" s="183"/>
      <c r="H28" s="183"/>
      <c r="I28" s="183">
        <v>1</v>
      </c>
      <c r="J28" s="183">
        <v>2</v>
      </c>
      <c r="K28" s="183"/>
      <c r="L28" s="193">
        <f t="shared" si="5"/>
        <v>5</v>
      </c>
      <c r="M28" s="59"/>
      <c r="N28" s="511"/>
    </row>
    <row r="29" spans="1:14" s="13" customFormat="1" ht="18">
      <c r="A29" s="517" t="s">
        <v>237</v>
      </c>
      <c r="B29" s="198"/>
      <c r="C29" s="727">
        <f>SUMPRODUCT(C23:C28,$E$36:$E$41)/1000</f>
        <v>751.7029</v>
      </c>
      <c r="D29" s="727">
        <f t="shared" ref="D29:K29" si="6">SUMPRODUCT(D23:D28,$E$36:$E$41)/1000</f>
        <v>358.18423333333334</v>
      </c>
      <c r="E29" s="727">
        <f t="shared" si="6"/>
        <v>936.40993333333336</v>
      </c>
      <c r="F29" s="727">
        <f t="shared" si="6"/>
        <v>1514.6356333333335</v>
      </c>
      <c r="G29" s="727">
        <f t="shared" si="6"/>
        <v>86.264099999999999</v>
      </c>
      <c r="H29" s="727">
        <f t="shared" si="6"/>
        <v>202.42170000000002</v>
      </c>
      <c r="I29" s="727">
        <f t="shared" si="6"/>
        <v>1287.2236</v>
      </c>
      <c r="J29" s="727">
        <f t="shared" si="6"/>
        <v>651.01400000000001</v>
      </c>
      <c r="K29" s="727">
        <f t="shared" si="6"/>
        <v>111.8871</v>
      </c>
      <c r="L29" s="728">
        <f>SUM(C29:K29)</f>
        <v>5899.7431999999999</v>
      </c>
      <c r="M29" s="59"/>
      <c r="N29" s="511"/>
    </row>
    <row r="30" spans="1:14" ht="10.199999999999999" customHeight="1">
      <c r="A30" s="510"/>
      <c r="B30" s="60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11"/>
    </row>
    <row r="31" spans="1:14">
      <c r="A31" s="530" t="s">
        <v>234</v>
      </c>
      <c r="B31" s="434"/>
      <c r="C31" s="434"/>
      <c r="D31" s="434"/>
      <c r="E31" s="434"/>
      <c r="F31" s="434"/>
      <c r="G31" s="434"/>
      <c r="H31" s="434"/>
      <c r="I31" s="434"/>
      <c r="J31" s="434"/>
      <c r="K31" s="434"/>
      <c r="L31" s="434"/>
      <c r="M31" s="435"/>
      <c r="N31" s="511"/>
    </row>
    <row r="32" spans="1:14">
      <c r="A32" s="438"/>
      <c r="B32" s="241">
        <f>'données prév'!B8</f>
        <v>43101</v>
      </c>
      <c r="C32" s="241">
        <f>'données prév'!C8</f>
        <v>43132</v>
      </c>
      <c r="D32" s="241">
        <f>'données prév'!D8</f>
        <v>43160</v>
      </c>
      <c r="E32" s="241">
        <f>'données prév'!E8</f>
        <v>43191</v>
      </c>
      <c r="F32" s="241">
        <f>'données prév'!F8</f>
        <v>43221</v>
      </c>
      <c r="G32" s="241">
        <f>'données prév'!G8</f>
        <v>43252</v>
      </c>
      <c r="H32" s="241">
        <f>'données prév'!H8</f>
        <v>43282</v>
      </c>
      <c r="I32" s="241">
        <f>'données prév'!I8</f>
        <v>43313</v>
      </c>
      <c r="J32" s="241">
        <f>'données prév'!J8</f>
        <v>43344</v>
      </c>
      <c r="K32" s="241">
        <f>'données prév'!K8</f>
        <v>43374</v>
      </c>
      <c r="L32" s="241">
        <f>'données prév'!L8</f>
        <v>43405</v>
      </c>
      <c r="M32" s="241">
        <f>'données prév'!M8</f>
        <v>43435</v>
      </c>
      <c r="N32" s="511"/>
    </row>
    <row r="33" spans="1:14" ht="15" thickBot="1">
      <c r="A33" s="518" t="s">
        <v>235</v>
      </c>
      <c r="B33" s="519">
        <v>-1140</v>
      </c>
      <c r="C33" s="519">
        <v>1250</v>
      </c>
      <c r="D33" s="519">
        <v>-526</v>
      </c>
      <c r="E33" s="519">
        <v>289</v>
      </c>
      <c r="F33" s="519">
        <v>-458</v>
      </c>
      <c r="G33" s="519">
        <v>-523</v>
      </c>
      <c r="H33" s="519">
        <v>376</v>
      </c>
      <c r="I33" s="519">
        <v>567</v>
      </c>
      <c r="J33" s="519">
        <v>-512</v>
      </c>
      <c r="K33" s="519">
        <v>458</v>
      </c>
      <c r="L33" s="519">
        <v>360</v>
      </c>
      <c r="M33" s="519">
        <v>-568</v>
      </c>
      <c r="N33" s="520"/>
    </row>
    <row r="34" spans="1:14" ht="12" customHeight="1"/>
    <row r="35" spans="1:14" ht="40.950000000000003" customHeight="1">
      <c r="A35" s="121" t="str">
        <f>'données prév'!A41</f>
        <v>salaires 2018
 en euros</v>
      </c>
      <c r="B35" s="194" t="s">
        <v>231</v>
      </c>
      <c r="C35" s="194" t="s">
        <v>77</v>
      </c>
      <c r="D35" s="194" t="s">
        <v>78</v>
      </c>
      <c r="E35" s="194" t="s">
        <v>80</v>
      </c>
      <c r="H35" s="410" t="s">
        <v>116</v>
      </c>
      <c r="I35" s="410"/>
      <c r="J35" s="410"/>
      <c r="K35" s="410"/>
      <c r="L35" s="410"/>
      <c r="M35" s="410"/>
    </row>
    <row r="36" spans="1:14" ht="14.4" customHeight="1">
      <c r="A36" s="191" t="s">
        <v>70</v>
      </c>
      <c r="B36" s="729">
        <f>B23</f>
        <v>2160</v>
      </c>
      <c r="C36" s="729">
        <f>B36*13</f>
        <v>28080</v>
      </c>
      <c r="D36" s="729">
        <f>C36*0.46</f>
        <v>12916.800000000001</v>
      </c>
      <c r="E36" s="729">
        <f>C36+D36</f>
        <v>40996.800000000003</v>
      </c>
      <c r="H36" s="415" t="s">
        <v>276</v>
      </c>
      <c r="I36" s="416"/>
      <c r="J36" s="400" t="s">
        <v>309</v>
      </c>
      <c r="K36" s="401"/>
      <c r="L36" s="401"/>
      <c r="M36" s="402"/>
    </row>
    <row r="37" spans="1:14" ht="18">
      <c r="A37" s="192" t="s">
        <v>71</v>
      </c>
      <c r="B37" s="730">
        <f t="shared" ref="B37:B41" si="7">B24</f>
        <v>2385</v>
      </c>
      <c r="C37" s="730">
        <f t="shared" ref="C37:C41" si="8">B37*13</f>
        <v>31005</v>
      </c>
      <c r="D37" s="730">
        <f t="shared" ref="D37:D41" si="9">C37*0.46</f>
        <v>14262.300000000001</v>
      </c>
      <c r="E37" s="730">
        <f t="shared" ref="E37:E41" si="10">C37+D37</f>
        <v>45267.3</v>
      </c>
      <c r="H37" s="384" t="s">
        <v>328</v>
      </c>
      <c r="I37" s="411"/>
      <c r="J37" s="189" t="s">
        <v>81</v>
      </c>
      <c r="K37" s="190" t="s">
        <v>62</v>
      </c>
      <c r="L37" s="190" t="s">
        <v>63</v>
      </c>
      <c r="M37" s="190" t="s">
        <v>64</v>
      </c>
    </row>
    <row r="38" spans="1:14" ht="21">
      <c r="A38" s="192" t="s">
        <v>72</v>
      </c>
      <c r="B38" s="730">
        <f t="shared" si="7"/>
        <v>2385</v>
      </c>
      <c r="C38" s="730">
        <f t="shared" si="8"/>
        <v>31005</v>
      </c>
      <c r="D38" s="730">
        <f t="shared" si="9"/>
        <v>14262.300000000001</v>
      </c>
      <c r="E38" s="730">
        <f t="shared" si="10"/>
        <v>45267.3</v>
      </c>
      <c r="G38" s="300" t="s">
        <v>53</v>
      </c>
      <c r="H38" s="824">
        <f>N5</f>
        <v>14</v>
      </c>
      <c r="I38" s="825"/>
      <c r="J38" s="733">
        <f>H38-M3</f>
        <v>13</v>
      </c>
      <c r="K38" s="733">
        <f>N5-M5-L5</f>
        <v>13</v>
      </c>
      <c r="L38" s="733">
        <f>K38</f>
        <v>13</v>
      </c>
      <c r="M38" s="733">
        <f>N5-SUM(K5:M5)+2</f>
        <v>15</v>
      </c>
    </row>
    <row r="39" spans="1:14" ht="21">
      <c r="A39" s="192" t="s">
        <v>73</v>
      </c>
      <c r="B39" s="730">
        <f t="shared" si="7"/>
        <v>3510</v>
      </c>
      <c r="C39" s="730">
        <f t="shared" si="8"/>
        <v>45630</v>
      </c>
      <c r="D39" s="730">
        <f t="shared" si="9"/>
        <v>20989.8</v>
      </c>
      <c r="E39" s="730">
        <f t="shared" si="10"/>
        <v>66619.8</v>
      </c>
      <c r="G39" s="304" t="s">
        <v>54</v>
      </c>
      <c r="H39" s="826">
        <f>N8</f>
        <v>15</v>
      </c>
      <c r="I39" s="827"/>
      <c r="J39" s="734">
        <f>N8</f>
        <v>15</v>
      </c>
      <c r="K39" s="735">
        <f>N8-M8-L8</f>
        <v>12</v>
      </c>
      <c r="L39" s="734">
        <f t="shared" ref="L39:L40" si="11">K39</f>
        <v>12</v>
      </c>
      <c r="M39" s="734">
        <f>N8-SUM(K8:M8)+2</f>
        <v>12</v>
      </c>
    </row>
    <row r="40" spans="1:14" ht="21">
      <c r="A40" s="192" t="s">
        <v>74</v>
      </c>
      <c r="B40" s="730">
        <f t="shared" si="7"/>
        <v>3510</v>
      </c>
      <c r="C40" s="730">
        <f t="shared" si="8"/>
        <v>45630</v>
      </c>
      <c r="D40" s="730">
        <f t="shared" si="9"/>
        <v>20989.8</v>
      </c>
      <c r="E40" s="730">
        <f t="shared" si="10"/>
        <v>66619.8</v>
      </c>
      <c r="G40" s="304" t="s">
        <v>55</v>
      </c>
      <c r="H40" s="826">
        <f>N11</f>
        <v>6</v>
      </c>
      <c r="I40" s="827"/>
      <c r="J40" s="734">
        <f>N11-M11</f>
        <v>5</v>
      </c>
      <c r="K40" s="734">
        <f>N11-M11-L11</f>
        <v>4</v>
      </c>
      <c r="L40" s="734">
        <f t="shared" si="11"/>
        <v>4</v>
      </c>
      <c r="M40" s="734">
        <f>N11-SUM(K11:M11)+2</f>
        <v>5</v>
      </c>
    </row>
    <row r="41" spans="1:14" ht="21">
      <c r="A41" s="193" t="s">
        <v>75</v>
      </c>
      <c r="B41" s="731">
        <f t="shared" si="7"/>
        <v>4100</v>
      </c>
      <c r="C41" s="731">
        <f t="shared" si="8"/>
        <v>53300</v>
      </c>
      <c r="D41" s="731">
        <f t="shared" si="9"/>
        <v>24518</v>
      </c>
      <c r="E41" s="731">
        <f t="shared" si="10"/>
        <v>77818</v>
      </c>
      <c r="G41" s="318" t="s">
        <v>232</v>
      </c>
      <c r="H41" s="828">
        <f>N12</f>
        <v>14860</v>
      </c>
      <c r="I41" s="829"/>
      <c r="J41" s="736">
        <v>0</v>
      </c>
      <c r="K41" s="736">
        <v>0</v>
      </c>
      <c r="L41" s="736">
        <f>N12</f>
        <v>14860</v>
      </c>
      <c r="M41" s="736">
        <f>N12</f>
        <v>14860</v>
      </c>
    </row>
    <row r="42" spans="1:14" ht="15" thickBot="1"/>
    <row r="43" spans="1:14" ht="15.6">
      <c r="A43" s="631" t="s">
        <v>293</v>
      </c>
      <c r="B43" s="632"/>
      <c r="C43" s="632"/>
      <c r="D43" s="632"/>
      <c r="E43" s="633"/>
    </row>
    <row r="44" spans="1:14" ht="15.6">
      <c r="A44" s="634" t="s">
        <v>249</v>
      </c>
      <c r="B44" s="635"/>
      <c r="C44" s="635"/>
      <c r="D44" s="635"/>
      <c r="E44" s="636"/>
    </row>
    <row r="45" spans="1:14" ht="15.6">
      <c r="A45" s="634" t="s">
        <v>294</v>
      </c>
      <c r="B45" s="635"/>
      <c r="C45" s="635"/>
      <c r="D45" s="635"/>
      <c r="E45" s="636"/>
    </row>
    <row r="46" spans="1:14" ht="15.6">
      <c r="A46" s="634" t="s">
        <v>295</v>
      </c>
      <c r="B46" s="635"/>
      <c r="C46" s="635"/>
      <c r="D46" s="635"/>
      <c r="E46" s="636"/>
    </row>
    <row r="47" spans="1:14" ht="15.6">
      <c r="A47" s="634" t="s">
        <v>296</v>
      </c>
      <c r="B47" s="635"/>
      <c r="C47" s="635"/>
      <c r="D47" s="635"/>
      <c r="E47" s="636"/>
    </row>
    <row r="48" spans="1:14" ht="15.6">
      <c r="A48" s="634" t="s">
        <v>297</v>
      </c>
      <c r="B48" s="635"/>
      <c r="C48" s="635"/>
      <c r="D48" s="635"/>
      <c r="E48" s="636"/>
    </row>
    <row r="49" spans="1:10" ht="16.2" thickBot="1">
      <c r="A49" s="637" t="s">
        <v>298</v>
      </c>
      <c r="B49" s="638"/>
      <c r="C49" s="638"/>
      <c r="D49" s="638"/>
      <c r="E49" s="639"/>
    </row>
    <row r="50" spans="1:10" ht="15" thickBot="1"/>
    <row r="51" spans="1:10" ht="15" thickTop="1">
      <c r="A51" s="403" t="s">
        <v>278</v>
      </c>
      <c r="B51" s="417" t="s">
        <v>83</v>
      </c>
      <c r="C51" s="418"/>
      <c r="D51" s="417" t="s">
        <v>84</v>
      </c>
      <c r="E51" s="418"/>
      <c r="F51" s="417" t="s">
        <v>85</v>
      </c>
      <c r="G51" s="418"/>
      <c r="H51" s="417" t="s">
        <v>86</v>
      </c>
      <c r="I51" s="419"/>
    </row>
    <row r="52" spans="1:10">
      <c r="A52" s="404" t="s">
        <v>277</v>
      </c>
      <c r="B52" s="282" t="s">
        <v>91</v>
      </c>
      <c r="C52" s="282" t="s">
        <v>87</v>
      </c>
      <c r="D52" s="282" t="s">
        <v>91</v>
      </c>
      <c r="E52" s="282" t="s">
        <v>87</v>
      </c>
      <c r="F52" s="282" t="s">
        <v>91</v>
      </c>
      <c r="G52" s="282" t="s">
        <v>87</v>
      </c>
      <c r="H52" s="282" t="s">
        <v>91</v>
      </c>
      <c r="I52" s="199" t="s">
        <v>87</v>
      </c>
    </row>
    <row r="53" spans="1:10">
      <c r="A53" s="210" t="s">
        <v>53</v>
      </c>
      <c r="B53" s="675">
        <f>C16</f>
        <v>280</v>
      </c>
      <c r="C53" s="675">
        <f>B53*J38</f>
        <v>3640</v>
      </c>
      <c r="D53" s="675">
        <f>D16</f>
        <v>260</v>
      </c>
      <c r="E53" s="675">
        <f>D53*K38</f>
        <v>3380</v>
      </c>
      <c r="F53" s="675">
        <f>E16</f>
        <v>210</v>
      </c>
      <c r="G53" s="675">
        <f>F53*L38</f>
        <v>2730</v>
      </c>
      <c r="H53" s="675">
        <f>F16</f>
        <v>385</v>
      </c>
      <c r="I53" s="675">
        <f>H53*M38</f>
        <v>5775</v>
      </c>
    </row>
    <row r="54" spans="1:10">
      <c r="A54" s="211" t="s">
        <v>54</v>
      </c>
      <c r="B54" s="677">
        <f t="shared" ref="B54:B55" si="12">C17</f>
        <v>520</v>
      </c>
      <c r="C54" s="677">
        <f t="shared" ref="C54:C55" si="13">B54*J39</f>
        <v>7800</v>
      </c>
      <c r="D54" s="677">
        <f t="shared" ref="D54:D55" si="14">D17</f>
        <v>400</v>
      </c>
      <c r="E54" s="677">
        <f t="shared" ref="E54:E55" si="15">D54*K39</f>
        <v>4800</v>
      </c>
      <c r="F54" s="677">
        <f t="shared" ref="F54:F56" si="16">E17</f>
        <v>310</v>
      </c>
      <c r="G54" s="677">
        <f t="shared" ref="G54:G56" si="17">F54*L39</f>
        <v>3720</v>
      </c>
      <c r="H54" s="677">
        <f t="shared" ref="H54:H56" si="18">F17</f>
        <v>525</v>
      </c>
      <c r="I54" s="677">
        <f t="shared" ref="I54:I56" si="19">H54*M39</f>
        <v>6300</v>
      </c>
    </row>
    <row r="55" spans="1:10">
      <c r="A55" s="211" t="s">
        <v>55</v>
      </c>
      <c r="B55" s="677">
        <f t="shared" si="12"/>
        <v>800</v>
      </c>
      <c r="C55" s="677">
        <f t="shared" si="13"/>
        <v>4000</v>
      </c>
      <c r="D55" s="677">
        <f t="shared" si="14"/>
        <v>620</v>
      </c>
      <c r="E55" s="677">
        <f t="shared" si="15"/>
        <v>2480</v>
      </c>
      <c r="F55" s="677">
        <f t="shared" si="16"/>
        <v>410</v>
      </c>
      <c r="G55" s="677">
        <f t="shared" si="17"/>
        <v>1640</v>
      </c>
      <c r="H55" s="677">
        <f t="shared" si="18"/>
        <v>900</v>
      </c>
      <c r="I55" s="677">
        <f t="shared" si="19"/>
        <v>4500</v>
      </c>
    </row>
    <row r="56" spans="1:10">
      <c r="A56" s="212" t="s">
        <v>232</v>
      </c>
      <c r="B56" s="677"/>
      <c r="C56" s="677"/>
      <c r="D56" s="677"/>
      <c r="E56" s="677"/>
      <c r="F56" s="732">
        <f t="shared" si="16"/>
        <v>2.15</v>
      </c>
      <c r="G56" s="677">
        <f t="shared" si="17"/>
        <v>31949</v>
      </c>
      <c r="H56" s="732">
        <f t="shared" si="18"/>
        <v>1.95</v>
      </c>
      <c r="I56" s="677">
        <f t="shared" si="19"/>
        <v>28977</v>
      </c>
    </row>
    <row r="57" spans="1:10">
      <c r="A57" s="213" t="s">
        <v>82</v>
      </c>
      <c r="B57" s="679"/>
      <c r="C57" s="679"/>
      <c r="D57" s="679"/>
      <c r="E57" s="679"/>
      <c r="F57" s="679"/>
      <c r="G57" s="679"/>
      <c r="H57" s="679"/>
      <c r="I57" s="679"/>
      <c r="J57" s="3" t="s">
        <v>341</v>
      </c>
    </row>
    <row r="58" spans="1:10">
      <c r="A58" s="200" t="s">
        <v>117</v>
      </c>
      <c r="B58" s="15"/>
      <c r="C58" s="14">
        <f>SUM(C53:C57)</f>
        <v>15440</v>
      </c>
      <c r="D58" s="15"/>
      <c r="E58" s="14">
        <f>SUM(E53:E57)</f>
        <v>10660</v>
      </c>
      <c r="F58" s="15"/>
      <c r="G58" s="14">
        <f>SUM(G53:G57)</f>
        <v>40039</v>
      </c>
      <c r="H58" s="15"/>
      <c r="I58" s="83">
        <f>SUM(I53:I57)</f>
        <v>45552</v>
      </c>
    </row>
    <row r="59" spans="1:10">
      <c r="A59" s="412"/>
      <c r="B59" s="420" t="s">
        <v>83</v>
      </c>
      <c r="C59" s="421"/>
      <c r="D59" s="420" t="s">
        <v>84</v>
      </c>
      <c r="E59" s="421"/>
      <c r="F59" s="420" t="s">
        <v>85</v>
      </c>
      <c r="G59" s="421"/>
      <c r="H59" s="420" t="s">
        <v>86</v>
      </c>
      <c r="I59" s="422"/>
    </row>
    <row r="60" spans="1:10">
      <c r="A60" s="414" t="s">
        <v>279</v>
      </c>
      <c r="B60" s="282" t="s">
        <v>118</v>
      </c>
      <c r="C60" s="282" t="s">
        <v>87</v>
      </c>
      <c r="D60" s="282" t="s">
        <v>118</v>
      </c>
      <c r="E60" s="282" t="s">
        <v>87</v>
      </c>
      <c r="F60" s="282" t="s">
        <v>118</v>
      </c>
      <c r="G60" s="282" t="s">
        <v>87</v>
      </c>
      <c r="H60" s="282" t="s">
        <v>118</v>
      </c>
      <c r="I60" s="199" t="s">
        <v>87</v>
      </c>
    </row>
    <row r="61" spans="1:10">
      <c r="A61" s="413" t="s">
        <v>280</v>
      </c>
      <c r="B61" s="6">
        <f>C24+C26</f>
        <v>13</v>
      </c>
      <c r="C61" s="14">
        <f>B61*35/5*225*0.95*(1-3.5%)</f>
        <v>18770.456249999999</v>
      </c>
      <c r="D61" s="6">
        <f>D23</f>
        <v>7</v>
      </c>
      <c r="E61" s="14">
        <f>D61*35/5*225*0.95*(1-3.5%)</f>
        <v>10107.168749999999</v>
      </c>
      <c r="F61" s="6">
        <f>E23</f>
        <v>20</v>
      </c>
      <c r="G61" s="14">
        <f>F61*35/5*225*0.95*(1-3.5%)*3/2</f>
        <v>43316.4375</v>
      </c>
      <c r="H61" s="6">
        <f>F23</f>
        <v>33</v>
      </c>
      <c r="I61" s="14">
        <f>H61*35/5*225*0.95*(1-3.5%)</f>
        <v>47648.081249999996</v>
      </c>
      <c r="J61" s="3" t="s">
        <v>344</v>
      </c>
    </row>
    <row r="62" spans="1:10">
      <c r="A62" s="84"/>
      <c r="B62" s="68"/>
      <c r="C62" s="68"/>
      <c r="D62" s="68"/>
      <c r="E62" s="44"/>
      <c r="F62" s="68"/>
      <c r="G62" s="68"/>
      <c r="H62" s="68"/>
      <c r="I62" s="85"/>
    </row>
    <row r="63" spans="1:10">
      <c r="A63" s="423" t="s">
        <v>249</v>
      </c>
      <c r="B63" s="424"/>
      <c r="C63" s="424"/>
      <c r="D63" s="424"/>
      <c r="E63" s="424"/>
      <c r="F63" s="424"/>
      <c r="G63" s="424"/>
      <c r="H63" s="424"/>
      <c r="I63" s="425"/>
    </row>
    <row r="64" spans="1:10">
      <c r="A64" s="200" t="s">
        <v>291</v>
      </c>
      <c r="B64" s="68"/>
      <c r="C64" s="21">
        <f>IF(C58&gt;C61,C58-C61,0)</f>
        <v>0</v>
      </c>
      <c r="D64" s="68"/>
      <c r="E64" s="21">
        <f>IF(E58&gt;E61,E58-E61,0)</f>
        <v>552.83125000000109</v>
      </c>
      <c r="F64" s="68"/>
      <c r="G64" s="21">
        <f>IF(G58&gt;G61,G58-G61,0)</f>
        <v>0</v>
      </c>
      <c r="H64" s="68"/>
      <c r="I64" s="21">
        <f>IF(I58&gt;I61,I58-I61,0)</f>
        <v>0</v>
      </c>
    </row>
    <row r="65" spans="1:14">
      <c r="A65" s="84"/>
      <c r="B65" s="68"/>
      <c r="C65" s="68"/>
      <c r="D65" s="68"/>
      <c r="E65" s="68"/>
      <c r="F65" s="68"/>
      <c r="G65" s="68"/>
      <c r="H65" s="68"/>
      <c r="I65" s="85"/>
    </row>
    <row r="66" spans="1:14" ht="15" thickBot="1">
      <c r="A66" s="201" t="s">
        <v>250</v>
      </c>
      <c r="B66" s="86"/>
      <c r="C66" s="21">
        <f>IF(C58&lt;C61,-(C58-C61),0)</f>
        <v>3330.4562499999993</v>
      </c>
      <c r="D66" s="86"/>
      <c r="E66" s="21">
        <f>IF(E58&lt;E61,-(E58-E61),0)</f>
        <v>0</v>
      </c>
      <c r="F66" s="86"/>
      <c r="G66" s="21">
        <f>IF(G58&lt;G61,-(G58-G61),0)</f>
        <v>3277.4375</v>
      </c>
      <c r="H66" s="86"/>
      <c r="I66" s="21">
        <f>IF(I58&lt;I61,-(I58-I61),0)</f>
        <v>2096.0812499999956</v>
      </c>
    </row>
    <row r="67" spans="1:14" ht="15" thickTop="1"/>
    <row r="69" spans="1:14">
      <c r="A69" s="433" t="s">
        <v>301</v>
      </c>
      <c r="B69" s="434"/>
      <c r="C69" s="434"/>
      <c r="D69" s="434"/>
      <c r="E69" s="434"/>
      <c r="F69" s="434"/>
      <c r="G69" s="434"/>
      <c r="H69" s="434"/>
      <c r="I69" s="434"/>
      <c r="J69" s="434"/>
      <c r="K69" s="434"/>
      <c r="L69" s="434"/>
      <c r="M69" s="435"/>
    </row>
    <row r="70" spans="1:14">
      <c r="A70" s="283"/>
      <c r="B70" s="241">
        <f>B32</f>
        <v>43101</v>
      </c>
      <c r="C70" s="241">
        <f t="shared" ref="C70:M70" si="20">C32</f>
        <v>43132</v>
      </c>
      <c r="D70" s="241">
        <f t="shared" si="20"/>
        <v>43160</v>
      </c>
      <c r="E70" s="241">
        <f t="shared" si="20"/>
        <v>43191</v>
      </c>
      <c r="F70" s="241">
        <f t="shared" si="20"/>
        <v>43221</v>
      </c>
      <c r="G70" s="241">
        <f t="shared" si="20"/>
        <v>43252</v>
      </c>
      <c r="H70" s="241">
        <f t="shared" si="20"/>
        <v>43282</v>
      </c>
      <c r="I70" s="241">
        <f t="shared" si="20"/>
        <v>43313</v>
      </c>
      <c r="J70" s="241">
        <f t="shared" si="20"/>
        <v>43344</v>
      </c>
      <c r="K70" s="241">
        <f t="shared" si="20"/>
        <v>43374</v>
      </c>
      <c r="L70" s="241">
        <f t="shared" si="20"/>
        <v>43405</v>
      </c>
      <c r="M70" s="241">
        <f t="shared" si="20"/>
        <v>43435</v>
      </c>
    </row>
    <row r="71" spans="1:14">
      <c r="A71" s="283" t="s">
        <v>260</v>
      </c>
      <c r="B71" s="760">
        <v>1.1000000000000001</v>
      </c>
      <c r="C71" s="760">
        <v>1.1000000000000001</v>
      </c>
      <c r="D71" s="760">
        <v>1.1000000000000001</v>
      </c>
      <c r="E71" s="761">
        <v>1.17</v>
      </c>
      <c r="F71" s="761">
        <v>1.17</v>
      </c>
      <c r="G71" s="761">
        <v>1.17</v>
      </c>
      <c r="H71" s="761">
        <v>1.17</v>
      </c>
      <c r="I71" s="761">
        <v>1.17</v>
      </c>
      <c r="J71" s="761">
        <v>1.17</v>
      </c>
      <c r="K71" s="761">
        <v>1.17</v>
      </c>
      <c r="L71" s="761">
        <v>1.17</v>
      </c>
      <c r="M71" s="761">
        <v>1.17</v>
      </c>
      <c r="N71" s="3" t="s">
        <v>343</v>
      </c>
    </row>
    <row r="72" spans="1:14">
      <c r="A72" s="261" t="s">
        <v>262</v>
      </c>
      <c r="B72" s="764">
        <f>'données prév'!$I$25</f>
        <v>190.4</v>
      </c>
      <c r="C72" s="764">
        <f>'données prév'!$I$25</f>
        <v>190.4</v>
      </c>
      <c r="D72" s="764">
        <f>'données prév'!$I$25</f>
        <v>190.4</v>
      </c>
      <c r="E72" s="764">
        <f>'données prév'!$I$25</f>
        <v>190.4</v>
      </c>
      <c r="F72" s="764">
        <f>'données prév'!$I$25</f>
        <v>190.4</v>
      </c>
      <c r="G72" s="764">
        <f>'données prév'!$I$25</f>
        <v>190.4</v>
      </c>
      <c r="H72" s="764">
        <f>'données prév'!$I$25</f>
        <v>190.4</v>
      </c>
      <c r="I72" s="764">
        <f>'données prév'!$I$25</f>
        <v>190.4</v>
      </c>
      <c r="J72" s="764">
        <f>'données prév'!$I$25</f>
        <v>190.4</v>
      </c>
      <c r="K72" s="764">
        <f>'données prév'!$I$25</f>
        <v>190.4</v>
      </c>
      <c r="L72" s="764">
        <f>'données prév'!$I$25</f>
        <v>190.4</v>
      </c>
      <c r="M72" s="764">
        <f>'données prév'!$I$25</f>
        <v>190.4</v>
      </c>
    </row>
    <row r="73" spans="1:14">
      <c r="A73" s="262" t="s">
        <v>261</v>
      </c>
      <c r="B73" s="765">
        <f>B72/B71</f>
        <v>173.09090909090909</v>
      </c>
      <c r="C73" s="765">
        <f t="shared" ref="C73:M73" si="21">C72/C71</f>
        <v>173.09090909090909</v>
      </c>
      <c r="D73" s="765">
        <f t="shared" si="21"/>
        <v>173.09090909090909</v>
      </c>
      <c r="E73" s="765">
        <f t="shared" si="21"/>
        <v>162.73504273504275</v>
      </c>
      <c r="F73" s="765">
        <f t="shared" si="21"/>
        <v>162.73504273504275</v>
      </c>
      <c r="G73" s="765">
        <f t="shared" si="21"/>
        <v>162.73504273504275</v>
      </c>
      <c r="H73" s="765">
        <f t="shared" si="21"/>
        <v>162.73504273504275</v>
      </c>
      <c r="I73" s="765">
        <f t="shared" si="21"/>
        <v>162.73504273504275</v>
      </c>
      <c r="J73" s="765">
        <f t="shared" si="21"/>
        <v>162.73504273504275</v>
      </c>
      <c r="K73" s="765">
        <f t="shared" si="21"/>
        <v>162.73504273504275</v>
      </c>
      <c r="L73" s="765">
        <f t="shared" si="21"/>
        <v>162.73504273504275</v>
      </c>
      <c r="M73" s="765">
        <f t="shared" si="21"/>
        <v>162.73504273504275</v>
      </c>
    </row>
    <row r="74" spans="1:14">
      <c r="A74" s="263" t="s">
        <v>263</v>
      </c>
      <c r="B74" s="764">
        <f>'données prév'!$I$27</f>
        <v>315</v>
      </c>
      <c r="C74" s="764">
        <f>'données prév'!$I$27</f>
        <v>315</v>
      </c>
      <c r="D74" s="764">
        <f>'données prév'!$I$27</f>
        <v>315</v>
      </c>
      <c r="E74" s="764">
        <f>'données prév'!$I$27</f>
        <v>315</v>
      </c>
      <c r="F74" s="764">
        <f>'données prév'!$I$27</f>
        <v>315</v>
      </c>
      <c r="G74" s="764">
        <f>'données prév'!$I$27</f>
        <v>315</v>
      </c>
      <c r="H74" s="764">
        <f>'données prév'!$I$27</f>
        <v>315</v>
      </c>
      <c r="I74" s="764">
        <f>'données prév'!$I$27</f>
        <v>315</v>
      </c>
      <c r="J74" s="764">
        <f>'données prév'!$I$27</f>
        <v>315</v>
      </c>
      <c r="K74" s="764">
        <f>'données prév'!$I$27</f>
        <v>315</v>
      </c>
      <c r="L74" s="764">
        <f>'données prév'!$I$27</f>
        <v>315</v>
      </c>
      <c r="M74" s="764">
        <f>'données prév'!$I$27</f>
        <v>315</v>
      </c>
    </row>
    <row r="75" spans="1:14">
      <c r="A75" s="264" t="s">
        <v>264</v>
      </c>
      <c r="B75" s="765">
        <f>B74/B71</f>
        <v>286.36363636363632</v>
      </c>
      <c r="C75" s="765">
        <f t="shared" ref="C75:M75" si="22">C74/C71</f>
        <v>286.36363636363632</v>
      </c>
      <c r="D75" s="765">
        <f t="shared" si="22"/>
        <v>286.36363636363632</v>
      </c>
      <c r="E75" s="765">
        <f t="shared" si="22"/>
        <v>269.23076923076923</v>
      </c>
      <c r="F75" s="765">
        <f t="shared" si="22"/>
        <v>269.23076923076923</v>
      </c>
      <c r="G75" s="765">
        <f t="shared" si="22"/>
        <v>269.23076923076923</v>
      </c>
      <c r="H75" s="765">
        <f t="shared" si="22"/>
        <v>269.23076923076923</v>
      </c>
      <c r="I75" s="765">
        <f t="shared" si="22"/>
        <v>269.23076923076923</v>
      </c>
      <c r="J75" s="765">
        <f t="shared" si="22"/>
        <v>269.23076923076923</v>
      </c>
      <c r="K75" s="765">
        <f t="shared" si="22"/>
        <v>269.23076923076923</v>
      </c>
      <c r="L75" s="765">
        <f t="shared" si="22"/>
        <v>269.23076923076923</v>
      </c>
      <c r="M75" s="765">
        <f t="shared" si="22"/>
        <v>269.23076923076923</v>
      </c>
    </row>
    <row r="76" spans="1:14">
      <c r="A76" s="265" t="s">
        <v>265</v>
      </c>
      <c r="B76" s="764">
        <f>'données prév'!$I$29</f>
        <v>625.1</v>
      </c>
      <c r="C76" s="764">
        <f>'données prév'!$I$29</f>
        <v>625.1</v>
      </c>
      <c r="D76" s="764">
        <f>'données prév'!$I$29</f>
        <v>625.1</v>
      </c>
      <c r="E76" s="764">
        <f>'données prév'!$I$29</f>
        <v>625.1</v>
      </c>
      <c r="F76" s="764">
        <f>'données prév'!$I$29</f>
        <v>625.1</v>
      </c>
      <c r="G76" s="764">
        <f>'données prév'!$I$29</f>
        <v>625.1</v>
      </c>
      <c r="H76" s="764">
        <f>'données prév'!$I$29</f>
        <v>625.1</v>
      </c>
      <c r="I76" s="764">
        <f>'données prév'!$I$29</f>
        <v>625.1</v>
      </c>
      <c r="J76" s="764">
        <f>'données prév'!$I$29</f>
        <v>625.1</v>
      </c>
      <c r="K76" s="764">
        <f>'données prév'!$I$29</f>
        <v>625.1</v>
      </c>
      <c r="L76" s="764">
        <f>'données prév'!$I$29</f>
        <v>625.1</v>
      </c>
      <c r="M76" s="764">
        <f>'données prév'!$I$29</f>
        <v>625.1</v>
      </c>
    </row>
    <row r="77" spans="1:14">
      <c r="A77" s="266" t="s">
        <v>266</v>
      </c>
      <c r="B77" s="765">
        <f>B76/B71</f>
        <v>568.27272727272725</v>
      </c>
      <c r="C77" s="765">
        <f t="shared" ref="C77:M77" si="23">C76/C71</f>
        <v>568.27272727272725</v>
      </c>
      <c r="D77" s="765">
        <f t="shared" si="23"/>
        <v>568.27272727272725</v>
      </c>
      <c r="E77" s="765">
        <f t="shared" si="23"/>
        <v>534.27350427350427</v>
      </c>
      <c r="F77" s="765">
        <f t="shared" si="23"/>
        <v>534.27350427350427</v>
      </c>
      <c r="G77" s="765">
        <f t="shared" si="23"/>
        <v>534.27350427350427</v>
      </c>
      <c r="H77" s="765">
        <f t="shared" si="23"/>
        <v>534.27350427350427</v>
      </c>
      <c r="I77" s="765">
        <f t="shared" si="23"/>
        <v>534.27350427350427</v>
      </c>
      <c r="J77" s="765">
        <f t="shared" si="23"/>
        <v>534.27350427350427</v>
      </c>
      <c r="K77" s="765">
        <f t="shared" si="23"/>
        <v>534.27350427350427</v>
      </c>
      <c r="L77" s="765">
        <f t="shared" si="23"/>
        <v>534.27350427350427</v>
      </c>
      <c r="M77" s="765">
        <f t="shared" si="23"/>
        <v>534.27350427350427</v>
      </c>
    </row>
  </sheetData>
  <mergeCells count="4">
    <mergeCell ref="H38:I38"/>
    <mergeCell ref="H40:I40"/>
    <mergeCell ref="H39:I39"/>
    <mergeCell ref="H41:I41"/>
  </mergeCells>
  <phoneticPr fontId="0" type="noConversion"/>
  <pageMargins left="0.17" right="0.16" top="0.38" bottom="0.34" header="0.24" footer="0.24"/>
  <pageSetup paperSize="9" scale="89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3" tint="0.79998168889431442"/>
  </sheetPr>
  <dimension ref="A1:O43"/>
  <sheetViews>
    <sheetView showGridLines="0" topLeftCell="A29" zoomScale="115" zoomScaleNormal="115" workbookViewId="0">
      <selection activeCell="B34" sqref="B34"/>
    </sheetView>
  </sheetViews>
  <sheetFormatPr baseColWidth="10" defaultRowHeight="14.4"/>
  <cols>
    <col min="1" max="1" width="21.88671875" customWidth="1"/>
    <col min="2" max="2" width="11.6640625" customWidth="1"/>
    <col min="3" max="3" width="10.44140625" customWidth="1"/>
    <col min="4" max="4" width="11.6640625" bestFit="1" customWidth="1"/>
    <col min="5" max="6" width="10.44140625" customWidth="1"/>
    <col min="7" max="7" width="11.109375" bestFit="1" customWidth="1"/>
    <col min="8" max="8" width="10.44140625" customWidth="1"/>
    <col min="11" max="11" width="10.44140625" customWidth="1"/>
    <col min="12" max="12" width="9.6640625" customWidth="1"/>
    <col min="13" max="13" width="10.33203125" customWidth="1"/>
  </cols>
  <sheetData>
    <row r="1" spans="1:15">
      <c r="A1" s="2" t="s">
        <v>146</v>
      </c>
      <c r="B1" s="226" t="s">
        <v>61</v>
      </c>
      <c r="C1" s="226" t="s">
        <v>62</v>
      </c>
      <c r="D1" s="226" t="s">
        <v>63</v>
      </c>
      <c r="E1" s="226" t="s">
        <v>64</v>
      </c>
      <c r="F1" s="226" t="s">
        <v>65</v>
      </c>
      <c r="G1" s="226" t="s">
        <v>52</v>
      </c>
      <c r="H1" s="226" t="s">
        <v>66</v>
      </c>
      <c r="I1" s="226" t="s">
        <v>67</v>
      </c>
      <c r="J1" s="226" t="s">
        <v>68</v>
      </c>
      <c r="K1" s="226" t="s">
        <v>69</v>
      </c>
    </row>
    <row r="2" spans="1:15">
      <c r="A2" s="227" t="s">
        <v>148</v>
      </c>
      <c r="B2" s="216">
        <v>300</v>
      </c>
      <c r="C2" s="216">
        <v>1500</v>
      </c>
      <c r="D2" s="216">
        <v>1500</v>
      </c>
      <c r="E2" s="216">
        <v>1500</v>
      </c>
      <c r="F2" s="216">
        <v>0</v>
      </c>
      <c r="G2" s="216">
        <v>100</v>
      </c>
      <c r="H2" s="216">
        <v>500</v>
      </c>
      <c r="I2" s="216">
        <f>240+60</f>
        <v>300</v>
      </c>
      <c r="J2" s="216">
        <v>50</v>
      </c>
      <c r="K2" s="217">
        <f>SUM(B2:J2)</f>
        <v>5750</v>
      </c>
    </row>
    <row r="3" spans="1:15">
      <c r="A3" s="228" t="s">
        <v>147</v>
      </c>
      <c r="B3" s="218">
        <f>B2*2</f>
        <v>600</v>
      </c>
      <c r="C3" s="218">
        <f>C2</f>
        <v>1500</v>
      </c>
      <c r="D3" s="218">
        <f t="shared" ref="D3:F3" si="0">D2</f>
        <v>1500</v>
      </c>
      <c r="E3" s="218">
        <f t="shared" si="0"/>
        <v>1500</v>
      </c>
      <c r="F3" s="218">
        <f t="shared" si="0"/>
        <v>0</v>
      </c>
      <c r="G3" s="218">
        <f>G2*2</f>
        <v>200</v>
      </c>
      <c r="H3" s="218">
        <f t="shared" ref="H3:J3" si="1">H2*2</f>
        <v>1000</v>
      </c>
      <c r="I3" s="218">
        <f t="shared" si="1"/>
        <v>600</v>
      </c>
      <c r="J3" s="218">
        <f t="shared" si="1"/>
        <v>100</v>
      </c>
      <c r="K3" s="219">
        <f t="shared" ref="K3:K4" si="2">SUM(B3:J3)</f>
        <v>7000</v>
      </c>
    </row>
    <row r="4" spans="1:15">
      <c r="A4" s="228" t="s">
        <v>149</v>
      </c>
      <c r="B4" s="220">
        <f>B3/$K$3</f>
        <v>8.5714285714285715E-2</v>
      </c>
      <c r="C4" s="220">
        <f t="shared" ref="C4:J4" si="3">C3/$K$3</f>
        <v>0.21428571428571427</v>
      </c>
      <c r="D4" s="220">
        <f t="shared" si="3"/>
        <v>0.21428571428571427</v>
      </c>
      <c r="E4" s="220">
        <f t="shared" si="3"/>
        <v>0.21428571428571427</v>
      </c>
      <c r="F4" s="220">
        <f t="shared" si="3"/>
        <v>0</v>
      </c>
      <c r="G4" s="220">
        <f t="shared" si="3"/>
        <v>2.8571428571428571E-2</v>
      </c>
      <c r="H4" s="220">
        <f t="shared" si="3"/>
        <v>0.14285714285714285</v>
      </c>
      <c r="I4" s="220">
        <f t="shared" si="3"/>
        <v>8.5714285714285715E-2</v>
      </c>
      <c r="J4" s="220">
        <f t="shared" si="3"/>
        <v>1.4285714285714285E-2</v>
      </c>
      <c r="K4" s="369">
        <f t="shared" si="2"/>
        <v>0.99999999999999989</v>
      </c>
    </row>
    <row r="5" spans="1:15">
      <c r="A5" s="228" t="s">
        <v>150</v>
      </c>
      <c r="B5" s="221">
        <f>SUM('données réelles'!C24:C28)</f>
        <v>14</v>
      </c>
      <c r="C5" s="221">
        <f>SUM('données réelles'!D24:D28)</f>
        <v>1.3333333333333333</v>
      </c>
      <c r="D5" s="221">
        <f>SUM('données réelles'!E24:E28)</f>
        <v>2.3333333333333335</v>
      </c>
      <c r="E5" s="221">
        <f>SUM('données réelles'!F24:F28)</f>
        <v>3.3333333333333335</v>
      </c>
      <c r="F5" s="221"/>
      <c r="G5" s="221">
        <f>SUM('données réelles'!H24:H28)</f>
        <v>4</v>
      </c>
      <c r="H5" s="221">
        <f>SUM('données réelles'!I24:I28)</f>
        <v>23</v>
      </c>
      <c r="I5" s="221">
        <f>SUM('données réelles'!J24:J28)</f>
        <v>12</v>
      </c>
      <c r="J5" s="221">
        <v>0</v>
      </c>
      <c r="K5" s="222">
        <f>SUM(B5:J5)</f>
        <v>60</v>
      </c>
    </row>
    <row r="6" spans="1:15">
      <c r="A6" s="229" t="s">
        <v>151</v>
      </c>
      <c r="B6" s="223">
        <f ca="1">B5/$K$6</f>
        <v>0.23333333333333334</v>
      </c>
      <c r="C6" s="223">
        <f t="shared" ref="C6:K6" ca="1" si="4">C5/$K$6</f>
        <v>2.222222222222222E-2</v>
      </c>
      <c r="D6" s="223">
        <f t="shared" ca="1" si="4"/>
        <v>3.888888888888889E-2</v>
      </c>
      <c r="E6" s="223">
        <f t="shared" ca="1" si="4"/>
        <v>5.5555555555555559E-2</v>
      </c>
      <c r="F6" s="223">
        <f t="shared" ca="1" si="4"/>
        <v>0</v>
      </c>
      <c r="G6" s="223">
        <f t="shared" ca="1" si="4"/>
        <v>6.6666666666666666E-2</v>
      </c>
      <c r="H6" s="223">
        <f t="shared" ca="1" si="4"/>
        <v>0.38333333333333336</v>
      </c>
      <c r="I6" s="223">
        <f t="shared" ca="1" si="4"/>
        <v>0.2</v>
      </c>
      <c r="J6" s="223">
        <f t="shared" ca="1" si="4"/>
        <v>0</v>
      </c>
      <c r="K6" s="224">
        <f t="shared" ca="1" si="4"/>
        <v>1</v>
      </c>
    </row>
    <row r="8" spans="1:15">
      <c r="A8" s="16" t="s">
        <v>119</v>
      </c>
      <c r="B8" s="19" t="s">
        <v>144</v>
      </c>
      <c r="C8" s="226" t="s">
        <v>61</v>
      </c>
      <c r="D8" s="226" t="s">
        <v>62</v>
      </c>
      <c r="E8" s="226" t="s">
        <v>63</v>
      </c>
      <c r="F8" s="226" t="s">
        <v>64</v>
      </c>
      <c r="G8" s="226" t="s">
        <v>65</v>
      </c>
      <c r="H8" s="226" t="s">
        <v>52</v>
      </c>
      <c r="I8" s="226" t="s">
        <v>66</v>
      </c>
      <c r="J8" s="226" t="s">
        <v>67</v>
      </c>
      <c r="K8" s="226" t="s">
        <v>68</v>
      </c>
      <c r="L8" s="226" t="s">
        <v>120</v>
      </c>
      <c r="M8" s="226" t="s">
        <v>121</v>
      </c>
      <c r="O8" s="311" t="s">
        <v>391</v>
      </c>
    </row>
    <row r="9" spans="1:15">
      <c r="A9" s="227" t="s">
        <v>122</v>
      </c>
      <c r="B9" s="217">
        <f>'données réelles'!L29</f>
        <v>5899.7431999999999</v>
      </c>
      <c r="C9" s="217">
        <f>'données réelles'!C29</f>
        <v>751.7029</v>
      </c>
      <c r="D9" s="217">
        <f>'données réelles'!D29</f>
        <v>358.18423333333334</v>
      </c>
      <c r="E9" s="217">
        <f>'données réelles'!E29</f>
        <v>936.40993333333336</v>
      </c>
      <c r="F9" s="217">
        <f>'données réelles'!F29</f>
        <v>1514.6356333333335</v>
      </c>
      <c r="G9" s="217">
        <f>'données réelles'!G29</f>
        <v>86.264099999999999</v>
      </c>
      <c r="H9" s="217">
        <f>'données réelles'!H29</f>
        <v>202.42170000000002</v>
      </c>
      <c r="I9" s="217">
        <f>'données réelles'!I29</f>
        <v>1287.2236</v>
      </c>
      <c r="J9" s="217">
        <f>'données réelles'!J29</f>
        <v>651.01400000000001</v>
      </c>
      <c r="K9" s="217">
        <f>'données réelles'!K29</f>
        <v>111.8871</v>
      </c>
      <c r="L9" s="217"/>
      <c r="M9" s="217"/>
      <c r="N9" s="17">
        <f>SUM(C9:M9)</f>
        <v>5899.7431999999999</v>
      </c>
      <c r="O9" s="17">
        <f>B9-N9</f>
        <v>0</v>
      </c>
    </row>
    <row r="10" spans="1:15">
      <c r="A10" s="228" t="s">
        <v>123</v>
      </c>
      <c r="B10" s="219">
        <f>D10</f>
        <v>19.225259550000036</v>
      </c>
      <c r="C10" s="219"/>
      <c r="D10" s="219">
        <f>'données réelles'!E64*18.4/1000*1.89</f>
        <v>19.225259550000036</v>
      </c>
      <c r="E10" s="219"/>
      <c r="F10" s="219"/>
      <c r="G10" s="219"/>
      <c r="H10" s="219"/>
      <c r="I10" s="219"/>
      <c r="J10" s="219"/>
      <c r="K10" s="219"/>
      <c r="L10" s="219"/>
      <c r="M10" s="219"/>
      <c r="N10" s="17">
        <f t="shared" ref="N10:N28" si="5">SUM(C10:M10)</f>
        <v>19.225259550000036</v>
      </c>
      <c r="O10" s="17">
        <f t="shared" ref="O10:O28" si="6">B10-N10</f>
        <v>0</v>
      </c>
    </row>
    <row r="11" spans="1:15">
      <c r="A11" s="228" t="s">
        <v>152</v>
      </c>
      <c r="B11" s="233">
        <v>115.2</v>
      </c>
      <c r="C11" s="233"/>
      <c r="D11" s="807">
        <f>$B$11*'données réelles'!E61/('données réelles'!$E$61+'données réelles'!$G$61)</f>
        <v>21.794594594594592</v>
      </c>
      <c r="E11" s="807">
        <f>$B$11*'données réelles'!G61/('données réelles'!$E$61+'données réelles'!$G$61)</f>
        <v>93.405405405405418</v>
      </c>
      <c r="F11" s="233"/>
      <c r="G11" s="233"/>
      <c r="H11" s="233"/>
      <c r="I11" s="233"/>
      <c r="J11" s="233"/>
      <c r="K11" s="233"/>
      <c r="L11" s="233"/>
      <c r="M11" s="233"/>
      <c r="N11" s="17">
        <f t="shared" si="5"/>
        <v>115.20000000000002</v>
      </c>
      <c r="O11" s="17">
        <f t="shared" si="6"/>
        <v>0</v>
      </c>
    </row>
    <row r="12" spans="1:15">
      <c r="A12" s="228" t="s">
        <v>124</v>
      </c>
      <c r="B12" s="233">
        <v>60</v>
      </c>
      <c r="C12" s="233"/>
      <c r="D12" s="808"/>
      <c r="E12" s="233"/>
      <c r="F12" s="233"/>
      <c r="G12" s="233"/>
      <c r="H12" s="233">
        <f>$B$12/3</f>
        <v>20</v>
      </c>
      <c r="I12" s="233">
        <f t="shared" ref="I12:J12" si="7">$B$12/3</f>
        <v>20</v>
      </c>
      <c r="J12" s="233">
        <f t="shared" si="7"/>
        <v>20</v>
      </c>
      <c r="K12" s="233"/>
      <c r="L12" s="233"/>
      <c r="M12" s="233"/>
      <c r="N12" s="17">
        <f t="shared" si="5"/>
        <v>60</v>
      </c>
      <c r="O12" s="17">
        <f t="shared" si="6"/>
        <v>0</v>
      </c>
    </row>
    <row r="13" spans="1:15">
      <c r="A13" s="228" t="s">
        <v>125</v>
      </c>
      <c r="B13" s="233">
        <v>100</v>
      </c>
      <c r="C13" s="233"/>
      <c r="D13" s="808"/>
      <c r="E13" s="233"/>
      <c r="F13" s="233"/>
      <c r="G13" s="233"/>
      <c r="H13" s="233"/>
      <c r="I13" s="233"/>
      <c r="J13" s="233"/>
      <c r="K13" s="233"/>
      <c r="L13" s="233">
        <f>B13</f>
        <v>100</v>
      </c>
      <c r="M13" s="233"/>
      <c r="N13" s="17">
        <f t="shared" si="5"/>
        <v>100</v>
      </c>
      <c r="O13" s="17">
        <f t="shared" si="6"/>
        <v>0</v>
      </c>
    </row>
    <row r="14" spans="1:15">
      <c r="A14" s="228" t="s">
        <v>153</v>
      </c>
      <c r="B14" s="233">
        <v>200</v>
      </c>
      <c r="C14" s="233"/>
      <c r="D14" s="807">
        <f>$B$14*'données réelles'!E61/('données réelles'!$E$61+'données réelles'!$G$61)</f>
        <v>37.837837837837839</v>
      </c>
      <c r="E14" s="807">
        <f>$B$14*'données réelles'!G61/('données réelles'!$E$61+'données réelles'!$G$61)</f>
        <v>162.16216216216216</v>
      </c>
      <c r="F14" s="233"/>
      <c r="G14" s="233"/>
      <c r="H14" s="233"/>
      <c r="I14" s="233"/>
      <c r="J14" s="233"/>
      <c r="K14" s="233"/>
      <c r="L14" s="233"/>
      <c r="M14" s="233"/>
      <c r="N14" s="17">
        <f t="shared" si="5"/>
        <v>200</v>
      </c>
      <c r="O14" s="17">
        <f t="shared" si="6"/>
        <v>0</v>
      </c>
    </row>
    <row r="15" spans="1:15">
      <c r="A15" s="228" t="s">
        <v>126</v>
      </c>
      <c r="B15" s="233">
        <v>30</v>
      </c>
      <c r="C15" s="233"/>
      <c r="D15" s="233"/>
      <c r="E15" s="233"/>
      <c r="F15" s="233"/>
      <c r="G15" s="233"/>
      <c r="H15" s="233"/>
      <c r="I15" s="233"/>
      <c r="J15" s="233"/>
      <c r="K15" s="233"/>
      <c r="L15" s="233">
        <f>B15</f>
        <v>30</v>
      </c>
      <c r="M15" s="233"/>
      <c r="N15" s="17">
        <f t="shared" si="5"/>
        <v>30</v>
      </c>
      <c r="O15" s="17">
        <f t="shared" si="6"/>
        <v>0</v>
      </c>
    </row>
    <row r="16" spans="1:15">
      <c r="A16" s="228" t="s">
        <v>154</v>
      </c>
      <c r="B16" s="233">
        <v>110</v>
      </c>
      <c r="C16" s="233"/>
      <c r="D16" s="807">
        <f>$B$16*'données réelles'!E61/('données réelles'!$E$61+'données réelles'!$G$61)</f>
        <v>20.810810810810807</v>
      </c>
      <c r="E16" s="807">
        <f>$B$16*'données réelles'!G61/('données réelles'!$E$61+'données réelles'!$G$61)</f>
        <v>89.189189189189193</v>
      </c>
      <c r="F16" s="233"/>
      <c r="G16" s="233"/>
      <c r="H16" s="233"/>
      <c r="I16" s="233"/>
      <c r="J16" s="233"/>
      <c r="K16" s="233"/>
      <c r="L16" s="233"/>
      <c r="M16" s="233"/>
      <c r="N16" s="17">
        <f t="shared" si="5"/>
        <v>110</v>
      </c>
      <c r="O16" s="17">
        <f t="shared" si="6"/>
        <v>0</v>
      </c>
    </row>
    <row r="17" spans="1:15">
      <c r="A17" s="228" t="s">
        <v>127</v>
      </c>
      <c r="B17" s="233">
        <v>90</v>
      </c>
      <c r="C17" s="233">
        <f>0.1*B17</f>
        <v>9</v>
      </c>
      <c r="D17" s="233"/>
      <c r="E17" s="233"/>
      <c r="F17" s="233"/>
      <c r="G17" s="233"/>
      <c r="H17" s="233">
        <f>0.05*B17</f>
        <v>4.5</v>
      </c>
      <c r="I17" s="233">
        <f>0.75*B17</f>
        <v>67.5</v>
      </c>
      <c r="J17" s="233">
        <f>0.1*B17</f>
        <v>9</v>
      </c>
      <c r="K17" s="233"/>
      <c r="L17" s="233"/>
      <c r="M17" s="233"/>
      <c r="N17" s="17">
        <f t="shared" si="5"/>
        <v>90</v>
      </c>
      <c r="O17" s="17">
        <f t="shared" si="6"/>
        <v>0</v>
      </c>
    </row>
    <row r="18" spans="1:15">
      <c r="A18" s="228" t="s">
        <v>128</v>
      </c>
      <c r="B18" s="233">
        <v>15</v>
      </c>
      <c r="C18" s="233">
        <f>B18</f>
        <v>15</v>
      </c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17">
        <f t="shared" si="5"/>
        <v>15</v>
      </c>
      <c r="O18" s="17">
        <f t="shared" si="6"/>
        <v>0</v>
      </c>
    </row>
    <row r="19" spans="1:15">
      <c r="A19" s="228" t="s">
        <v>129</v>
      </c>
      <c r="B19" s="233">
        <v>95</v>
      </c>
      <c r="C19" s="233"/>
      <c r="D19" s="233"/>
      <c r="E19" s="233"/>
      <c r="F19" s="233"/>
      <c r="G19" s="233"/>
      <c r="H19" s="233"/>
      <c r="I19" s="233"/>
      <c r="J19" s="233"/>
      <c r="K19" s="233"/>
      <c r="L19" s="233">
        <f>B19</f>
        <v>95</v>
      </c>
      <c r="M19" s="233"/>
      <c r="N19" s="17">
        <f t="shared" si="5"/>
        <v>95</v>
      </c>
      <c r="O19" s="17">
        <f t="shared" si="6"/>
        <v>0</v>
      </c>
    </row>
    <row r="20" spans="1:15">
      <c r="A20" s="228" t="s">
        <v>130</v>
      </c>
      <c r="B20" s="233">
        <v>125</v>
      </c>
      <c r="C20" s="233"/>
      <c r="D20" s="233"/>
      <c r="E20" s="233"/>
      <c r="F20" s="233"/>
      <c r="G20" s="233"/>
      <c r="H20" s="233"/>
      <c r="I20" s="233"/>
      <c r="J20" s="233"/>
      <c r="K20" s="233"/>
      <c r="L20" s="233"/>
      <c r="M20" s="233">
        <f>B20</f>
        <v>125</v>
      </c>
      <c r="N20" s="17">
        <f t="shared" si="5"/>
        <v>125</v>
      </c>
      <c r="O20" s="17">
        <f t="shared" si="6"/>
        <v>0</v>
      </c>
    </row>
    <row r="21" spans="1:15">
      <c r="A21" s="228" t="s">
        <v>131</v>
      </c>
      <c r="B21" s="233">
        <v>250</v>
      </c>
      <c r="C21" s="233"/>
      <c r="D21" s="233"/>
      <c r="E21" s="233"/>
      <c r="F21" s="233"/>
      <c r="G21" s="233"/>
      <c r="H21" s="233"/>
      <c r="I21" s="233"/>
      <c r="J21" s="233"/>
      <c r="K21" s="233"/>
      <c r="L21" s="233"/>
      <c r="M21" s="233">
        <f>B21</f>
        <v>250</v>
      </c>
      <c r="N21" s="17">
        <f t="shared" si="5"/>
        <v>250</v>
      </c>
      <c r="O21" s="17">
        <f t="shared" si="6"/>
        <v>0</v>
      </c>
    </row>
    <row r="22" spans="1:15">
      <c r="A22" s="228" t="s">
        <v>132</v>
      </c>
      <c r="B22" s="233">
        <v>210</v>
      </c>
      <c r="C22" s="233"/>
      <c r="D22" s="233"/>
      <c r="E22" s="233"/>
      <c r="F22" s="233"/>
      <c r="G22" s="233"/>
      <c r="H22" s="233"/>
      <c r="I22" s="233"/>
      <c r="J22" s="233"/>
      <c r="K22" s="233"/>
      <c r="L22" s="233"/>
      <c r="M22" s="233">
        <f>B22</f>
        <v>210</v>
      </c>
      <c r="N22" s="17">
        <f t="shared" si="5"/>
        <v>210</v>
      </c>
      <c r="O22" s="17">
        <f t="shared" si="6"/>
        <v>0</v>
      </c>
    </row>
    <row r="23" spans="1:15">
      <c r="A23" s="228" t="s">
        <v>133</v>
      </c>
      <c r="B23" s="233">
        <v>35</v>
      </c>
      <c r="C23" s="233"/>
      <c r="D23" s="233"/>
      <c r="E23" s="233"/>
      <c r="F23" s="233">
        <v>25</v>
      </c>
      <c r="G23" s="233"/>
      <c r="H23" s="233"/>
      <c r="I23" s="233"/>
      <c r="J23" s="233"/>
      <c r="K23" s="233">
        <v>10</v>
      </c>
      <c r="L23" s="233"/>
      <c r="M23" s="233"/>
      <c r="N23" s="17">
        <f t="shared" si="5"/>
        <v>35</v>
      </c>
      <c r="O23" s="17">
        <f t="shared" si="6"/>
        <v>0</v>
      </c>
    </row>
    <row r="24" spans="1:15">
      <c r="A24" s="228" t="s">
        <v>134</v>
      </c>
      <c r="B24" s="233">
        <v>800</v>
      </c>
      <c r="C24" s="233">
        <f>0.05*B24</f>
        <v>40</v>
      </c>
      <c r="D24" s="233"/>
      <c r="E24" s="233"/>
      <c r="F24" s="233"/>
      <c r="G24" s="233"/>
      <c r="H24" s="233">
        <f>0.05*B24</f>
        <v>40</v>
      </c>
      <c r="I24" s="233">
        <f>0.8*B24</f>
        <v>640</v>
      </c>
      <c r="J24" s="233">
        <f>0.1*B24</f>
        <v>80</v>
      </c>
      <c r="K24" s="233"/>
      <c r="L24" s="233"/>
      <c r="M24" s="233"/>
      <c r="N24" s="17">
        <f t="shared" si="5"/>
        <v>800</v>
      </c>
      <c r="O24" s="17">
        <f t="shared" si="6"/>
        <v>0</v>
      </c>
    </row>
    <row r="25" spans="1:15">
      <c r="A25" s="228" t="s">
        <v>135</v>
      </c>
      <c r="B25" s="233">
        <v>125</v>
      </c>
      <c r="C25" s="233"/>
      <c r="D25" s="233"/>
      <c r="E25" s="233"/>
      <c r="F25" s="233"/>
      <c r="G25" s="233"/>
      <c r="H25" s="233"/>
      <c r="I25" s="233">
        <f>B25</f>
        <v>125</v>
      </c>
      <c r="J25" s="233"/>
      <c r="K25" s="233"/>
      <c r="L25" s="233"/>
      <c r="M25" s="233"/>
      <c r="N25" s="17">
        <f t="shared" si="5"/>
        <v>125</v>
      </c>
      <c r="O25" s="17">
        <f t="shared" si="6"/>
        <v>0</v>
      </c>
    </row>
    <row r="26" spans="1:15">
      <c r="A26" s="228" t="s">
        <v>136</v>
      </c>
      <c r="B26" s="233">
        <v>35</v>
      </c>
      <c r="C26" s="233"/>
      <c r="D26" s="233"/>
      <c r="E26" s="233"/>
      <c r="F26" s="233"/>
      <c r="G26" s="233"/>
      <c r="H26" s="233"/>
      <c r="I26" s="233"/>
      <c r="J26" s="233">
        <f>B26</f>
        <v>35</v>
      </c>
      <c r="K26" s="233"/>
      <c r="L26" s="233"/>
      <c r="M26" s="233"/>
      <c r="N26" s="17">
        <f t="shared" si="5"/>
        <v>35</v>
      </c>
      <c r="O26" s="17">
        <f t="shared" si="6"/>
        <v>0</v>
      </c>
    </row>
    <row r="27" spans="1:15">
      <c r="A27" s="228" t="s">
        <v>137</v>
      </c>
      <c r="B27" s="233">
        <v>100</v>
      </c>
      <c r="C27" s="233"/>
      <c r="D27" s="233"/>
      <c r="E27" s="233"/>
      <c r="F27" s="233"/>
      <c r="G27" s="233"/>
      <c r="H27" s="233"/>
      <c r="I27" s="233">
        <f>B27</f>
        <v>100</v>
      </c>
      <c r="J27" s="233"/>
      <c r="K27" s="233"/>
      <c r="L27" s="233"/>
      <c r="M27" s="233"/>
      <c r="N27" s="17">
        <f t="shared" si="5"/>
        <v>100</v>
      </c>
      <c r="O27" s="17">
        <f t="shared" si="6"/>
        <v>0</v>
      </c>
    </row>
    <row r="28" spans="1:15">
      <c r="A28" s="229" t="s">
        <v>138</v>
      </c>
      <c r="B28" s="234">
        <f t="shared" ref="B28" si="8">SUM(C28:M28)</f>
        <v>840</v>
      </c>
      <c r="C28" s="234"/>
      <c r="D28" s="234">
        <f>150</f>
        <v>150</v>
      </c>
      <c r="E28" s="234">
        <f>450+(336)/7*10/12</f>
        <v>490</v>
      </c>
      <c r="F28" s="234">
        <v>75</v>
      </c>
      <c r="G28" s="234"/>
      <c r="H28" s="234"/>
      <c r="I28" s="234"/>
      <c r="J28" s="234"/>
      <c r="K28" s="234">
        <v>25</v>
      </c>
      <c r="L28" s="234">
        <v>100</v>
      </c>
      <c r="M28" s="234"/>
      <c r="N28" s="17">
        <f t="shared" si="5"/>
        <v>840</v>
      </c>
      <c r="O28" s="17">
        <f t="shared" si="6"/>
        <v>0</v>
      </c>
    </row>
    <row r="29" spans="1:15">
      <c r="A29" s="20" t="s">
        <v>143</v>
      </c>
      <c r="B29" s="18">
        <f>SUM(B9:B28)</f>
        <v>9254.168459550001</v>
      </c>
      <c r="C29" s="18">
        <f t="shared" ref="C29:M29" si="9">SUM(C9:C28)</f>
        <v>815.7029</v>
      </c>
      <c r="D29" s="18">
        <f t="shared" si="9"/>
        <v>607.85273612657659</v>
      </c>
      <c r="E29" s="18">
        <f t="shared" si="9"/>
        <v>1771.16669009009</v>
      </c>
      <c r="F29" s="18">
        <f t="shared" si="9"/>
        <v>1614.6356333333335</v>
      </c>
      <c r="G29" s="18">
        <f t="shared" si="9"/>
        <v>86.264099999999999</v>
      </c>
      <c r="H29" s="18">
        <f t="shared" si="9"/>
        <v>266.92169999999999</v>
      </c>
      <c r="I29" s="18">
        <f t="shared" si="9"/>
        <v>2239.7236000000003</v>
      </c>
      <c r="J29" s="18">
        <f t="shared" si="9"/>
        <v>795.01400000000001</v>
      </c>
      <c r="K29" s="18">
        <f t="shared" si="9"/>
        <v>146.8871</v>
      </c>
      <c r="L29" s="18">
        <f t="shared" si="9"/>
        <v>325</v>
      </c>
      <c r="M29" s="18">
        <f t="shared" si="9"/>
        <v>585</v>
      </c>
      <c r="N29" s="17"/>
      <c r="O29" s="17"/>
    </row>
    <row r="30" spans="1:15">
      <c r="A30" s="227" t="s">
        <v>139</v>
      </c>
      <c r="B30" s="628">
        <f>SUM(C30:M30)</f>
        <v>5.5511151231257827E-15</v>
      </c>
      <c r="C30" s="699">
        <f>$G$29*B4*30%</f>
        <v>2.2182197142857141</v>
      </c>
      <c r="D30" s="699">
        <f>$G$29*35%+$G$29*30%*C4</f>
        <v>35.737984285714283</v>
      </c>
      <c r="E30" s="699">
        <f>$G$29*35%+$G$29*30%*D4</f>
        <v>35.737984285714283</v>
      </c>
      <c r="F30" s="699">
        <f>$G$29*E4*30%</f>
        <v>5.5455492857142845</v>
      </c>
      <c r="G30" s="710">
        <f>-G29</f>
        <v>-86.264099999999999</v>
      </c>
      <c r="H30" s="699">
        <f>$G$29*G4*30%</f>
        <v>0.73940657142857136</v>
      </c>
      <c r="I30" s="699">
        <f>$G$29*H4*30%</f>
        <v>3.6970328571428568</v>
      </c>
      <c r="J30" s="699">
        <f>$G$29*I4*30%</f>
        <v>2.2182197142857141</v>
      </c>
      <c r="K30" s="699">
        <f>$G$29*J4*30%</f>
        <v>0.36970328571428568</v>
      </c>
      <c r="L30" s="699">
        <v>0</v>
      </c>
      <c r="M30" s="699"/>
      <c r="N30" s="17"/>
      <c r="O30" s="17"/>
    </row>
    <row r="31" spans="1:15">
      <c r="A31" s="228" t="s">
        <v>140</v>
      </c>
      <c r="B31" s="629"/>
      <c r="C31" s="629">
        <f>$L$29*B4</f>
        <v>27.857142857142858</v>
      </c>
      <c r="D31" s="629">
        <f t="shared" ref="D31:K31" si="10">$L$29*C4</f>
        <v>69.642857142857139</v>
      </c>
      <c r="E31" s="629">
        <f t="shared" si="10"/>
        <v>69.642857142857139</v>
      </c>
      <c r="F31" s="629">
        <f t="shared" si="10"/>
        <v>69.642857142857139</v>
      </c>
      <c r="G31" s="629">
        <f t="shared" si="10"/>
        <v>0</v>
      </c>
      <c r="H31" s="629">
        <f t="shared" si="10"/>
        <v>9.2857142857142847</v>
      </c>
      <c r="I31" s="629">
        <f t="shared" si="10"/>
        <v>46.428571428571423</v>
      </c>
      <c r="J31" s="629">
        <f t="shared" si="10"/>
        <v>27.857142857142858</v>
      </c>
      <c r="K31" s="629">
        <f t="shared" si="10"/>
        <v>4.6428571428571423</v>
      </c>
      <c r="L31" s="629">
        <f>-L29</f>
        <v>-325</v>
      </c>
      <c r="M31" s="629"/>
      <c r="N31" s="17"/>
      <c r="O31" s="17"/>
    </row>
    <row r="32" spans="1:15">
      <c r="A32" s="229" t="s">
        <v>141</v>
      </c>
      <c r="B32" s="630"/>
      <c r="C32" s="630">
        <f ca="1">-$K$32*B6</f>
        <v>35.443254099999997</v>
      </c>
      <c r="D32" s="630">
        <f t="shared" ref="D32:J32" ca="1" si="11">-$K$32*C6</f>
        <v>3.3755480095238091</v>
      </c>
      <c r="E32" s="630">
        <f t="shared" ca="1" si="11"/>
        <v>5.9072090166666662</v>
      </c>
      <c r="F32" s="630">
        <f t="shared" ca="1" si="11"/>
        <v>8.4388700238095247</v>
      </c>
      <c r="G32" s="630">
        <f t="shared" ca="1" si="11"/>
        <v>0</v>
      </c>
      <c r="H32" s="630">
        <f t="shared" ca="1" si="11"/>
        <v>10.126644028571429</v>
      </c>
      <c r="I32" s="630">
        <f t="shared" ca="1" si="11"/>
        <v>58.228203164285716</v>
      </c>
      <c r="J32" s="630">
        <f t="shared" ca="1" si="11"/>
        <v>30.379932085714287</v>
      </c>
      <c r="K32" s="630">
        <f>-SUM(K29:K31)</f>
        <v>-151.89966042857142</v>
      </c>
      <c r="L32" s="630">
        <v>0</v>
      </c>
      <c r="M32" s="630"/>
      <c r="N32" s="17"/>
      <c r="O32" s="17"/>
    </row>
    <row r="33" spans="1:15">
      <c r="A33" s="20" t="s">
        <v>144</v>
      </c>
      <c r="B33" s="819"/>
      <c r="C33" s="819">
        <f ca="1">SUM(C29:C32)</f>
        <v>881.22151667142862</v>
      </c>
      <c r="D33" s="819">
        <f t="shared" ref="D33:K33" ca="1" si="12">SUM(D29:D32)</f>
        <v>716.60912556467179</v>
      </c>
      <c r="E33" s="819">
        <f t="shared" ca="1" si="12"/>
        <v>1882.454740535328</v>
      </c>
      <c r="F33" s="819">
        <f t="shared" ca="1" si="12"/>
        <v>1698.2629097857146</v>
      </c>
      <c r="G33" s="819">
        <f t="shared" ca="1" si="12"/>
        <v>0</v>
      </c>
      <c r="H33" s="819">
        <f t="shared" ca="1" si="12"/>
        <v>287.07346488571426</v>
      </c>
      <c r="I33" s="819">
        <f t="shared" ca="1" si="12"/>
        <v>2348.0774074500005</v>
      </c>
      <c r="J33" s="819">
        <f t="shared" ca="1" si="12"/>
        <v>855.46929465714288</v>
      </c>
      <c r="K33" s="819">
        <f t="shared" si="12"/>
        <v>0</v>
      </c>
      <c r="L33" s="819">
        <f t="shared" ref="L33" si="13">SUM(L29:L32)</f>
        <v>0</v>
      </c>
      <c r="M33" s="819">
        <f t="shared" ref="M33" si="14">SUM(M29:M32)</f>
        <v>585</v>
      </c>
      <c r="N33" s="17" t="s">
        <v>392</v>
      </c>
      <c r="O33" s="17"/>
    </row>
    <row r="34" spans="1:15">
      <c r="A34" s="230" t="s">
        <v>142</v>
      </c>
      <c r="B34" s="5"/>
      <c r="C34" s="5">
        <f>MAX('données réelles'!C58,'données réelles'!C61)</f>
        <v>18770.456249999999</v>
      </c>
      <c r="D34" s="5">
        <f>MAX('données réelles'!E58,'données réelles'!E61)</f>
        <v>10660</v>
      </c>
      <c r="E34" s="5">
        <f>MAX('données réelles'!G58,'données réelles'!G61)</f>
        <v>43316.4375</v>
      </c>
      <c r="F34" s="5">
        <f>MAX('données réelles'!I58,'données réelles'!I61)</f>
        <v>47648.081249999996</v>
      </c>
      <c r="G34" s="5"/>
      <c r="H34" s="5"/>
      <c r="I34" s="5"/>
      <c r="J34" s="5"/>
      <c r="K34" s="5"/>
      <c r="L34" s="5"/>
      <c r="M34" s="5"/>
      <c r="N34" s="17"/>
      <c r="O34" s="17"/>
    </row>
    <row r="35" spans="1:15">
      <c r="A35" s="20" t="s">
        <v>145</v>
      </c>
      <c r="B35" s="5"/>
      <c r="C35" s="692">
        <f ca="1">C33/C34*1000</f>
        <v>46.947261426926083</v>
      </c>
      <c r="D35" s="692">
        <f t="shared" ref="D35:F35" ca="1" si="15">D33/D34*1000</f>
        <v>67.224120597061145</v>
      </c>
      <c r="E35" s="692">
        <f t="shared" ca="1" si="15"/>
        <v>43.458207765477667</v>
      </c>
      <c r="F35" s="692">
        <f t="shared" ca="1" si="15"/>
        <v>35.64179008332502</v>
      </c>
      <c r="G35" s="5"/>
      <c r="H35" s="5"/>
      <c r="I35" s="5"/>
      <c r="J35" s="5"/>
      <c r="K35" s="5"/>
      <c r="L35" s="5"/>
      <c r="M35" s="5"/>
      <c r="N35" s="17"/>
      <c r="O35" s="17"/>
    </row>
    <row r="36" spans="1:15">
      <c r="B36" s="17"/>
      <c r="C36" s="80"/>
      <c r="D36" s="80"/>
      <c r="E36" s="80"/>
      <c r="F36" s="80"/>
      <c r="G36" s="17"/>
      <c r="H36" s="17"/>
      <c r="I36" s="17"/>
      <c r="J36" s="17"/>
      <c r="K36" s="17"/>
      <c r="L36" s="17"/>
      <c r="M36" s="17"/>
      <c r="N36" s="17"/>
      <c r="O36" s="17"/>
    </row>
    <row r="37" spans="1:15">
      <c r="A37" s="22" t="s">
        <v>201</v>
      </c>
      <c r="B37" s="23"/>
      <c r="C37" s="23"/>
      <c r="D37" s="23"/>
      <c r="E37" s="23"/>
      <c r="F37" s="23"/>
      <c r="G37" s="24"/>
      <c r="H37" s="24"/>
      <c r="I37" s="17"/>
      <c r="J37" s="17"/>
      <c r="K37" s="17">
        <f ca="1">SUM(C33:M33)</f>
        <v>9254.168459550001</v>
      </c>
      <c r="L37" s="17"/>
      <c r="M37" s="17"/>
      <c r="N37" s="17"/>
      <c r="O37" s="17"/>
    </row>
    <row r="39" spans="1:15">
      <c r="A39" s="25" t="s">
        <v>160</v>
      </c>
      <c r="B39" s="226" t="s">
        <v>156</v>
      </c>
      <c r="C39" s="226" t="s">
        <v>61</v>
      </c>
      <c r="D39" s="226" t="s">
        <v>157</v>
      </c>
      <c r="E39" s="226" t="s">
        <v>158</v>
      </c>
      <c r="F39" s="226" t="s">
        <v>159</v>
      </c>
      <c r="G39" s="226" t="s">
        <v>39</v>
      </c>
      <c r="H39" s="236" t="s">
        <v>393</v>
      </c>
    </row>
    <row r="40" spans="1:15">
      <c r="A40" s="370" t="s">
        <v>53</v>
      </c>
      <c r="B40" s="231">
        <f>'données réelles'!G16*1000</f>
        <v>77000</v>
      </c>
      <c r="C40" s="231">
        <f ca="1">$C$35*'données réelles'!C16</f>
        <v>13145.233199539303</v>
      </c>
      <c r="D40" s="231">
        <f ca="1">$D$35*'données réelles'!D16</f>
        <v>17478.271355235898</v>
      </c>
      <c r="E40" s="231">
        <f ca="1">$E$35*'données réelles'!E16</f>
        <v>9126.2236307503099</v>
      </c>
      <c r="F40" s="231">
        <f ca="1">$F$35*'données réelles'!F16</f>
        <v>13722.089182080133</v>
      </c>
      <c r="G40" s="232">
        <f ca="1">SUM(B40:F40)</f>
        <v>130471.81736760563</v>
      </c>
      <c r="H40" s="809">
        <f ca="1">+G40/1000</f>
        <v>130.47181736760564</v>
      </c>
      <c r="I40" s="81"/>
    </row>
    <row r="41" spans="1:15">
      <c r="A41" s="371" t="s">
        <v>54</v>
      </c>
      <c r="B41" s="231">
        <f>'données réelles'!G17*1000</f>
        <v>102000</v>
      </c>
      <c r="C41" s="231">
        <f ca="1">$C$35*'données réelles'!C17</f>
        <v>24412.575942001564</v>
      </c>
      <c r="D41" s="231">
        <f ca="1">$D$35*'données réelles'!D17</f>
        <v>26889.648238824459</v>
      </c>
      <c r="E41" s="231">
        <f ca="1">$E$35*'données réelles'!E17</f>
        <v>13472.044407298077</v>
      </c>
      <c r="F41" s="231">
        <f ca="1">$F$35*'données réelles'!F17</f>
        <v>18711.939793745634</v>
      </c>
      <c r="G41" s="232">
        <f t="shared" ref="G41:G43" ca="1" si="16">SUM(B41:F41)</f>
        <v>185486.20838186974</v>
      </c>
      <c r="H41" s="809">
        <f t="shared" ref="H41:H43" ca="1" si="17">+G41/1000</f>
        <v>185.48620838186974</v>
      </c>
      <c r="I41" s="81"/>
    </row>
    <row r="42" spans="1:15">
      <c r="A42" s="371" t="s">
        <v>55</v>
      </c>
      <c r="B42" s="231">
        <f>'données réelles'!G18*1000</f>
        <v>247000</v>
      </c>
      <c r="C42" s="231">
        <f ca="1">$C$35*'données réelles'!C18</f>
        <v>37557.809141540863</v>
      </c>
      <c r="D42" s="231">
        <f ca="1">$D$35*'données réelles'!D18</f>
        <v>41678.954770177908</v>
      </c>
      <c r="E42" s="231">
        <f ca="1">$E$35*'données réelles'!E18</f>
        <v>17817.865183845843</v>
      </c>
      <c r="F42" s="231">
        <f ca="1">$F$35*'données réelles'!F18</f>
        <v>32077.611074992517</v>
      </c>
      <c r="G42" s="232">
        <f t="shared" ca="1" si="16"/>
        <v>376132.24017055711</v>
      </c>
      <c r="H42" s="809">
        <f t="shared" ca="1" si="17"/>
        <v>376.13224017055711</v>
      </c>
      <c r="I42" s="81"/>
    </row>
    <row r="43" spans="1:15">
      <c r="A43" s="372" t="s">
        <v>155</v>
      </c>
      <c r="B43" s="231">
        <f>'données réelles'!G19*1000</f>
        <v>151</v>
      </c>
      <c r="C43" s="231">
        <f ca="1">$C$35*'données réelles'!C19</f>
        <v>0</v>
      </c>
      <c r="D43" s="231">
        <f ca="1">$D$35*'données réelles'!D19</f>
        <v>0</v>
      </c>
      <c r="E43" s="231">
        <f ca="1">$E$35*'données réelles'!E19</f>
        <v>93.435146695776979</v>
      </c>
      <c r="F43" s="231">
        <f ca="1">$F$35*'données réelles'!F19</f>
        <v>69.501490662483789</v>
      </c>
      <c r="G43" s="232">
        <f t="shared" ca="1" si="16"/>
        <v>313.93663735826078</v>
      </c>
      <c r="H43" s="809">
        <f t="shared" ca="1" si="17"/>
        <v>0.31393663735826077</v>
      </c>
      <c r="I43" s="81"/>
    </row>
  </sheetData>
  <phoneticPr fontId="0" type="noConversion"/>
  <pageMargins left="0.11811023622047245" right="0.15748031496062992" top="0.35433070866141736" bottom="0.27559055118110237" header="0.23622047244094491" footer="0.19685039370078741"/>
  <pageSetup paperSize="9" scale="8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4" tint="0.59999389629810485"/>
  </sheetPr>
  <dimension ref="A1:U74"/>
  <sheetViews>
    <sheetView topLeftCell="A52" zoomScale="70" zoomScaleNormal="70" workbookViewId="0">
      <selection activeCell="B71" sqref="B71:M72"/>
    </sheetView>
  </sheetViews>
  <sheetFormatPr baseColWidth="10" defaultRowHeight="14.4"/>
  <cols>
    <col min="1" max="1" width="23.5546875" bestFit="1" customWidth="1"/>
  </cols>
  <sheetData>
    <row r="1" spans="1:21">
      <c r="A1" s="433" t="s">
        <v>301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5"/>
      <c r="O1" s="3"/>
    </row>
    <row r="2" spans="1:21">
      <c r="A2" s="283"/>
      <c r="B2" s="241">
        <f>'données réelles'!B32</f>
        <v>43101</v>
      </c>
      <c r="C2" s="241">
        <f>'données réelles'!C32</f>
        <v>43132</v>
      </c>
      <c r="D2" s="241">
        <f>'données réelles'!D32</f>
        <v>43160</v>
      </c>
      <c r="E2" s="241">
        <f>'données réelles'!E32</f>
        <v>43191</v>
      </c>
      <c r="F2" s="241">
        <f>'données réelles'!F32</f>
        <v>43221</v>
      </c>
      <c r="G2" s="241">
        <f>'données réelles'!G32</f>
        <v>43252</v>
      </c>
      <c r="H2" s="241">
        <f>'données réelles'!H32</f>
        <v>43282</v>
      </c>
      <c r="I2" s="241">
        <f>'données réelles'!I32</f>
        <v>43313</v>
      </c>
      <c r="J2" s="241">
        <f>'données réelles'!J32</f>
        <v>43344</v>
      </c>
      <c r="K2" s="241">
        <f>'données réelles'!K32</f>
        <v>43374</v>
      </c>
      <c r="L2" s="241">
        <f>'données réelles'!L32</f>
        <v>43405</v>
      </c>
      <c r="M2" s="241">
        <f>'données réelles'!M32</f>
        <v>43435</v>
      </c>
      <c r="N2" s="48"/>
      <c r="O2" s="3"/>
      <c r="P2" s="48"/>
      <c r="Q2" s="48"/>
      <c r="R2" s="48"/>
      <c r="S2" s="48"/>
      <c r="T2" s="48"/>
      <c r="U2" s="48"/>
    </row>
    <row r="3" spans="1:21">
      <c r="A3" s="283" t="s">
        <v>260</v>
      </c>
      <c r="B3" s="761">
        <f>'données prév'!$M$19</f>
        <v>1.1000000000000001</v>
      </c>
      <c r="C3" s="761">
        <f>'données prév'!$M$19</f>
        <v>1.1000000000000001</v>
      </c>
      <c r="D3" s="761">
        <f>'données prév'!$M$19</f>
        <v>1.1000000000000001</v>
      </c>
      <c r="E3" s="761">
        <f>1.17</f>
        <v>1.17</v>
      </c>
      <c r="F3" s="761">
        <f t="shared" ref="F3:M3" si="0">1.17</f>
        <v>1.17</v>
      </c>
      <c r="G3" s="761">
        <f t="shared" si="0"/>
        <v>1.17</v>
      </c>
      <c r="H3" s="761">
        <f t="shared" si="0"/>
        <v>1.17</v>
      </c>
      <c r="I3" s="761">
        <f t="shared" si="0"/>
        <v>1.17</v>
      </c>
      <c r="J3" s="761">
        <f t="shared" si="0"/>
        <v>1.17</v>
      </c>
      <c r="K3" s="761">
        <f t="shared" si="0"/>
        <v>1.17</v>
      </c>
      <c r="L3" s="761">
        <f t="shared" si="0"/>
        <v>1.17</v>
      </c>
      <c r="M3" s="761">
        <f t="shared" si="0"/>
        <v>1.17</v>
      </c>
    </row>
    <row r="4" spans="1:21">
      <c r="A4" s="261" t="s">
        <v>262</v>
      </c>
      <c r="B4" s="764">
        <f>'données prév'!$I$25</f>
        <v>190.4</v>
      </c>
      <c r="C4" s="764">
        <f>'données prév'!$I$25</f>
        <v>190.4</v>
      </c>
      <c r="D4" s="764">
        <f>'données prév'!$I$25</f>
        <v>190.4</v>
      </c>
      <c r="E4" s="764">
        <f>'données prév'!$I$25</f>
        <v>190.4</v>
      </c>
      <c r="F4" s="764">
        <f>'données prév'!$I$25</f>
        <v>190.4</v>
      </c>
      <c r="G4" s="764">
        <f>'données prév'!$I$25</f>
        <v>190.4</v>
      </c>
      <c r="H4" s="764">
        <f>'données prév'!$I$25</f>
        <v>190.4</v>
      </c>
      <c r="I4" s="764">
        <f>'données prév'!$I$25</f>
        <v>190.4</v>
      </c>
      <c r="J4" s="764">
        <f>'données prév'!$I$25</f>
        <v>190.4</v>
      </c>
      <c r="K4" s="764">
        <f>'données prév'!$I$25</f>
        <v>190.4</v>
      </c>
      <c r="L4" s="764">
        <f>'données prév'!$I$25</f>
        <v>190.4</v>
      </c>
      <c r="M4" s="764">
        <f>'données prév'!$I$25</f>
        <v>190.4</v>
      </c>
    </row>
    <row r="5" spans="1:21">
      <c r="A5" s="262" t="s">
        <v>261</v>
      </c>
      <c r="B5" s="763">
        <f>B4/B3</f>
        <v>173.09090909090909</v>
      </c>
      <c r="C5" s="763">
        <f t="shared" ref="C5:M5" si="1">C4/C3</f>
        <v>173.09090909090909</v>
      </c>
      <c r="D5" s="763">
        <f t="shared" si="1"/>
        <v>173.09090909090909</v>
      </c>
      <c r="E5" s="763">
        <f t="shared" si="1"/>
        <v>162.73504273504275</v>
      </c>
      <c r="F5" s="763">
        <f t="shared" si="1"/>
        <v>162.73504273504275</v>
      </c>
      <c r="G5" s="763">
        <f t="shared" si="1"/>
        <v>162.73504273504275</v>
      </c>
      <c r="H5" s="763">
        <f t="shared" si="1"/>
        <v>162.73504273504275</v>
      </c>
      <c r="I5" s="763">
        <f t="shared" si="1"/>
        <v>162.73504273504275</v>
      </c>
      <c r="J5" s="763">
        <f t="shared" si="1"/>
        <v>162.73504273504275</v>
      </c>
      <c r="K5" s="763">
        <f t="shared" si="1"/>
        <v>162.73504273504275</v>
      </c>
      <c r="L5" s="763">
        <f t="shared" si="1"/>
        <v>162.73504273504275</v>
      </c>
      <c r="M5" s="763">
        <f t="shared" si="1"/>
        <v>162.73504273504275</v>
      </c>
    </row>
    <row r="6" spans="1:21">
      <c r="A6" s="263" t="s">
        <v>263</v>
      </c>
      <c r="B6" s="762">
        <f>'données prév'!$I$27</f>
        <v>315</v>
      </c>
      <c r="C6" s="762">
        <f>'données prév'!$I$27</f>
        <v>315</v>
      </c>
      <c r="D6" s="762">
        <f>'données prév'!$I$27</f>
        <v>315</v>
      </c>
      <c r="E6" s="762">
        <f>'données prév'!$I$27</f>
        <v>315</v>
      </c>
      <c r="F6" s="762">
        <f>'données prév'!$I$27</f>
        <v>315</v>
      </c>
      <c r="G6" s="762">
        <f>'données prév'!$I$27</f>
        <v>315</v>
      </c>
      <c r="H6" s="762">
        <f>'données prév'!$I$27</f>
        <v>315</v>
      </c>
      <c r="I6" s="762">
        <f>'données prév'!$I$27</f>
        <v>315</v>
      </c>
      <c r="J6" s="762">
        <f>'données prév'!$I$27</f>
        <v>315</v>
      </c>
      <c r="K6" s="762">
        <f>'données prév'!$I$27</f>
        <v>315</v>
      </c>
      <c r="L6" s="762">
        <f>'données prév'!$I$27</f>
        <v>315</v>
      </c>
      <c r="M6" s="762">
        <f>'données prév'!$I$27</f>
        <v>315</v>
      </c>
    </row>
    <row r="7" spans="1:21">
      <c r="A7" s="264" t="s">
        <v>264</v>
      </c>
      <c r="B7" s="763">
        <f>B6/B3</f>
        <v>286.36363636363632</v>
      </c>
      <c r="C7" s="763">
        <f t="shared" ref="C7:M7" si="2">C6/C3</f>
        <v>286.36363636363632</v>
      </c>
      <c r="D7" s="763">
        <f t="shared" si="2"/>
        <v>286.36363636363632</v>
      </c>
      <c r="E7" s="763">
        <f t="shared" si="2"/>
        <v>269.23076923076923</v>
      </c>
      <c r="F7" s="763">
        <f t="shared" si="2"/>
        <v>269.23076923076923</v>
      </c>
      <c r="G7" s="763">
        <f t="shared" si="2"/>
        <v>269.23076923076923</v>
      </c>
      <c r="H7" s="763">
        <f t="shared" si="2"/>
        <v>269.23076923076923</v>
      </c>
      <c r="I7" s="763">
        <f t="shared" si="2"/>
        <v>269.23076923076923</v>
      </c>
      <c r="J7" s="763">
        <f t="shared" si="2"/>
        <v>269.23076923076923</v>
      </c>
      <c r="K7" s="763">
        <f t="shared" si="2"/>
        <v>269.23076923076923</v>
      </c>
      <c r="L7" s="763">
        <f t="shared" si="2"/>
        <v>269.23076923076923</v>
      </c>
      <c r="M7" s="763">
        <f t="shared" si="2"/>
        <v>269.23076923076923</v>
      </c>
    </row>
    <row r="8" spans="1:21">
      <c r="A8" s="265" t="s">
        <v>265</v>
      </c>
      <c r="B8" s="762">
        <f>'données prév'!$I$29</f>
        <v>625.1</v>
      </c>
      <c r="C8" s="762">
        <f>'données prév'!$I$29</f>
        <v>625.1</v>
      </c>
      <c r="D8" s="762">
        <f>'données prév'!$I$29</f>
        <v>625.1</v>
      </c>
      <c r="E8" s="762">
        <f>'données prév'!$I$29</f>
        <v>625.1</v>
      </c>
      <c r="F8" s="762">
        <f>'données prév'!$I$29</f>
        <v>625.1</v>
      </c>
      <c r="G8" s="762">
        <f>'données prév'!$I$29</f>
        <v>625.1</v>
      </c>
      <c r="H8" s="762">
        <f>'données prév'!$I$29</f>
        <v>625.1</v>
      </c>
      <c r="I8" s="762">
        <f>'données prév'!$I$29</f>
        <v>625.1</v>
      </c>
      <c r="J8" s="762">
        <f>'données prév'!$I$29</f>
        <v>625.1</v>
      </c>
      <c r="K8" s="762">
        <f>'données prév'!$I$29</f>
        <v>625.1</v>
      </c>
      <c r="L8" s="762">
        <f>'données prév'!$I$29</f>
        <v>625.1</v>
      </c>
      <c r="M8" s="762">
        <f>'données prév'!$I$29</f>
        <v>625.1</v>
      </c>
    </row>
    <row r="9" spans="1:21">
      <c r="A9" s="266" t="s">
        <v>266</v>
      </c>
      <c r="B9" s="763">
        <f>B8/B3</f>
        <v>568.27272727272725</v>
      </c>
      <c r="C9" s="763">
        <f t="shared" ref="C9:M9" si="3">C8/C3</f>
        <v>568.27272727272725</v>
      </c>
      <c r="D9" s="763">
        <f t="shared" si="3"/>
        <v>568.27272727272725</v>
      </c>
      <c r="E9" s="763">
        <f t="shared" si="3"/>
        <v>534.27350427350427</v>
      </c>
      <c r="F9" s="763">
        <f t="shared" si="3"/>
        <v>534.27350427350427</v>
      </c>
      <c r="G9" s="763">
        <f t="shared" si="3"/>
        <v>534.27350427350427</v>
      </c>
      <c r="H9" s="763">
        <f t="shared" si="3"/>
        <v>534.27350427350427</v>
      </c>
      <c r="I9" s="763">
        <f t="shared" si="3"/>
        <v>534.27350427350427</v>
      </c>
      <c r="J9" s="763">
        <f t="shared" si="3"/>
        <v>534.27350427350427</v>
      </c>
      <c r="K9" s="763">
        <f t="shared" si="3"/>
        <v>534.27350427350427</v>
      </c>
      <c r="L9" s="763">
        <f t="shared" si="3"/>
        <v>534.27350427350427</v>
      </c>
      <c r="M9" s="763">
        <f t="shared" si="3"/>
        <v>534.27350427350427</v>
      </c>
    </row>
    <row r="11" spans="1:21">
      <c r="A11" s="433" t="s">
        <v>336</v>
      </c>
      <c r="B11" s="434"/>
      <c r="C11" s="434"/>
      <c r="D11" s="434"/>
      <c r="E11" s="434"/>
      <c r="F11" s="434"/>
      <c r="G11" s="434"/>
      <c r="H11" s="434"/>
      <c r="I11" s="434"/>
      <c r="J11" s="434"/>
      <c r="K11" s="434"/>
      <c r="L11" s="434"/>
      <c r="M11" s="434"/>
      <c r="N11" s="436"/>
    </row>
    <row r="12" spans="1:21">
      <c r="A12" s="283"/>
      <c r="B12" s="241">
        <f>B2</f>
        <v>43101</v>
      </c>
      <c r="C12" s="241">
        <f t="shared" ref="C12:M12" si="4">C2</f>
        <v>43132</v>
      </c>
      <c r="D12" s="241">
        <f t="shared" si="4"/>
        <v>43160</v>
      </c>
      <c r="E12" s="241">
        <f t="shared" si="4"/>
        <v>43191</v>
      </c>
      <c r="F12" s="241">
        <f t="shared" si="4"/>
        <v>43221</v>
      </c>
      <c r="G12" s="241">
        <f t="shared" si="4"/>
        <v>43252</v>
      </c>
      <c r="H12" s="241">
        <f t="shared" si="4"/>
        <v>43282</v>
      </c>
      <c r="I12" s="241">
        <f t="shared" si="4"/>
        <v>43313</v>
      </c>
      <c r="J12" s="241">
        <f t="shared" si="4"/>
        <v>43344</v>
      </c>
      <c r="K12" s="241">
        <f t="shared" si="4"/>
        <v>43374</v>
      </c>
      <c r="L12" s="241">
        <f t="shared" si="4"/>
        <v>43405</v>
      </c>
      <c r="M12" s="241">
        <f t="shared" si="4"/>
        <v>43435</v>
      </c>
      <c r="N12" s="241" t="s">
        <v>39</v>
      </c>
      <c r="O12" s="721">
        <v>43466</v>
      </c>
      <c r="P12" s="721">
        <v>43497</v>
      </c>
      <c r="Q12" s="721">
        <v>43525</v>
      </c>
    </row>
    <row r="13" spans="1:21">
      <c r="A13" s="247" t="s">
        <v>14</v>
      </c>
      <c r="B13" s="756"/>
      <c r="C13" s="756"/>
      <c r="D13" s="756"/>
      <c r="E13" s="752">
        <f>'données réelles'!B3</f>
        <v>2</v>
      </c>
      <c r="F13" s="752">
        <f>'données réelles'!C3</f>
        <v>0</v>
      </c>
      <c r="G13" s="752">
        <f>'données réelles'!D3</f>
        <v>2</v>
      </c>
      <c r="H13" s="752">
        <f>'données réelles'!E3</f>
        <v>0</v>
      </c>
      <c r="I13" s="752">
        <f>'données réelles'!F3</f>
        <v>0</v>
      </c>
      <c r="J13" s="752">
        <f>'données réelles'!G3</f>
        <v>1</v>
      </c>
      <c r="K13" s="752">
        <f>'données réelles'!H3</f>
        <v>0</v>
      </c>
      <c r="L13" s="752">
        <f>'données réelles'!I3</f>
        <v>0</v>
      </c>
      <c r="M13" s="752">
        <f>'données réelles'!J3</f>
        <v>2</v>
      </c>
      <c r="N13" s="751">
        <f t="shared" ref="N13:N14" si="5">SUM(B13:M13)</f>
        <v>7</v>
      </c>
      <c r="O13" s="752">
        <f>'données réelles'!K3</f>
        <v>0</v>
      </c>
      <c r="P13" s="752">
        <f>'données réelles'!L3</f>
        <v>0</v>
      </c>
      <c r="Q13" s="752">
        <f>'données réelles'!M3</f>
        <v>1</v>
      </c>
    </row>
    <row r="14" spans="1:21">
      <c r="A14" s="256" t="s">
        <v>15</v>
      </c>
      <c r="B14" s="754">
        <v>2</v>
      </c>
      <c r="C14" s="754"/>
      <c r="D14" s="754"/>
      <c r="E14" s="751">
        <f>'données réelles'!B4</f>
        <v>1</v>
      </c>
      <c r="F14" s="751">
        <f>'données réelles'!C4</f>
        <v>1</v>
      </c>
      <c r="G14" s="751">
        <f>'données réelles'!D4</f>
        <v>0</v>
      </c>
      <c r="H14" s="751">
        <f>'données réelles'!E4</f>
        <v>0</v>
      </c>
      <c r="I14" s="751">
        <f>'données réelles'!F4</f>
        <v>3</v>
      </c>
      <c r="J14" s="751">
        <f>'données réelles'!G4</f>
        <v>0</v>
      </c>
      <c r="K14" s="751">
        <f>'données réelles'!H4</f>
        <v>1</v>
      </c>
      <c r="L14" s="751">
        <f>'données réelles'!I4</f>
        <v>0</v>
      </c>
      <c r="M14" s="751">
        <f>'données réelles'!J4</f>
        <v>0</v>
      </c>
      <c r="N14" s="751">
        <f t="shared" si="5"/>
        <v>8</v>
      </c>
      <c r="O14" s="752">
        <f>'données réelles'!K4</f>
        <v>0</v>
      </c>
      <c r="P14" s="752">
        <f>'données réelles'!L4</f>
        <v>0</v>
      </c>
      <c r="Q14" s="752">
        <f>'données réelles'!M4</f>
        <v>0</v>
      </c>
    </row>
    <row r="15" spans="1:21">
      <c r="A15" s="257" t="s">
        <v>88</v>
      </c>
      <c r="B15" s="755">
        <f>SUM(B13:B14)</f>
        <v>2</v>
      </c>
      <c r="C15" s="755">
        <f t="shared" ref="C15:D15" si="6">SUM(C13:C14)</f>
        <v>0</v>
      </c>
      <c r="D15" s="755">
        <f t="shared" si="6"/>
        <v>0</v>
      </c>
      <c r="E15" s="757">
        <f>+E13+E14</f>
        <v>3</v>
      </c>
      <c r="F15" s="757">
        <f t="shared" ref="F15:M15" si="7">+F13+F14</f>
        <v>1</v>
      </c>
      <c r="G15" s="757">
        <f t="shared" si="7"/>
        <v>2</v>
      </c>
      <c r="H15" s="757">
        <f t="shared" si="7"/>
        <v>0</v>
      </c>
      <c r="I15" s="757">
        <f t="shared" si="7"/>
        <v>3</v>
      </c>
      <c r="J15" s="757">
        <f t="shared" si="7"/>
        <v>1</v>
      </c>
      <c r="K15" s="757">
        <f t="shared" si="7"/>
        <v>1</v>
      </c>
      <c r="L15" s="757">
        <f t="shared" si="7"/>
        <v>0</v>
      </c>
      <c r="M15" s="757">
        <f t="shared" si="7"/>
        <v>2</v>
      </c>
      <c r="N15" s="755">
        <f>SUM(B15:M15)</f>
        <v>15</v>
      </c>
      <c r="O15" s="757">
        <f>+O13+O14</f>
        <v>0</v>
      </c>
      <c r="P15" s="757">
        <f>+P13+P14</f>
        <v>0</v>
      </c>
      <c r="Q15" s="757">
        <f>+Q13+Q14</f>
        <v>1</v>
      </c>
    </row>
    <row r="16" spans="1:21">
      <c r="A16" s="249" t="s">
        <v>16</v>
      </c>
      <c r="B16" s="756"/>
      <c r="C16" s="756"/>
      <c r="D16" s="756"/>
      <c r="E16" s="752">
        <f>'données réelles'!B6</f>
        <v>0</v>
      </c>
      <c r="F16" s="752">
        <f>'données réelles'!C6</f>
        <v>2</v>
      </c>
      <c r="G16" s="752">
        <f>'données réelles'!D6</f>
        <v>2</v>
      </c>
      <c r="H16" s="752">
        <f>'données réelles'!E6</f>
        <v>1</v>
      </c>
      <c r="I16" s="752">
        <f>'données réelles'!F6</f>
        <v>0</v>
      </c>
      <c r="J16" s="752">
        <f>'données réelles'!G6</f>
        <v>0</v>
      </c>
      <c r="K16" s="752">
        <f>'données réelles'!H6</f>
        <v>0</v>
      </c>
      <c r="L16" s="752">
        <f>'données réelles'!I6</f>
        <v>2</v>
      </c>
      <c r="M16" s="752">
        <f>'données réelles'!J6</f>
        <v>0</v>
      </c>
      <c r="N16" s="752">
        <f>SUM(B16:M16)</f>
        <v>7</v>
      </c>
      <c r="O16" s="752">
        <f>'données réelles'!K6</f>
        <v>2</v>
      </c>
      <c r="P16" s="752">
        <f>'données réelles'!L6</f>
        <v>1</v>
      </c>
      <c r="Q16" s="752">
        <f>'données réelles'!M6</f>
        <v>0</v>
      </c>
    </row>
    <row r="17" spans="1:17">
      <c r="A17" s="250" t="s">
        <v>17</v>
      </c>
      <c r="B17" s="754">
        <v>2</v>
      </c>
      <c r="C17" s="754"/>
      <c r="D17" s="754"/>
      <c r="E17" s="751">
        <f>'données réelles'!B7</f>
        <v>0</v>
      </c>
      <c r="F17" s="751">
        <f>'données réelles'!C7</f>
        <v>0</v>
      </c>
      <c r="G17" s="751">
        <f>'données réelles'!D7</f>
        <v>0</v>
      </c>
      <c r="H17" s="751">
        <f>'données réelles'!E7</f>
        <v>3</v>
      </c>
      <c r="I17" s="751">
        <f>'données réelles'!F7</f>
        <v>0</v>
      </c>
      <c r="J17" s="751">
        <f>'données réelles'!G7</f>
        <v>0</v>
      </c>
      <c r="K17" s="751">
        <f>'données réelles'!H7</f>
        <v>0</v>
      </c>
      <c r="L17" s="751">
        <f>'données réelles'!I7</f>
        <v>0</v>
      </c>
      <c r="M17" s="751">
        <f>'données réelles'!J7</f>
        <v>0</v>
      </c>
      <c r="N17" s="751">
        <f>SUM(B17:M17)</f>
        <v>5</v>
      </c>
      <c r="O17" s="752">
        <f>'données réelles'!K7</f>
        <v>0</v>
      </c>
      <c r="P17" s="752">
        <f>'données réelles'!L7</f>
        <v>2</v>
      </c>
      <c r="Q17" s="752">
        <f>'données réelles'!M7</f>
        <v>0</v>
      </c>
    </row>
    <row r="18" spans="1:17">
      <c r="A18" s="253" t="s">
        <v>89</v>
      </c>
      <c r="B18" s="755">
        <f>SUM(B16:B17)</f>
        <v>2</v>
      </c>
      <c r="C18" s="755">
        <f t="shared" ref="C18:D18" si="8">SUM(C16:C17)</f>
        <v>0</v>
      </c>
      <c r="D18" s="755">
        <f t="shared" si="8"/>
        <v>0</v>
      </c>
      <c r="E18" s="757">
        <f>+E16+E17</f>
        <v>0</v>
      </c>
      <c r="F18" s="757">
        <f t="shared" ref="F18:M18" si="9">+F16+F17</f>
        <v>2</v>
      </c>
      <c r="G18" s="757">
        <f t="shared" si="9"/>
        <v>2</v>
      </c>
      <c r="H18" s="757">
        <f t="shared" si="9"/>
        <v>4</v>
      </c>
      <c r="I18" s="757">
        <f t="shared" si="9"/>
        <v>0</v>
      </c>
      <c r="J18" s="757">
        <f t="shared" si="9"/>
        <v>0</v>
      </c>
      <c r="K18" s="757">
        <f t="shared" si="9"/>
        <v>0</v>
      </c>
      <c r="L18" s="757">
        <f t="shared" si="9"/>
        <v>2</v>
      </c>
      <c r="M18" s="757">
        <f t="shared" si="9"/>
        <v>0</v>
      </c>
      <c r="N18" s="755">
        <f>SUM(B18:M18)</f>
        <v>12</v>
      </c>
      <c r="O18" s="757">
        <f>+O16+O17</f>
        <v>2</v>
      </c>
      <c r="P18" s="757">
        <f>+P16+P17</f>
        <v>3</v>
      </c>
      <c r="Q18" s="757">
        <f>+Q16+Q17</f>
        <v>0</v>
      </c>
    </row>
    <row r="19" spans="1:17">
      <c r="A19" s="258" t="s">
        <v>18</v>
      </c>
      <c r="B19" s="756"/>
      <c r="C19" s="756"/>
      <c r="D19" s="756"/>
      <c r="E19" s="752">
        <f>'données réelles'!B9</f>
        <v>0</v>
      </c>
      <c r="F19" s="752">
        <f>'données réelles'!C9</f>
        <v>1</v>
      </c>
      <c r="G19" s="752">
        <f>'données réelles'!D9</f>
        <v>0</v>
      </c>
      <c r="H19" s="752">
        <f>'données réelles'!E9</f>
        <v>0</v>
      </c>
      <c r="I19" s="752">
        <f>'données réelles'!F9</f>
        <v>1</v>
      </c>
      <c r="J19" s="752">
        <f>'données réelles'!G9</f>
        <v>0</v>
      </c>
      <c r="K19" s="752">
        <f>'données réelles'!H9</f>
        <v>0</v>
      </c>
      <c r="L19" s="752">
        <f>'données réelles'!I9</f>
        <v>0</v>
      </c>
      <c r="M19" s="752">
        <f>'données réelles'!J9</f>
        <v>0</v>
      </c>
      <c r="N19" s="752">
        <f t="shared" ref="N19:N20" si="10">SUM(B19:M19)</f>
        <v>2</v>
      </c>
      <c r="O19" s="752">
        <f>'données réelles'!K9</f>
        <v>0</v>
      </c>
      <c r="P19" s="752">
        <f>'données réelles'!L9</f>
        <v>1</v>
      </c>
      <c r="Q19" s="752">
        <f>'données réelles'!M9</f>
        <v>0</v>
      </c>
    </row>
    <row r="20" spans="1:17">
      <c r="A20" s="259" t="s">
        <v>19</v>
      </c>
      <c r="B20" s="754">
        <v>2</v>
      </c>
      <c r="C20" s="754"/>
      <c r="D20" s="754"/>
      <c r="E20" s="751">
        <f>'données réelles'!B10</f>
        <v>0</v>
      </c>
      <c r="F20" s="751">
        <f>'données réelles'!C10</f>
        <v>0</v>
      </c>
      <c r="G20" s="751">
        <f>'données réelles'!D10</f>
        <v>1</v>
      </c>
      <c r="H20" s="751">
        <f>'données réelles'!E10</f>
        <v>0</v>
      </c>
      <c r="I20" s="751">
        <f>'données réelles'!F10</f>
        <v>0</v>
      </c>
      <c r="J20" s="751">
        <f>'données réelles'!G10</f>
        <v>0</v>
      </c>
      <c r="K20" s="751">
        <f>'données réelles'!H10</f>
        <v>0</v>
      </c>
      <c r="L20" s="751">
        <f>'données réelles'!I10</f>
        <v>0</v>
      </c>
      <c r="M20" s="751">
        <f>'données réelles'!J10</f>
        <v>0</v>
      </c>
      <c r="N20" s="751">
        <f t="shared" si="10"/>
        <v>3</v>
      </c>
      <c r="O20" s="752">
        <f>'données réelles'!K10</f>
        <v>1</v>
      </c>
      <c r="P20" s="752">
        <f>'données réelles'!L10</f>
        <v>0</v>
      </c>
      <c r="Q20" s="752">
        <f>'données réelles'!M10</f>
        <v>1</v>
      </c>
    </row>
    <row r="21" spans="1:17">
      <c r="A21" s="260" t="s">
        <v>90</v>
      </c>
      <c r="B21" s="755">
        <f>SUM(B19:B20)</f>
        <v>2</v>
      </c>
      <c r="C21" s="755">
        <f t="shared" ref="C21:D21" si="11">SUM(C19:C20)</f>
        <v>0</v>
      </c>
      <c r="D21" s="755">
        <f t="shared" si="11"/>
        <v>0</v>
      </c>
      <c r="E21" s="757">
        <f>+E19+E20</f>
        <v>0</v>
      </c>
      <c r="F21" s="757">
        <f t="shared" ref="F21:M21" si="12">+F19+F20</f>
        <v>1</v>
      </c>
      <c r="G21" s="757">
        <f t="shared" si="12"/>
        <v>1</v>
      </c>
      <c r="H21" s="757">
        <f t="shared" si="12"/>
        <v>0</v>
      </c>
      <c r="I21" s="757">
        <f t="shared" si="12"/>
        <v>1</v>
      </c>
      <c r="J21" s="757">
        <f t="shared" si="12"/>
        <v>0</v>
      </c>
      <c r="K21" s="757">
        <f t="shared" si="12"/>
        <v>0</v>
      </c>
      <c r="L21" s="757">
        <f t="shared" si="12"/>
        <v>0</v>
      </c>
      <c r="M21" s="757">
        <f t="shared" si="12"/>
        <v>0</v>
      </c>
      <c r="N21" s="755">
        <f>SUM(B21:M21)</f>
        <v>5</v>
      </c>
      <c r="O21" s="757">
        <f>+O19+O20</f>
        <v>1</v>
      </c>
      <c r="P21" s="757">
        <f>+P19+P20</f>
        <v>1</v>
      </c>
      <c r="Q21" s="757">
        <f>+Q19+Q20</f>
        <v>1</v>
      </c>
    </row>
    <row r="22" spans="1:17">
      <c r="A22" s="238" t="s">
        <v>186</v>
      </c>
      <c r="B22" s="758">
        <f>'données réelles'!B12</f>
        <v>1470</v>
      </c>
      <c r="C22" s="758">
        <f>'données réelles'!C12</f>
        <v>1420</v>
      </c>
      <c r="D22" s="758">
        <f>'données réelles'!D12</f>
        <v>1590</v>
      </c>
      <c r="E22" s="758">
        <f>'données réelles'!E12</f>
        <v>1330</v>
      </c>
      <c r="F22" s="758">
        <f>'données réelles'!F12</f>
        <v>1200</v>
      </c>
      <c r="G22" s="758">
        <f>'données réelles'!G12</f>
        <v>1950</v>
      </c>
      <c r="H22" s="758">
        <f>'données réelles'!H12</f>
        <v>650</v>
      </c>
      <c r="I22" s="758">
        <f>'données réelles'!I12</f>
        <v>384</v>
      </c>
      <c r="J22" s="758">
        <f>'données réelles'!J12</f>
        <v>1154</v>
      </c>
      <c r="K22" s="758">
        <f>'données réelles'!K12</f>
        <v>1622</v>
      </c>
      <c r="L22" s="758">
        <f>'données réelles'!L12</f>
        <v>1158</v>
      </c>
      <c r="M22" s="758">
        <f>'données réelles'!M12</f>
        <v>932</v>
      </c>
      <c r="N22" s="758">
        <f>'données réelles'!N12</f>
        <v>14860</v>
      </c>
      <c r="O22" s="759"/>
      <c r="P22" s="759"/>
      <c r="Q22" s="759"/>
    </row>
    <row r="24" spans="1:17">
      <c r="A24" s="433" t="s">
        <v>335</v>
      </c>
      <c r="B24" s="434"/>
      <c r="C24" s="434"/>
      <c r="D24" s="434"/>
      <c r="E24" s="434"/>
      <c r="F24" s="434"/>
      <c r="G24" s="434"/>
      <c r="H24" s="434"/>
      <c r="I24" s="434"/>
      <c r="J24" s="434"/>
      <c r="K24" s="434"/>
      <c r="L24" s="434"/>
      <c r="M24" s="434"/>
      <c r="N24" s="435"/>
      <c r="O24" s="3"/>
      <c r="P24" s="3"/>
      <c r="Q24" s="3"/>
    </row>
    <row r="25" spans="1:17">
      <c r="A25" s="283"/>
      <c r="B25" s="241">
        <f>B2</f>
        <v>43101</v>
      </c>
      <c r="C25" s="241">
        <f t="shared" ref="C25:M25" si="13">C2</f>
        <v>43132</v>
      </c>
      <c r="D25" s="241">
        <f t="shared" si="13"/>
        <v>43160</v>
      </c>
      <c r="E25" s="241">
        <f t="shared" si="13"/>
        <v>43191</v>
      </c>
      <c r="F25" s="241">
        <f t="shared" si="13"/>
        <v>43221</v>
      </c>
      <c r="G25" s="241">
        <f t="shared" si="13"/>
        <v>43252</v>
      </c>
      <c r="H25" s="241">
        <f t="shared" si="13"/>
        <v>43282</v>
      </c>
      <c r="I25" s="241">
        <f t="shared" si="13"/>
        <v>43313</v>
      </c>
      <c r="J25" s="241">
        <f t="shared" si="13"/>
        <v>43344</v>
      </c>
      <c r="K25" s="241">
        <f t="shared" si="13"/>
        <v>43374</v>
      </c>
      <c r="L25" s="241">
        <f t="shared" si="13"/>
        <v>43405</v>
      </c>
      <c r="M25" s="241">
        <f t="shared" si="13"/>
        <v>43435</v>
      </c>
      <c r="N25" s="241" t="s">
        <v>39</v>
      </c>
      <c r="O25" s="766">
        <v>43466</v>
      </c>
      <c r="P25" s="766">
        <v>43497</v>
      </c>
      <c r="Q25" s="766">
        <v>43525</v>
      </c>
    </row>
    <row r="26" spans="1:17">
      <c r="A26" s="247" t="s">
        <v>14</v>
      </c>
      <c r="B26" s="750">
        <f>B13*B5</f>
        <v>0</v>
      </c>
      <c r="C26" s="751">
        <v>0</v>
      </c>
      <c r="D26" s="750">
        <v>0</v>
      </c>
      <c r="E26" s="752">
        <f>E13*'données réelles'!$B$16</f>
        <v>298</v>
      </c>
      <c r="F26" s="752">
        <f>F13*'données réelles'!$B$16</f>
        <v>0</v>
      </c>
      <c r="G26" s="752">
        <f>G13*'données réelles'!$B$16</f>
        <v>298</v>
      </c>
      <c r="H26" s="752">
        <f>H13*'données réelles'!$B$16</f>
        <v>0</v>
      </c>
      <c r="I26" s="752">
        <f>I13*'données réelles'!$B$16</f>
        <v>0</v>
      </c>
      <c r="J26" s="752">
        <f>J13*'données réelles'!$B$16</f>
        <v>149</v>
      </c>
      <c r="K26" s="752">
        <f>K13*'données réelles'!$B$16</f>
        <v>0</v>
      </c>
      <c r="L26" s="752">
        <f>L13*'données réelles'!$B$16</f>
        <v>0</v>
      </c>
      <c r="M26" s="752">
        <f>M13*'données réelles'!$B$16</f>
        <v>298</v>
      </c>
      <c r="N26" s="752">
        <f>SUM(B26:M26)</f>
        <v>1043</v>
      </c>
      <c r="O26" s="752">
        <f>O13*'données prév'!$I$24</f>
        <v>0</v>
      </c>
      <c r="P26" s="752">
        <f>P13*'données prév'!$I$24</f>
        <v>0</v>
      </c>
      <c r="Q26" s="752">
        <f>Q13*'données réelles'!$B$16</f>
        <v>149</v>
      </c>
    </row>
    <row r="27" spans="1:17">
      <c r="A27" s="256" t="s">
        <v>15</v>
      </c>
      <c r="B27" s="753">
        <f>B5*B14</f>
        <v>346.18181818181819</v>
      </c>
      <c r="C27" s="754">
        <f t="shared" ref="C27:M27" si="14">C5*C14</f>
        <v>0</v>
      </c>
      <c r="D27" s="754">
        <f t="shared" si="14"/>
        <v>0</v>
      </c>
      <c r="E27" s="754">
        <f>E5*E14</f>
        <v>162.73504273504275</v>
      </c>
      <c r="F27" s="754">
        <f t="shared" si="14"/>
        <v>162.73504273504275</v>
      </c>
      <c r="G27" s="754">
        <f t="shared" si="14"/>
        <v>0</v>
      </c>
      <c r="H27" s="754">
        <f t="shared" si="14"/>
        <v>0</v>
      </c>
      <c r="I27" s="754">
        <f t="shared" si="14"/>
        <v>488.20512820512829</v>
      </c>
      <c r="J27" s="754">
        <f t="shared" si="14"/>
        <v>0</v>
      </c>
      <c r="K27" s="754">
        <f t="shared" si="14"/>
        <v>162.73504273504275</v>
      </c>
      <c r="L27" s="754">
        <f t="shared" si="14"/>
        <v>0</v>
      </c>
      <c r="M27" s="754">
        <f t="shared" si="14"/>
        <v>0</v>
      </c>
      <c r="N27" s="752">
        <f>SUM(B27:M27)</f>
        <v>1322.5920745920746</v>
      </c>
      <c r="O27" s="752">
        <f>O14*'données prév'!$I$24</f>
        <v>0</v>
      </c>
      <c r="P27" s="752">
        <f>P14*'données prév'!$I$24</f>
        <v>0</v>
      </c>
      <c r="Q27" s="752">
        <f>Q14*'données prév'!$I$24</f>
        <v>0</v>
      </c>
    </row>
    <row r="28" spans="1:17">
      <c r="A28" s="257" t="s">
        <v>88</v>
      </c>
      <c r="B28" s="755">
        <f>SUM(B26:B27)</f>
        <v>346.18181818181819</v>
      </c>
      <c r="C28" s="755">
        <f t="shared" ref="C28:M28" si="15">SUM(C26:C27)</f>
        <v>0</v>
      </c>
      <c r="D28" s="755">
        <f t="shared" si="15"/>
        <v>0</v>
      </c>
      <c r="E28" s="755">
        <f t="shared" si="15"/>
        <v>460.73504273504273</v>
      </c>
      <c r="F28" s="755">
        <f t="shared" si="15"/>
        <v>162.73504273504275</v>
      </c>
      <c r="G28" s="755">
        <f t="shared" si="15"/>
        <v>298</v>
      </c>
      <c r="H28" s="755">
        <f t="shared" si="15"/>
        <v>0</v>
      </c>
      <c r="I28" s="755">
        <f t="shared" si="15"/>
        <v>488.20512820512829</v>
      </c>
      <c r="J28" s="755">
        <f t="shared" si="15"/>
        <v>149</v>
      </c>
      <c r="K28" s="755">
        <f t="shared" si="15"/>
        <v>162.73504273504275</v>
      </c>
      <c r="L28" s="755">
        <f t="shared" si="15"/>
        <v>0</v>
      </c>
      <c r="M28" s="755">
        <f t="shared" si="15"/>
        <v>298</v>
      </c>
      <c r="N28" s="755">
        <f>SUM(N26:N27)</f>
        <v>2365.5920745920748</v>
      </c>
      <c r="O28" s="767">
        <f>SUM(O26:O27)</f>
        <v>0</v>
      </c>
      <c r="P28" s="767">
        <f t="shared" ref="P28:Q28" si="16">SUM(P26:P27)</f>
        <v>0</v>
      </c>
      <c r="Q28" s="767">
        <f t="shared" si="16"/>
        <v>149</v>
      </c>
    </row>
    <row r="29" spans="1:17">
      <c r="A29" s="249" t="s">
        <v>16</v>
      </c>
      <c r="B29" s="756">
        <v>0</v>
      </c>
      <c r="C29" s="754">
        <v>0</v>
      </c>
      <c r="D29" s="754">
        <v>0</v>
      </c>
      <c r="E29" s="754">
        <f>E16*'données réelles'!$B$17</f>
        <v>0</v>
      </c>
      <c r="F29" s="754">
        <f>F16*'données réelles'!$B$17</f>
        <v>508</v>
      </c>
      <c r="G29" s="754">
        <f>G16*'données réelles'!$B$17</f>
        <v>508</v>
      </c>
      <c r="H29" s="754">
        <f>H16*'données réelles'!$B$17</f>
        <v>254</v>
      </c>
      <c r="I29" s="754">
        <f>I16*'données réelles'!$B$17</f>
        <v>0</v>
      </c>
      <c r="J29" s="754">
        <f>J16*'données réelles'!$B$17</f>
        <v>0</v>
      </c>
      <c r="K29" s="754">
        <f>K16*'données réelles'!$B$17</f>
        <v>0</v>
      </c>
      <c r="L29" s="754">
        <f>L16*'données réelles'!$B$17</f>
        <v>508</v>
      </c>
      <c r="M29" s="754">
        <f>M16*'données réelles'!$B$17</f>
        <v>0</v>
      </c>
      <c r="N29" s="752">
        <f>SUM(B29:M29)</f>
        <v>1778</v>
      </c>
      <c r="O29" s="754">
        <f>O16*'données réelles'!$B$17</f>
        <v>508</v>
      </c>
      <c r="P29" s="754">
        <f>P16*'données réelles'!$B$17</f>
        <v>254</v>
      </c>
      <c r="Q29" s="754">
        <f>Q16*'données prév'!$I$26</f>
        <v>0</v>
      </c>
    </row>
    <row r="30" spans="1:17">
      <c r="A30" s="250" t="s">
        <v>17</v>
      </c>
      <c r="B30" s="753">
        <f>B17*B7</f>
        <v>572.72727272727263</v>
      </c>
      <c r="C30" s="754">
        <f t="shared" ref="C30:M30" si="17">C17*C7</f>
        <v>0</v>
      </c>
      <c r="D30" s="754">
        <f t="shared" si="17"/>
        <v>0</v>
      </c>
      <c r="E30" s="754">
        <f t="shared" si="17"/>
        <v>0</v>
      </c>
      <c r="F30" s="754">
        <f t="shared" si="17"/>
        <v>0</v>
      </c>
      <c r="G30" s="754">
        <f t="shared" si="17"/>
        <v>0</v>
      </c>
      <c r="H30" s="754">
        <f t="shared" si="17"/>
        <v>807.69230769230762</v>
      </c>
      <c r="I30" s="754">
        <f t="shared" si="17"/>
        <v>0</v>
      </c>
      <c r="J30" s="754">
        <f t="shared" si="17"/>
        <v>0</v>
      </c>
      <c r="K30" s="754">
        <f t="shared" si="17"/>
        <v>0</v>
      </c>
      <c r="L30" s="754">
        <f t="shared" si="17"/>
        <v>0</v>
      </c>
      <c r="M30" s="754">
        <f t="shared" si="17"/>
        <v>0</v>
      </c>
      <c r="N30" s="754">
        <f>SUM(B30:M30)</f>
        <v>1380.4195804195801</v>
      </c>
      <c r="O30" s="754">
        <f>O17*K7</f>
        <v>0</v>
      </c>
      <c r="P30" s="754">
        <f t="shared" ref="P30:Q30" si="18">P17*L7</f>
        <v>538.46153846153845</v>
      </c>
      <c r="Q30" s="754">
        <f t="shared" si="18"/>
        <v>0</v>
      </c>
    </row>
    <row r="31" spans="1:17">
      <c r="A31" s="253" t="s">
        <v>89</v>
      </c>
      <c r="B31" s="755">
        <f>SUM(B29:B30)</f>
        <v>572.72727272727263</v>
      </c>
      <c r="C31" s="755">
        <f t="shared" ref="C31:M31" si="19">SUM(C29:C30)</f>
        <v>0</v>
      </c>
      <c r="D31" s="755">
        <f t="shared" si="19"/>
        <v>0</v>
      </c>
      <c r="E31" s="755">
        <f t="shared" si="19"/>
        <v>0</v>
      </c>
      <c r="F31" s="755">
        <f t="shared" si="19"/>
        <v>508</v>
      </c>
      <c r="G31" s="755">
        <f t="shared" si="19"/>
        <v>508</v>
      </c>
      <c r="H31" s="755">
        <f t="shared" si="19"/>
        <v>1061.6923076923076</v>
      </c>
      <c r="I31" s="755">
        <f t="shared" si="19"/>
        <v>0</v>
      </c>
      <c r="J31" s="755">
        <f t="shared" si="19"/>
        <v>0</v>
      </c>
      <c r="K31" s="755">
        <f t="shared" si="19"/>
        <v>0</v>
      </c>
      <c r="L31" s="755">
        <f t="shared" si="19"/>
        <v>508</v>
      </c>
      <c r="M31" s="755">
        <f t="shared" si="19"/>
        <v>0</v>
      </c>
      <c r="N31" s="755">
        <f>SUM(N29:N30)</f>
        <v>3158.4195804195801</v>
      </c>
      <c r="O31" s="768">
        <f>SUM(O29:O30)</f>
        <v>508</v>
      </c>
      <c r="P31" s="768">
        <f t="shared" ref="P31:Q31" si="20">SUM(P29:P30)</f>
        <v>792.46153846153845</v>
      </c>
      <c r="Q31" s="768">
        <f t="shared" si="20"/>
        <v>0</v>
      </c>
    </row>
    <row r="32" spans="1:17">
      <c r="A32" s="258" t="s">
        <v>18</v>
      </c>
      <c r="B32" s="752">
        <v>0</v>
      </c>
      <c r="C32" s="754">
        <v>0</v>
      </c>
      <c r="D32" s="754">
        <v>0</v>
      </c>
      <c r="E32" s="754">
        <f>E19*'données réelles'!$B$18</f>
        <v>0</v>
      </c>
      <c r="F32" s="754">
        <f>F19*'données réelles'!$B$18</f>
        <v>505</v>
      </c>
      <c r="G32" s="754">
        <f>G19*'données réelles'!$B$18</f>
        <v>0</v>
      </c>
      <c r="H32" s="754">
        <f>H19*'données réelles'!$B$18</f>
        <v>0</v>
      </c>
      <c r="I32" s="754">
        <f>I19*'données réelles'!$B$18</f>
        <v>505</v>
      </c>
      <c r="J32" s="754">
        <f>J19*'données réelles'!$B$18</f>
        <v>0</v>
      </c>
      <c r="K32" s="754">
        <f>K19*'données réelles'!$B$18</f>
        <v>0</v>
      </c>
      <c r="L32" s="754">
        <f>L19*'données réelles'!$B$18</f>
        <v>0</v>
      </c>
      <c r="M32" s="754">
        <f>M19*'données réelles'!$B$18</f>
        <v>0</v>
      </c>
      <c r="N32" s="752">
        <f>SUM(B32:M32)</f>
        <v>1010</v>
      </c>
      <c r="O32" s="754">
        <f>O19*'données réelles'!$B$18</f>
        <v>0</v>
      </c>
      <c r="P32" s="754">
        <f>P19*'données réelles'!$B$18</f>
        <v>505</v>
      </c>
      <c r="Q32" s="754">
        <f>Q19*'données réelles'!$B$18</f>
        <v>0</v>
      </c>
    </row>
    <row r="33" spans="1:21">
      <c r="A33" s="259" t="s">
        <v>19</v>
      </c>
      <c r="B33" s="753">
        <f>B20*B9</f>
        <v>1136.5454545454545</v>
      </c>
      <c r="C33" s="754">
        <f t="shared" ref="C33:M33" si="21">C20*C9</f>
        <v>0</v>
      </c>
      <c r="D33" s="754">
        <f t="shared" si="21"/>
        <v>0</v>
      </c>
      <c r="E33" s="754">
        <f t="shared" si="21"/>
        <v>0</v>
      </c>
      <c r="F33" s="754">
        <f t="shared" si="21"/>
        <v>0</v>
      </c>
      <c r="G33" s="754">
        <f>G20*G9</f>
        <v>534.27350427350427</v>
      </c>
      <c r="H33" s="754">
        <f t="shared" si="21"/>
        <v>0</v>
      </c>
      <c r="I33" s="754">
        <f t="shared" si="21"/>
        <v>0</v>
      </c>
      <c r="J33" s="754">
        <f t="shared" si="21"/>
        <v>0</v>
      </c>
      <c r="K33" s="754">
        <f t="shared" si="21"/>
        <v>0</v>
      </c>
      <c r="L33" s="754">
        <f t="shared" si="21"/>
        <v>0</v>
      </c>
      <c r="M33" s="754">
        <f t="shared" si="21"/>
        <v>0</v>
      </c>
      <c r="N33" s="754">
        <f>SUM(B33:M33)</f>
        <v>1670.8189588189589</v>
      </c>
      <c r="O33" s="754">
        <f>O20*K9</f>
        <v>534.27350427350427</v>
      </c>
      <c r="P33" s="754">
        <f t="shared" ref="P33:Q33" si="22">P20*L9</f>
        <v>0</v>
      </c>
      <c r="Q33" s="754">
        <f t="shared" si="22"/>
        <v>534.27350427350427</v>
      </c>
    </row>
    <row r="34" spans="1:21">
      <c r="A34" s="260" t="s">
        <v>90</v>
      </c>
      <c r="B34" s="755">
        <f>SUM(B32:B33)</f>
        <v>1136.5454545454545</v>
      </c>
      <c r="C34" s="757">
        <f t="shared" ref="C34:M34" si="23">SUM(C32:C33)</f>
        <v>0</v>
      </c>
      <c r="D34" s="757">
        <f t="shared" si="23"/>
        <v>0</v>
      </c>
      <c r="E34" s="757">
        <f t="shared" si="23"/>
        <v>0</v>
      </c>
      <c r="F34" s="757">
        <f t="shared" si="23"/>
        <v>505</v>
      </c>
      <c r="G34" s="757">
        <f t="shared" si="23"/>
        <v>534.27350427350427</v>
      </c>
      <c r="H34" s="757">
        <f t="shared" si="23"/>
        <v>0</v>
      </c>
      <c r="I34" s="757">
        <f t="shared" si="23"/>
        <v>505</v>
      </c>
      <c r="J34" s="757">
        <f t="shared" si="23"/>
        <v>0</v>
      </c>
      <c r="K34" s="757">
        <f t="shared" si="23"/>
        <v>0</v>
      </c>
      <c r="L34" s="757">
        <f t="shared" si="23"/>
        <v>0</v>
      </c>
      <c r="M34" s="757">
        <f t="shared" si="23"/>
        <v>0</v>
      </c>
      <c r="N34" s="755">
        <f>SUM(N32:N33)</f>
        <v>2680.8189588189589</v>
      </c>
      <c r="O34" s="768">
        <f>SUM(O32:O33)</f>
        <v>534.27350427350427</v>
      </c>
      <c r="P34" s="768">
        <f t="shared" ref="P34:Q34" si="24">SUM(P32:P33)</f>
        <v>505</v>
      </c>
      <c r="Q34" s="768">
        <f t="shared" si="24"/>
        <v>534.27350427350427</v>
      </c>
    </row>
    <row r="35" spans="1:21">
      <c r="A35" s="238" t="s">
        <v>186</v>
      </c>
      <c r="B35" s="749">
        <f>B22*'données réelles'!$B$19</f>
        <v>754.11</v>
      </c>
      <c r="C35" s="749">
        <f>C22*'données réelles'!$B$19</f>
        <v>728.46</v>
      </c>
      <c r="D35" s="749">
        <f>D22*'données réelles'!$B$19</f>
        <v>815.67000000000007</v>
      </c>
      <c r="E35" s="749">
        <f>E22*'données réelles'!$B$19</f>
        <v>682.29</v>
      </c>
      <c r="F35" s="749">
        <f>F22*'données réelles'!$B$19</f>
        <v>615.6</v>
      </c>
      <c r="G35" s="749">
        <f>G22*'données réelles'!$B$19</f>
        <v>1000.35</v>
      </c>
      <c r="H35" s="749">
        <f>H22*'données réelles'!$B$19</f>
        <v>333.45</v>
      </c>
      <c r="I35" s="749">
        <f>I22*'données réelles'!$B$19</f>
        <v>196.99200000000002</v>
      </c>
      <c r="J35" s="749">
        <f>J22*'données réelles'!$B$19</f>
        <v>592.00200000000007</v>
      </c>
      <c r="K35" s="749">
        <f>K22*'données réelles'!$B$19</f>
        <v>832.08600000000001</v>
      </c>
      <c r="L35" s="749">
        <f>L22*'données réelles'!$B$19</f>
        <v>594.05399999999997</v>
      </c>
      <c r="M35" s="749">
        <f>M22*'données réelles'!$B$19</f>
        <v>478.11599999999999</v>
      </c>
      <c r="N35" s="749">
        <f>SUM(B35:M35)</f>
        <v>7623.1800000000012</v>
      </c>
      <c r="O35" s="752"/>
      <c r="P35" s="752"/>
      <c r="Q35" s="752"/>
    </row>
    <row r="37" spans="1:21">
      <c r="B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</row>
    <row r="38" spans="1:21">
      <c r="A38" s="433" t="s">
        <v>196</v>
      </c>
      <c r="B38" s="434"/>
      <c r="C38" s="434"/>
      <c r="D38" s="434"/>
      <c r="E38" s="434"/>
      <c r="F38" s="434"/>
      <c r="G38" s="434"/>
      <c r="H38" s="434"/>
      <c r="I38" s="434"/>
      <c r="J38" s="434"/>
      <c r="K38" s="434"/>
      <c r="L38" s="434"/>
      <c r="M38" s="434"/>
      <c r="N38" s="435"/>
    </row>
    <row r="39" spans="1:21">
      <c r="A39" s="283"/>
      <c r="B39" s="241">
        <f>B25</f>
        <v>43101</v>
      </c>
      <c r="C39" s="241">
        <f t="shared" ref="C39:M39" si="25">C25</f>
        <v>43132</v>
      </c>
      <c r="D39" s="241">
        <f t="shared" si="25"/>
        <v>43160</v>
      </c>
      <c r="E39" s="241">
        <f t="shared" si="25"/>
        <v>43191</v>
      </c>
      <c r="F39" s="241">
        <f t="shared" si="25"/>
        <v>43221</v>
      </c>
      <c r="G39" s="241">
        <f t="shared" si="25"/>
        <v>43252</v>
      </c>
      <c r="H39" s="241">
        <f t="shared" si="25"/>
        <v>43282</v>
      </c>
      <c r="I39" s="241">
        <f t="shared" si="25"/>
        <v>43313</v>
      </c>
      <c r="J39" s="241">
        <f t="shared" si="25"/>
        <v>43344</v>
      </c>
      <c r="K39" s="241">
        <f t="shared" si="25"/>
        <v>43374</v>
      </c>
      <c r="L39" s="241">
        <f t="shared" si="25"/>
        <v>43405</v>
      </c>
      <c r="M39" s="241">
        <f t="shared" si="25"/>
        <v>43435</v>
      </c>
      <c r="N39" s="241" t="s">
        <v>39</v>
      </c>
      <c r="O39" s="48"/>
      <c r="P39" s="48"/>
      <c r="Q39" s="48"/>
      <c r="R39" s="726"/>
      <c r="S39" s="48"/>
      <c r="T39" s="48"/>
      <c r="U39" s="48"/>
    </row>
    <row r="40" spans="1:21" ht="18">
      <c r="A40" s="247" t="s">
        <v>14</v>
      </c>
      <c r="B40" s="740">
        <v>0</v>
      </c>
      <c r="C40" s="740">
        <v>0</v>
      </c>
      <c r="D40" s="740">
        <f>('coûts réels'!$B$40/1000)*'données réelles'!B3</f>
        <v>154</v>
      </c>
      <c r="E40" s="740">
        <f>('coûts réels'!$B$40/1000)*'données réelles'!C3</f>
        <v>0</v>
      </c>
      <c r="F40" s="740">
        <f>('coûts réels'!$B$40/1000)*'données réelles'!D3</f>
        <v>154</v>
      </c>
      <c r="G40" s="740">
        <f>('coûts réels'!$B$40/1000)*'données réelles'!E3</f>
        <v>0</v>
      </c>
      <c r="H40" s="740">
        <f>('coûts réels'!$B$40/1000)*'données réelles'!F3</f>
        <v>0</v>
      </c>
      <c r="I40" s="740">
        <f>('coûts réels'!$B$40/1000)*'données réelles'!G3</f>
        <v>77</v>
      </c>
      <c r="J40" s="740">
        <f>('coûts réels'!$B$40/1000)*'données réelles'!H3</f>
        <v>0</v>
      </c>
      <c r="K40" s="740">
        <f>('coûts réels'!$B$40/1000)*'données réelles'!I3</f>
        <v>0</v>
      </c>
      <c r="L40" s="740">
        <f>('coûts réels'!$B$40/1000)*'données réelles'!J3</f>
        <v>154</v>
      </c>
      <c r="M40" s="740">
        <f>('coûts réels'!$B$40/1000)*'données réelles'!K3</f>
        <v>0</v>
      </c>
      <c r="N40" s="740">
        <f>SUM(B40:M40)</f>
        <v>539</v>
      </c>
      <c r="O40" s="740">
        <f>('coûts réels'!$B$40/1000)*'données réelles'!L3</f>
        <v>0</v>
      </c>
      <c r="P40" s="740">
        <f>('coûts réels'!$B$40/1000)*'données réelles'!M3</f>
        <v>77</v>
      </c>
      <c r="Q40" s="740"/>
      <c r="R40" s="740"/>
      <c r="S40" s="48"/>
      <c r="T40" s="48"/>
      <c r="U40" s="48"/>
    </row>
    <row r="41" spans="1:21" ht="18">
      <c r="A41" s="248" t="s">
        <v>15</v>
      </c>
      <c r="B41" s="742">
        <v>0</v>
      </c>
      <c r="C41" s="742">
        <v>0</v>
      </c>
      <c r="D41" s="740">
        <f>('coûts réels'!$B$40/1000)*'données réelles'!B4</f>
        <v>77</v>
      </c>
      <c r="E41" s="740">
        <f>('coûts réels'!$B$40/1000)*'données réelles'!C4</f>
        <v>77</v>
      </c>
      <c r="F41" s="740">
        <f>('coûts réels'!$B$40/1000)*'données réelles'!D4</f>
        <v>0</v>
      </c>
      <c r="G41" s="740">
        <f>('coûts réels'!$B$40/1000)*'données réelles'!E4</f>
        <v>0</v>
      </c>
      <c r="H41" s="740">
        <f>('coûts réels'!$B$40/1000)*'données réelles'!F4</f>
        <v>231</v>
      </c>
      <c r="I41" s="740">
        <f>('coûts réels'!$B$40/1000)*'données réelles'!G4</f>
        <v>0</v>
      </c>
      <c r="J41" s="740">
        <f>('coûts réels'!$B$40/1000)*'données réelles'!H4</f>
        <v>77</v>
      </c>
      <c r="K41" s="740">
        <f>('coûts réels'!$B$40/1000)*'données réelles'!I4</f>
        <v>0</v>
      </c>
      <c r="L41" s="740">
        <f>('coûts réels'!$B$40/1000)*'données réelles'!J4</f>
        <v>0</v>
      </c>
      <c r="M41" s="740">
        <f>('coûts réels'!$B$40/1000)*'données réelles'!K4</f>
        <v>0</v>
      </c>
      <c r="N41" s="742">
        <f t="shared" ref="N41:N45" si="26">SUM(B41:M41)</f>
        <v>462</v>
      </c>
      <c r="O41" s="740">
        <f>('coûts réels'!$B$40/1000)*'données réelles'!L4</f>
        <v>0</v>
      </c>
      <c r="P41" s="740">
        <f>('coûts réels'!$B$40/1000)*'données réelles'!M4</f>
        <v>0</v>
      </c>
      <c r="Q41" s="48"/>
      <c r="R41" s="48"/>
      <c r="S41" s="48"/>
      <c r="T41" s="48"/>
      <c r="U41" s="48"/>
    </row>
    <row r="42" spans="1:21" ht="18">
      <c r="A42" s="269" t="s">
        <v>16</v>
      </c>
      <c r="B42" s="740">
        <v>0</v>
      </c>
      <c r="C42" s="740">
        <v>0</v>
      </c>
      <c r="D42" s="740">
        <f>'coûts réels'!$B$41/1000*'données réelles'!B6</f>
        <v>0</v>
      </c>
      <c r="E42" s="740">
        <f>'coûts réels'!$B$41/1000*'données réelles'!C6</f>
        <v>204</v>
      </c>
      <c r="F42" s="740">
        <f>'coûts réels'!$B$41/1000*'données réelles'!D6</f>
        <v>204</v>
      </c>
      <c r="G42" s="740">
        <f>'coûts réels'!$B$41/1000*'données réelles'!E6</f>
        <v>102</v>
      </c>
      <c r="H42" s="740">
        <f>'coûts réels'!$B$41/1000*'données réelles'!F6</f>
        <v>0</v>
      </c>
      <c r="I42" s="740">
        <f>'coûts réels'!$B$41/1000*'données réelles'!G6</f>
        <v>0</v>
      </c>
      <c r="J42" s="740">
        <f>'coûts réels'!$B$41/1000*'données réelles'!H6</f>
        <v>0</v>
      </c>
      <c r="K42" s="740">
        <f>'coûts réels'!$B$41/1000*'données réelles'!I6</f>
        <v>204</v>
      </c>
      <c r="L42" s="740">
        <f>'coûts réels'!$B$41/1000*'données réelles'!J6</f>
        <v>0</v>
      </c>
      <c r="M42" s="740">
        <f>'coûts réels'!$B$41/1000*'données réelles'!K6</f>
        <v>204</v>
      </c>
      <c r="N42" s="740">
        <f t="shared" si="26"/>
        <v>918</v>
      </c>
      <c r="O42" s="740">
        <f>'coûts réels'!$B$41/1000*'données réelles'!L6</f>
        <v>102</v>
      </c>
      <c r="P42" s="740">
        <f>'coûts réels'!$B$41/1000*'données réelles'!M6</f>
        <v>0</v>
      </c>
      <c r="Q42" s="48"/>
      <c r="R42" s="48"/>
      <c r="S42" s="48"/>
      <c r="T42" s="48"/>
      <c r="U42" s="48"/>
    </row>
    <row r="43" spans="1:21" ht="18">
      <c r="A43" s="270" t="s">
        <v>17</v>
      </c>
      <c r="B43" s="742">
        <v>0</v>
      </c>
      <c r="C43" s="742">
        <v>0</v>
      </c>
      <c r="D43" s="740">
        <f>'coûts réels'!$B$41/1000*'données réelles'!B7</f>
        <v>0</v>
      </c>
      <c r="E43" s="740">
        <f>'coûts réels'!$B$41/1000*'données réelles'!C7</f>
        <v>0</v>
      </c>
      <c r="F43" s="740">
        <f>'coûts réels'!$B$41/1000*'données réelles'!D7</f>
        <v>0</v>
      </c>
      <c r="G43" s="740">
        <f>'coûts réels'!$B$41/1000*'données réelles'!E7</f>
        <v>306</v>
      </c>
      <c r="H43" s="740">
        <f>'coûts réels'!$B$41/1000*'données réelles'!F7</f>
        <v>0</v>
      </c>
      <c r="I43" s="740">
        <f>'coûts réels'!$B$41/1000*'données réelles'!G7</f>
        <v>0</v>
      </c>
      <c r="J43" s="740">
        <f>'coûts réels'!$B$41/1000*'données réelles'!H7</f>
        <v>0</v>
      </c>
      <c r="K43" s="740">
        <f>'coûts réels'!$B$41/1000*'données réelles'!I7</f>
        <v>0</v>
      </c>
      <c r="L43" s="740">
        <f>'coûts réels'!$B$41/1000*'données réelles'!J7</f>
        <v>0</v>
      </c>
      <c r="M43" s="740">
        <f>'coûts réels'!$B$41/1000*'données réelles'!K7</f>
        <v>0</v>
      </c>
      <c r="N43" s="742">
        <f t="shared" si="26"/>
        <v>306</v>
      </c>
      <c r="O43" s="740">
        <f>'coûts réels'!$B$41/1000*'données réelles'!L7</f>
        <v>204</v>
      </c>
      <c r="P43" s="740">
        <f>'coûts réels'!$B$41/1000*'données réelles'!M7</f>
        <v>0</v>
      </c>
      <c r="Q43" s="48"/>
      <c r="R43" s="48"/>
      <c r="S43" s="48"/>
      <c r="T43" s="48"/>
      <c r="U43" s="48"/>
    </row>
    <row r="44" spans="1:21" ht="18">
      <c r="A44" s="258" t="s">
        <v>18</v>
      </c>
      <c r="B44" s="740">
        <v>0</v>
      </c>
      <c r="C44" s="740">
        <v>0</v>
      </c>
      <c r="D44" s="740">
        <f>'données réelles'!B9*'coûts réels'!$B$42/1000</f>
        <v>0</v>
      </c>
      <c r="E44" s="740">
        <f>'données réelles'!C9*'coûts réels'!$B$42/1000</f>
        <v>247</v>
      </c>
      <c r="F44" s="740">
        <f>'données réelles'!D9*'coûts réels'!$B$42/1000</f>
        <v>0</v>
      </c>
      <c r="G44" s="740">
        <f>'données réelles'!E9*'coûts réels'!$B$42/1000</f>
        <v>0</v>
      </c>
      <c r="H44" s="740">
        <f>'données réelles'!F9*'coûts réels'!$B$42/1000</f>
        <v>247</v>
      </c>
      <c r="I44" s="740">
        <f>'données réelles'!G9*'coûts réels'!$B$42/1000</f>
        <v>0</v>
      </c>
      <c r="J44" s="740">
        <f>'données réelles'!H9*'coûts réels'!$B$42/1000</f>
        <v>0</v>
      </c>
      <c r="K44" s="740">
        <f>'données réelles'!I9*'coûts réels'!$B$42/1000</f>
        <v>0</v>
      </c>
      <c r="L44" s="740">
        <f>'données réelles'!J9*'coûts réels'!$B$42/1000</f>
        <v>0</v>
      </c>
      <c r="M44" s="740">
        <f>'données réelles'!K9*'coûts réels'!$B$42/1000</f>
        <v>0</v>
      </c>
      <c r="N44" s="740">
        <f t="shared" si="26"/>
        <v>494</v>
      </c>
      <c r="O44" s="740">
        <f>'données réelles'!L9*'coûts réels'!$B$42/1000</f>
        <v>247</v>
      </c>
      <c r="P44" s="740">
        <f>'données réelles'!M9*'coûts réels'!$B$42/1000</f>
        <v>0</v>
      </c>
      <c r="Q44" s="48"/>
      <c r="R44" s="48"/>
      <c r="S44" s="48"/>
      <c r="T44" s="48"/>
      <c r="U44" s="48"/>
    </row>
    <row r="45" spans="1:21" ht="18">
      <c r="A45" s="268" t="s">
        <v>19</v>
      </c>
      <c r="B45" s="742">
        <v>0</v>
      </c>
      <c r="C45" s="742">
        <v>0</v>
      </c>
      <c r="D45" s="740">
        <f>'données réelles'!B10*'coûts réels'!$B$42/1000</f>
        <v>0</v>
      </c>
      <c r="E45" s="740">
        <f>'données réelles'!C10*'coûts réels'!$B$42/1000</f>
        <v>0</v>
      </c>
      <c r="F45" s="740">
        <f>'données réelles'!D10*'coûts réels'!$B$42/1000</f>
        <v>247</v>
      </c>
      <c r="G45" s="740">
        <f>'données réelles'!E10*'coûts réels'!$B$42/1000</f>
        <v>0</v>
      </c>
      <c r="H45" s="740">
        <f>'données réelles'!F10*'coûts réels'!$B$42/1000</f>
        <v>0</v>
      </c>
      <c r="I45" s="740">
        <f>'données réelles'!G10*'coûts réels'!$B$42/1000</f>
        <v>0</v>
      </c>
      <c r="J45" s="740">
        <f>'données réelles'!H10*'coûts réels'!$B$42/1000</f>
        <v>0</v>
      </c>
      <c r="K45" s="740">
        <f>'données réelles'!I10*'coûts réels'!$B$42/1000</f>
        <v>0</v>
      </c>
      <c r="L45" s="740">
        <f>'données réelles'!J10*'coûts réels'!$B$42/1000</f>
        <v>0</v>
      </c>
      <c r="M45" s="740">
        <f>'données réelles'!K10*'coûts réels'!$B$42/1000</f>
        <v>247</v>
      </c>
      <c r="N45" s="742">
        <f t="shared" si="26"/>
        <v>494</v>
      </c>
      <c r="O45" s="740">
        <f>'données réelles'!L10*'coûts réels'!$B$42/1000</f>
        <v>0</v>
      </c>
      <c r="P45" s="740">
        <f>'données réelles'!M10*'coûts réels'!$B$42/1000</f>
        <v>247</v>
      </c>
    </row>
    <row r="46" spans="1:21" ht="18">
      <c r="A46" s="271" t="s">
        <v>186</v>
      </c>
      <c r="B46" s="769">
        <f>'coûts réels'!$B$43/1000*'données réelles'!B12</f>
        <v>221.97</v>
      </c>
      <c r="C46" s="769">
        <f>'coûts réels'!$B$43/1000*'données réelles'!C12</f>
        <v>214.42</v>
      </c>
      <c r="D46" s="769">
        <f>'coûts réels'!$B$43/1000*'données réelles'!D12</f>
        <v>240.09</v>
      </c>
      <c r="E46" s="769">
        <f>'coûts réels'!$B$43/1000*'données réelles'!E12</f>
        <v>200.82999999999998</v>
      </c>
      <c r="F46" s="769">
        <f>'coûts réels'!$B$43/1000*'données réelles'!F12</f>
        <v>181.2</v>
      </c>
      <c r="G46" s="769">
        <f>'coûts réels'!$B$43/1000*'données réelles'!G12</f>
        <v>294.45</v>
      </c>
      <c r="H46" s="769">
        <f>'coûts réels'!$B$43/1000*'données réelles'!H12</f>
        <v>98.149999999999991</v>
      </c>
      <c r="I46" s="769">
        <f>'coûts réels'!$B$43/1000*'données réelles'!I12</f>
        <v>57.983999999999995</v>
      </c>
      <c r="J46" s="769">
        <f>'coûts réels'!$B$43/1000*'données réelles'!J12</f>
        <v>174.25399999999999</v>
      </c>
      <c r="K46" s="769">
        <f>'coûts réels'!$B$43/1000*'données réelles'!K12</f>
        <v>244.922</v>
      </c>
      <c r="L46" s="769">
        <f>'coûts réels'!$B$43/1000*'données réelles'!L12</f>
        <v>174.858</v>
      </c>
      <c r="M46" s="769">
        <f>'coûts réels'!$B$43/1000*'données réelles'!M12</f>
        <v>140.732</v>
      </c>
      <c r="N46" s="769">
        <f>SUM(B46:M46)</f>
        <v>2243.86</v>
      </c>
    </row>
    <row r="47" spans="1:21" ht="18">
      <c r="A47" s="272" t="s">
        <v>198</v>
      </c>
      <c r="B47" s="740">
        <f>'état fi prévis'!$G$60/6</f>
        <v>23.333333333333332</v>
      </c>
      <c r="C47" s="740">
        <f>'état fi prévis'!$G$60/6</f>
        <v>23.333333333333332</v>
      </c>
      <c r="D47" s="740">
        <f>'état fi prévis'!$G$60/6</f>
        <v>23.333333333333332</v>
      </c>
      <c r="E47" s="740">
        <f>'état fi prévis'!$G$60/6</f>
        <v>23.333333333333332</v>
      </c>
      <c r="F47" s="740">
        <f>'état fi prévis'!$G$60/6</f>
        <v>23.333333333333332</v>
      </c>
      <c r="G47" s="740">
        <f>'état fi prévis'!$G$60/6</f>
        <v>23.333333333333332</v>
      </c>
      <c r="H47" s="770"/>
      <c r="I47" s="770"/>
      <c r="J47" s="770"/>
      <c r="K47" s="770"/>
      <c r="L47" s="770"/>
      <c r="M47" s="770"/>
      <c r="N47" s="740">
        <f>SUM(B47:M47)</f>
        <v>140</v>
      </c>
    </row>
    <row r="48" spans="1:21">
      <c r="A48" s="242" t="s">
        <v>197</v>
      </c>
      <c r="B48" s="245">
        <f>SUM(B40:B47)</f>
        <v>245.30333333333334</v>
      </c>
      <c r="C48" s="245">
        <f t="shared" ref="C48:M48" si="27">SUM(C40:C47)</f>
        <v>237.75333333333333</v>
      </c>
      <c r="D48" s="245">
        <f t="shared" si="27"/>
        <v>494.42333333333335</v>
      </c>
      <c r="E48" s="245">
        <f t="shared" si="27"/>
        <v>752.1633333333333</v>
      </c>
      <c r="F48" s="245">
        <f t="shared" si="27"/>
        <v>809.53333333333342</v>
      </c>
      <c r="G48" s="245">
        <f t="shared" si="27"/>
        <v>725.78333333333342</v>
      </c>
      <c r="H48" s="245">
        <f t="shared" si="27"/>
        <v>576.15</v>
      </c>
      <c r="I48" s="245">
        <f t="shared" si="27"/>
        <v>134.98399999999998</v>
      </c>
      <c r="J48" s="245">
        <f t="shared" si="27"/>
        <v>251.25399999999999</v>
      </c>
      <c r="K48" s="245">
        <f t="shared" si="27"/>
        <v>448.92200000000003</v>
      </c>
      <c r="L48" s="245">
        <f t="shared" si="27"/>
        <v>328.858</v>
      </c>
      <c r="M48" s="245">
        <f t="shared" si="27"/>
        <v>591.73199999999997</v>
      </c>
      <c r="N48" s="246">
        <f>SUM(B48:M48)</f>
        <v>5596.8600000000006</v>
      </c>
      <c r="O48" s="47"/>
    </row>
    <row r="49" spans="1:15" ht="15.6">
      <c r="A49" s="46"/>
      <c r="B49" s="771"/>
      <c r="C49" s="772"/>
      <c r="D49" s="771"/>
      <c r="E49" s="771"/>
      <c r="F49" s="771"/>
      <c r="G49" s="771"/>
      <c r="H49" s="771"/>
      <c r="I49" s="771"/>
      <c r="J49" s="771"/>
      <c r="K49" s="771"/>
      <c r="L49" s="771"/>
      <c r="M49" s="771"/>
      <c r="N49" s="771"/>
      <c r="O49" s="47"/>
    </row>
    <row r="66" spans="1:14">
      <c r="A66" s="433" t="s">
        <v>361</v>
      </c>
      <c r="B66" s="434"/>
      <c r="C66" s="434"/>
      <c r="D66" s="434"/>
      <c r="E66" s="434"/>
      <c r="F66" s="434"/>
      <c r="G66" s="434"/>
      <c r="H66" s="434"/>
      <c r="I66" s="434"/>
      <c r="J66" s="434"/>
      <c r="K66" s="434"/>
      <c r="L66" s="434"/>
      <c r="M66" s="435"/>
    </row>
    <row r="67" spans="1:14">
      <c r="A67" s="241"/>
      <c r="B67" s="241">
        <f>'données réelles'!B32</f>
        <v>43101</v>
      </c>
      <c r="C67" s="241">
        <f>'données réelles'!C32</f>
        <v>43132</v>
      </c>
      <c r="D67" s="241">
        <f>'données réelles'!D32</f>
        <v>43160</v>
      </c>
      <c r="E67" s="241">
        <f>'données réelles'!E32</f>
        <v>43191</v>
      </c>
      <c r="F67" s="241">
        <f>'données réelles'!F32</f>
        <v>43221</v>
      </c>
      <c r="G67" s="241">
        <f>'données réelles'!G32</f>
        <v>43252</v>
      </c>
      <c r="H67" s="241">
        <f>'données réelles'!H32</f>
        <v>43282</v>
      </c>
      <c r="I67" s="241">
        <f>'données réelles'!I32</f>
        <v>43313</v>
      </c>
      <c r="J67" s="241">
        <f>'données réelles'!J32</f>
        <v>43344</v>
      </c>
      <c r="K67" s="241">
        <f>'données réelles'!K32</f>
        <v>43374</v>
      </c>
      <c r="L67" s="241">
        <f>'données réelles'!L32</f>
        <v>43405</v>
      </c>
      <c r="M67" s="241">
        <f>'données réelles'!M32</f>
        <v>43435</v>
      </c>
    </row>
    <row r="68" spans="1:14">
      <c r="A68" t="s">
        <v>362</v>
      </c>
      <c r="B68" s="217">
        <f>'état fi prévis'!D68-'état fi prévis'!G64</f>
        <v>-420</v>
      </c>
      <c r="C68" s="217">
        <f>B74</f>
        <v>-1560.875</v>
      </c>
      <c r="D68" s="217">
        <f t="shared" ref="D68:M68" si="28">C74</f>
        <v>-315.42500000000001</v>
      </c>
      <c r="E68" s="217">
        <f t="shared" si="28"/>
        <v>-842.33171874999994</v>
      </c>
      <c r="F68" s="217">
        <f t="shared" si="28"/>
        <v>-555.78587499999992</v>
      </c>
      <c r="G68" s="217">
        <f t="shared" si="28"/>
        <v>-1015.3997591796874</v>
      </c>
      <c r="H68" s="217">
        <f t="shared" si="28"/>
        <v>-1541.3566346484374</v>
      </c>
      <c r="I68" s="217">
        <f t="shared" si="28"/>
        <v>-1169.8436339460447</v>
      </c>
      <c r="J68" s="217">
        <f t="shared" si="28"/>
        <v>-606.24259079710271</v>
      </c>
      <c r="K68" s="217">
        <f t="shared" si="28"/>
        <v>-1120.0008847294455</v>
      </c>
      <c r="L68" s="217">
        <f t="shared" si="28"/>
        <v>-665.2624256192704</v>
      </c>
      <c r="M68" s="217">
        <f t="shared" si="28"/>
        <v>-307.19326153306463</v>
      </c>
    </row>
    <row r="69" spans="1:14">
      <c r="A69" t="s">
        <v>394</v>
      </c>
      <c r="B69" s="219">
        <f>'données réelles'!B33</f>
        <v>-1140</v>
      </c>
      <c r="C69" s="219">
        <f>'données réelles'!C33</f>
        <v>1250</v>
      </c>
      <c r="D69" s="219">
        <f>'données réelles'!D33</f>
        <v>-526</v>
      </c>
      <c r="E69" s="219">
        <f>'données réelles'!E33</f>
        <v>289</v>
      </c>
      <c r="F69" s="219">
        <f>'données réelles'!F33</f>
        <v>-458</v>
      </c>
      <c r="G69" s="219">
        <f>'données réelles'!G33</f>
        <v>-523</v>
      </c>
      <c r="H69" s="219">
        <f>'données réelles'!H33</f>
        <v>376</v>
      </c>
      <c r="I69" s="219">
        <f>'données réelles'!I33</f>
        <v>567</v>
      </c>
      <c r="J69" s="219">
        <f>'données réelles'!J33</f>
        <v>-512</v>
      </c>
      <c r="K69" s="219">
        <f>'données réelles'!K33</f>
        <v>458</v>
      </c>
      <c r="L69" s="219">
        <f>'données réelles'!L33</f>
        <v>360</v>
      </c>
      <c r="M69" s="219">
        <f>'données réelles'!M33</f>
        <v>-568</v>
      </c>
    </row>
    <row r="70" spans="1:14">
      <c r="A70" s="22" t="s">
        <v>365</v>
      </c>
      <c r="B70" s="5">
        <f>B68+B69</f>
        <v>-1560</v>
      </c>
      <c r="C70" s="5">
        <f t="shared" ref="C70:M70" si="29">C68+C69</f>
        <v>-310.875</v>
      </c>
      <c r="D70" s="5">
        <f t="shared" si="29"/>
        <v>-841.42499999999995</v>
      </c>
      <c r="E70" s="5">
        <f t="shared" si="29"/>
        <v>-553.33171874999994</v>
      </c>
      <c r="F70" s="5">
        <f t="shared" si="29"/>
        <v>-1013.7858749999999</v>
      </c>
      <c r="G70" s="5">
        <f t="shared" si="29"/>
        <v>-1538.3997591796874</v>
      </c>
      <c r="H70" s="5">
        <f t="shared" si="29"/>
        <v>-1165.3566346484374</v>
      </c>
      <c r="I70" s="5">
        <f t="shared" si="29"/>
        <v>-602.84363394604475</v>
      </c>
      <c r="J70" s="5">
        <f t="shared" si="29"/>
        <v>-1118.2425907971028</v>
      </c>
      <c r="K70" s="5">
        <f t="shared" si="29"/>
        <v>-662.00088472944549</v>
      </c>
      <c r="L70" s="5">
        <f t="shared" si="29"/>
        <v>-305.2624256192704</v>
      </c>
      <c r="M70" s="5">
        <f t="shared" si="29"/>
        <v>-875.19326153306463</v>
      </c>
    </row>
    <row r="71" spans="1:14">
      <c r="A71" s="803" t="s">
        <v>388</v>
      </c>
      <c r="B71" s="217">
        <f>-B68*2.5%/12</f>
        <v>0.875</v>
      </c>
      <c r="C71" s="217"/>
      <c r="D71" s="217"/>
      <c r="E71" s="217"/>
      <c r="F71" s="217"/>
      <c r="G71" s="217"/>
      <c r="H71" s="217"/>
      <c r="I71" s="217"/>
      <c r="J71" s="217"/>
      <c r="K71" s="217"/>
      <c r="L71" s="217"/>
      <c r="M71" s="217"/>
    </row>
    <row r="72" spans="1:14">
      <c r="A72" s="216" t="s">
        <v>366</v>
      </c>
      <c r="B72" s="810">
        <f>IF(A70&lt;0,-A70*3.5%/12,0)</f>
        <v>0</v>
      </c>
      <c r="C72" s="810">
        <f t="shared" ref="C72:M72" si="30">IF(B70&lt;0,-B70*3.5%/12,0)</f>
        <v>4.5500000000000007</v>
      </c>
      <c r="D72" s="810">
        <f t="shared" si="30"/>
        <v>0.90671875000000002</v>
      </c>
      <c r="E72" s="810">
        <f t="shared" si="30"/>
        <v>2.45415625</v>
      </c>
      <c r="F72" s="810">
        <f t="shared" si="30"/>
        <v>1.6138841796875001</v>
      </c>
      <c r="G72" s="810">
        <f t="shared" si="30"/>
        <v>2.9568754687500003</v>
      </c>
      <c r="H72" s="810">
        <f t="shared" si="30"/>
        <v>4.4869992976074222</v>
      </c>
      <c r="I72" s="810">
        <f t="shared" si="30"/>
        <v>3.3989568510579429</v>
      </c>
      <c r="J72" s="810">
        <f t="shared" si="30"/>
        <v>1.7582939323426308</v>
      </c>
      <c r="K72" s="810">
        <f t="shared" si="30"/>
        <v>3.2615408898248837</v>
      </c>
      <c r="L72" s="810">
        <f t="shared" si="30"/>
        <v>1.9308359137942162</v>
      </c>
      <c r="M72" s="810">
        <f t="shared" si="30"/>
        <v>0.89034874138953868</v>
      </c>
      <c r="N72" s="17">
        <f>SUM(B71:M72)</f>
        <v>29.083610274454134</v>
      </c>
    </row>
    <row r="73" spans="1:14">
      <c r="A73" s="218" t="s">
        <v>367</v>
      </c>
      <c r="B73" s="233">
        <f>IF(B70&gt;0,B70*0.8%/12,0)</f>
        <v>0</v>
      </c>
      <c r="C73" s="233">
        <f>IF(B70&gt;0,B70*0.8%,0)</f>
        <v>0</v>
      </c>
      <c r="D73" s="233">
        <f>IF(C70&gt;0,C70*0.8%/12,0)</f>
        <v>0</v>
      </c>
      <c r="E73" s="233">
        <f t="shared" ref="E73:M73" si="31">IF(D70&gt;0,D70*0.8%/12,0)</f>
        <v>0</v>
      </c>
      <c r="F73" s="233">
        <f t="shared" si="31"/>
        <v>0</v>
      </c>
      <c r="G73" s="233">
        <f t="shared" si="31"/>
        <v>0</v>
      </c>
      <c r="H73" s="233">
        <f t="shared" si="31"/>
        <v>0</v>
      </c>
      <c r="I73" s="233">
        <f t="shared" si="31"/>
        <v>0</v>
      </c>
      <c r="J73" s="233">
        <f t="shared" si="31"/>
        <v>0</v>
      </c>
      <c r="K73" s="233">
        <f t="shared" si="31"/>
        <v>0</v>
      </c>
      <c r="L73" s="233">
        <f t="shared" si="31"/>
        <v>0</v>
      </c>
      <c r="M73" s="233">
        <f t="shared" si="31"/>
        <v>0</v>
      </c>
      <c r="N73" s="811">
        <f>SUM(B73:M73)</f>
        <v>0</v>
      </c>
    </row>
    <row r="74" spans="1:14">
      <c r="A74" s="780" t="s">
        <v>368</v>
      </c>
      <c r="B74" s="225">
        <f>SUM(B70-B71-B72+B73)</f>
        <v>-1560.875</v>
      </c>
      <c r="C74" s="225">
        <f t="shared" ref="C74:L74" si="32">SUM(C70-C71-C72+C73)</f>
        <v>-315.42500000000001</v>
      </c>
      <c r="D74" s="225">
        <f t="shared" si="32"/>
        <v>-842.33171874999994</v>
      </c>
      <c r="E74" s="225">
        <f t="shared" si="32"/>
        <v>-555.78587499999992</v>
      </c>
      <c r="F74" s="225">
        <f t="shared" si="32"/>
        <v>-1015.3997591796874</v>
      </c>
      <c r="G74" s="225">
        <f t="shared" si="32"/>
        <v>-1541.3566346484374</v>
      </c>
      <c r="H74" s="225">
        <f t="shared" si="32"/>
        <v>-1169.8436339460447</v>
      </c>
      <c r="I74" s="225">
        <f t="shared" si="32"/>
        <v>-606.24259079710271</v>
      </c>
      <c r="J74" s="225">
        <f t="shared" si="32"/>
        <v>-1120.0008847294455</v>
      </c>
      <c r="K74" s="225">
        <f t="shared" si="32"/>
        <v>-665.2624256192704</v>
      </c>
      <c r="L74" s="225">
        <f t="shared" si="32"/>
        <v>-307.19326153306463</v>
      </c>
      <c r="M74" s="225">
        <f t="shared" ref="M74" si="33">M70-M72+M73</f>
        <v>-876.08361027445414</v>
      </c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3" tint="0.79998168889431442"/>
  </sheetPr>
  <dimension ref="A1:P52"/>
  <sheetViews>
    <sheetView showGridLines="0" tabSelected="1" zoomScale="55" zoomScaleNormal="55" workbookViewId="0">
      <selection activeCell="B7" sqref="B7"/>
    </sheetView>
  </sheetViews>
  <sheetFormatPr baseColWidth="10" defaultRowHeight="14.4"/>
  <cols>
    <col min="1" max="1" width="20.44140625" customWidth="1"/>
    <col min="4" max="4" width="13.6640625" bestFit="1" customWidth="1"/>
    <col min="5" max="5" width="13.44140625" customWidth="1"/>
    <col min="6" max="6" width="15.109375" customWidth="1"/>
    <col min="7" max="7" width="13.44140625" customWidth="1"/>
    <col min="8" max="8" width="11.6640625" bestFit="1" customWidth="1"/>
    <col min="9" max="10" width="12.6640625" bestFit="1" customWidth="1"/>
    <col min="11" max="11" width="10.77734375" customWidth="1"/>
    <col min="12" max="12" width="20.33203125" customWidth="1"/>
  </cols>
  <sheetData>
    <row r="1" spans="1:16" s="3" customFormat="1" ht="19.2" customHeight="1" thickTop="1">
      <c r="A1" s="568" t="s">
        <v>323</v>
      </c>
      <c r="B1" s="569"/>
      <c r="C1" s="569"/>
      <c r="D1" s="569"/>
      <c r="E1" s="569"/>
      <c r="F1" s="569"/>
      <c r="G1" s="569"/>
      <c r="H1" s="569"/>
      <c r="I1" s="570"/>
      <c r="K1" s="594" t="s">
        <v>324</v>
      </c>
      <c r="L1" s="595"/>
      <c r="M1" s="595"/>
      <c r="N1" s="595"/>
      <c r="O1" s="595"/>
      <c r="P1" s="596"/>
    </row>
    <row r="2" spans="1:16" s="3" customFormat="1" ht="13.95" customHeight="1" thickBot="1">
      <c r="A2" s="571"/>
      <c r="B2" s="105"/>
      <c r="C2" s="105"/>
      <c r="D2" s="105"/>
      <c r="E2" s="105"/>
      <c r="F2" s="105"/>
      <c r="G2" s="105"/>
      <c r="H2" s="105"/>
      <c r="I2" s="572"/>
      <c r="K2" s="597"/>
      <c r="L2" s="118"/>
      <c r="M2" s="612" t="s">
        <v>226</v>
      </c>
      <c r="N2" s="612" t="s">
        <v>225</v>
      </c>
      <c r="O2" s="612" t="s">
        <v>227</v>
      </c>
      <c r="P2" s="613" t="s">
        <v>228</v>
      </c>
    </row>
    <row r="3" spans="1:16" s="3" customFormat="1" ht="13.95" customHeight="1">
      <c r="A3" s="573"/>
      <c r="B3" s="72" t="s">
        <v>161</v>
      </c>
      <c r="C3" s="73" t="s">
        <v>54</v>
      </c>
      <c r="D3" s="73" t="s">
        <v>55</v>
      </c>
      <c r="E3" s="74" t="s">
        <v>155</v>
      </c>
      <c r="F3" s="88" t="s">
        <v>252</v>
      </c>
      <c r="G3" s="89" t="s">
        <v>253</v>
      </c>
      <c r="H3" s="78" t="s">
        <v>227</v>
      </c>
      <c r="I3" s="574" t="s">
        <v>228</v>
      </c>
      <c r="K3" s="602" t="s">
        <v>172</v>
      </c>
      <c r="L3" s="541"/>
      <c r="M3" s="207">
        <f>F5</f>
        <v>15828.010613830615</v>
      </c>
      <c r="N3" s="207">
        <f>'état fi prévis'!J2</f>
        <v>15955.537588932806</v>
      </c>
      <c r="O3" s="207">
        <f>M3-N3</f>
        <v>-127.5269751021915</v>
      </c>
      <c r="P3" s="581"/>
    </row>
    <row r="4" spans="1:16" s="3" customFormat="1">
      <c r="A4" s="575"/>
      <c r="B4" s="27"/>
      <c r="C4" s="27"/>
      <c r="D4" s="27"/>
      <c r="E4" s="27"/>
      <c r="F4" s="75"/>
      <c r="G4" s="75"/>
      <c r="H4" s="576"/>
      <c r="I4" s="576"/>
      <c r="K4" s="603" t="s">
        <v>239</v>
      </c>
      <c r="L4" s="611"/>
      <c r="M4" s="823">
        <f ca="1">K44-P36</f>
        <v>-463.55805734598471</v>
      </c>
      <c r="N4" s="809">
        <f>'état fi prévis'!J3</f>
        <v>-452.10924228710223</v>
      </c>
      <c r="O4" s="809">
        <f t="shared" ref="O4:O28" ca="1" si="0">M4-N4</f>
        <v>485.12246267627324</v>
      </c>
      <c r="P4" s="583"/>
    </row>
    <row r="5" spans="1:16" s="3" customFormat="1">
      <c r="A5" s="577" t="s">
        <v>171</v>
      </c>
      <c r="B5" s="246">
        <f>'Tréso réelle'!N28</f>
        <v>2365.5920745920748</v>
      </c>
      <c r="C5" s="246">
        <f>'Tréso réelle'!N31</f>
        <v>3158.4195804195801</v>
      </c>
      <c r="D5" s="246">
        <f>'Tréso réelle'!N34</f>
        <v>2680.8189588189589</v>
      </c>
      <c r="E5" s="373">
        <f>'Tréso réelle'!N35</f>
        <v>7623.1800000000012</v>
      </c>
      <c r="F5" s="374">
        <f>SUM(B5:E5)</f>
        <v>15828.010613830615</v>
      </c>
      <c r="G5" s="374">
        <f>'état fi prévis'!F4</f>
        <v>15955.537588932806</v>
      </c>
      <c r="H5" s="625">
        <f>F5-G5</f>
        <v>-127.5269751021915</v>
      </c>
      <c r="I5" s="625"/>
      <c r="J5" s="383"/>
      <c r="K5" s="598" t="s">
        <v>173</v>
      </c>
      <c r="L5" s="535"/>
      <c r="M5" s="209">
        <f>'état fi prévis'!C65+'état fi prévis'!G60</f>
        <v>390</v>
      </c>
      <c r="N5" s="209">
        <f>'état fi prévis'!J4</f>
        <v>390</v>
      </c>
      <c r="O5" s="209">
        <f t="shared" si="0"/>
        <v>0</v>
      </c>
      <c r="P5" s="585"/>
    </row>
    <row r="6" spans="1:16" s="3" customFormat="1">
      <c r="A6" s="578"/>
      <c r="B6" s="382"/>
      <c r="C6" s="382"/>
      <c r="D6" s="382"/>
      <c r="E6" s="82"/>
      <c r="F6" s="79"/>
      <c r="G6" s="79"/>
      <c r="H6" s="579">
        <f t="shared" ref="H6:H28" si="1">F6-G6</f>
        <v>0</v>
      </c>
      <c r="I6" s="579"/>
      <c r="J6" s="383"/>
      <c r="K6" s="599" t="s">
        <v>229</v>
      </c>
      <c r="L6" s="536"/>
      <c r="M6" s="385">
        <f ca="1">SUM(M3:M5)</f>
        <v>16251.023834219786</v>
      </c>
      <c r="N6" s="385">
        <f>'état fi prévis'!J5</f>
        <v>15893.428346645704</v>
      </c>
      <c r="O6" s="385">
        <f t="shared" ca="1" si="0"/>
        <v>357.59548757408265</v>
      </c>
      <c r="P6" s="625"/>
    </row>
    <row r="7" spans="1:16" s="3" customFormat="1">
      <c r="A7" s="580" t="s">
        <v>162</v>
      </c>
      <c r="B7" s="822">
        <f ca="1">H47</f>
        <v>1953.3093477671946</v>
      </c>
      <c r="C7" s="49"/>
      <c r="D7" s="49"/>
      <c r="E7" s="214"/>
      <c r="F7" s="375">
        <v>10700</v>
      </c>
      <c r="G7" s="375">
        <f>'état fi prévis'!F6</f>
        <v>10507.24392892512</v>
      </c>
      <c r="H7" s="581">
        <f t="shared" si="1"/>
        <v>192.75607107488031</v>
      </c>
      <c r="I7" s="581"/>
      <c r="J7" s="383"/>
      <c r="K7" s="600"/>
      <c r="L7" s="386"/>
      <c r="M7" s="387"/>
      <c r="N7" s="387">
        <f>'état fi prévis'!J6</f>
        <v>0</v>
      </c>
      <c r="O7" s="387">
        <f t="shared" si="0"/>
        <v>0</v>
      </c>
      <c r="P7" s="601"/>
    </row>
    <row r="8" spans="1:16" s="3" customFormat="1">
      <c r="A8" s="582" t="s">
        <v>163</v>
      </c>
      <c r="B8" s="166">
        <f>'coûts réels'!$M$21*'état fi réel'!B5/'état fi réel'!$F$5</f>
        <v>37.36401453580347</v>
      </c>
      <c r="C8" s="166">
        <f>'coûts réels'!$M$21*'état fi réel'!C5/'état fi réel'!$F$5</f>
        <v>49.886553299056629</v>
      </c>
      <c r="D8" s="166">
        <f>'coûts réels'!$M$21*'état fi réel'!D5/'état fi réel'!$F$5</f>
        <v>42.342954907997765</v>
      </c>
      <c r="E8" s="166">
        <f>'coûts réels'!$M$21*'état fi réel'!E5/'état fi réel'!$F$5</f>
        <v>120.40647725714213</v>
      </c>
      <c r="F8" s="77">
        <f>SUM(B8:E8)</f>
        <v>250</v>
      </c>
      <c r="G8" s="77">
        <f>'état fi prévis'!F7</f>
        <v>250</v>
      </c>
      <c r="H8" s="583">
        <f t="shared" si="1"/>
        <v>0</v>
      </c>
      <c r="I8" s="583"/>
      <c r="J8" s="383"/>
      <c r="K8" s="602" t="s">
        <v>156</v>
      </c>
      <c r="L8" s="537"/>
      <c r="M8" s="389">
        <f>'Tréso réelle'!N48</f>
        <v>5596.8600000000006</v>
      </c>
      <c r="N8" s="389">
        <f>'état fi prévis'!J7</f>
        <v>5490.6293000000005</v>
      </c>
      <c r="O8" s="389">
        <f t="shared" si="0"/>
        <v>106.23070000000007</v>
      </c>
      <c r="P8" s="581"/>
    </row>
    <row r="9" spans="1:16" s="3" customFormat="1">
      <c r="A9" s="582" t="s">
        <v>130</v>
      </c>
      <c r="B9" s="166">
        <f>'coûts réels'!$M$20*'état fi réel'!B5/'état fi réel'!$F$5</f>
        <v>18.682007267901735</v>
      </c>
      <c r="C9" s="166">
        <f>'coûts réels'!$M$20*'état fi réel'!C5/'état fi réel'!$F$5</f>
        <v>24.943276649528315</v>
      </c>
      <c r="D9" s="166">
        <f>'coûts réels'!$M$20*'état fi réel'!D5/'état fi réel'!$F$5</f>
        <v>21.171477453998882</v>
      </c>
      <c r="E9" s="166">
        <f>'coûts réels'!$M$20*'état fi réel'!E5/'état fi réel'!$F$5</f>
        <v>60.203238628571064</v>
      </c>
      <c r="F9" s="77">
        <f t="shared" ref="F9:F10" si="2">SUM(B9:E9)</f>
        <v>125</v>
      </c>
      <c r="G9" s="77">
        <f>'état fi prévis'!F8</f>
        <v>125</v>
      </c>
      <c r="H9" s="583">
        <f t="shared" si="1"/>
        <v>0</v>
      </c>
      <c r="I9" s="583"/>
      <c r="J9" s="383"/>
      <c r="K9" s="603" t="s">
        <v>238</v>
      </c>
      <c r="L9" s="538"/>
      <c r="M9" s="208"/>
      <c r="N9" s="208">
        <f>'état fi prévis'!J8</f>
        <v>0</v>
      </c>
      <c r="O9" s="208">
        <f t="shared" si="0"/>
        <v>0</v>
      </c>
      <c r="P9" s="583"/>
    </row>
    <row r="10" spans="1:16" s="3" customFormat="1">
      <c r="A10" s="582" t="s">
        <v>164</v>
      </c>
      <c r="B10" s="292">
        <f>0.8%*B5</f>
        <v>18.924736596736597</v>
      </c>
      <c r="C10" s="292">
        <f t="shared" ref="C10:E10" si="3">0.8%*C5</f>
        <v>25.267356643356642</v>
      </c>
      <c r="D10" s="292">
        <f t="shared" si="3"/>
        <v>21.446551670551671</v>
      </c>
      <c r="E10" s="292">
        <f t="shared" si="3"/>
        <v>60.985440000000011</v>
      </c>
      <c r="F10" s="77">
        <f t="shared" si="2"/>
        <v>126.62408491064492</v>
      </c>
      <c r="G10" s="77">
        <f>'état fi prévis'!F9</f>
        <v>127.64430071146246</v>
      </c>
      <c r="H10" s="583">
        <f t="shared" si="1"/>
        <v>-1.0202158008175388</v>
      </c>
      <c r="I10" s="583"/>
      <c r="J10" s="383"/>
      <c r="K10" s="603" t="s">
        <v>236</v>
      </c>
      <c r="L10" s="538"/>
      <c r="M10" s="391">
        <f>SUM('coûts réels'!B11:B27)-'coûts réels'!B22</f>
        <v>2285.1999999999998</v>
      </c>
      <c r="N10" s="391">
        <f>'état fi prévis'!J9</f>
        <v>2285.1999999999998</v>
      </c>
      <c r="O10" s="391">
        <f t="shared" si="0"/>
        <v>0</v>
      </c>
      <c r="P10" s="583"/>
    </row>
    <row r="11" spans="1:16" s="3" customFormat="1">
      <c r="A11" s="584" t="s">
        <v>233</v>
      </c>
      <c r="B11" s="439"/>
      <c r="C11" s="440"/>
      <c r="D11" s="440"/>
      <c r="E11" s="534"/>
      <c r="F11" s="376">
        <f ca="1">('données réelles'!C66*'coûts réels'!C35+'données réelles'!E66*'coûts réels'!D35+'données réelles'!G66*'coûts réels'!E35+'données réelles'!I66*'coûts réels'!F35)/1000</f>
        <v>373.49544796315092</v>
      </c>
      <c r="G11" s="376">
        <f>'état fi prévis'!F10</f>
        <v>183.83793345809696</v>
      </c>
      <c r="H11" s="585">
        <f t="shared" ca="1" si="1"/>
        <v>189.65751450505397</v>
      </c>
      <c r="I11" s="585"/>
      <c r="J11" s="383"/>
      <c r="K11" s="603" t="s">
        <v>248</v>
      </c>
      <c r="L11" s="538"/>
      <c r="M11" s="208">
        <f>'coûts réels'!B9+'coûts réels'!B10</f>
        <v>5918.9684595500003</v>
      </c>
      <c r="N11" s="208">
        <f>'état fi prévis'!J10</f>
        <v>5810.2466812499997</v>
      </c>
      <c r="O11" s="208">
        <f t="shared" si="0"/>
        <v>108.72177830000055</v>
      </c>
      <c r="P11" s="583"/>
    </row>
    <row r="12" spans="1:16" s="3" customFormat="1">
      <c r="A12" s="575"/>
      <c r="B12" s="29"/>
      <c r="C12" s="29"/>
      <c r="D12" s="29"/>
      <c r="E12" s="29"/>
      <c r="F12" s="77"/>
      <c r="G12" s="77"/>
      <c r="H12" s="579">
        <f t="shared" si="1"/>
        <v>0</v>
      </c>
      <c r="I12" s="579"/>
      <c r="J12" s="383"/>
      <c r="K12" s="603" t="s">
        <v>174</v>
      </c>
      <c r="L12" s="538"/>
      <c r="M12" s="208">
        <f>'coûts réels'!B22</f>
        <v>210</v>
      </c>
      <c r="N12" s="208">
        <f>'état fi prévis'!J11</f>
        <v>210</v>
      </c>
      <c r="O12" s="208">
        <f t="shared" si="0"/>
        <v>0</v>
      </c>
      <c r="P12" s="583"/>
    </row>
    <row r="13" spans="1:16" s="3" customFormat="1">
      <c r="A13" s="586" t="s">
        <v>165</v>
      </c>
      <c r="B13" s="377">
        <f ca="1">B5-SUM(B7:B10)</f>
        <v>-213.66624430382535</v>
      </c>
      <c r="C13" s="377">
        <f t="shared" ref="C13:E13" si="4">C5-SUM(C7:C10)</f>
        <v>3058.3223938276387</v>
      </c>
      <c r="D13" s="377">
        <f t="shared" si="4"/>
        <v>2595.8579747864105</v>
      </c>
      <c r="E13" s="377">
        <f t="shared" si="4"/>
        <v>7381.584844114288</v>
      </c>
      <c r="F13" s="378">
        <f ca="1">F5-SUM(F7:F11)</f>
        <v>4252.8910809568188</v>
      </c>
      <c r="G13" s="378">
        <f>'état fi prévis'!F12</f>
        <v>4761.8114258381265</v>
      </c>
      <c r="H13" s="627">
        <f t="shared" ca="1" si="1"/>
        <v>-508.92034488130776</v>
      </c>
      <c r="I13" s="627"/>
      <c r="J13" s="383"/>
      <c r="K13" s="603" t="s">
        <v>200</v>
      </c>
      <c r="L13" s="538"/>
      <c r="M13" s="208">
        <f>'état fi prévis'!C65</f>
        <v>250</v>
      </c>
      <c r="N13" s="208">
        <f>'état fi prévis'!J12</f>
        <v>250</v>
      </c>
      <c r="O13" s="208">
        <f t="shared" si="0"/>
        <v>0</v>
      </c>
      <c r="P13" s="583"/>
    </row>
    <row r="14" spans="1:16" s="3" customFormat="1">
      <c r="A14" s="587"/>
      <c r="B14" s="379">
        <f ca="1">B13/B5</f>
        <v>-9.0322522889188406E-2</v>
      </c>
      <c r="C14" s="379">
        <f t="shared" ref="C14:F14" si="5">C13/C5</f>
        <v>0.96830782483350608</v>
      </c>
      <c r="D14" s="379">
        <f t="shared" si="5"/>
        <v>0.96830782483350608</v>
      </c>
      <c r="E14" s="379">
        <f t="shared" si="5"/>
        <v>0.96830782483350608</v>
      </c>
      <c r="F14" s="379">
        <f t="shared" ca="1" si="5"/>
        <v>0.26869397454412974</v>
      </c>
      <c r="G14" s="379"/>
      <c r="H14" s="626">
        <f t="shared" ca="1" si="1"/>
        <v>0.26869397454412974</v>
      </c>
      <c r="I14" s="626"/>
      <c r="J14" s="383"/>
      <c r="K14" s="603" t="s">
        <v>175</v>
      </c>
      <c r="L14" s="538"/>
      <c r="M14" s="208">
        <f>'coûts réels'!B28</f>
        <v>840</v>
      </c>
      <c r="N14" s="208">
        <f>'état fi prévis'!J13</f>
        <v>840</v>
      </c>
      <c r="O14" s="208">
        <f t="shared" si="0"/>
        <v>0</v>
      </c>
      <c r="P14" s="583"/>
    </row>
    <row r="15" spans="1:16" s="3" customFormat="1">
      <c r="A15" s="575"/>
      <c r="B15" s="29"/>
      <c r="C15" s="29"/>
      <c r="D15" s="29"/>
      <c r="E15" s="29"/>
      <c r="F15" s="77"/>
      <c r="G15" s="77"/>
      <c r="H15" s="579">
        <f t="shared" si="1"/>
        <v>0</v>
      </c>
      <c r="I15" s="579"/>
      <c r="J15" s="383"/>
      <c r="K15" s="598" t="s">
        <v>176</v>
      </c>
      <c r="L15" s="539"/>
      <c r="M15" s="209">
        <f>F10</f>
        <v>126.62408491064492</v>
      </c>
      <c r="N15" s="209">
        <f>'état fi prévis'!J14</f>
        <v>127.64430071146246</v>
      </c>
      <c r="O15" s="209">
        <f t="shared" si="0"/>
        <v>-1.0202158008175388</v>
      </c>
      <c r="P15" s="585"/>
    </row>
    <row r="16" spans="1:16" s="3" customFormat="1">
      <c r="A16" s="580" t="s">
        <v>82</v>
      </c>
      <c r="B16" s="30"/>
      <c r="C16" s="31"/>
      <c r="D16" s="31"/>
      <c r="E16" s="31"/>
      <c r="F16" s="107"/>
      <c r="G16" s="107">
        <f>'état fi prévis'!F15</f>
        <v>256.0805958996487</v>
      </c>
      <c r="H16" s="581">
        <f t="shared" si="1"/>
        <v>-256.0805958996487</v>
      </c>
      <c r="I16" s="581"/>
      <c r="J16" s="383"/>
      <c r="K16" s="599" t="s">
        <v>230</v>
      </c>
      <c r="L16" s="540"/>
      <c r="M16" s="385">
        <f>SUM(M8:M15)</f>
        <v>15227.652544460647</v>
      </c>
      <c r="N16" s="385">
        <f>'état fi prévis'!J15</f>
        <v>15013.720281961463</v>
      </c>
      <c r="O16" s="385">
        <f t="shared" si="0"/>
        <v>213.93226249918371</v>
      </c>
      <c r="P16" s="625"/>
    </row>
    <row r="17" spans="1:16" s="3" customFormat="1">
      <c r="A17" s="582" t="s">
        <v>242</v>
      </c>
      <c r="B17" s="33"/>
      <c r="C17" s="34"/>
      <c r="D17" s="34"/>
      <c r="E17" s="34"/>
      <c r="F17" s="77">
        <f ca="1">'coûts réels'!I33</f>
        <v>2348.0774074500005</v>
      </c>
      <c r="G17" s="77">
        <f>'état fi prévis'!F16</f>
        <v>2340.9977832929781</v>
      </c>
      <c r="H17" s="583">
        <f t="shared" ca="1" si="1"/>
        <v>7.0796241570224083</v>
      </c>
      <c r="I17" s="583"/>
      <c r="J17" s="383"/>
      <c r="K17" s="600"/>
      <c r="L17" s="386"/>
      <c r="M17" s="387"/>
      <c r="N17" s="387">
        <f>'état fi prévis'!J16</f>
        <v>0</v>
      </c>
      <c r="O17" s="387">
        <f t="shared" si="0"/>
        <v>0</v>
      </c>
      <c r="P17" s="604"/>
    </row>
    <row r="18" spans="1:16" s="3" customFormat="1">
      <c r="A18" s="582" t="s">
        <v>243</v>
      </c>
      <c r="B18" s="33"/>
      <c r="C18" s="34"/>
      <c r="D18" s="34"/>
      <c r="E18" s="34"/>
      <c r="F18" s="77">
        <f ca="1">'coûts réels'!J33</f>
        <v>855.46929465714288</v>
      </c>
      <c r="G18" s="77">
        <f>'état fi prévis'!F17</f>
        <v>790.09999200968537</v>
      </c>
      <c r="H18" s="583">
        <f t="shared" ca="1" si="1"/>
        <v>65.369302647457516</v>
      </c>
      <c r="I18" s="583"/>
      <c r="J18" s="383"/>
      <c r="K18" s="599" t="s">
        <v>177</v>
      </c>
      <c r="L18" s="536"/>
      <c r="M18" s="385">
        <f ca="1">M6-M16</f>
        <v>1023.3712897591395</v>
      </c>
      <c r="N18" s="385">
        <f>'état fi prévis'!J17</f>
        <v>879.70806468424053</v>
      </c>
      <c r="O18" s="385">
        <f t="shared" ca="1" si="0"/>
        <v>143.66322507489895</v>
      </c>
      <c r="P18" s="625"/>
    </row>
    <row r="19" spans="1:16" s="3" customFormat="1">
      <c r="A19" s="582" t="s">
        <v>244</v>
      </c>
      <c r="B19" s="33"/>
      <c r="C19" s="34"/>
      <c r="D19" s="34"/>
      <c r="E19" s="34"/>
      <c r="F19" s="77">
        <f ca="1">'coûts réels'!H33</f>
        <v>287.07346488571426</v>
      </c>
      <c r="G19" s="77">
        <f>'état fi prévis'!F18</f>
        <v>284.56269709443097</v>
      </c>
      <c r="H19" s="583">
        <f t="shared" ca="1" si="1"/>
        <v>2.5107677912832855</v>
      </c>
      <c r="I19" s="583"/>
      <c r="J19" s="383"/>
      <c r="K19" s="600"/>
      <c r="L19" s="386"/>
      <c r="M19" s="387"/>
      <c r="N19" s="387">
        <f>'état fi prévis'!J18</f>
        <v>0</v>
      </c>
      <c r="O19" s="387">
        <f t="shared" si="0"/>
        <v>0</v>
      </c>
      <c r="P19" s="604"/>
    </row>
    <row r="20" spans="1:16" s="3" customFormat="1">
      <c r="A20" s="584" t="s">
        <v>166</v>
      </c>
      <c r="B20" s="36"/>
      <c r="C20" s="37"/>
      <c r="D20" s="37"/>
      <c r="E20" s="37"/>
      <c r="F20" s="380">
        <f>'coûts réels'!B22</f>
        <v>210</v>
      </c>
      <c r="G20" s="380">
        <f>'état fi prévis'!F19</f>
        <v>210</v>
      </c>
      <c r="H20" s="585">
        <f t="shared" si="1"/>
        <v>0</v>
      </c>
      <c r="I20" s="585"/>
      <c r="J20" s="383"/>
      <c r="K20" s="602" t="s">
        <v>178</v>
      </c>
      <c r="L20" s="541"/>
      <c r="M20" s="389">
        <f>'Tréso réelle'!N73</f>
        <v>0</v>
      </c>
      <c r="N20" s="389">
        <f>'état fi prévis'!J19</f>
        <v>0.82362587150361743</v>
      </c>
      <c r="O20" s="389">
        <f t="shared" si="0"/>
        <v>-0.82362587150361743</v>
      </c>
      <c r="P20" s="581"/>
    </row>
    <row r="21" spans="1:16" s="3" customFormat="1">
      <c r="A21" s="575"/>
      <c r="B21" s="29"/>
      <c r="C21" s="29"/>
      <c r="D21" s="29"/>
      <c r="E21" s="29"/>
      <c r="F21" s="77"/>
      <c r="G21" s="77"/>
      <c r="H21" s="579">
        <f t="shared" si="1"/>
        <v>0</v>
      </c>
      <c r="I21" s="579"/>
      <c r="J21" s="383"/>
      <c r="K21" s="598" t="s">
        <v>182</v>
      </c>
      <c r="L21" s="535"/>
      <c r="M21" s="392">
        <f>'Tréso réelle'!N72+SUM('tréso prév'!B125:M125)</f>
        <v>80.383610274454128</v>
      </c>
      <c r="N21" s="392">
        <f>'état fi prévis'!J20</f>
        <v>63.149394410213546</v>
      </c>
      <c r="O21" s="392">
        <f t="shared" si="0"/>
        <v>17.234215864240582</v>
      </c>
      <c r="P21" s="585"/>
    </row>
    <row r="22" spans="1:16" s="3" customFormat="1">
      <c r="A22" s="586" t="s">
        <v>167</v>
      </c>
      <c r="B22" s="30"/>
      <c r="C22" s="31"/>
      <c r="D22" s="31"/>
      <c r="E22" s="31"/>
      <c r="F22" s="378">
        <f ca="1">F13-SUM(F16:F20)</f>
        <v>552.27091396396099</v>
      </c>
      <c r="G22" s="378">
        <f>'état fi prévis'!F21</f>
        <v>880.07035754138315</v>
      </c>
      <c r="H22" s="627">
        <f t="shared" ca="1" si="1"/>
        <v>-327.79944357742215</v>
      </c>
      <c r="I22" s="627"/>
      <c r="J22" s="383"/>
      <c r="K22" s="600"/>
      <c r="L22" s="386"/>
      <c r="M22" s="387"/>
      <c r="N22" s="387">
        <f>'état fi prévis'!J21</f>
        <v>0</v>
      </c>
      <c r="O22" s="387">
        <f t="shared" si="0"/>
        <v>0</v>
      </c>
      <c r="P22" s="604"/>
    </row>
    <row r="23" spans="1:16" s="3" customFormat="1">
      <c r="A23" s="587"/>
      <c r="B23" s="36"/>
      <c r="C23" s="37"/>
      <c r="D23" s="37"/>
      <c r="E23" s="37"/>
      <c r="F23" s="381"/>
      <c r="G23" s="381"/>
      <c r="H23" s="626">
        <f t="shared" si="1"/>
        <v>0</v>
      </c>
      <c r="I23" s="626"/>
      <c r="J23" s="383"/>
      <c r="K23" s="599" t="s">
        <v>179</v>
      </c>
      <c r="L23" s="536"/>
      <c r="M23" s="385">
        <f ca="1">M18-(M20-M21)</f>
        <v>1103.7549000335937</v>
      </c>
      <c r="N23" s="385">
        <f>'état fi prévis'!J22</f>
        <v>817.38229614553063</v>
      </c>
      <c r="O23" s="385">
        <f t="shared" ca="1" si="0"/>
        <v>286.37260388806305</v>
      </c>
      <c r="P23" s="625"/>
    </row>
    <row r="24" spans="1:16" s="3" customFormat="1" ht="9" customHeight="1">
      <c r="A24" s="575"/>
      <c r="B24" s="39"/>
      <c r="C24" s="39"/>
      <c r="D24" s="39"/>
      <c r="E24" s="39"/>
      <c r="F24" s="76"/>
      <c r="G24" s="76"/>
      <c r="H24" s="579">
        <f t="shared" si="1"/>
        <v>0</v>
      </c>
      <c r="I24" s="579"/>
      <c r="J24" s="383"/>
      <c r="K24" s="600"/>
      <c r="L24" s="386"/>
      <c r="M24" s="387"/>
      <c r="N24" s="387"/>
      <c r="O24" s="387">
        <f t="shared" si="0"/>
        <v>0</v>
      </c>
      <c r="P24" s="604"/>
    </row>
    <row r="25" spans="1:16" s="3" customFormat="1">
      <c r="A25" s="580" t="s">
        <v>184</v>
      </c>
      <c r="B25" s="40"/>
      <c r="C25" s="41"/>
      <c r="D25" s="41"/>
      <c r="E25" s="41"/>
      <c r="F25" s="107">
        <f>M20-M21</f>
        <v>-80.383610274454128</v>
      </c>
      <c r="G25" s="107">
        <f>'état fi prévis'!F26</f>
        <v>-62.32576853870993</v>
      </c>
      <c r="H25" s="581">
        <f t="shared" si="1"/>
        <v>-18.057841735744198</v>
      </c>
      <c r="I25" s="581"/>
      <c r="J25" s="383"/>
      <c r="K25" s="602" t="s">
        <v>168</v>
      </c>
      <c r="L25" s="541"/>
      <c r="M25" s="207">
        <f ca="1">M23*1/3</f>
        <v>367.91830001119791</v>
      </c>
      <c r="N25" s="207">
        <v>272</v>
      </c>
      <c r="O25" s="207">
        <f t="shared" ca="1" si="0"/>
        <v>95.918300011197914</v>
      </c>
      <c r="P25" s="581"/>
    </row>
    <row r="26" spans="1:16" s="3" customFormat="1">
      <c r="A26" s="582" t="s">
        <v>168</v>
      </c>
      <c r="B26" s="43"/>
      <c r="C26" s="44"/>
      <c r="D26" s="44"/>
      <c r="E26" s="44"/>
      <c r="F26" s="77">
        <f ca="1">(F22+F25)*1/3</f>
        <v>157.2957678965023</v>
      </c>
      <c r="G26" s="77">
        <f>'état fi prévis'!F27</f>
        <v>272.58152966755773</v>
      </c>
      <c r="H26" s="583">
        <f t="shared" ca="1" si="1"/>
        <v>-115.28576177105543</v>
      </c>
      <c r="I26" s="583"/>
      <c r="J26" s="383"/>
      <c r="K26" s="598" t="s">
        <v>169</v>
      </c>
      <c r="L26" s="535"/>
      <c r="M26" s="209"/>
      <c r="N26" s="209">
        <v>0</v>
      </c>
      <c r="O26" s="209">
        <f t="shared" si="0"/>
        <v>0</v>
      </c>
      <c r="P26" s="585"/>
    </row>
    <row r="27" spans="1:16" s="3" customFormat="1" ht="15" thickBot="1">
      <c r="A27" s="582" t="s">
        <v>169</v>
      </c>
      <c r="B27" s="43"/>
      <c r="C27" s="44"/>
      <c r="D27" s="44"/>
      <c r="E27" s="44"/>
      <c r="F27" s="77"/>
      <c r="G27" s="77">
        <f>'état fi prévis'!F28</f>
        <v>0</v>
      </c>
      <c r="H27" s="588">
        <f t="shared" si="1"/>
        <v>0</v>
      </c>
      <c r="I27" s="588"/>
      <c r="J27" s="383"/>
      <c r="K27" s="605"/>
      <c r="L27" s="386"/>
      <c r="M27" s="387"/>
      <c r="N27" s="387"/>
      <c r="O27" s="387">
        <f t="shared" si="0"/>
        <v>0</v>
      </c>
      <c r="P27" s="601"/>
    </row>
    <row r="28" spans="1:16" s="393" customFormat="1" ht="18.600000000000001" thickBot="1">
      <c r="A28" s="589" t="s">
        <v>170</v>
      </c>
      <c r="B28" s="590"/>
      <c r="C28" s="591"/>
      <c r="D28" s="591"/>
      <c r="E28" s="591"/>
      <c r="F28" s="592">
        <f ca="1">F22-F26</f>
        <v>394.9751460674587</v>
      </c>
      <c r="G28" s="592">
        <f>'état fi prévis'!F29</f>
        <v>545.16305933511558</v>
      </c>
      <c r="H28" s="593">
        <f t="shared" ca="1" si="1"/>
        <v>-150.18791326765688</v>
      </c>
      <c r="I28" s="593"/>
      <c r="K28" s="606" t="s">
        <v>170</v>
      </c>
      <c r="L28" s="607"/>
      <c r="M28" s="608">
        <f ca="1">M23-M25</f>
        <v>735.83660002239571</v>
      </c>
      <c r="N28" s="608">
        <f>'état fi prévis'!J29</f>
        <v>544.92153076368709</v>
      </c>
      <c r="O28" s="608">
        <f t="shared" ca="1" si="0"/>
        <v>190.91506925870863</v>
      </c>
      <c r="P28" s="609"/>
    </row>
    <row r="29" spans="1:16" s="48" customFormat="1" ht="15" thickTop="1">
      <c r="A29" s="3"/>
      <c r="B29" s="3"/>
      <c r="C29" s="3"/>
      <c r="D29" s="3"/>
      <c r="E29" s="3"/>
      <c r="F29" s="3"/>
      <c r="G29" s="3"/>
      <c r="H29" s="3"/>
      <c r="I29" s="3"/>
    </row>
    <row r="30" spans="1:16" s="3" customFormat="1" ht="15" thickBot="1">
      <c r="A30" s="48"/>
      <c r="B30" s="48"/>
      <c r="C30" s="48"/>
      <c r="D30" s="48"/>
      <c r="E30" s="48"/>
      <c r="F30" s="48"/>
      <c r="G30" s="48"/>
      <c r="H30" s="458" t="s">
        <v>212</v>
      </c>
      <c r="I30" s="458"/>
    </row>
    <row r="31" spans="1:16" s="3" customFormat="1" ht="15" customHeight="1" thickTop="1">
      <c r="A31" s="395" t="s">
        <v>325</v>
      </c>
      <c r="B31" s="459"/>
      <c r="C31" s="460"/>
      <c r="D31" s="461" t="s">
        <v>202</v>
      </c>
      <c r="E31" s="461"/>
      <c r="F31" s="652"/>
      <c r="G31" s="461" t="s">
        <v>210</v>
      </c>
      <c r="H31" s="461"/>
      <c r="I31" s="460"/>
      <c r="J31" s="461" t="s">
        <v>211</v>
      </c>
      <c r="K31" s="462"/>
      <c r="M31"/>
      <c r="N31" s="558" t="s">
        <v>220</v>
      </c>
      <c r="O31" s="559"/>
      <c r="P31" s="560"/>
    </row>
    <row r="32" spans="1:16" s="3" customFormat="1">
      <c r="A32" s="400" t="s">
        <v>203</v>
      </c>
      <c r="B32" s="401"/>
      <c r="C32" s="326" t="s">
        <v>10</v>
      </c>
      <c r="D32" s="282" t="s">
        <v>11</v>
      </c>
      <c r="E32" s="327" t="s">
        <v>12</v>
      </c>
      <c r="F32" s="326" t="s">
        <v>10</v>
      </c>
      <c r="G32" s="282" t="s">
        <v>11</v>
      </c>
      <c r="H32" s="328" t="s">
        <v>12</v>
      </c>
      <c r="I32" s="326" t="s">
        <v>10</v>
      </c>
      <c r="J32" s="282" t="s">
        <v>11</v>
      </c>
      <c r="K32" s="327" t="s">
        <v>270</v>
      </c>
      <c r="M32"/>
      <c r="N32" s="235" t="s">
        <v>52</v>
      </c>
      <c r="O32" s="235" t="s">
        <v>180</v>
      </c>
      <c r="P32" s="235" t="s">
        <v>181</v>
      </c>
    </row>
    <row r="33" spans="1:16" s="3" customFormat="1">
      <c r="A33" s="317" t="s">
        <v>204</v>
      </c>
      <c r="B33" s="447"/>
      <c r="C33" s="615">
        <f>'données réelles'!K5</f>
        <v>0</v>
      </c>
      <c r="D33" s="615">
        <f>'données réelles'!L5</f>
        <v>0</v>
      </c>
      <c r="E33" s="615">
        <f>'données réelles'!M5</f>
        <v>1</v>
      </c>
      <c r="F33" s="617">
        <f>'données réelles'!K8</f>
        <v>2</v>
      </c>
      <c r="G33" s="617">
        <f>'données réelles'!L8</f>
        <v>3</v>
      </c>
      <c r="H33" s="617">
        <f>'données réelles'!M8</f>
        <v>0</v>
      </c>
      <c r="I33" s="615">
        <f>'données réelles'!K11</f>
        <v>1</v>
      </c>
      <c r="J33" s="615">
        <f>'données réelles'!L11</f>
        <v>1</v>
      </c>
      <c r="K33" s="615">
        <f>'données réelles'!M11</f>
        <v>1</v>
      </c>
      <c r="M33" s="308" t="s">
        <v>53</v>
      </c>
      <c r="N33" s="309">
        <v>150</v>
      </c>
      <c r="O33" s="310">
        <v>79.731543624161077</v>
      </c>
      <c r="P33" s="310">
        <v>229.73154362416108</v>
      </c>
    </row>
    <row r="34" spans="1:16" s="3" customFormat="1">
      <c r="A34" s="317" t="s">
        <v>205</v>
      </c>
      <c r="B34" s="447"/>
      <c r="C34" s="617"/>
      <c r="D34" s="616"/>
      <c r="E34" s="619" t="s">
        <v>1</v>
      </c>
      <c r="F34" s="615" t="s">
        <v>11</v>
      </c>
      <c r="G34" s="616" t="s">
        <v>12</v>
      </c>
      <c r="H34" s="618" t="s">
        <v>1</v>
      </c>
      <c r="I34" s="615" t="s">
        <v>11</v>
      </c>
      <c r="J34" s="616" t="s">
        <v>12</v>
      </c>
      <c r="K34" s="619" t="s">
        <v>1</v>
      </c>
      <c r="M34" s="311" t="s">
        <v>54</v>
      </c>
      <c r="N34" s="312">
        <v>200</v>
      </c>
      <c r="O34" s="313">
        <v>124.91275167785236</v>
      </c>
      <c r="P34" s="313">
        <v>324.91275167785238</v>
      </c>
    </row>
    <row r="35" spans="1:16" s="3" customFormat="1">
      <c r="A35" s="317" t="s">
        <v>292</v>
      </c>
      <c r="B35" s="447"/>
      <c r="C35" s="617"/>
      <c r="D35" s="616"/>
      <c r="E35" s="619" t="s">
        <v>1</v>
      </c>
      <c r="F35" s="812" t="s">
        <v>11</v>
      </c>
      <c r="G35" s="813" t="s">
        <v>12</v>
      </c>
      <c r="H35" s="618" t="s">
        <v>1</v>
      </c>
      <c r="I35" s="812" t="s">
        <v>11</v>
      </c>
      <c r="J35" s="813" t="s">
        <v>12</v>
      </c>
      <c r="K35" s="619" t="s">
        <v>1</v>
      </c>
      <c r="M35" s="314" t="s">
        <v>55</v>
      </c>
      <c r="N35" s="315">
        <v>480</v>
      </c>
      <c r="O35" s="316">
        <v>191.35570469798657</v>
      </c>
      <c r="P35" s="316">
        <v>671.35570469798654</v>
      </c>
    </row>
    <row r="36" spans="1:16" s="3" customFormat="1">
      <c r="A36" s="317" t="s">
        <v>207</v>
      </c>
      <c r="B36" s="447"/>
      <c r="C36" s="617"/>
      <c r="D36" s="616"/>
      <c r="E36" s="619" t="s">
        <v>2</v>
      </c>
      <c r="F36" s="812" t="s">
        <v>12</v>
      </c>
      <c r="G36" s="616" t="s">
        <v>1</v>
      </c>
      <c r="H36" s="618" t="s">
        <v>2</v>
      </c>
      <c r="I36" s="812" t="s">
        <v>12</v>
      </c>
      <c r="J36" s="616" t="s">
        <v>1</v>
      </c>
      <c r="K36" s="619" t="s">
        <v>2</v>
      </c>
      <c r="L36" s="820"/>
      <c r="M36" s="48"/>
      <c r="N36" s="51"/>
      <c r="O36" s="51"/>
      <c r="P36" s="818">
        <v>1226</v>
      </c>
    </row>
    <row r="37" spans="1:16" s="3" customFormat="1">
      <c r="A37" s="317" t="s">
        <v>208</v>
      </c>
      <c r="B37" s="447"/>
      <c r="C37" s="617"/>
      <c r="D37" s="616"/>
      <c r="E37" s="619" t="s">
        <v>377</v>
      </c>
      <c r="F37" s="812" t="s">
        <v>12</v>
      </c>
      <c r="G37" s="616" t="s">
        <v>1</v>
      </c>
      <c r="H37" s="618" t="s">
        <v>377</v>
      </c>
      <c r="I37" s="812" t="s">
        <v>12</v>
      </c>
      <c r="J37" s="616" t="s">
        <v>1</v>
      </c>
      <c r="K37" s="619" t="s">
        <v>377</v>
      </c>
    </row>
    <row r="38" spans="1:16" s="3" customFormat="1" ht="15" thickBot="1">
      <c r="A38" s="319" t="s">
        <v>209</v>
      </c>
      <c r="B38" s="469"/>
      <c r="C38" s="620"/>
      <c r="D38" s="623"/>
      <c r="E38" s="621" t="s">
        <v>3</v>
      </c>
      <c r="F38" s="622" t="s">
        <v>1</v>
      </c>
      <c r="G38" s="623" t="s">
        <v>2</v>
      </c>
      <c r="H38" s="624" t="s">
        <v>3</v>
      </c>
      <c r="I38" s="622" t="s">
        <v>1</v>
      </c>
      <c r="J38" s="623" t="s">
        <v>2</v>
      </c>
      <c r="K38" s="621" t="s">
        <v>3</v>
      </c>
    </row>
    <row r="39" spans="1:16" s="3" customFormat="1" ht="15" thickTop="1">
      <c r="A39" s="471" t="s">
        <v>287</v>
      </c>
      <c r="B39" s="542" t="s">
        <v>213</v>
      </c>
      <c r="C39" s="542"/>
      <c r="D39" s="547"/>
      <c r="E39" s="542" t="s">
        <v>216</v>
      </c>
      <c r="F39" s="542"/>
      <c r="G39" s="547"/>
      <c r="H39" s="542" t="s">
        <v>217</v>
      </c>
      <c r="I39" s="542"/>
      <c r="J39" s="561"/>
      <c r="K39" s="563"/>
    </row>
    <row r="40" spans="1:16" s="3" customFormat="1" ht="28.8">
      <c r="A40" s="552" t="s">
        <v>318</v>
      </c>
      <c r="B40" s="194" t="s">
        <v>214</v>
      </c>
      <c r="C40" s="194" t="s">
        <v>215</v>
      </c>
      <c r="D40" s="548" t="s">
        <v>183</v>
      </c>
      <c r="E40" s="194" t="s">
        <v>214</v>
      </c>
      <c r="F40" s="194" t="s">
        <v>215</v>
      </c>
      <c r="G40" s="548" t="s">
        <v>183</v>
      </c>
      <c r="H40" s="194" t="s">
        <v>214</v>
      </c>
      <c r="I40" s="194" t="s">
        <v>215</v>
      </c>
      <c r="J40" s="548" t="s">
        <v>183</v>
      </c>
      <c r="K40" s="614" t="s">
        <v>39</v>
      </c>
    </row>
    <row r="41" spans="1:16" s="3" customFormat="1">
      <c r="A41" s="305" t="s">
        <v>53</v>
      </c>
      <c r="B41" s="321">
        <f>C33</f>
        <v>0</v>
      </c>
      <c r="C41" s="54">
        <f>'coûts réels'!B40/1000</f>
        <v>77</v>
      </c>
      <c r="D41" s="814">
        <f>B41*C41</f>
        <v>0</v>
      </c>
      <c r="E41" s="815">
        <f>C33+D33</f>
        <v>0</v>
      </c>
      <c r="F41" s="814">
        <f ca="1">'coûts réels'!C40/1000</f>
        <v>13.145233199539303</v>
      </c>
      <c r="G41" s="815">
        <f ca="1">E41*F41</f>
        <v>0</v>
      </c>
      <c r="H41" s="814">
        <f>C33</f>
        <v>0</v>
      </c>
      <c r="I41" s="815">
        <f ca="1">('coûts réels'!E40+'coûts réels'!F40)/1000</f>
        <v>22.848312812830446</v>
      </c>
      <c r="J41" s="814">
        <f ca="1">H41*I41</f>
        <v>0</v>
      </c>
      <c r="K41" s="815">
        <f ca="1">D41+G41+J41</f>
        <v>0</v>
      </c>
      <c r="O41" s="820"/>
    </row>
    <row r="42" spans="1:16" s="3" customFormat="1">
      <c r="A42" s="306" t="s">
        <v>54</v>
      </c>
      <c r="B42" s="323">
        <f>F33</f>
        <v>2</v>
      </c>
      <c r="C42" s="54">
        <f>'coûts réels'!B41/1000</f>
        <v>102</v>
      </c>
      <c r="D42" s="815">
        <f t="shared" ref="D42:D43" si="6">B42*C42</f>
        <v>204</v>
      </c>
      <c r="E42" s="815">
        <f>F33+G33</f>
        <v>5</v>
      </c>
      <c r="F42" s="815">
        <f ca="1">'coûts réels'!C41/1000</f>
        <v>24.412575942001563</v>
      </c>
      <c r="G42" s="815">
        <f t="shared" ref="G42:G43" ca="1" si="7">E42*F42</f>
        <v>122.06287971000782</v>
      </c>
      <c r="H42" s="815">
        <f>F33</f>
        <v>2</v>
      </c>
      <c r="I42" s="815">
        <f ca="1">('coûts réels'!E41+'coûts réels'!F41)/1000</f>
        <v>32.183984201043714</v>
      </c>
      <c r="J42" s="815">
        <f t="shared" ref="J42:J43" ca="1" si="8">H42*I42</f>
        <v>64.367968402087428</v>
      </c>
      <c r="K42" s="815">
        <f t="shared" ref="K42:K43" ca="1" si="9">D42+G42+J42</f>
        <v>390.43084811209519</v>
      </c>
    </row>
    <row r="43" spans="1:16" s="3" customFormat="1">
      <c r="A43" s="307" t="s">
        <v>55</v>
      </c>
      <c r="B43" s="325">
        <f>I33</f>
        <v>1</v>
      </c>
      <c r="C43" s="91">
        <f>'coûts réels'!B42/1000</f>
        <v>247</v>
      </c>
      <c r="D43" s="816">
        <f t="shared" si="6"/>
        <v>247</v>
      </c>
      <c r="E43" s="816">
        <f>I33+J33</f>
        <v>2</v>
      </c>
      <c r="F43" s="816">
        <f ca="1">'coûts réels'!C42/1000</f>
        <v>37.557809141540865</v>
      </c>
      <c r="G43" s="816">
        <f t="shared" ca="1" si="7"/>
        <v>75.11561828308173</v>
      </c>
      <c r="H43" s="816">
        <f>I33</f>
        <v>1</v>
      </c>
      <c r="I43" s="816">
        <f ca="1">('coûts réels'!E42+'coûts réels'!F42)/1000</f>
        <v>49.895476258838357</v>
      </c>
      <c r="J43" s="816">
        <f t="shared" ca="1" si="8"/>
        <v>49.895476258838357</v>
      </c>
      <c r="K43" s="816">
        <f t="shared" ca="1" si="9"/>
        <v>372.0110945419201</v>
      </c>
    </row>
    <row r="44" spans="1:16" s="3" customFormat="1" ht="15" thickBot="1">
      <c r="K44" s="566">
        <f ca="1">SUM(K41:K43)</f>
        <v>762.44194265401529</v>
      </c>
      <c r="N44" s="817"/>
    </row>
    <row r="45" spans="1:16" s="51" customFormat="1" ht="14.4" customHeight="1" thickTop="1">
      <c r="A45" s="544" t="s">
        <v>285</v>
      </c>
      <c r="B45" s="543" t="s">
        <v>314</v>
      </c>
      <c r="C45" s="542"/>
      <c r="D45" s="542"/>
      <c r="E45" s="543" t="s">
        <v>315</v>
      </c>
      <c r="F45" s="542"/>
      <c r="G45" s="542"/>
      <c r="H45" s="554" t="s">
        <v>247</v>
      </c>
      <c r="I45" s="3"/>
      <c r="J45" s="52"/>
    </row>
    <row r="46" spans="1:16" s="51" customFormat="1">
      <c r="A46" s="545" t="s">
        <v>282</v>
      </c>
      <c r="B46" s="282" t="s">
        <v>218</v>
      </c>
      <c r="C46" s="282" t="s">
        <v>219</v>
      </c>
      <c r="D46" s="282" t="s">
        <v>183</v>
      </c>
      <c r="E46" s="282" t="s">
        <v>327</v>
      </c>
      <c r="F46" s="282" t="s">
        <v>326</v>
      </c>
      <c r="G46" s="282" t="s">
        <v>221</v>
      </c>
      <c r="H46" s="555" t="s">
        <v>282</v>
      </c>
      <c r="I46" s="52"/>
      <c r="J46" s="52"/>
    </row>
    <row r="47" spans="1:16" s="51" customFormat="1">
      <c r="A47" s="305" t="s">
        <v>53</v>
      </c>
      <c r="B47" s="274">
        <f>'Tréso réelle'!N15-2</f>
        <v>13</v>
      </c>
      <c r="C47" s="274">
        <f ca="1">'coûts réels'!H40</f>
        <v>130.47181736760564</v>
      </c>
      <c r="D47" s="274">
        <f ca="1">B47*C47</f>
        <v>1696.1336257788732</v>
      </c>
      <c r="E47" s="274">
        <f>P33</f>
        <v>229.73154362416108</v>
      </c>
      <c r="F47" s="274">
        <f ca="1">2*'coûts réels'!F40/1000</f>
        <v>27.444178364160265</v>
      </c>
      <c r="G47" s="274">
        <f ca="1">SUM(E47:F47)</f>
        <v>257.17572198832136</v>
      </c>
      <c r="H47" s="822">
        <f ca="1">D47+G47</f>
        <v>1953.3093477671946</v>
      </c>
      <c r="I47" s="52"/>
      <c r="J47" s="52"/>
      <c r="K47" s="821">
        <f ca="1">K44-P36</f>
        <v>-463.55805734598471</v>
      </c>
    </row>
    <row r="48" spans="1:16" s="51" customFormat="1">
      <c r="A48" s="306" t="s">
        <v>54</v>
      </c>
      <c r="B48" s="273">
        <f>'Tréso réelle'!N18-2</f>
        <v>10</v>
      </c>
      <c r="C48" s="273">
        <f ca="1">'coûts réels'!H41</f>
        <v>185.48620838186974</v>
      </c>
      <c r="D48" s="273">
        <f t="shared" ref="D48:D50" ca="1" si="10">B48*C48</f>
        <v>1854.8620838186976</v>
      </c>
      <c r="E48" s="273">
        <f t="shared" ref="E48:E49" si="11">P34</f>
        <v>324.91275167785238</v>
      </c>
      <c r="F48" s="273">
        <f ca="1">2*'coûts réels'!F41/1000</f>
        <v>37.423879587491271</v>
      </c>
      <c r="G48" s="273">
        <f t="shared" ref="G48:G49" ca="1" si="12">SUM(E48:F48)</f>
        <v>362.33663126534367</v>
      </c>
      <c r="H48" s="273">
        <f t="shared" ref="H48:H50" ca="1" si="13">D48+G48</f>
        <v>2217.1987150840414</v>
      </c>
      <c r="I48" s="52"/>
      <c r="J48" s="52"/>
    </row>
    <row r="49" spans="1:10" s="51" customFormat="1">
      <c r="A49" s="306" t="s">
        <v>55</v>
      </c>
      <c r="B49" s="273">
        <f>'Tréso réelle'!N21-2</f>
        <v>3</v>
      </c>
      <c r="C49" s="273">
        <f ca="1">'coûts réels'!H42</f>
        <v>376.13224017055711</v>
      </c>
      <c r="D49" s="273">
        <f t="shared" ca="1" si="10"/>
        <v>1128.3967205116714</v>
      </c>
      <c r="E49" s="273">
        <f t="shared" si="11"/>
        <v>671.35570469798654</v>
      </c>
      <c r="F49" s="273">
        <f ca="1">2*'coûts réels'!F42/1000</f>
        <v>64.155222149985036</v>
      </c>
      <c r="G49" s="273">
        <f t="shared" ca="1" si="12"/>
        <v>735.51092684797163</v>
      </c>
      <c r="H49" s="273">
        <f t="shared" ca="1" si="13"/>
        <v>1863.9076473596431</v>
      </c>
      <c r="I49" s="52"/>
      <c r="J49" s="52"/>
    </row>
    <row r="50" spans="1:10" s="51" customFormat="1">
      <c r="A50" s="307" t="s">
        <v>222</v>
      </c>
      <c r="B50" s="275">
        <f>'Tréso réelle'!N22</f>
        <v>14860</v>
      </c>
      <c r="C50" s="275">
        <f ca="1">'coûts réels'!H43</f>
        <v>0.31393663735826077</v>
      </c>
      <c r="D50" s="275">
        <f t="shared" ca="1" si="10"/>
        <v>4665.0984311437551</v>
      </c>
      <c r="E50" s="275"/>
      <c r="F50" s="275"/>
      <c r="G50" s="275"/>
      <c r="H50" s="275">
        <f t="shared" ca="1" si="13"/>
        <v>4665.0984311437551</v>
      </c>
      <c r="I50" s="52"/>
    </row>
    <row r="51" spans="1:10">
      <c r="A51" s="51"/>
      <c r="B51" s="51"/>
      <c r="C51" s="51"/>
      <c r="D51" s="51"/>
      <c r="E51" s="51"/>
      <c r="F51" s="51"/>
      <c r="G51" s="51"/>
      <c r="H51" s="87">
        <f ca="1">SUM(H47:H50)</f>
        <v>10699.514141354633</v>
      </c>
      <c r="I51" s="52"/>
    </row>
    <row r="52" spans="1:10" ht="15.75" customHeight="1"/>
  </sheetData>
  <phoneticPr fontId="0" type="noConversion"/>
  <pageMargins left="0.19685039370078741" right="0.27559055118110237" top="0.23622047244094491" bottom="0.23622047244094491" header="0.15748031496062992" footer="0.15748031496062992"/>
  <pageSetup paperSize="9" scale="72" fitToHeight="2" orientation="landscape" r:id="rId1"/>
  <headerFooter alignWithMargins="0"/>
  <rowBreaks count="1" manualBreakCount="1">
    <brk id="51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A3" sqref="A3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vent pdt série</vt:lpstr>
      <vt:lpstr>données prév</vt:lpstr>
      <vt:lpstr>coûts prévis</vt:lpstr>
      <vt:lpstr>tréso prév</vt:lpstr>
      <vt:lpstr>état fi prévis</vt:lpstr>
      <vt:lpstr>données réelles</vt:lpstr>
      <vt:lpstr>coûts réels</vt:lpstr>
      <vt:lpstr>Tréso réelle</vt:lpstr>
      <vt:lpstr>état fi réel</vt:lpstr>
      <vt:lpstr>Feuil1</vt:lpstr>
      <vt:lpstr>TVA</vt:lpstr>
      <vt:lpstr>txTVA</vt:lpstr>
      <vt:lpstr>'état fi réel'!Zone_d_impression</vt:lpstr>
      <vt:lpstr>'tréso prév'!Zone_d_impression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 guibert</dc:creator>
  <cp:lastModifiedBy>anonyme</cp:lastModifiedBy>
  <cp:lastPrinted>2017-03-07T20:34:30Z</cp:lastPrinted>
  <dcterms:created xsi:type="dcterms:W3CDTF">2009-11-22T14:35:22Z</dcterms:created>
  <dcterms:modified xsi:type="dcterms:W3CDTF">2018-05-01T01:18:14Z</dcterms:modified>
</cp:coreProperties>
</file>