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0" yWindow="0" windowWidth="20496" windowHeight="7488"/>
  </bookViews>
  <sheets>
    <sheet name="linePro" sheetId="5" r:id="rId1"/>
    <sheet name="Feuil1" sheetId="6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6"/>
  <c r="I11"/>
  <c r="H11"/>
  <c r="F11"/>
  <c r="E11"/>
  <c r="D11"/>
  <c r="D11" i="5" s="1"/>
  <c r="H7" i="6"/>
  <c r="G7"/>
  <c r="G7" i="5" s="1"/>
  <c r="F7" i="6"/>
  <c r="G11"/>
  <c r="E22"/>
  <c r="E22" i="5" s="1"/>
  <c r="G22" i="6"/>
  <c r="I21" i="5"/>
  <c r="I21" i="6"/>
  <c r="J10" i="5"/>
  <c r="I10"/>
  <c r="E10"/>
  <c r="J20"/>
  <c r="I20"/>
  <c r="E20"/>
  <c r="J20" i="6"/>
  <c r="I20"/>
  <c r="E20"/>
  <c r="J10"/>
  <c r="I10"/>
  <c r="E10"/>
  <c r="J12" i="5"/>
  <c r="K12" i="6" s="1"/>
  <c r="K12" i="5" s="1"/>
  <c r="J16"/>
  <c r="J18"/>
  <c r="K18" i="6" s="1"/>
  <c r="K18" i="5" s="1"/>
  <c r="J19"/>
  <c r="J21"/>
  <c r="J22"/>
  <c r="J23"/>
  <c r="J24"/>
  <c r="K24" i="6" s="1"/>
  <c r="K24" i="5" s="1"/>
  <c r="I8"/>
  <c r="I9"/>
  <c r="K9" i="6" s="1"/>
  <c r="K9" i="5" s="1"/>
  <c r="I11"/>
  <c r="I14"/>
  <c r="I16"/>
  <c r="I17"/>
  <c r="K17" i="6" s="1"/>
  <c r="K17" i="5" s="1"/>
  <c r="I19"/>
  <c r="I22"/>
  <c r="H11"/>
  <c r="H15"/>
  <c r="H16"/>
  <c r="H21"/>
  <c r="H22"/>
  <c r="H23"/>
  <c r="G11"/>
  <c r="G15"/>
  <c r="G16"/>
  <c r="G21"/>
  <c r="G22"/>
  <c r="G23"/>
  <c r="F7"/>
  <c r="F11"/>
  <c r="F15"/>
  <c r="F16"/>
  <c r="F21"/>
  <c r="F22"/>
  <c r="F23"/>
  <c r="E8"/>
  <c r="E11"/>
  <c r="E14"/>
  <c r="E16"/>
  <c r="E19"/>
  <c r="K19" i="6" s="1"/>
  <c r="K19" i="5" s="1"/>
  <c r="E21"/>
  <c r="E23"/>
  <c r="K23" i="6" s="1"/>
  <c r="K23" i="5" s="1"/>
  <c r="D13"/>
  <c r="K13" i="6" s="1"/>
  <c r="K13" i="5" s="1"/>
  <c r="D16"/>
  <c r="D21"/>
  <c r="D22"/>
  <c r="J6"/>
  <c r="I6"/>
  <c r="H6"/>
  <c r="G6"/>
  <c r="F6"/>
  <c r="E6"/>
  <c r="D6"/>
  <c r="C8"/>
  <c r="C9"/>
  <c r="C10"/>
  <c r="C11"/>
  <c r="C12"/>
  <c r="C13"/>
  <c r="C14"/>
  <c r="C15"/>
  <c r="C16"/>
  <c r="C17"/>
  <c r="C18"/>
  <c r="L18" s="1"/>
  <c r="C19"/>
  <c r="C20"/>
  <c r="C21"/>
  <c r="C22"/>
  <c r="C23"/>
  <c r="C24"/>
  <c r="C25"/>
  <c r="C7"/>
  <c r="C6"/>
  <c r="J24" i="6"/>
  <c r="J23"/>
  <c r="H23"/>
  <c r="G23"/>
  <c r="F23"/>
  <c r="E23"/>
  <c r="J22"/>
  <c r="I22"/>
  <c r="H22"/>
  <c r="F22"/>
  <c r="D22"/>
  <c r="J21"/>
  <c r="H21"/>
  <c r="G21"/>
  <c r="F21"/>
  <c r="E21"/>
  <c r="D21"/>
  <c r="J19"/>
  <c r="I19"/>
  <c r="E19"/>
  <c r="J18"/>
  <c r="I17"/>
  <c r="J16"/>
  <c r="I16"/>
  <c r="H16"/>
  <c r="G16"/>
  <c r="F16"/>
  <c r="E16"/>
  <c r="D16"/>
  <c r="H15"/>
  <c r="G15"/>
  <c r="F15"/>
  <c r="I14"/>
  <c r="E14"/>
  <c r="D13"/>
  <c r="J12"/>
  <c r="I9"/>
  <c r="I8"/>
  <c r="E8"/>
  <c r="J6"/>
  <c r="I6"/>
  <c r="H6"/>
  <c r="G6"/>
  <c r="F6"/>
  <c r="E6"/>
  <c r="D6"/>
  <c r="K16" l="1"/>
  <c r="K16" i="5" s="1"/>
  <c r="K8" i="6"/>
  <c r="K8" i="5" s="1"/>
  <c r="L8" s="1"/>
  <c r="K15" i="6"/>
  <c r="K15" i="5" s="1"/>
  <c r="L17"/>
  <c r="L9"/>
  <c r="L23"/>
  <c r="K21" i="6"/>
  <c r="K21" i="5" s="1"/>
  <c r="L21" s="1"/>
  <c r="L15"/>
  <c r="L24"/>
  <c r="L19"/>
  <c r="K6" i="6"/>
  <c r="K6" i="5" s="1"/>
  <c r="L6" s="1"/>
  <c r="L16"/>
  <c r="L12"/>
  <c r="K22" i="6"/>
  <c r="K22" i="5" s="1"/>
  <c r="K14" i="6"/>
  <c r="K14" i="5" s="1"/>
  <c r="L14" s="1"/>
  <c r="K20" i="6"/>
  <c r="K20" i="5" s="1"/>
  <c r="L20" s="1"/>
  <c r="L13"/>
  <c r="K10" i="6"/>
  <c r="K10" i="5" s="1"/>
  <c r="L10" s="1"/>
  <c r="L22"/>
  <c r="F25" i="6"/>
  <c r="F25" i="5" s="1"/>
  <c r="I25" i="6"/>
  <c r="I25" i="5" s="1"/>
  <c r="D25" i="6"/>
  <c r="D25" i="5" s="1"/>
  <c r="H7"/>
  <c r="K7" i="6" s="1"/>
  <c r="K7" i="5" s="1"/>
  <c r="L7" s="1"/>
  <c r="J11"/>
  <c r="J25" i="6" s="1"/>
  <c r="J25" i="5" s="1"/>
  <c r="E25" i="6"/>
  <c r="E25" i="5" s="1"/>
  <c r="G25" i="6"/>
  <c r="G25" i="5" s="1"/>
  <c r="H25" i="6" l="1"/>
  <c r="H25" i="5" s="1"/>
  <c r="K25" i="6"/>
  <c r="K25" i="5" s="1"/>
  <c r="L25" s="1"/>
  <c r="K11" i="6"/>
  <c r="K11" i="5" s="1"/>
  <c r="L11" s="1"/>
</calcChain>
</file>

<file path=xl/sharedStrings.xml><?xml version="1.0" encoding="utf-8"?>
<sst xmlns="http://schemas.openxmlformats.org/spreadsheetml/2006/main" count="80" uniqueCount="40">
  <si>
    <t>Total répartition secondaire</t>
  </si>
  <si>
    <t>UO</t>
  </si>
  <si>
    <t>Amortissement des constructions</t>
  </si>
  <si>
    <t>Fournitures administratives</t>
  </si>
  <si>
    <t>Charges d'entretien</t>
  </si>
  <si>
    <t>Honoraires</t>
  </si>
  <si>
    <t>Déplacements</t>
  </si>
  <si>
    <t>Frais postaux</t>
  </si>
  <si>
    <t>Impôts et taxes</t>
  </si>
  <si>
    <t>Charges financières</t>
  </si>
  <si>
    <t>Charges supplétives</t>
  </si>
  <si>
    <t>Charges issues de la comptabilité générale</t>
  </si>
  <si>
    <t>Montant</t>
  </si>
  <si>
    <t>Amortissement des camions</t>
  </si>
  <si>
    <t>Assurance des locaux</t>
  </si>
  <si>
    <t>Main-d'œuvre</t>
  </si>
  <si>
    <t>Coût d'entretien</t>
  </si>
  <si>
    <t>Nombre d'UO</t>
  </si>
  <si>
    <t>Électricité</t>
  </si>
  <si>
    <t>Amortissement du mobilier de bureau</t>
  </si>
  <si>
    <t>Centres d'analyse</t>
  </si>
  <si>
    <t>Centres opérationnels</t>
  </si>
  <si>
    <t>Centre de structure</t>
  </si>
  <si>
    <t>Centre auxiliaire</t>
  </si>
  <si>
    <t>Centres principaux</t>
  </si>
  <si>
    <t>Amortissement des matériels industriels</t>
  </si>
  <si>
    <t>Amortissement du véhicule Renault Break</t>
  </si>
  <si>
    <t>Assurances des camions</t>
  </si>
  <si>
    <t>Assurances des matériels industriels</t>
  </si>
  <si>
    <t>Assurance du véhicule Renault Break</t>
  </si>
  <si>
    <t>Total répartition primaire</t>
  </si>
  <si>
    <t>Coût de l'UO</t>
  </si>
  <si>
    <t>Entretien</t>
  </si>
  <si>
    <t>Approv.</t>
  </si>
  <si>
    <t>Création</t>
  </si>
  <si>
    <t>Découpe</t>
  </si>
  <si>
    <t>Montage</t>
  </si>
  <si>
    <t>Distribution</t>
  </si>
  <si>
    <t>Admin.</t>
  </si>
  <si>
    <t>Contrôle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</si>
</sst>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#,##0.0000"/>
    <numFmt numFmtId="166" formatCode="0.0000"/>
  </numFmts>
  <fonts count="5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8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22"/>
      </top>
      <bottom style="thin">
        <color indexed="64"/>
      </bottom>
      <diagonal/>
    </border>
    <border>
      <left/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/>
      <top style="thin">
        <color indexed="64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64"/>
      </top>
      <bottom/>
      <diagonal/>
    </border>
    <border>
      <left style="thin">
        <color indexed="22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22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8">
    <xf numFmtId="0" fontId="0" fillId="0" borderId="0" xfId="0"/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2" fillId="0" borderId="14" xfId="0" applyNumberFormat="1" applyFont="1" applyBorder="1" applyAlignment="1">
      <alignment horizontal="center" vertical="center" wrapText="1"/>
    </xf>
    <xf numFmtId="4" fontId="2" fillId="0" borderId="15" xfId="0" applyNumberFormat="1" applyFont="1" applyBorder="1" applyAlignment="1">
      <alignment horizontal="center" vertical="center" wrapText="1"/>
    </xf>
    <xf numFmtId="4" fontId="2" fillId="0" borderId="16" xfId="0" applyNumberFormat="1" applyFont="1" applyBorder="1" applyAlignment="1">
      <alignment horizontal="center" vertical="center" wrapText="1"/>
    </xf>
    <xf numFmtId="164" fontId="1" fillId="0" borderId="19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1" fillId="0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4" fontId="1" fillId="0" borderId="3" xfId="0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4" fontId="2" fillId="0" borderId="42" xfId="0" applyNumberFormat="1" applyFont="1" applyBorder="1" applyAlignment="1">
      <alignment horizontal="center" vertical="center" wrapText="1"/>
    </xf>
    <xf numFmtId="164" fontId="1" fillId="0" borderId="44" xfId="0" applyNumberFormat="1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vertical="center"/>
    </xf>
    <xf numFmtId="4" fontId="1" fillId="0" borderId="25" xfId="0" applyNumberFormat="1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4" fontId="1" fillId="0" borderId="29" xfId="0" applyNumberFormat="1" applyFont="1" applyFill="1" applyBorder="1" applyAlignment="1">
      <alignment vertical="center"/>
    </xf>
    <xf numFmtId="4" fontId="2" fillId="0" borderId="39" xfId="0" applyNumberFormat="1" applyFont="1" applyBorder="1" applyAlignment="1">
      <alignment vertical="center"/>
    </xf>
    <xf numFmtId="4" fontId="2" fillId="0" borderId="25" xfId="0" applyNumberFormat="1" applyFont="1" applyBorder="1" applyAlignment="1">
      <alignment vertical="center"/>
    </xf>
    <xf numFmtId="3" fontId="2" fillId="0" borderId="43" xfId="0" applyNumberFormat="1" applyFont="1" applyBorder="1" applyAlignment="1">
      <alignment horizontal="center" vertical="center"/>
    </xf>
    <xf numFmtId="3" fontId="2" fillId="0" borderId="17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18" xfId="0" applyNumberFormat="1" applyFont="1" applyBorder="1" applyAlignment="1">
      <alignment horizontal="center" vertical="center"/>
    </xf>
    <xf numFmtId="4" fontId="2" fillId="0" borderId="40" xfId="0" applyNumberFormat="1" applyFont="1" applyBorder="1" applyAlignment="1">
      <alignment vertical="center"/>
    </xf>
    <xf numFmtId="4" fontId="2" fillId="0" borderId="29" xfId="0" applyNumberFormat="1" applyFont="1" applyBorder="1" applyAlignment="1">
      <alignment vertical="center"/>
    </xf>
    <xf numFmtId="4" fontId="2" fillId="0" borderId="41" xfId="0" applyNumberFormat="1" applyFont="1" applyBorder="1" applyAlignment="1">
      <alignment vertical="center"/>
    </xf>
    <xf numFmtId="4" fontId="2" fillId="0" borderId="3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4" fontId="1" fillId="0" borderId="0" xfId="0" applyNumberFormat="1" applyFont="1" applyAlignment="1">
      <alignment vertical="center"/>
    </xf>
    <xf numFmtId="4" fontId="2" fillId="0" borderId="0" xfId="0" applyNumberFormat="1" applyFont="1" applyAlignment="1">
      <alignment vertical="center"/>
    </xf>
    <xf numFmtId="0" fontId="1" fillId="0" borderId="13" xfId="0" applyFont="1" applyFill="1" applyBorder="1" applyAlignment="1">
      <alignment horizontal="left" vertical="center"/>
    </xf>
    <xf numFmtId="165" fontId="2" fillId="0" borderId="1" xfId="0" applyNumberFormat="1" applyFont="1" applyFill="1" applyBorder="1" applyAlignment="1">
      <alignment vertical="center"/>
    </xf>
    <xf numFmtId="165" fontId="2" fillId="0" borderId="29" xfId="0" applyNumberFormat="1" applyFont="1" applyFill="1" applyBorder="1" applyAlignment="1">
      <alignment vertical="center"/>
    </xf>
    <xf numFmtId="165" fontId="2" fillId="0" borderId="30" xfId="0" applyNumberFormat="1" applyFont="1" applyFill="1" applyBorder="1" applyAlignment="1">
      <alignment vertical="center"/>
    </xf>
    <xf numFmtId="165" fontId="2" fillId="0" borderId="25" xfId="0" applyNumberFormat="1" applyFont="1" applyFill="1" applyBorder="1" applyAlignment="1">
      <alignment vertical="center"/>
    </xf>
    <xf numFmtId="165" fontId="2" fillId="0" borderId="26" xfId="0" applyNumberFormat="1" applyFont="1" applyFill="1" applyBorder="1" applyAlignment="1">
      <alignment vertical="center"/>
    </xf>
    <xf numFmtId="165" fontId="2" fillId="0" borderId="27" xfId="0" applyNumberFormat="1" applyFont="1" applyFill="1" applyBorder="1" applyAlignment="1">
      <alignment vertical="center"/>
    </xf>
    <xf numFmtId="165" fontId="2" fillId="0" borderId="28" xfId="0" applyNumberFormat="1" applyFont="1" applyFill="1" applyBorder="1" applyAlignment="1">
      <alignment vertical="center"/>
    </xf>
    <xf numFmtId="165" fontId="2" fillId="0" borderId="31" xfId="0" applyNumberFormat="1" applyFont="1" applyFill="1" applyBorder="1" applyAlignment="1">
      <alignment vertical="center"/>
    </xf>
    <xf numFmtId="2" fontId="2" fillId="0" borderId="32" xfId="0" applyNumberFormat="1" applyFont="1" applyFill="1" applyBorder="1" applyAlignment="1">
      <alignment vertical="center"/>
    </xf>
    <xf numFmtId="2" fontId="2" fillId="0" borderId="26" xfId="0" applyNumberFormat="1" applyFont="1" applyFill="1" applyBorder="1" applyAlignment="1">
      <alignment vertical="center"/>
    </xf>
    <xf numFmtId="2" fontId="2" fillId="0" borderId="27" xfId="0" applyNumberFormat="1" applyFont="1" applyFill="1" applyBorder="1" applyAlignment="1">
      <alignment vertical="center"/>
    </xf>
    <xf numFmtId="2" fontId="2" fillId="0" borderId="28" xfId="0" applyNumberFormat="1" applyFont="1" applyFill="1" applyBorder="1" applyAlignment="1">
      <alignment vertical="center"/>
    </xf>
    <xf numFmtId="2" fontId="1" fillId="2" borderId="3" xfId="0" applyNumberFormat="1" applyFont="1" applyFill="1" applyBorder="1" applyAlignment="1">
      <alignment vertical="center"/>
    </xf>
    <xf numFmtId="2" fontId="1" fillId="2" borderId="7" xfId="0" applyNumberFormat="1" applyFont="1" applyFill="1" applyBorder="1" applyAlignment="1">
      <alignment vertical="center"/>
    </xf>
    <xf numFmtId="2" fontId="1" fillId="2" borderId="4" xfId="0" applyNumberFormat="1" applyFont="1" applyFill="1" applyBorder="1" applyAlignment="1">
      <alignment vertical="center"/>
    </xf>
    <xf numFmtId="2" fontId="1" fillId="2" borderId="5" xfId="0" applyNumberFormat="1" applyFont="1" applyFill="1" applyBorder="1" applyAlignment="1">
      <alignment vertical="center"/>
    </xf>
    <xf numFmtId="166" fontId="2" fillId="0" borderId="29" xfId="1" applyNumberFormat="1" applyFont="1" applyFill="1" applyBorder="1" applyAlignment="1">
      <alignment vertical="center"/>
    </xf>
    <xf numFmtId="166" fontId="2" fillId="0" borderId="30" xfId="1" applyNumberFormat="1" applyFont="1" applyFill="1" applyBorder="1" applyAlignment="1">
      <alignment vertical="center"/>
    </xf>
    <xf numFmtId="166" fontId="2" fillId="0" borderId="1" xfId="1" applyNumberFormat="1" applyFont="1" applyFill="1" applyBorder="1" applyAlignment="1">
      <alignment vertical="center"/>
    </xf>
    <xf numFmtId="166" fontId="2" fillId="0" borderId="31" xfId="1" applyNumberFormat="1" applyFont="1" applyFill="1" applyBorder="1" applyAlignment="1">
      <alignment vertical="center"/>
    </xf>
    <xf numFmtId="4" fontId="1" fillId="0" borderId="3" xfId="1" applyNumberFormat="1" applyFont="1" applyFill="1" applyBorder="1" applyAlignment="1">
      <alignment vertical="center"/>
    </xf>
    <xf numFmtId="0" fontId="1" fillId="2" borderId="46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4" fontId="2" fillId="0" borderId="49" xfId="0" applyNumberFormat="1" applyFont="1" applyFill="1" applyBorder="1" applyAlignment="1">
      <alignment vertical="center"/>
    </xf>
    <xf numFmtId="4" fontId="2" fillId="0" borderId="49" xfId="0" applyNumberFormat="1" applyFont="1" applyBorder="1" applyAlignment="1">
      <alignment vertical="center"/>
    </xf>
    <xf numFmtId="3" fontId="2" fillId="0" borderId="49" xfId="0" applyNumberFormat="1" applyFont="1" applyBorder="1" applyAlignment="1">
      <alignment horizontal="center" vertical="center"/>
    </xf>
    <xf numFmtId="4" fontId="1" fillId="0" borderId="53" xfId="0" applyNumberFormat="1" applyFont="1" applyFill="1" applyBorder="1" applyAlignment="1">
      <alignment vertical="center"/>
    </xf>
    <xf numFmtId="4" fontId="1" fillId="0" borderId="54" xfId="0" applyNumberFormat="1" applyFont="1" applyFill="1" applyBorder="1" applyAlignment="1">
      <alignment vertical="center"/>
    </xf>
    <xf numFmtId="4" fontId="1" fillId="0" borderId="55" xfId="0" applyNumberFormat="1" applyFont="1" applyFill="1" applyBorder="1" applyAlignment="1">
      <alignment vertical="center"/>
    </xf>
    <xf numFmtId="2" fontId="1" fillId="2" borderId="58" xfId="0" applyNumberFormat="1" applyFont="1" applyFill="1" applyBorder="1" applyAlignment="1">
      <alignment vertical="center"/>
    </xf>
    <xf numFmtId="4" fontId="2" fillId="0" borderId="59" xfId="0" applyNumberFormat="1" applyFont="1" applyBorder="1" applyAlignment="1">
      <alignment horizontal="center" vertical="center" wrapText="1"/>
    </xf>
    <xf numFmtId="4" fontId="2" fillId="0" borderId="59" xfId="0" applyNumberFormat="1" applyFont="1" applyBorder="1" applyAlignment="1">
      <alignment vertical="center"/>
    </xf>
    <xf numFmtId="4" fontId="2" fillId="0" borderId="60" xfId="0" applyNumberFormat="1" applyFont="1" applyBorder="1" applyAlignment="1">
      <alignment vertical="center"/>
    </xf>
    <xf numFmtId="4" fontId="2" fillId="0" borderId="61" xfId="0" applyNumberFormat="1" applyFont="1" applyBorder="1" applyAlignment="1">
      <alignment vertical="center"/>
    </xf>
    <xf numFmtId="164" fontId="1" fillId="0" borderId="62" xfId="0" applyNumberFormat="1" applyFont="1" applyFill="1" applyBorder="1" applyAlignment="1">
      <alignment horizontal="center" vertical="center"/>
    </xf>
    <xf numFmtId="4" fontId="2" fillId="0" borderId="62" xfId="0" applyNumberFormat="1" applyFont="1" applyBorder="1" applyAlignment="1">
      <alignment vertical="center"/>
    </xf>
    <xf numFmtId="4" fontId="2" fillId="0" borderId="63" xfId="0" applyNumberFormat="1" applyFont="1" applyBorder="1" applyAlignment="1">
      <alignment vertical="center"/>
    </xf>
    <xf numFmtId="4" fontId="2" fillId="0" borderId="64" xfId="0" applyNumberFormat="1" applyFont="1" applyBorder="1" applyAlignment="1">
      <alignment horizontal="center" vertical="center" wrapText="1"/>
    </xf>
    <xf numFmtId="3" fontId="2" fillId="0" borderId="52" xfId="0" applyNumberFormat="1" applyFont="1" applyBorder="1" applyAlignment="1">
      <alignment horizontal="center" vertical="center"/>
    </xf>
    <xf numFmtId="164" fontId="1" fillId="0" borderId="65" xfId="0" applyNumberFormat="1" applyFont="1" applyFill="1" applyBorder="1" applyAlignment="1">
      <alignment horizontal="center" vertical="center"/>
    </xf>
    <xf numFmtId="2" fontId="2" fillId="0" borderId="51" xfId="0" applyNumberFormat="1" applyFont="1" applyFill="1" applyBorder="1" applyAlignment="1">
      <alignment vertical="center"/>
    </xf>
    <xf numFmtId="4" fontId="1" fillId="0" borderId="66" xfId="1" applyNumberFormat="1" applyFont="1" applyFill="1" applyBorder="1" applyAlignment="1">
      <alignment vertical="center"/>
    </xf>
    <xf numFmtId="4" fontId="1" fillId="0" borderId="63" xfId="1" applyNumberFormat="1" applyFont="1" applyFill="1" applyBorder="1" applyAlignment="1">
      <alignment vertical="center"/>
    </xf>
    <xf numFmtId="0" fontId="1" fillId="2" borderId="68" xfId="0" applyFont="1" applyFill="1" applyBorder="1" applyAlignment="1">
      <alignment horizontal="center" vertical="center" wrapText="1"/>
    </xf>
    <xf numFmtId="4" fontId="2" fillId="0" borderId="64" xfId="0" applyNumberFormat="1" applyFont="1" applyFill="1" applyBorder="1" applyAlignment="1">
      <alignment vertical="center"/>
    </xf>
    <xf numFmtId="2" fontId="2" fillId="0" borderId="69" xfId="0" applyNumberFormat="1" applyFont="1" applyFill="1" applyBorder="1" applyAlignment="1">
      <alignment vertical="center"/>
    </xf>
    <xf numFmtId="2" fontId="1" fillId="2" borderId="70" xfId="0" applyNumberFormat="1" applyFont="1" applyFill="1" applyBorder="1" applyAlignment="1">
      <alignment vertical="center"/>
    </xf>
    <xf numFmtId="0" fontId="1" fillId="0" borderId="12" xfId="0" applyFont="1" applyBorder="1" applyAlignment="1">
      <alignment horizontal="center" vertical="center" wrapText="1"/>
    </xf>
    <xf numFmtId="4" fontId="2" fillId="0" borderId="53" xfId="0" applyNumberFormat="1" applyFont="1" applyFill="1" applyBorder="1" applyAlignment="1">
      <alignment vertical="center"/>
    </xf>
    <xf numFmtId="4" fontId="2" fillId="0" borderId="54" xfId="0" applyNumberFormat="1" applyFont="1" applyFill="1" applyBorder="1" applyAlignment="1">
      <alignment vertical="center"/>
    </xf>
    <xf numFmtId="4" fontId="1" fillId="0" borderId="55" xfId="1" applyNumberFormat="1" applyFont="1" applyFill="1" applyBorder="1" applyAlignment="1">
      <alignment vertical="center"/>
    </xf>
    <xf numFmtId="2" fontId="2" fillId="0" borderId="71" xfId="0" applyNumberFormat="1" applyFont="1" applyFill="1" applyBorder="1" applyAlignment="1">
      <alignment vertical="center"/>
    </xf>
    <xf numFmtId="2" fontId="1" fillId="2" borderId="63" xfId="0" applyNumberFormat="1" applyFont="1" applyFill="1" applyBorder="1" applyAlignment="1">
      <alignment vertical="center"/>
    </xf>
    <xf numFmtId="2" fontId="2" fillId="0" borderId="60" xfId="0" applyNumberFormat="1" applyFont="1" applyFill="1" applyBorder="1" applyAlignment="1">
      <alignment vertical="center"/>
    </xf>
    <xf numFmtId="4" fontId="2" fillId="0" borderId="72" xfId="0" applyNumberFormat="1" applyFont="1" applyFill="1" applyBorder="1" applyAlignment="1">
      <alignment vertical="center"/>
    </xf>
    <xf numFmtId="4" fontId="2" fillId="0" borderId="73" xfId="0" applyNumberFormat="1" applyFont="1" applyFill="1" applyBorder="1" applyAlignment="1">
      <alignment vertical="center"/>
    </xf>
    <xf numFmtId="4" fontId="2" fillId="0" borderId="75" xfId="0" applyNumberFormat="1" applyFont="1" applyFill="1" applyBorder="1" applyAlignment="1">
      <alignment vertical="center"/>
    </xf>
    <xf numFmtId="4" fontId="2" fillId="0" borderId="76" xfId="0" applyNumberFormat="1" applyFont="1" applyFill="1" applyBorder="1" applyAlignment="1">
      <alignment vertical="center"/>
    </xf>
    <xf numFmtId="0" fontId="1" fillId="0" borderId="77" xfId="0" applyFont="1" applyBorder="1" applyAlignment="1">
      <alignment horizontal="center" vertical="center" wrapText="1"/>
    </xf>
    <xf numFmtId="4" fontId="2" fillId="0" borderId="78" xfId="0" applyNumberFormat="1" applyFont="1" applyFill="1" applyBorder="1" applyAlignment="1">
      <alignment vertical="center"/>
    </xf>
    <xf numFmtId="4" fontId="2" fillId="0" borderId="45" xfId="0" applyNumberFormat="1" applyFont="1" applyFill="1" applyBorder="1" applyAlignment="1">
      <alignment vertical="center"/>
    </xf>
    <xf numFmtId="4" fontId="2" fillId="0" borderId="79" xfId="0" applyNumberFormat="1" applyFont="1" applyFill="1" applyBorder="1" applyAlignment="1">
      <alignment vertical="center"/>
    </xf>
    <xf numFmtId="4" fontId="2" fillId="0" borderId="80" xfId="0" applyNumberFormat="1" applyFont="1" applyFill="1" applyBorder="1" applyAlignment="1">
      <alignment vertical="center"/>
    </xf>
    <xf numFmtId="0" fontId="2" fillId="0" borderId="61" xfId="0" applyFont="1" applyBorder="1" applyAlignment="1">
      <alignment vertical="center"/>
    </xf>
    <xf numFmtId="0" fontId="2" fillId="0" borderId="63" xfId="0" applyFont="1" applyBorder="1" applyAlignment="1">
      <alignment vertical="center"/>
    </xf>
    <xf numFmtId="165" fontId="2" fillId="0" borderId="24" xfId="0" applyNumberFormat="1" applyFont="1" applyFill="1" applyBorder="1" applyAlignment="1">
      <alignment vertical="center"/>
    </xf>
    <xf numFmtId="165" fontId="2" fillId="0" borderId="11" xfId="0" applyNumberFormat="1" applyFont="1" applyFill="1" applyBorder="1" applyAlignment="1">
      <alignment vertical="center"/>
    </xf>
    <xf numFmtId="166" fontId="2" fillId="0" borderId="11" xfId="1" applyNumberFormat="1" applyFont="1" applyFill="1" applyBorder="1" applyAlignment="1">
      <alignment vertical="center"/>
    </xf>
    <xf numFmtId="165" fontId="2" fillId="0" borderId="50" xfId="0" applyNumberFormat="1" applyFont="1" applyBorder="1" applyAlignment="1">
      <alignment vertical="center"/>
    </xf>
    <xf numFmtId="4" fontId="1" fillId="0" borderId="50" xfId="0" applyNumberFormat="1" applyFont="1" applyBorder="1" applyAlignment="1">
      <alignment vertical="center"/>
    </xf>
    <xf numFmtId="4" fontId="1" fillId="0" borderId="66" xfId="0" applyNumberFormat="1" applyFont="1" applyBorder="1" applyAlignment="1">
      <alignment vertical="center"/>
    </xf>
    <xf numFmtId="4" fontId="1" fillId="0" borderId="81" xfId="1" applyNumberFormat="1" applyFont="1" applyFill="1" applyBorder="1" applyAlignment="1">
      <alignment vertical="center"/>
    </xf>
    <xf numFmtId="4" fontId="1" fillId="0" borderId="82" xfId="1" applyNumberFormat="1" applyFont="1" applyFill="1" applyBorder="1" applyAlignment="1">
      <alignment vertical="center"/>
    </xf>
    <xf numFmtId="0" fontId="1" fillId="0" borderId="78" xfId="0" applyFont="1" applyBorder="1" applyAlignment="1">
      <alignment horizontal="center" vertical="center" wrapText="1"/>
    </xf>
    <xf numFmtId="0" fontId="1" fillId="0" borderId="74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/>
    </xf>
    <xf numFmtId="0" fontId="2" fillId="0" borderId="35" xfId="0" applyFont="1" applyBorder="1" applyAlignment="1">
      <alignment horizontal="left" vertical="center"/>
    </xf>
    <xf numFmtId="0" fontId="2" fillId="0" borderId="36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" fillId="0" borderId="38" xfId="0" applyFont="1" applyBorder="1" applyAlignment="1">
      <alignment horizontal="left" vertical="center"/>
    </xf>
    <xf numFmtId="0" fontId="2" fillId="0" borderId="26" xfId="0" applyFont="1" applyFill="1" applyBorder="1" applyAlignment="1">
      <alignment horizontal="left" vertical="center"/>
    </xf>
    <xf numFmtId="0" fontId="2" fillId="0" borderId="48" xfId="0" applyFont="1" applyFill="1" applyBorder="1" applyAlignment="1">
      <alignment horizontal="left" vertical="center"/>
    </xf>
    <xf numFmtId="0" fontId="1" fillId="2" borderId="56" xfId="0" applyFont="1" applyFill="1" applyBorder="1" applyAlignment="1">
      <alignment horizontal="left" vertical="center"/>
    </xf>
    <xf numFmtId="0" fontId="1" fillId="2" borderId="57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" fillId="0" borderId="34" xfId="0" applyFont="1" applyBorder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" fillId="0" borderId="67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4" fillId="4" borderId="63" xfId="0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1">
    <dxf>
      <font>
        <b/>
        <i val="0"/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30"/>
  <sheetViews>
    <sheetView showGridLines="0" tabSelected="1" zoomScale="70" zoomScaleNormal="70" workbookViewId="0">
      <pane xSplit="3" ySplit="5" topLeftCell="D6" activePane="bottomRight" state="frozen"/>
      <selection pane="topRight" activeCell="C1" sqref="C1"/>
      <selection pane="bottomLeft" activeCell="A5" sqref="A5"/>
      <selection pane="bottomRight" activeCell="L30" sqref="L30"/>
    </sheetView>
  </sheetViews>
  <sheetFormatPr baseColWidth="10" defaultColWidth="11.44140625" defaultRowHeight="13.2"/>
  <cols>
    <col min="1" max="1" width="2.6640625" style="15" customWidth="1"/>
    <col min="2" max="2" width="42.109375" style="15" customWidth="1"/>
    <col min="3" max="3" width="11.5546875" style="34" customWidth="1"/>
    <col min="4" max="4" width="10.44140625" style="15" customWidth="1"/>
    <col min="5" max="8" width="10.88671875" style="15" customWidth="1"/>
    <col min="9" max="10" width="11.88671875" style="15" customWidth="1"/>
    <col min="11" max="16384" width="11.44140625" style="15"/>
  </cols>
  <sheetData>
    <row r="1" spans="2:12">
      <c r="B1" s="32"/>
      <c r="C1" s="33"/>
      <c r="D1" s="32"/>
      <c r="E1" s="32"/>
      <c r="F1" s="32"/>
      <c r="G1" s="32"/>
      <c r="H1" s="32"/>
      <c r="I1" s="32"/>
      <c r="J1" s="32"/>
    </row>
    <row r="2" spans="2:12" ht="24" customHeight="1">
      <c r="D2" s="112" t="s">
        <v>20</v>
      </c>
      <c r="E2" s="112"/>
      <c r="F2" s="112"/>
      <c r="G2" s="112"/>
      <c r="H2" s="112"/>
      <c r="I2" s="112"/>
      <c r="J2" s="112"/>
    </row>
    <row r="3" spans="2:12" ht="25.5" customHeight="1">
      <c r="D3" s="128" t="s">
        <v>21</v>
      </c>
      <c r="E3" s="128"/>
      <c r="F3" s="128"/>
      <c r="G3" s="128"/>
      <c r="H3" s="128"/>
      <c r="I3" s="128"/>
      <c r="J3" s="113" t="s">
        <v>22</v>
      </c>
    </row>
    <row r="4" spans="2:12" ht="27" customHeight="1">
      <c r="D4" s="1" t="s">
        <v>23</v>
      </c>
      <c r="E4" s="129" t="s">
        <v>24</v>
      </c>
      <c r="F4" s="130"/>
      <c r="G4" s="130"/>
      <c r="H4" s="130"/>
      <c r="I4" s="131"/>
      <c r="J4" s="114"/>
    </row>
    <row r="5" spans="2:12" s="13" customFormat="1" ht="25.5" customHeight="1">
      <c r="B5" s="2" t="s">
        <v>11</v>
      </c>
      <c r="C5" s="3" t="s">
        <v>12</v>
      </c>
      <c r="D5" s="84" t="s">
        <v>32</v>
      </c>
      <c r="E5" s="80" t="s">
        <v>33</v>
      </c>
      <c r="F5" s="58" t="s">
        <v>34</v>
      </c>
      <c r="G5" s="58" t="s">
        <v>35</v>
      </c>
      <c r="H5" s="58" t="s">
        <v>36</v>
      </c>
      <c r="I5" s="59" t="s">
        <v>37</v>
      </c>
      <c r="J5" s="95" t="s">
        <v>38</v>
      </c>
      <c r="K5" s="110" t="s">
        <v>39</v>
      </c>
      <c r="L5" s="111"/>
    </row>
    <row r="6" spans="2:12" ht="18" customHeight="1">
      <c r="B6" s="18" t="s">
        <v>2</v>
      </c>
      <c r="C6" s="63">
        <f>Feuil1!C6</f>
        <v>15000</v>
      </c>
      <c r="D6" s="85">
        <f>Feuil1!D6*Feuil1!C6</f>
        <v>1500</v>
      </c>
      <c r="E6" s="81">
        <f>Feuil1!E6*Feuil1!C6</f>
        <v>1500</v>
      </c>
      <c r="F6" s="92">
        <f>Feuil1!F6*Feuil1!C6</f>
        <v>3250</v>
      </c>
      <c r="G6" s="92">
        <f>Feuil1!G6*Feuil1!C6</f>
        <v>3250</v>
      </c>
      <c r="H6" s="92">
        <f>Feuil1!H6*Feuil1!C6</f>
        <v>3250</v>
      </c>
      <c r="I6" s="93">
        <f>Feuil1!I6*Feuil1!C6</f>
        <v>750</v>
      </c>
      <c r="J6" s="96">
        <f>Feuil1!J6*Feuil1!C6</f>
        <v>1500</v>
      </c>
      <c r="K6" s="106">
        <f>Feuil1!K6</f>
        <v>15000</v>
      </c>
      <c r="L6" s="100" t="str">
        <f>IF(C6=K6, "Juste", "FAUX")</f>
        <v>Juste</v>
      </c>
    </row>
    <row r="7" spans="2:12" ht="18" customHeight="1">
      <c r="B7" s="20" t="s">
        <v>25</v>
      </c>
      <c r="C7" s="64">
        <f>Feuil1!C7</f>
        <v>31200</v>
      </c>
      <c r="D7" s="86"/>
      <c r="E7" s="91"/>
      <c r="F7" s="60">
        <f>Feuil1!F7*Feuil1!C7</f>
        <v>3999.9999999999995</v>
      </c>
      <c r="G7" s="60">
        <f>Feuil1!G7*Feuil1!C7</f>
        <v>21200</v>
      </c>
      <c r="H7" s="60">
        <f>Feuil1!H7*Feuil1!C7</f>
        <v>6000</v>
      </c>
      <c r="I7" s="94"/>
      <c r="J7" s="97"/>
      <c r="K7" s="106">
        <f>Feuil1!K7</f>
        <v>31200</v>
      </c>
      <c r="L7" s="100" t="str">
        <f t="shared" ref="L7:L25" si="0">IF(C7=K7, "Juste", "FAUX")</f>
        <v>Juste</v>
      </c>
    </row>
    <row r="8" spans="2:12" ht="18" customHeight="1">
      <c r="B8" s="20" t="s">
        <v>13</v>
      </c>
      <c r="C8" s="64">
        <f>Feuil1!C8</f>
        <v>18600</v>
      </c>
      <c r="D8" s="86"/>
      <c r="E8" s="91">
        <f>Feuil1!E8*Feuil1!C8</f>
        <v>12090</v>
      </c>
      <c r="F8" s="60"/>
      <c r="G8" s="60"/>
      <c r="H8" s="60"/>
      <c r="I8" s="94">
        <f>Feuil1!I8*Feuil1!C8</f>
        <v>6510</v>
      </c>
      <c r="J8" s="98"/>
      <c r="K8" s="106">
        <f>Feuil1!K8</f>
        <v>18600</v>
      </c>
      <c r="L8" s="100" t="str">
        <f t="shared" si="0"/>
        <v>Juste</v>
      </c>
    </row>
    <row r="9" spans="2:12" ht="18" customHeight="1">
      <c r="B9" s="20" t="s">
        <v>26</v>
      </c>
      <c r="C9" s="64">
        <f>Feuil1!C9</f>
        <v>4400</v>
      </c>
      <c r="D9" s="86"/>
      <c r="E9" s="91"/>
      <c r="F9" s="60"/>
      <c r="G9" s="60"/>
      <c r="H9" s="60"/>
      <c r="I9" s="94">
        <f>Feuil1!I9*Feuil1!C9</f>
        <v>4400</v>
      </c>
      <c r="J9" s="98"/>
      <c r="K9" s="106">
        <f>Feuil1!K9</f>
        <v>4400</v>
      </c>
      <c r="L9" s="100" t="str">
        <f t="shared" si="0"/>
        <v>Juste</v>
      </c>
    </row>
    <row r="10" spans="2:12" ht="18" customHeight="1">
      <c r="B10" s="20" t="s">
        <v>19</v>
      </c>
      <c r="C10" s="64">
        <f>Feuil1!C10</f>
        <v>4000</v>
      </c>
      <c r="D10" s="86"/>
      <c r="E10" s="91">
        <f>Feuil1!E10*Feuil1!C10</f>
        <v>200</v>
      </c>
      <c r="F10" s="60"/>
      <c r="G10" s="60"/>
      <c r="H10" s="60"/>
      <c r="I10" s="94">
        <f>Feuil1!I10*Feuil1!C10</f>
        <v>600</v>
      </c>
      <c r="J10" s="99">
        <f>Feuil1!J10*Feuil1!C10</f>
        <v>3200</v>
      </c>
      <c r="K10" s="106">
        <f>Feuil1!K10</f>
        <v>4000</v>
      </c>
      <c r="L10" s="100" t="str">
        <f t="shared" si="0"/>
        <v>Juste</v>
      </c>
    </row>
    <row r="11" spans="2:12" ht="18" customHeight="1">
      <c r="B11" s="20" t="s">
        <v>18</v>
      </c>
      <c r="C11" s="64">
        <f>Feuil1!C11</f>
        <v>13100</v>
      </c>
      <c r="D11" s="86">
        <f>Feuil1!D11*Feuil1!C11</f>
        <v>1250</v>
      </c>
      <c r="E11" s="91">
        <f>Feuil1!E11*Feuil1!C11</f>
        <v>900</v>
      </c>
      <c r="F11" s="60">
        <f>Feuil1!F11*Feuil1!C11</f>
        <v>2400</v>
      </c>
      <c r="G11" s="60">
        <f>Feuil1!G11*Feuil1!C11</f>
        <v>3349.9999999999995</v>
      </c>
      <c r="H11" s="60">
        <f>Feuil1!H11*Feuil1!C11</f>
        <v>2800</v>
      </c>
      <c r="I11" s="94">
        <f>Feuil1!I11*Feuil1!C11</f>
        <v>900</v>
      </c>
      <c r="J11" s="99">
        <f>Feuil1!J11*Feuil1!C11</f>
        <v>1500</v>
      </c>
      <c r="K11" s="106">
        <f>Feuil1!K11</f>
        <v>13100</v>
      </c>
      <c r="L11" s="100" t="str">
        <f t="shared" si="0"/>
        <v>Juste</v>
      </c>
    </row>
    <row r="12" spans="2:12" ht="18" customHeight="1">
      <c r="B12" s="20" t="s">
        <v>3</v>
      </c>
      <c r="C12" s="64">
        <f>Feuil1!C12</f>
        <v>2900</v>
      </c>
      <c r="D12" s="86"/>
      <c r="E12" s="91"/>
      <c r="F12" s="60"/>
      <c r="G12" s="60"/>
      <c r="H12" s="60"/>
      <c r="I12" s="94"/>
      <c r="J12" s="99">
        <f>Feuil1!J12*Feuil1!C12</f>
        <v>2900</v>
      </c>
      <c r="K12" s="106">
        <f>Feuil1!K12</f>
        <v>2900</v>
      </c>
      <c r="L12" s="100" t="str">
        <f t="shared" si="0"/>
        <v>Juste</v>
      </c>
    </row>
    <row r="13" spans="2:12" ht="18" customHeight="1">
      <c r="B13" s="20" t="s">
        <v>4</v>
      </c>
      <c r="C13" s="64">
        <f>Feuil1!C13</f>
        <v>44400</v>
      </c>
      <c r="D13" s="86">
        <f>Feuil1!D13*Feuil1!C13</f>
        <v>44400</v>
      </c>
      <c r="E13" s="91"/>
      <c r="F13" s="60"/>
      <c r="G13" s="60"/>
      <c r="H13" s="60"/>
      <c r="I13" s="94"/>
      <c r="J13" s="99"/>
      <c r="K13" s="106">
        <f>Feuil1!K13</f>
        <v>44400</v>
      </c>
      <c r="L13" s="100" t="str">
        <f t="shared" si="0"/>
        <v>Juste</v>
      </c>
    </row>
    <row r="14" spans="2:12" ht="18" customHeight="1">
      <c r="B14" s="20" t="s">
        <v>27</v>
      </c>
      <c r="C14" s="64">
        <f>Feuil1!C14</f>
        <v>5600</v>
      </c>
      <c r="D14" s="86"/>
      <c r="E14" s="91">
        <f>Feuil1!E14*Feuil1!C14</f>
        <v>3640</v>
      </c>
      <c r="F14" s="60"/>
      <c r="G14" s="60"/>
      <c r="H14" s="60"/>
      <c r="I14" s="94">
        <f>Feuil1!I14*Feuil1!C14</f>
        <v>1959.9999999999998</v>
      </c>
      <c r="J14" s="99"/>
      <c r="K14" s="106">
        <f>Feuil1!K14</f>
        <v>5600</v>
      </c>
      <c r="L14" s="100" t="str">
        <f t="shared" si="0"/>
        <v>Juste</v>
      </c>
    </row>
    <row r="15" spans="2:12" ht="18" customHeight="1">
      <c r="B15" s="20" t="s">
        <v>28</v>
      </c>
      <c r="C15" s="64">
        <f>Feuil1!C15</f>
        <v>8000</v>
      </c>
      <c r="D15" s="86"/>
      <c r="E15" s="91"/>
      <c r="F15" s="60">
        <f>Feuil1!F15*Feuil1!C15</f>
        <v>1025.6000000000001</v>
      </c>
      <c r="G15" s="60">
        <f>Feuil1!G15*Feuil1!C15</f>
        <v>5436</v>
      </c>
      <c r="H15" s="60">
        <f>Feuil1!H15*Feuil1!C15</f>
        <v>1538.4</v>
      </c>
      <c r="I15" s="94"/>
      <c r="J15" s="99"/>
      <c r="K15" s="106">
        <f>Feuil1!K15</f>
        <v>8000</v>
      </c>
      <c r="L15" s="100" t="str">
        <f t="shared" si="0"/>
        <v>Juste</v>
      </c>
    </row>
    <row r="16" spans="2:12" ht="18" customHeight="1">
      <c r="B16" s="20" t="s">
        <v>14</v>
      </c>
      <c r="C16" s="64">
        <f>Feuil1!C16</f>
        <v>4000</v>
      </c>
      <c r="D16" s="86">
        <f>Feuil1!D16*Feuil1!C16</f>
        <v>400</v>
      </c>
      <c r="E16" s="91">
        <f>Feuil1!E16*Feuil1!C16</f>
        <v>400</v>
      </c>
      <c r="F16" s="60">
        <f>Feuil1!F16*Feuil1!C16</f>
        <v>866.66666666666674</v>
      </c>
      <c r="G16" s="60">
        <f>Feuil1!G16*Feuil1!C16</f>
        <v>866.66666666666674</v>
      </c>
      <c r="H16" s="60">
        <f>Feuil1!H16*Feuil1!C16</f>
        <v>866.66666666666674</v>
      </c>
      <c r="I16" s="94">
        <f>Feuil1!I16*Feuil1!C16</f>
        <v>200</v>
      </c>
      <c r="J16" s="99">
        <f>Feuil1!J16*Feuil1!C16</f>
        <v>400</v>
      </c>
      <c r="K16" s="106">
        <f>Feuil1!K16</f>
        <v>4000</v>
      </c>
      <c r="L16" s="100" t="str">
        <f t="shared" si="0"/>
        <v>Juste</v>
      </c>
    </row>
    <row r="17" spans="2:12" ht="18" customHeight="1">
      <c r="B17" s="20" t="s">
        <v>29</v>
      </c>
      <c r="C17" s="64">
        <f>Feuil1!C17</f>
        <v>1200</v>
      </c>
      <c r="D17" s="86"/>
      <c r="E17" s="91"/>
      <c r="F17" s="60"/>
      <c r="G17" s="60"/>
      <c r="H17" s="60"/>
      <c r="I17" s="94">
        <f>Feuil1!I17*Feuil1!C17</f>
        <v>1200</v>
      </c>
      <c r="J17" s="99"/>
      <c r="K17" s="106">
        <f>Feuil1!K17</f>
        <v>1200</v>
      </c>
      <c r="L17" s="100" t="str">
        <f t="shared" si="0"/>
        <v>Juste</v>
      </c>
    </row>
    <row r="18" spans="2:12" ht="18" customHeight="1">
      <c r="B18" s="20" t="s">
        <v>5</v>
      </c>
      <c r="C18" s="64">
        <f>Feuil1!C18</f>
        <v>3200</v>
      </c>
      <c r="D18" s="86"/>
      <c r="E18" s="91"/>
      <c r="F18" s="60"/>
      <c r="G18" s="60"/>
      <c r="H18" s="60"/>
      <c r="I18" s="94"/>
      <c r="J18" s="99">
        <f>Feuil1!J18*Feuil1!C18</f>
        <v>3200</v>
      </c>
      <c r="K18" s="106">
        <f>Feuil1!K18</f>
        <v>3200</v>
      </c>
      <c r="L18" s="100" t="str">
        <f t="shared" si="0"/>
        <v>Juste</v>
      </c>
    </row>
    <row r="19" spans="2:12" ht="18" customHeight="1">
      <c r="B19" s="20" t="s">
        <v>6</v>
      </c>
      <c r="C19" s="64">
        <f>Feuil1!C19</f>
        <v>60200</v>
      </c>
      <c r="D19" s="86"/>
      <c r="E19" s="91">
        <f>Feuil1!E19*Feuil1!C19</f>
        <v>19998.439999999999</v>
      </c>
      <c r="F19" s="60"/>
      <c r="G19" s="60"/>
      <c r="H19" s="60"/>
      <c r="I19" s="94">
        <f>Feuil1!I19*Feuil1!C19</f>
        <v>32002.319999999996</v>
      </c>
      <c r="J19" s="99">
        <f>Feuil1!J19*Feuil1!C19</f>
        <v>8199.24</v>
      </c>
      <c r="K19" s="106">
        <f>Feuil1!K19</f>
        <v>60199.999999999993</v>
      </c>
      <c r="L19" s="100" t="str">
        <f t="shared" si="0"/>
        <v>Juste</v>
      </c>
    </row>
    <row r="20" spans="2:12" ht="18" customHeight="1">
      <c r="B20" s="20" t="s">
        <v>7</v>
      </c>
      <c r="C20" s="64">
        <f>Feuil1!C20</f>
        <v>8200</v>
      </c>
      <c r="D20" s="86"/>
      <c r="E20" s="91">
        <f>Feuil1!E20*Feuil1!C20</f>
        <v>1640</v>
      </c>
      <c r="F20" s="60"/>
      <c r="G20" s="60"/>
      <c r="H20" s="60"/>
      <c r="I20" s="94">
        <f>Feuil1!I20*Feuil1!C20</f>
        <v>2460</v>
      </c>
      <c r="J20" s="99">
        <f>Feuil1!J20*Feuil1!C20</f>
        <v>4100</v>
      </c>
      <c r="K20" s="106">
        <f>Feuil1!K20</f>
        <v>8200</v>
      </c>
      <c r="L20" s="100" t="str">
        <f t="shared" si="0"/>
        <v>Juste</v>
      </c>
    </row>
    <row r="21" spans="2:12" ht="18" customHeight="1">
      <c r="B21" s="20" t="s">
        <v>8</v>
      </c>
      <c r="C21" s="64">
        <f>Feuil1!C21</f>
        <v>36000</v>
      </c>
      <c r="D21" s="86">
        <f>Feuil1!D21*Feuil1!C21</f>
        <v>1800</v>
      </c>
      <c r="E21" s="91">
        <f>Feuil1!E21*Feuil1!C21</f>
        <v>1800</v>
      </c>
      <c r="F21" s="60">
        <f>Feuil1!F21*Feuil1!C21</f>
        <v>9960</v>
      </c>
      <c r="G21" s="60">
        <f>Feuil1!G21*Feuil1!C21</f>
        <v>9960</v>
      </c>
      <c r="H21" s="60">
        <f>Feuil1!H21*Feuil1!C21</f>
        <v>9960</v>
      </c>
      <c r="I21" s="94">
        <f>Feuil1!I21*Feuil1!C21</f>
        <v>1800</v>
      </c>
      <c r="J21" s="99">
        <f>Feuil1!J21*Feuil1!C21</f>
        <v>720</v>
      </c>
      <c r="K21" s="106">
        <f>Feuil1!K21</f>
        <v>36000</v>
      </c>
      <c r="L21" s="100" t="str">
        <f t="shared" si="0"/>
        <v>Juste</v>
      </c>
    </row>
    <row r="22" spans="2:12" ht="18" customHeight="1">
      <c r="B22" s="20" t="s">
        <v>15</v>
      </c>
      <c r="C22" s="64">
        <f>Feuil1!C22</f>
        <v>470000</v>
      </c>
      <c r="D22" s="86">
        <f>Feuil1!D22*Feuil1!C22</f>
        <v>42018</v>
      </c>
      <c r="E22" s="91">
        <f>Feuil1!E22*Feuil1!C22</f>
        <v>46012.999999999993</v>
      </c>
      <c r="F22" s="60">
        <f>Feuil1!F22*Feuil1!C22</f>
        <v>79994</v>
      </c>
      <c r="G22" s="60">
        <f>Feuil1!G22*Feuil1!C22</f>
        <v>90004.999999999985</v>
      </c>
      <c r="H22" s="60">
        <f>Feuil1!H22*Feuil1!C22</f>
        <v>94987</v>
      </c>
      <c r="I22" s="94">
        <f>Feuil1!I22*Feuil1!C22</f>
        <v>29985.999999999996</v>
      </c>
      <c r="J22" s="99">
        <f>Feuil1!J22*Feuil1!C22</f>
        <v>86997</v>
      </c>
      <c r="K22" s="106">
        <f>Feuil1!K22</f>
        <v>470000</v>
      </c>
      <c r="L22" s="100" t="str">
        <f t="shared" si="0"/>
        <v>Juste</v>
      </c>
    </row>
    <row r="23" spans="2:12" ht="18" customHeight="1">
      <c r="B23" s="20" t="s">
        <v>9</v>
      </c>
      <c r="C23" s="64">
        <f>Feuil1!C23</f>
        <v>28600</v>
      </c>
      <c r="D23" s="86"/>
      <c r="E23" s="91">
        <f>Feuil1!E23*Feuil1!C23</f>
        <v>2860</v>
      </c>
      <c r="F23" s="60">
        <f>Feuil1!F23*Feuil1!C23</f>
        <v>3813.3333333333335</v>
      </c>
      <c r="G23" s="60">
        <f>Feuil1!G23*Feuil1!C23</f>
        <v>3813.3333333333335</v>
      </c>
      <c r="H23" s="60">
        <f>Feuil1!H23*Feuil1!C23</f>
        <v>3813.3333333333335</v>
      </c>
      <c r="I23" s="94"/>
      <c r="J23" s="99">
        <f>Feuil1!J23*Feuil1!C23</f>
        <v>14300</v>
      </c>
      <c r="K23" s="106">
        <f>Feuil1!K23</f>
        <v>28600</v>
      </c>
      <c r="L23" s="100" t="str">
        <f t="shared" si="0"/>
        <v>Juste</v>
      </c>
    </row>
    <row r="24" spans="2:12" ht="18" customHeight="1">
      <c r="B24" s="20" t="s">
        <v>10</v>
      </c>
      <c r="C24" s="64">
        <f>Feuil1!C24</f>
        <v>24000</v>
      </c>
      <c r="D24" s="86"/>
      <c r="E24" s="91"/>
      <c r="F24" s="60"/>
      <c r="G24" s="60"/>
      <c r="H24" s="60"/>
      <c r="I24" s="94"/>
      <c r="J24" s="99">
        <f>Feuil1!J24*Feuil1!C24</f>
        <v>24000</v>
      </c>
      <c r="K24" s="107">
        <f>Feuil1!K24</f>
        <v>24000</v>
      </c>
      <c r="L24" s="101" t="str">
        <f t="shared" si="0"/>
        <v>Juste</v>
      </c>
    </row>
    <row r="25" spans="2:12" ht="18" customHeight="1">
      <c r="B25" s="36" t="s">
        <v>30</v>
      </c>
      <c r="C25" s="65">
        <f>Feuil1!C25</f>
        <v>782600</v>
      </c>
      <c r="D25" s="87">
        <f>Feuil1!D25</f>
        <v>91368</v>
      </c>
      <c r="E25" s="78">
        <f>Feuil1!E25</f>
        <v>91041.44</v>
      </c>
      <c r="F25" s="108">
        <f>Feuil1!F25</f>
        <v>105309.59999999999</v>
      </c>
      <c r="G25" s="109">
        <f>Feuil1!G25</f>
        <v>137881</v>
      </c>
      <c r="H25" s="109">
        <f>Feuil1!H25</f>
        <v>123215.4</v>
      </c>
      <c r="I25" s="79">
        <f>Feuil1!I25</f>
        <v>82768.319999999992</v>
      </c>
      <c r="J25" s="87">
        <f>Feuil1!J25</f>
        <v>151016.24</v>
      </c>
      <c r="K25" s="107">
        <f>Feuil1!K25</f>
        <v>782599.99999999988</v>
      </c>
      <c r="L25" s="137" t="str">
        <f t="shared" si="0"/>
        <v>Juste</v>
      </c>
    </row>
    <row r="26" spans="2:12" ht="18" customHeight="1">
      <c r="B26" s="121" t="s">
        <v>16</v>
      </c>
      <c r="C26" s="122"/>
      <c r="D26" s="88"/>
      <c r="E26" s="82"/>
      <c r="F26" s="77"/>
      <c r="G26" s="77"/>
      <c r="H26" s="77"/>
      <c r="I26" s="77"/>
      <c r="J26" s="90"/>
    </row>
    <row r="27" spans="2:12" ht="18" customHeight="1">
      <c r="B27" s="123" t="s">
        <v>0</v>
      </c>
      <c r="C27" s="124"/>
      <c r="D27" s="89"/>
      <c r="E27" s="83"/>
      <c r="F27" s="66"/>
      <c r="G27" s="66"/>
      <c r="H27" s="66"/>
      <c r="I27" s="66"/>
      <c r="J27" s="89"/>
    </row>
    <row r="28" spans="2:12" ht="18" customHeight="1">
      <c r="B28" s="125" t="s">
        <v>1</v>
      </c>
      <c r="C28" s="126"/>
      <c r="D28" s="127"/>
      <c r="E28" s="74"/>
      <c r="F28" s="67"/>
      <c r="G28" s="67"/>
      <c r="H28" s="67"/>
      <c r="I28" s="68"/>
      <c r="J28" s="69"/>
    </row>
    <row r="29" spans="2:12" ht="18" customHeight="1">
      <c r="B29" s="115" t="s">
        <v>17</v>
      </c>
      <c r="C29" s="116"/>
      <c r="D29" s="117"/>
      <c r="E29" s="75"/>
      <c r="F29" s="62"/>
      <c r="G29" s="62"/>
      <c r="H29" s="62"/>
      <c r="I29" s="61"/>
      <c r="J29" s="70"/>
    </row>
    <row r="30" spans="2:12" ht="18" customHeight="1">
      <c r="B30" s="118" t="s">
        <v>31</v>
      </c>
      <c r="C30" s="119"/>
      <c r="D30" s="120"/>
      <c r="E30" s="76"/>
      <c r="F30" s="71"/>
      <c r="G30" s="71"/>
      <c r="H30" s="71"/>
      <c r="I30" s="72"/>
      <c r="J30" s="73"/>
    </row>
  </sheetData>
  <mergeCells count="10">
    <mergeCell ref="K5:L5"/>
    <mergeCell ref="D2:J2"/>
    <mergeCell ref="J3:J4"/>
    <mergeCell ref="B29:D29"/>
    <mergeCell ref="B30:D30"/>
    <mergeCell ref="B26:C26"/>
    <mergeCell ref="B27:C27"/>
    <mergeCell ref="B28:D28"/>
    <mergeCell ref="D3:I3"/>
    <mergeCell ref="E4:I4"/>
  </mergeCells>
  <phoneticPr fontId="0" type="noConversion"/>
  <conditionalFormatting sqref="L6:L24">
    <cfRule type="containsText" dxfId="0" priority="1" operator="containsText" text="Juste">
      <formula>NOT(ISERROR(SEARCH("Juste",L6)))</formula>
    </cfRule>
  </conditionalFormatting>
  <pageMargins left="0.46" right="0.15" top="0.59" bottom="0.19" header="0.13" footer="0.13"/>
  <pageSetup paperSize="9" orientation="landscape" horizontalDpi="300" verticalDpi="300" r:id="rId1"/>
  <headerFooter alignWithMargins="0">
    <oddHeader>&amp;C&amp;"Arial,Gras"&amp;11Entreprise Confection Pro&amp;"Arial,Normal"
Répartition des charges indirectes aux centres d'analyse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31"/>
  <sheetViews>
    <sheetView zoomScale="90" zoomScaleNormal="90" workbookViewId="0"/>
  </sheetViews>
  <sheetFormatPr baseColWidth="10" defaultColWidth="11.44140625" defaultRowHeight="13.2"/>
  <cols>
    <col min="1" max="1" width="2.6640625" style="15" customWidth="1"/>
    <col min="2" max="2" width="42.109375" style="15" customWidth="1"/>
    <col min="3" max="3" width="11.6640625" style="34" customWidth="1"/>
    <col min="4" max="4" width="10.44140625" style="15" customWidth="1"/>
    <col min="5" max="8" width="10.88671875" style="15" customWidth="1"/>
    <col min="9" max="10" width="11.88671875" style="15" customWidth="1"/>
    <col min="11" max="11" width="16.44140625" style="15" customWidth="1"/>
    <col min="12" max="16384" width="11.44140625" style="15"/>
  </cols>
  <sheetData>
    <row r="1" spans="2:12">
      <c r="B1" s="32"/>
      <c r="C1" s="33"/>
      <c r="D1" s="32"/>
      <c r="E1" s="32"/>
      <c r="F1" s="32"/>
      <c r="G1" s="32"/>
      <c r="H1" s="32"/>
      <c r="I1" s="32"/>
      <c r="J1" s="32"/>
    </row>
    <row r="2" spans="2:12" ht="24" customHeight="1">
      <c r="D2" s="112" t="s">
        <v>20</v>
      </c>
      <c r="E2" s="112"/>
      <c r="F2" s="112"/>
      <c r="G2" s="112"/>
      <c r="H2" s="112"/>
      <c r="I2" s="112"/>
      <c r="J2" s="112"/>
    </row>
    <row r="3" spans="2:12" ht="25.5" customHeight="1">
      <c r="D3" s="128" t="s">
        <v>21</v>
      </c>
      <c r="E3" s="128"/>
      <c r="F3" s="128"/>
      <c r="G3" s="128"/>
      <c r="H3" s="128"/>
      <c r="I3" s="128"/>
      <c r="J3" s="113" t="s">
        <v>22</v>
      </c>
    </row>
    <row r="4" spans="2:12" ht="27" customHeight="1">
      <c r="D4" s="1" t="s">
        <v>23</v>
      </c>
      <c r="E4" s="129" t="s">
        <v>24</v>
      </c>
      <c r="F4" s="130"/>
      <c r="G4" s="130"/>
      <c r="H4" s="130"/>
      <c r="I4" s="131"/>
      <c r="J4" s="114"/>
    </row>
    <row r="5" spans="2:12" s="13" customFormat="1" ht="25.5" customHeight="1">
      <c r="B5" s="2" t="s">
        <v>11</v>
      </c>
      <c r="C5" s="3" t="s">
        <v>12</v>
      </c>
      <c r="D5" s="2" t="s">
        <v>32</v>
      </c>
      <c r="E5" s="10" t="s">
        <v>33</v>
      </c>
      <c r="F5" s="11" t="s">
        <v>34</v>
      </c>
      <c r="G5" s="11" t="s">
        <v>35</v>
      </c>
      <c r="H5" s="11" t="s">
        <v>36</v>
      </c>
      <c r="I5" s="12" t="s">
        <v>37</v>
      </c>
      <c r="J5" s="95" t="s">
        <v>38</v>
      </c>
      <c r="K5" s="132" t="s">
        <v>39</v>
      </c>
      <c r="L5" s="133"/>
    </row>
    <row r="6" spans="2:12" ht="18" customHeight="1">
      <c r="B6" s="18" t="s">
        <v>2</v>
      </c>
      <c r="C6" s="19">
        <v>15000</v>
      </c>
      <c r="D6" s="40">
        <f>10%</f>
        <v>0.1</v>
      </c>
      <c r="E6" s="41">
        <f>10%</f>
        <v>0.1</v>
      </c>
      <c r="F6" s="42">
        <f>65%/3</f>
        <v>0.21666666666666667</v>
      </c>
      <c r="G6" s="42">
        <f t="shared" ref="G6:H6" si="0">65%/3</f>
        <v>0.21666666666666667</v>
      </c>
      <c r="H6" s="42">
        <f t="shared" si="0"/>
        <v>0.21666666666666667</v>
      </c>
      <c r="I6" s="43">
        <f>5%</f>
        <v>0.05</v>
      </c>
      <c r="J6" s="102">
        <f>10%</f>
        <v>0.1</v>
      </c>
      <c r="K6" s="105">
        <f>SUM(linePro!D6:J6)</f>
        <v>15000</v>
      </c>
      <c r="L6" s="100"/>
    </row>
    <row r="7" spans="2:12" ht="18" customHeight="1">
      <c r="B7" s="20" t="s">
        <v>25</v>
      </c>
      <c r="C7" s="21">
        <v>31200</v>
      </c>
      <c r="D7" s="38"/>
      <c r="E7" s="39"/>
      <c r="F7" s="37">
        <f>4000/31200*100%</f>
        <v>0.12820512820512819</v>
      </c>
      <c r="G7" s="37">
        <f>21200/31200*100%</f>
        <v>0.67948717948717952</v>
      </c>
      <c r="H7" s="37">
        <f>6000/31200*100%</f>
        <v>0.19230769230769232</v>
      </c>
      <c r="I7" s="44"/>
      <c r="J7" s="103"/>
      <c r="K7" s="105">
        <f>SUM(linePro!D7:J7)</f>
        <v>31200</v>
      </c>
      <c r="L7" s="100"/>
    </row>
    <row r="8" spans="2:12" ht="18" customHeight="1">
      <c r="B8" s="20" t="s">
        <v>13</v>
      </c>
      <c r="C8" s="21">
        <v>18600</v>
      </c>
      <c r="D8" s="38"/>
      <c r="E8" s="39">
        <f>65%</f>
        <v>0.65</v>
      </c>
      <c r="F8" s="37"/>
      <c r="G8" s="37"/>
      <c r="H8" s="37"/>
      <c r="I8" s="44">
        <f>35%</f>
        <v>0.35</v>
      </c>
      <c r="J8" s="103"/>
      <c r="K8" s="105">
        <f>SUM(linePro!D8:J8)</f>
        <v>18600</v>
      </c>
      <c r="L8" s="100"/>
    </row>
    <row r="9" spans="2:12" ht="18" customHeight="1">
      <c r="B9" s="20" t="s">
        <v>26</v>
      </c>
      <c r="C9" s="21">
        <v>4400</v>
      </c>
      <c r="D9" s="38"/>
      <c r="E9" s="39"/>
      <c r="F9" s="37"/>
      <c r="G9" s="37"/>
      <c r="H9" s="37"/>
      <c r="I9" s="44">
        <f>100%</f>
        <v>1</v>
      </c>
      <c r="J9" s="103"/>
      <c r="K9" s="105">
        <f>SUM(linePro!D9:J9)</f>
        <v>4400</v>
      </c>
      <c r="L9" s="100"/>
    </row>
    <row r="10" spans="2:12" ht="18" customHeight="1">
      <c r="B10" s="20" t="s">
        <v>19</v>
      </c>
      <c r="C10" s="21">
        <v>4000</v>
      </c>
      <c r="D10" s="38"/>
      <c r="E10" s="39">
        <f>5%</f>
        <v>0.05</v>
      </c>
      <c r="F10" s="37"/>
      <c r="G10" s="37"/>
      <c r="H10" s="37"/>
      <c r="I10" s="44">
        <f>15%</f>
        <v>0.15</v>
      </c>
      <c r="J10" s="103">
        <f>80%</f>
        <v>0.8</v>
      </c>
      <c r="K10" s="105">
        <f>SUM(linePro!D10:J10)</f>
        <v>4000</v>
      </c>
      <c r="L10" s="100"/>
    </row>
    <row r="11" spans="2:12" ht="18" customHeight="1">
      <c r="B11" s="20" t="s">
        <v>18</v>
      </c>
      <c r="C11" s="21">
        <v>13100</v>
      </c>
      <c r="D11" s="38">
        <f>1250/13100*100%</f>
        <v>9.5419847328244281E-2</v>
      </c>
      <c r="E11" s="39">
        <f>900/13100*100%</f>
        <v>6.8702290076335881E-2</v>
      </c>
      <c r="F11" s="37">
        <f>2400/13100*100%</f>
        <v>0.18320610687022901</v>
      </c>
      <c r="G11" s="37">
        <f>3350/13100*100%</f>
        <v>0.25572519083969464</v>
      </c>
      <c r="H11" s="37">
        <f>2800/13100*100%</f>
        <v>0.21374045801526717</v>
      </c>
      <c r="I11" s="44">
        <f>900/13100*100%</f>
        <v>6.8702290076335881E-2</v>
      </c>
      <c r="J11" s="103">
        <f>1500/13100*100%</f>
        <v>0.11450381679389313</v>
      </c>
      <c r="K11" s="105">
        <f>SUM(linePro!D11:J11)</f>
        <v>13100</v>
      </c>
      <c r="L11" s="100"/>
    </row>
    <row r="12" spans="2:12" ht="18" customHeight="1">
      <c r="B12" s="20" t="s">
        <v>3</v>
      </c>
      <c r="C12" s="21">
        <v>2900</v>
      </c>
      <c r="D12" s="53"/>
      <c r="E12" s="54"/>
      <c r="F12" s="55"/>
      <c r="G12" s="55"/>
      <c r="H12" s="55"/>
      <c r="I12" s="56"/>
      <c r="J12" s="104">
        <f>100%</f>
        <v>1</v>
      </c>
      <c r="K12" s="105">
        <f>SUM(linePro!D12:J12)</f>
        <v>2900</v>
      </c>
      <c r="L12" s="100"/>
    </row>
    <row r="13" spans="2:12" ht="18" customHeight="1">
      <c r="B13" s="20" t="s">
        <v>4</v>
      </c>
      <c r="C13" s="21">
        <v>44400</v>
      </c>
      <c r="D13" s="53">
        <f>100%</f>
        <v>1</v>
      </c>
      <c r="E13" s="54"/>
      <c r="F13" s="55"/>
      <c r="G13" s="55"/>
      <c r="H13" s="55"/>
      <c r="I13" s="56"/>
      <c r="J13" s="104"/>
      <c r="K13" s="105">
        <f>SUM(linePro!D13:J13)</f>
        <v>44400</v>
      </c>
      <c r="L13" s="100"/>
    </row>
    <row r="14" spans="2:12" ht="18" customHeight="1">
      <c r="B14" s="20" t="s">
        <v>27</v>
      </c>
      <c r="C14" s="21">
        <v>5600</v>
      </c>
      <c r="D14" s="53"/>
      <c r="E14" s="54">
        <f>65%</f>
        <v>0.65</v>
      </c>
      <c r="F14" s="55"/>
      <c r="G14" s="55"/>
      <c r="H14" s="55"/>
      <c r="I14" s="56">
        <f>35%</f>
        <v>0.35</v>
      </c>
      <c r="J14" s="104"/>
      <c r="K14" s="105">
        <f>SUM(linePro!D14:J14)</f>
        <v>5600</v>
      </c>
      <c r="L14" s="100"/>
    </row>
    <row r="15" spans="2:12" ht="18" customHeight="1">
      <c r="B15" s="20" t="s">
        <v>28</v>
      </c>
      <c r="C15" s="21">
        <v>8000</v>
      </c>
      <c r="D15" s="53"/>
      <c r="E15" s="54"/>
      <c r="F15" s="55">
        <f>12.82%</f>
        <v>0.12820000000000001</v>
      </c>
      <c r="G15" s="55">
        <f>67.95%</f>
        <v>0.67949999999999999</v>
      </c>
      <c r="H15" s="55">
        <f>19.23%</f>
        <v>0.1923</v>
      </c>
      <c r="I15" s="56"/>
      <c r="J15" s="104"/>
      <c r="K15" s="105">
        <f>SUM(linePro!D15:J15)</f>
        <v>8000</v>
      </c>
      <c r="L15" s="100"/>
    </row>
    <row r="16" spans="2:12" ht="18" customHeight="1">
      <c r="B16" s="20" t="s">
        <v>14</v>
      </c>
      <c r="C16" s="21">
        <v>4000</v>
      </c>
      <c r="D16" s="53">
        <f>10%</f>
        <v>0.1</v>
      </c>
      <c r="E16" s="54">
        <f>10%</f>
        <v>0.1</v>
      </c>
      <c r="F16" s="55">
        <f>65%/3</f>
        <v>0.21666666666666667</v>
      </c>
      <c r="G16" s="55">
        <f t="shared" ref="G16:H16" si="1">65%/3</f>
        <v>0.21666666666666667</v>
      </c>
      <c r="H16" s="55">
        <f t="shared" si="1"/>
        <v>0.21666666666666667</v>
      </c>
      <c r="I16" s="56">
        <f>5%</f>
        <v>0.05</v>
      </c>
      <c r="J16" s="104">
        <f>10%</f>
        <v>0.1</v>
      </c>
      <c r="K16" s="105">
        <f>SUM(linePro!D16:J16)</f>
        <v>4000</v>
      </c>
      <c r="L16" s="100"/>
    </row>
    <row r="17" spans="2:12" ht="18" customHeight="1">
      <c r="B17" s="20" t="s">
        <v>29</v>
      </c>
      <c r="C17" s="21">
        <v>1200</v>
      </c>
      <c r="D17" s="53"/>
      <c r="E17" s="54"/>
      <c r="F17" s="55"/>
      <c r="G17" s="55"/>
      <c r="H17" s="55"/>
      <c r="I17" s="56">
        <f>100%</f>
        <v>1</v>
      </c>
      <c r="J17" s="104"/>
      <c r="K17" s="105">
        <f>SUM(linePro!D17:J17)</f>
        <v>1200</v>
      </c>
      <c r="L17" s="100"/>
    </row>
    <row r="18" spans="2:12" ht="18" customHeight="1">
      <c r="B18" s="20" t="s">
        <v>5</v>
      </c>
      <c r="C18" s="21">
        <v>3200</v>
      </c>
      <c r="D18" s="53"/>
      <c r="E18" s="54"/>
      <c r="F18" s="55"/>
      <c r="G18" s="55"/>
      <c r="H18" s="55"/>
      <c r="I18" s="56"/>
      <c r="J18" s="104">
        <f>100%</f>
        <v>1</v>
      </c>
      <c r="K18" s="105">
        <f>SUM(linePro!D18:J18)</f>
        <v>3200</v>
      </c>
      <c r="L18" s="100"/>
    </row>
    <row r="19" spans="2:12" ht="18" customHeight="1">
      <c r="B19" s="20" t="s">
        <v>6</v>
      </c>
      <c r="C19" s="21">
        <v>60200</v>
      </c>
      <c r="D19" s="53"/>
      <c r="E19" s="54">
        <f>33.22%</f>
        <v>0.3322</v>
      </c>
      <c r="F19" s="55"/>
      <c r="G19" s="55"/>
      <c r="H19" s="55"/>
      <c r="I19" s="56">
        <f>53.16%</f>
        <v>0.53159999999999996</v>
      </c>
      <c r="J19" s="104">
        <f>13.62%</f>
        <v>0.13619999999999999</v>
      </c>
      <c r="K19" s="105">
        <f>SUM(linePro!D19:J19)</f>
        <v>60199.999999999993</v>
      </c>
      <c r="L19" s="100"/>
    </row>
    <row r="20" spans="2:12" ht="18" customHeight="1">
      <c r="B20" s="20" t="s">
        <v>7</v>
      </c>
      <c r="C20" s="21">
        <v>8200</v>
      </c>
      <c r="D20" s="53"/>
      <c r="E20" s="54">
        <f>20%</f>
        <v>0.2</v>
      </c>
      <c r="F20" s="55"/>
      <c r="G20" s="55"/>
      <c r="H20" s="55"/>
      <c r="I20" s="56">
        <f>30%</f>
        <v>0.3</v>
      </c>
      <c r="J20" s="104">
        <f>50%</f>
        <v>0.5</v>
      </c>
      <c r="K20" s="105">
        <f>SUM(linePro!D20:J20)</f>
        <v>8200</v>
      </c>
      <c r="L20" s="100"/>
    </row>
    <row r="21" spans="2:12" ht="18" customHeight="1">
      <c r="B21" s="20" t="s">
        <v>8</v>
      </c>
      <c r="C21" s="21">
        <v>36000</v>
      </c>
      <c r="D21" s="53">
        <f>5%</f>
        <v>0.05</v>
      </c>
      <c r="E21" s="54">
        <f>5%</f>
        <v>0.05</v>
      </c>
      <c r="F21" s="55">
        <f>83%/3</f>
        <v>0.27666666666666667</v>
      </c>
      <c r="G21" s="55">
        <f t="shared" ref="G21:H21" si="2">83%/3</f>
        <v>0.27666666666666667</v>
      </c>
      <c r="H21" s="55">
        <f t="shared" si="2"/>
        <v>0.27666666666666667</v>
      </c>
      <c r="I21" s="56">
        <f>5%</f>
        <v>0.05</v>
      </c>
      <c r="J21" s="104">
        <f>2%</f>
        <v>0.02</v>
      </c>
      <c r="K21" s="105">
        <f>SUM(linePro!D21:J21)</f>
        <v>36000</v>
      </c>
      <c r="L21" s="100"/>
    </row>
    <row r="22" spans="2:12" ht="18" customHeight="1">
      <c r="B22" s="20" t="s">
        <v>15</v>
      </c>
      <c r="C22" s="21">
        <v>470000</v>
      </c>
      <c r="D22" s="53">
        <f>8.94%</f>
        <v>8.9399999999999993E-2</v>
      </c>
      <c r="E22" s="54">
        <f>9.79%</f>
        <v>9.7899999999999987E-2</v>
      </c>
      <c r="F22" s="55">
        <f>17.02%</f>
        <v>0.17019999999999999</v>
      </c>
      <c r="G22" s="55">
        <f>19.15%</f>
        <v>0.19149999999999998</v>
      </c>
      <c r="H22" s="55">
        <f>20.21%</f>
        <v>0.2021</v>
      </c>
      <c r="I22" s="56">
        <f>6.38%</f>
        <v>6.3799999999999996E-2</v>
      </c>
      <c r="J22" s="104">
        <f>18.51%</f>
        <v>0.18510000000000001</v>
      </c>
      <c r="K22" s="105">
        <f>SUM(linePro!D22:J22)</f>
        <v>470000</v>
      </c>
      <c r="L22" s="100"/>
    </row>
    <row r="23" spans="2:12" ht="18" customHeight="1">
      <c r="B23" s="20" t="s">
        <v>9</v>
      </c>
      <c r="C23" s="21">
        <v>28600</v>
      </c>
      <c r="D23" s="53"/>
      <c r="E23" s="54">
        <f>10%</f>
        <v>0.1</v>
      </c>
      <c r="F23" s="55">
        <f>40%/3</f>
        <v>0.13333333333333333</v>
      </c>
      <c r="G23" s="55">
        <f t="shared" ref="G23:H23" si="3">40%/3</f>
        <v>0.13333333333333333</v>
      </c>
      <c r="H23" s="55">
        <f t="shared" si="3"/>
        <v>0.13333333333333333</v>
      </c>
      <c r="I23" s="56"/>
      <c r="J23" s="104">
        <f>50%</f>
        <v>0.5</v>
      </c>
      <c r="K23" s="105">
        <f>SUM(linePro!D23:J23)</f>
        <v>28600</v>
      </c>
      <c r="L23" s="100"/>
    </row>
    <row r="24" spans="2:12" ht="18" customHeight="1">
      <c r="B24" s="20" t="s">
        <v>10</v>
      </c>
      <c r="C24" s="21">
        <v>24000</v>
      </c>
      <c r="D24" s="53"/>
      <c r="E24" s="54"/>
      <c r="F24" s="55"/>
      <c r="G24" s="55"/>
      <c r="H24" s="55"/>
      <c r="I24" s="56"/>
      <c r="J24" s="104">
        <f>100%</f>
        <v>1</v>
      </c>
      <c r="K24" s="105">
        <f>SUM(linePro!D24:J24)</f>
        <v>24000</v>
      </c>
      <c r="L24" s="101"/>
    </row>
    <row r="25" spans="2:12" ht="18" customHeight="1">
      <c r="B25" s="36" t="s">
        <v>30</v>
      </c>
      <c r="C25" s="14">
        <v>782600</v>
      </c>
      <c r="D25" s="57">
        <f>SUM(linePro!D6:D24)</f>
        <v>91368</v>
      </c>
      <c r="E25" s="57">
        <f>SUM(linePro!E6:E24)</f>
        <v>91041.44</v>
      </c>
      <c r="F25" s="57">
        <f>SUM(linePro!F6:F24)</f>
        <v>105309.59999999999</v>
      </c>
      <c r="G25" s="57">
        <f>SUM(linePro!G6:G24)</f>
        <v>137881</v>
      </c>
      <c r="H25" s="57">
        <f>SUM(linePro!H6:H24)</f>
        <v>123215.4</v>
      </c>
      <c r="I25" s="57">
        <f>SUM(linePro!I6:I24)</f>
        <v>82768.319999999992</v>
      </c>
      <c r="J25" s="57">
        <f>SUM(linePro!J6:J24)</f>
        <v>151016.24</v>
      </c>
      <c r="K25" s="105">
        <f>SUM(linePro!D25:J25)</f>
        <v>782599.99999999988</v>
      </c>
      <c r="L25" s="101"/>
    </row>
    <row r="26" spans="2:12" ht="18" customHeight="1">
      <c r="B26" s="121" t="s">
        <v>16</v>
      </c>
      <c r="C26" s="134"/>
      <c r="D26" s="45"/>
      <c r="E26" s="46"/>
      <c r="F26" s="47"/>
      <c r="G26" s="47"/>
      <c r="H26" s="47"/>
      <c r="I26" s="48"/>
      <c r="J26" s="45"/>
    </row>
    <row r="27" spans="2:12" ht="18" customHeight="1">
      <c r="B27" s="135" t="s">
        <v>0</v>
      </c>
      <c r="C27" s="136"/>
      <c r="D27" s="49"/>
      <c r="E27" s="50"/>
      <c r="F27" s="51"/>
      <c r="G27" s="51"/>
      <c r="H27" s="51"/>
      <c r="I27" s="52"/>
      <c r="J27" s="49"/>
    </row>
    <row r="28" spans="2:12" ht="18" customHeight="1">
      <c r="B28" s="125" t="s">
        <v>1</v>
      </c>
      <c r="C28" s="126"/>
      <c r="D28" s="127"/>
      <c r="E28" s="16"/>
      <c r="F28" s="4"/>
      <c r="G28" s="5"/>
      <c r="H28" s="6"/>
      <c r="I28" s="22"/>
      <c r="J28" s="23"/>
    </row>
    <row r="29" spans="2:12" ht="18" customHeight="1">
      <c r="B29" s="115" t="s">
        <v>17</v>
      </c>
      <c r="C29" s="116"/>
      <c r="D29" s="117"/>
      <c r="E29" s="24"/>
      <c r="F29" s="25"/>
      <c r="G29" s="26"/>
      <c r="H29" s="27"/>
      <c r="I29" s="28"/>
      <c r="J29" s="29"/>
    </row>
    <row r="30" spans="2:12" ht="18" customHeight="1">
      <c r="B30" s="118" t="s">
        <v>31</v>
      </c>
      <c r="C30" s="119"/>
      <c r="D30" s="120"/>
      <c r="E30" s="17"/>
      <c r="F30" s="7"/>
      <c r="G30" s="8"/>
      <c r="H30" s="9"/>
      <c r="I30" s="30"/>
      <c r="J30" s="31"/>
    </row>
    <row r="31" spans="2:12">
      <c r="D31" s="35"/>
      <c r="E31" s="35"/>
      <c r="F31" s="35"/>
      <c r="G31" s="35"/>
      <c r="H31" s="35"/>
      <c r="I31" s="35"/>
      <c r="J31" s="35"/>
    </row>
  </sheetData>
  <mergeCells count="10">
    <mergeCell ref="B28:D28"/>
    <mergeCell ref="B29:D29"/>
    <mergeCell ref="B30:D30"/>
    <mergeCell ref="K5:L5"/>
    <mergeCell ref="D2:J2"/>
    <mergeCell ref="D3:I3"/>
    <mergeCell ref="J3:J4"/>
    <mergeCell ref="E4:I4"/>
    <mergeCell ref="B26:C26"/>
    <mergeCell ref="B27:C27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46A93280810A640AA0B724ECDD00026" ma:contentTypeVersion="0" ma:contentTypeDescription="Crée un document." ma:contentTypeScope="" ma:versionID="2d06c80066d8c2d5cfd7d6fb92be595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3F633A7-1F47-475D-BA62-758C80AE284A}">
  <ds:schemaRefs>
    <ds:schemaRef ds:uri="http://schemas.microsoft.com/office/2006/documentManagement/types"/>
    <ds:schemaRef ds:uri="http://purl.org/dc/dcmitype/"/>
    <ds:schemaRef ds:uri="http://www.w3.org/XML/1998/namespace"/>
    <ds:schemaRef ds:uri="http://purl.org/dc/elements/1.1/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FADA20E6-3E7B-4292-BF73-45009280F07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1FF8B91-B225-4968-99BD-9A8E2AA950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linePro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anonyme</cp:lastModifiedBy>
  <cp:lastPrinted>2015-04-22T14:00:45Z</cp:lastPrinted>
  <dcterms:created xsi:type="dcterms:W3CDTF">2009-09-10T08:45:03Z</dcterms:created>
  <dcterms:modified xsi:type="dcterms:W3CDTF">2018-10-28T17:36:21Z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0x010100846A93280810A640AA0B724ECDD00026</vt:lpwstr>
  </property>
</Properties>
</file>