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ate1904="1" filterPrivacy="1" defaultThemeVersion="124226"/>
  <bookViews>
    <workbookView xWindow="0" yWindow="0" windowWidth="20736" windowHeight="11760" tabRatio="821" activeTab="1"/>
  </bookViews>
  <sheets>
    <sheet name="Année" sheetId="2" r:id="rId1"/>
    <sheet name="Janvier 2018" sheetId="1" r:id="rId2"/>
    <sheet name="Février" sheetId="4" r:id="rId3"/>
    <sheet name="Mars" sheetId="5" r:id="rId4"/>
    <sheet name="Avril " sheetId="6" r:id="rId5"/>
    <sheet name="Mai" sheetId="7" r:id="rId6"/>
    <sheet name="Juin" sheetId="8" r:id="rId7"/>
    <sheet name="Juillet" sheetId="9" r:id="rId8"/>
    <sheet name="Août" sheetId="10" r:id="rId9"/>
    <sheet name="Septembre" sheetId="11" r:id="rId10"/>
    <sheet name="Octobre" sheetId="12" r:id="rId11"/>
    <sheet name="Novembre" sheetId="13" r:id="rId12"/>
    <sheet name="Décembre" sheetId="14" r:id="rId13"/>
  </sheets>
  <definedNames>
    <definedName name="A" localSheetId="0">Année!#REF!</definedName>
    <definedName name="A">Année!#REF!</definedName>
    <definedName name="An">Année!$B$1</definedName>
    <definedName name="Année">Année!$B$1</definedName>
    <definedName name="Fériés">Année!$E$12:$F$24</definedName>
    <definedName name="Horaires">Année!$C$1:$D$8</definedName>
    <definedName name="Jours_fériés">Année!$C$12:$E$24</definedName>
    <definedName name="Joursem">Année!#REF!</definedName>
    <definedName name="Paques">Année!$C$14:$D$14</definedName>
    <definedName name="semaine">Année!#REF!</definedName>
  </definedNames>
  <calcPr calcId="125725" calcOnSave="0"/>
</workbook>
</file>

<file path=xl/calcChain.xml><?xml version="1.0" encoding="utf-8"?>
<calcChain xmlns="http://schemas.openxmlformats.org/spreadsheetml/2006/main">
  <c r="C16" i="1"/>
  <c r="C31"/>
  <c r="C36"/>
  <c r="C37"/>
  <c r="N5" l="1"/>
  <c r="M6" i="14" l="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6" i="13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6" i="12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6" i="1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6" i="10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6" i="9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6" i="8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6" i="7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6" i="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5" i="8"/>
  <c r="M5" i="14"/>
  <c r="M5" i="13"/>
  <c r="M5" i="12"/>
  <c r="M5" i="11"/>
  <c r="M5" i="10"/>
  <c r="M5" i="9"/>
  <c r="M5" i="7"/>
  <c r="M5" i="6"/>
  <c r="M6" i="5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5"/>
  <c r="M6" i="4"/>
  <c r="M7"/>
  <c r="M8"/>
  <c r="M9"/>
  <c r="M10"/>
  <c r="M12"/>
  <c r="M13"/>
  <c r="M17"/>
  <c r="M18"/>
  <c r="M19"/>
  <c r="M20"/>
  <c r="M21"/>
  <c r="M22"/>
  <c r="M23"/>
  <c r="M24"/>
  <c r="M25"/>
  <c r="M26"/>
  <c r="M27"/>
  <c r="M28"/>
  <c r="M29"/>
  <c r="M30"/>
  <c r="M31"/>
  <c r="M32"/>
  <c r="M5"/>
  <c r="N32" i="1"/>
  <c r="N33"/>
  <c r="N34"/>
  <c r="N3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F17" i="4" l="1"/>
  <c r="F18"/>
  <c r="F19"/>
  <c r="F20"/>
  <c r="G19" i="1"/>
  <c r="C19" s="1"/>
  <c r="G20"/>
  <c r="C20" s="1"/>
  <c r="G21"/>
  <c r="C21" s="1"/>
  <c r="G22"/>
  <c r="C22" s="1"/>
  <c r="G23"/>
  <c r="C23" s="1"/>
  <c r="M33" i="4" l="1"/>
  <c r="M34"/>
  <c r="M35"/>
  <c r="L35" i="8" l="1"/>
  <c r="M35"/>
  <c r="N35"/>
  <c r="L35" i="11"/>
  <c r="M35"/>
  <c r="N35"/>
  <c r="L36" i="5"/>
  <c r="N36"/>
  <c r="L33" i="4"/>
  <c r="N33"/>
  <c r="L34"/>
  <c r="N34"/>
  <c r="L35"/>
  <c r="N35"/>
  <c r="B6" i="5" l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5"/>
  <c r="A1"/>
  <c r="B6" i="4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5"/>
  <c r="A1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5"/>
  <c r="A1"/>
  <c r="A1" i="6" l="1"/>
  <c r="B6" i="14" l="1"/>
  <c r="B7"/>
  <c r="A7" s="1"/>
  <c r="B8"/>
  <c r="B9"/>
  <c r="A9" s="1"/>
  <c r="B10"/>
  <c r="B11"/>
  <c r="B12"/>
  <c r="B13"/>
  <c r="A13" s="1"/>
  <c r="L13" s="1"/>
  <c r="B14"/>
  <c r="B15"/>
  <c r="A15" s="1"/>
  <c r="B16"/>
  <c r="B17"/>
  <c r="A17" s="1"/>
  <c r="B18"/>
  <c r="B19"/>
  <c r="A19" s="1"/>
  <c r="L19" s="1"/>
  <c r="B20"/>
  <c r="B21"/>
  <c r="A21" s="1"/>
  <c r="B22"/>
  <c r="B23"/>
  <c r="A23" s="1"/>
  <c r="B24"/>
  <c r="B25"/>
  <c r="A25" s="1"/>
  <c r="B26"/>
  <c r="B27"/>
  <c r="A27" s="1"/>
  <c r="L27" s="1"/>
  <c r="B28"/>
  <c r="B29"/>
  <c r="A29" s="1"/>
  <c r="B30"/>
  <c r="B31"/>
  <c r="A31" s="1"/>
  <c r="B32"/>
  <c r="B33"/>
  <c r="A33" s="1"/>
  <c r="L33" s="1"/>
  <c r="B34"/>
  <c r="B35"/>
  <c r="A35" s="1"/>
  <c r="B5"/>
  <c r="A5" s="1"/>
  <c r="L5" s="1"/>
  <c r="A1"/>
  <c r="B6" i="13"/>
  <c r="B7"/>
  <c r="A7" s="1"/>
  <c r="L7" s="1"/>
  <c r="B8"/>
  <c r="B9"/>
  <c r="A9" s="1"/>
  <c r="B10"/>
  <c r="B11"/>
  <c r="A11" s="1"/>
  <c r="B12"/>
  <c r="B13"/>
  <c r="A13" s="1"/>
  <c r="B14"/>
  <c r="B15"/>
  <c r="A15" s="1"/>
  <c r="L15" s="1"/>
  <c r="B16"/>
  <c r="B17"/>
  <c r="A17" s="1"/>
  <c r="B18"/>
  <c r="B19"/>
  <c r="A19" s="1"/>
  <c r="B20"/>
  <c r="B21"/>
  <c r="A21" s="1"/>
  <c r="L21" s="1"/>
  <c r="B22"/>
  <c r="B23"/>
  <c r="A23" s="1"/>
  <c r="B24"/>
  <c r="B25"/>
  <c r="A25" s="1"/>
  <c r="B26"/>
  <c r="B27"/>
  <c r="A27" s="1"/>
  <c r="B28"/>
  <c r="B29"/>
  <c r="A29" s="1"/>
  <c r="L29" s="1"/>
  <c r="B30"/>
  <c r="B31"/>
  <c r="A31" s="1"/>
  <c r="B32"/>
  <c r="B33"/>
  <c r="A33" s="1"/>
  <c r="B34"/>
  <c r="B5"/>
  <c r="A1"/>
  <c r="B6" i="12"/>
  <c r="B7"/>
  <c r="B8"/>
  <c r="B9"/>
  <c r="A9" s="1"/>
  <c r="B10"/>
  <c r="B11"/>
  <c r="A11" s="1"/>
  <c r="L11" s="1"/>
  <c r="B12"/>
  <c r="B13"/>
  <c r="A13" s="1"/>
  <c r="B14"/>
  <c r="B15"/>
  <c r="B16"/>
  <c r="B17"/>
  <c r="A17" s="1"/>
  <c r="L17" s="1"/>
  <c r="B18"/>
  <c r="B19"/>
  <c r="A19" s="1"/>
  <c r="B20"/>
  <c r="B21"/>
  <c r="A21" s="1"/>
  <c r="B22"/>
  <c r="B23"/>
  <c r="A23" s="1"/>
  <c r="B24"/>
  <c r="B25"/>
  <c r="A25" s="1"/>
  <c r="L25" s="1"/>
  <c r="B26"/>
  <c r="B27"/>
  <c r="A27" s="1"/>
  <c r="B28"/>
  <c r="B29"/>
  <c r="A29" s="1"/>
  <c r="B30"/>
  <c r="B31"/>
  <c r="A31" s="1"/>
  <c r="L31" s="1"/>
  <c r="B32"/>
  <c r="B33"/>
  <c r="A33" s="1"/>
  <c r="B34"/>
  <c r="B35"/>
  <c r="A35" s="1"/>
  <c r="B5"/>
  <c r="A5" s="1"/>
  <c r="A1"/>
  <c r="B6" i="11"/>
  <c r="B7"/>
  <c r="B8"/>
  <c r="B9"/>
  <c r="A9" s="1"/>
  <c r="B10"/>
  <c r="B11"/>
  <c r="A11" s="1"/>
  <c r="B12"/>
  <c r="B13"/>
  <c r="A13" s="1"/>
  <c r="L13" s="1"/>
  <c r="B14"/>
  <c r="B15"/>
  <c r="B16"/>
  <c r="B17"/>
  <c r="A17" s="1"/>
  <c r="B18"/>
  <c r="B19"/>
  <c r="A19" s="1"/>
  <c r="L19" s="1"/>
  <c r="B20"/>
  <c r="B21"/>
  <c r="A21" s="1"/>
  <c r="B22"/>
  <c r="B23"/>
  <c r="A23" s="1"/>
  <c r="B24"/>
  <c r="B25"/>
  <c r="A25" s="1"/>
  <c r="B26"/>
  <c r="B27"/>
  <c r="A27" s="1"/>
  <c r="L27" s="1"/>
  <c r="B28"/>
  <c r="B29"/>
  <c r="A29" s="1"/>
  <c r="B30"/>
  <c r="B31"/>
  <c r="A31" s="1"/>
  <c r="B32"/>
  <c r="B33"/>
  <c r="A33" s="1"/>
  <c r="L33" s="1"/>
  <c r="B34"/>
  <c r="B5"/>
  <c r="A5" s="1"/>
  <c r="L5" s="1"/>
  <c r="A1"/>
  <c r="B6" i="10"/>
  <c r="B7"/>
  <c r="A7" s="1"/>
  <c r="B8"/>
  <c r="B9"/>
  <c r="A9" s="1"/>
  <c r="L9" s="1"/>
  <c r="B10"/>
  <c r="B11"/>
  <c r="A11" s="1"/>
  <c r="B12"/>
  <c r="B13"/>
  <c r="A13" s="1"/>
  <c r="B14"/>
  <c r="B15"/>
  <c r="A15" s="1"/>
  <c r="L15" s="1"/>
  <c r="B16"/>
  <c r="B17"/>
  <c r="A17" s="1"/>
  <c r="B18"/>
  <c r="B19"/>
  <c r="A19" s="1"/>
  <c r="B20"/>
  <c r="B21"/>
  <c r="A21" s="1"/>
  <c r="B22"/>
  <c r="B23"/>
  <c r="A23" s="1"/>
  <c r="L23" s="1"/>
  <c r="B24"/>
  <c r="B25"/>
  <c r="A25" s="1"/>
  <c r="B26"/>
  <c r="B27"/>
  <c r="A27" s="1"/>
  <c r="B28"/>
  <c r="B29"/>
  <c r="A29" s="1"/>
  <c r="L29" s="1"/>
  <c r="B30"/>
  <c r="B31"/>
  <c r="A31" s="1"/>
  <c r="B32"/>
  <c r="B33"/>
  <c r="A33" s="1"/>
  <c r="B34"/>
  <c r="B35"/>
  <c r="A35" s="1"/>
  <c r="B5"/>
  <c r="A1"/>
  <c r="B6" i="9"/>
  <c r="A6" s="1"/>
  <c r="B7"/>
  <c r="A7" s="1"/>
  <c r="B8"/>
  <c r="B9"/>
  <c r="A9" s="1"/>
  <c r="B10"/>
  <c r="A10" s="1"/>
  <c r="B11"/>
  <c r="A11" s="1"/>
  <c r="L11" s="1"/>
  <c r="B12"/>
  <c r="B13"/>
  <c r="A13" s="1"/>
  <c r="B14"/>
  <c r="B15"/>
  <c r="A15" s="1"/>
  <c r="B16"/>
  <c r="B17"/>
  <c r="A17" s="1"/>
  <c r="B18"/>
  <c r="B19"/>
  <c r="A19" s="1"/>
  <c r="L19" s="1"/>
  <c r="B20"/>
  <c r="B21"/>
  <c r="A21" s="1"/>
  <c r="B22"/>
  <c r="B23"/>
  <c r="A23" s="1"/>
  <c r="B24"/>
  <c r="B25"/>
  <c r="A25" s="1"/>
  <c r="L25" s="1"/>
  <c r="B26"/>
  <c r="B27"/>
  <c r="A27" s="1"/>
  <c r="B28"/>
  <c r="B29"/>
  <c r="A29" s="1"/>
  <c r="B30"/>
  <c r="B31"/>
  <c r="A31" s="1"/>
  <c r="B32"/>
  <c r="B33"/>
  <c r="A33" s="1"/>
  <c r="L33" s="1"/>
  <c r="B34"/>
  <c r="B35"/>
  <c r="A35" s="1"/>
  <c r="B5"/>
  <c r="A5" s="1"/>
  <c r="L5" s="1"/>
  <c r="A1"/>
  <c r="B6" i="8"/>
  <c r="B7"/>
  <c r="A7" s="1"/>
  <c r="L7" s="1"/>
  <c r="B8"/>
  <c r="B9"/>
  <c r="A9" s="1"/>
  <c r="B10"/>
  <c r="B11"/>
  <c r="A11" s="1"/>
  <c r="B12"/>
  <c r="B13"/>
  <c r="A13" s="1"/>
  <c r="L13" s="1"/>
  <c r="B14"/>
  <c r="B15"/>
  <c r="A15" s="1"/>
  <c r="B16"/>
  <c r="A16" s="1"/>
  <c r="B17"/>
  <c r="A17" s="1"/>
  <c r="B18"/>
  <c r="B19"/>
  <c r="A19" s="1"/>
  <c r="B20"/>
  <c r="B21"/>
  <c r="A21" s="1"/>
  <c r="L21" s="1"/>
  <c r="B22"/>
  <c r="B23"/>
  <c r="A23" s="1"/>
  <c r="B24"/>
  <c r="B25"/>
  <c r="A25" s="1"/>
  <c r="B26"/>
  <c r="B27"/>
  <c r="A27" s="1"/>
  <c r="L27" s="1"/>
  <c r="B28"/>
  <c r="B29"/>
  <c r="A29" s="1"/>
  <c r="B30"/>
  <c r="B31"/>
  <c r="A31" s="1"/>
  <c r="B32"/>
  <c r="B33"/>
  <c r="A33" s="1"/>
  <c r="B34"/>
  <c r="B5"/>
  <c r="A5" s="1"/>
  <c r="A1"/>
  <c r="B6" i="7"/>
  <c r="B7"/>
  <c r="A7" s="1"/>
  <c r="B8"/>
  <c r="B9"/>
  <c r="B10"/>
  <c r="B11"/>
  <c r="A11" s="1"/>
  <c r="B12"/>
  <c r="B13"/>
  <c r="A13" s="1"/>
  <c r="B14"/>
  <c r="B15"/>
  <c r="A15" s="1"/>
  <c r="B16"/>
  <c r="B17"/>
  <c r="A17" s="1"/>
  <c r="L17" s="1"/>
  <c r="B18"/>
  <c r="B19"/>
  <c r="A19" s="1"/>
  <c r="B20"/>
  <c r="B21"/>
  <c r="A21" s="1"/>
  <c r="B22"/>
  <c r="B23"/>
  <c r="A23" s="1"/>
  <c r="L23" s="1"/>
  <c r="B24"/>
  <c r="B25"/>
  <c r="A25" s="1"/>
  <c r="B26"/>
  <c r="B27"/>
  <c r="A27" s="1"/>
  <c r="B28"/>
  <c r="B29"/>
  <c r="A29" s="1"/>
  <c r="B30"/>
  <c r="B31"/>
  <c r="A31" s="1"/>
  <c r="L31" s="1"/>
  <c r="B32"/>
  <c r="B33"/>
  <c r="A33" s="1"/>
  <c r="B34"/>
  <c r="B35"/>
  <c r="A35" s="1"/>
  <c r="B5"/>
  <c r="A1"/>
  <c r="E13" i="2"/>
  <c r="B6" i="6"/>
  <c r="B7"/>
  <c r="A7" s="1"/>
  <c r="B8"/>
  <c r="A8" s="1"/>
  <c r="B9"/>
  <c r="B10"/>
  <c r="B11"/>
  <c r="A11" s="1"/>
  <c r="L11" s="1"/>
  <c r="B12"/>
  <c r="B13"/>
  <c r="B14"/>
  <c r="A14" s="1"/>
  <c r="B15"/>
  <c r="A15" s="1"/>
  <c r="B16"/>
  <c r="A16" s="1"/>
  <c r="B17"/>
  <c r="A17" s="1"/>
  <c r="B18"/>
  <c r="B19"/>
  <c r="A19" s="1"/>
  <c r="L19" s="1"/>
  <c r="B20"/>
  <c r="B21"/>
  <c r="A21" s="1"/>
  <c r="B22"/>
  <c r="A22" s="1"/>
  <c r="B23"/>
  <c r="A23" s="1"/>
  <c r="B24"/>
  <c r="B25"/>
  <c r="A25" s="1"/>
  <c r="L25" s="1"/>
  <c r="B26"/>
  <c r="B27"/>
  <c r="A27" s="1"/>
  <c r="B28"/>
  <c r="B29"/>
  <c r="A29" s="1"/>
  <c r="B30"/>
  <c r="B31"/>
  <c r="A31" s="1"/>
  <c r="B32"/>
  <c r="B33"/>
  <c r="A33" s="1"/>
  <c r="L33" s="1"/>
  <c r="B34"/>
  <c r="L35"/>
  <c r="B5"/>
  <c r="A20" i="5"/>
  <c r="A24" i="4"/>
  <c r="K38" i="14"/>
  <c r="I38"/>
  <c r="H38"/>
  <c r="G38"/>
  <c r="E38"/>
  <c r="D38"/>
  <c r="A11"/>
  <c r="K38" i="13"/>
  <c r="I38"/>
  <c r="H38"/>
  <c r="G38"/>
  <c r="E38"/>
  <c r="D38"/>
  <c r="K38" i="12"/>
  <c r="I38"/>
  <c r="H38"/>
  <c r="G38"/>
  <c r="E38"/>
  <c r="D38"/>
  <c r="A15"/>
  <c r="A7"/>
  <c r="K38" i="11"/>
  <c r="I38"/>
  <c r="H38"/>
  <c r="G38"/>
  <c r="E38"/>
  <c r="D38"/>
  <c r="A15"/>
  <c r="A7"/>
  <c r="K38" i="10"/>
  <c r="I38"/>
  <c r="H38"/>
  <c r="G38"/>
  <c r="E38"/>
  <c r="D38"/>
  <c r="A16"/>
  <c r="L16" s="1"/>
  <c r="K38" i="9"/>
  <c r="I38"/>
  <c r="H38"/>
  <c r="G38"/>
  <c r="E38"/>
  <c r="D38"/>
  <c r="K38" i="8"/>
  <c r="I38"/>
  <c r="H38"/>
  <c r="G38"/>
  <c r="E38"/>
  <c r="D38"/>
  <c r="A12"/>
  <c r="I38" i="7"/>
  <c r="H38"/>
  <c r="G38"/>
  <c r="E38"/>
  <c r="D38"/>
  <c r="K38" i="6"/>
  <c r="I38"/>
  <c r="H38"/>
  <c r="G38"/>
  <c r="E38"/>
  <c r="D38"/>
  <c r="N35"/>
  <c r="M35"/>
  <c r="K38" i="5"/>
  <c r="I38"/>
  <c r="H38"/>
  <c r="G38"/>
  <c r="E38"/>
  <c r="D38"/>
  <c r="A24"/>
  <c r="A22"/>
  <c r="L22" s="1"/>
  <c r="A18"/>
  <c r="K38" i="4"/>
  <c r="I38"/>
  <c r="H38"/>
  <c r="G38"/>
  <c r="E38"/>
  <c r="D38"/>
  <c r="A22"/>
  <c r="L22" s="1"/>
  <c r="A20"/>
  <c r="L20" s="1"/>
  <c r="A18"/>
  <c r="L18" s="1"/>
  <c r="A16"/>
  <c r="M16" s="1"/>
  <c r="A14"/>
  <c r="M14" s="1"/>
  <c r="A6"/>
  <c r="L14" l="1"/>
  <c r="A13" i="6"/>
  <c r="A9"/>
  <c r="A5" i="7"/>
  <c r="A9"/>
  <c r="L9" s="1"/>
  <c r="M38" i="13"/>
  <c r="M38" i="10"/>
  <c r="M38" i="7"/>
  <c r="M38" i="8"/>
  <c r="M38" i="9"/>
  <c r="A5" i="13"/>
  <c r="M38" i="14"/>
  <c r="A5" i="10"/>
  <c r="M38" i="11"/>
  <c r="M38" i="12"/>
  <c r="A5" i="6"/>
  <c r="M38" i="5"/>
  <c r="A5"/>
  <c r="A7"/>
  <c r="L7" s="1"/>
  <c r="A9"/>
  <c r="A11"/>
  <c r="A13"/>
  <c r="A15"/>
  <c r="L15" s="1"/>
  <c r="A17"/>
  <c r="A19"/>
  <c r="A21"/>
  <c r="L21" s="1"/>
  <c r="A23"/>
  <c r="A25"/>
  <c r="A27"/>
  <c r="A29"/>
  <c r="L29" s="1"/>
  <c r="A31"/>
  <c r="A33"/>
  <c r="A35"/>
  <c r="L35" s="1"/>
  <c r="A5" i="4"/>
  <c r="A7"/>
  <c r="L7" s="1"/>
  <c r="A9"/>
  <c r="A11"/>
  <c r="M11" s="1"/>
  <c r="A13"/>
  <c r="A15"/>
  <c r="M15" s="1"/>
  <c r="A17"/>
  <c r="L17" s="1"/>
  <c r="A19"/>
  <c r="L19" s="1"/>
  <c r="A21"/>
  <c r="L21" s="1"/>
  <c r="A23"/>
  <c r="A25"/>
  <c r="A27"/>
  <c r="A29"/>
  <c r="L29" s="1"/>
  <c r="A31"/>
  <c r="A6" i="14"/>
  <c r="L6" s="1"/>
  <c r="A8"/>
  <c r="A10"/>
  <c r="A12"/>
  <c r="L12" s="1"/>
  <c r="A14"/>
  <c r="A16"/>
  <c r="A18"/>
  <c r="A20"/>
  <c r="L20" s="1"/>
  <c r="A22"/>
  <c r="A24"/>
  <c r="A26"/>
  <c r="L26" s="1"/>
  <c r="A28"/>
  <c r="A30"/>
  <c r="A32"/>
  <c r="A34"/>
  <c r="L34" s="1"/>
  <c r="A6" i="13"/>
  <c r="A8"/>
  <c r="L8" s="1"/>
  <c r="A10"/>
  <c r="A12"/>
  <c r="A14"/>
  <c r="L14" s="1"/>
  <c r="A16"/>
  <c r="A18"/>
  <c r="A20"/>
  <c r="A22"/>
  <c r="L22" s="1"/>
  <c r="A24"/>
  <c r="A26"/>
  <c r="A28"/>
  <c r="L28" s="1"/>
  <c r="A30"/>
  <c r="A32"/>
  <c r="A34"/>
  <c r="A6" i="12"/>
  <c r="A8"/>
  <c r="A10"/>
  <c r="L10" s="1"/>
  <c r="A12"/>
  <c r="A14"/>
  <c r="A16"/>
  <c r="A18"/>
  <c r="L18" s="1"/>
  <c r="A20"/>
  <c r="A22"/>
  <c r="A24"/>
  <c r="L24" s="1"/>
  <c r="A26"/>
  <c r="A28"/>
  <c r="A30"/>
  <c r="A32"/>
  <c r="L32" s="1"/>
  <c r="A34"/>
  <c r="A6" i="11"/>
  <c r="L6" s="1"/>
  <c r="A8"/>
  <c r="A10"/>
  <c r="A12"/>
  <c r="L12" s="1"/>
  <c r="A14"/>
  <c r="A16"/>
  <c r="A18"/>
  <c r="A20"/>
  <c r="L20" s="1"/>
  <c r="A22"/>
  <c r="A24"/>
  <c r="A26"/>
  <c r="L26" s="1"/>
  <c r="A28"/>
  <c r="A30"/>
  <c r="A32"/>
  <c r="A34"/>
  <c r="L34" s="1"/>
  <c r="A6" i="10"/>
  <c r="A8"/>
  <c r="L8" s="1"/>
  <c r="A10"/>
  <c r="A12"/>
  <c r="A14"/>
  <c r="A18"/>
  <c r="A20"/>
  <c r="A22"/>
  <c r="L22" s="1"/>
  <c r="A24"/>
  <c r="A26"/>
  <c r="A28"/>
  <c r="A30"/>
  <c r="L30" s="1"/>
  <c r="A32"/>
  <c r="A34"/>
  <c r="A8" i="9"/>
  <c r="A12"/>
  <c r="L12" s="1"/>
  <c r="A14"/>
  <c r="A16"/>
  <c r="A18"/>
  <c r="L18" s="1"/>
  <c r="A20"/>
  <c r="A22"/>
  <c r="A24"/>
  <c r="A26"/>
  <c r="L26" s="1"/>
  <c r="A28"/>
  <c r="A30"/>
  <c r="A32"/>
  <c r="L32" s="1"/>
  <c r="A34"/>
  <c r="A6" i="8"/>
  <c r="L6" s="1"/>
  <c r="A8"/>
  <c r="A10"/>
  <c r="A14"/>
  <c r="L14" s="1"/>
  <c r="A18"/>
  <c r="A20"/>
  <c r="L20" s="1"/>
  <c r="A22"/>
  <c r="A24"/>
  <c r="A26"/>
  <c r="A28"/>
  <c r="L28" s="1"/>
  <c r="A30"/>
  <c r="A32"/>
  <c r="A34"/>
  <c r="L34" s="1"/>
  <c r="A6" i="7"/>
  <c r="A8"/>
  <c r="A10"/>
  <c r="L10" s="1"/>
  <c r="A12"/>
  <c r="A14"/>
  <c r="A16"/>
  <c r="L16" s="1"/>
  <c r="A18"/>
  <c r="A20"/>
  <c r="A22"/>
  <c r="A24"/>
  <c r="L24" s="1"/>
  <c r="A26"/>
  <c r="A28"/>
  <c r="A30"/>
  <c r="L30" s="1"/>
  <c r="A32"/>
  <c r="A34"/>
  <c r="A6" i="6"/>
  <c r="A10"/>
  <c r="A12"/>
  <c r="L12" s="1"/>
  <c r="A18"/>
  <c r="L18" s="1"/>
  <c r="A20"/>
  <c r="A24"/>
  <c r="A26"/>
  <c r="L26" s="1"/>
  <c r="A28"/>
  <c r="A30"/>
  <c r="A32"/>
  <c r="L32" s="1"/>
  <c r="A34"/>
  <c r="A6" i="5"/>
  <c r="A8"/>
  <c r="L8" s="1"/>
  <c r="A10"/>
  <c r="A12"/>
  <c r="A14"/>
  <c r="L14" s="1"/>
  <c r="A16"/>
  <c r="A26"/>
  <c r="A28"/>
  <c r="L28" s="1"/>
  <c r="A30"/>
  <c r="A32"/>
  <c r="A34"/>
  <c r="A8" i="4"/>
  <c r="L8" s="1"/>
  <c r="A10"/>
  <c r="A12"/>
  <c r="A26"/>
  <c r="A28"/>
  <c r="L28" s="1"/>
  <c r="A30"/>
  <c r="A32"/>
  <c r="B27" i="2" l="1"/>
  <c r="L5" i="6"/>
  <c r="L15" i="4"/>
  <c r="M38" i="6"/>
  <c r="E23" i="2" l="1"/>
  <c r="E22"/>
  <c r="E21"/>
  <c r="E18"/>
  <c r="E19" s="1"/>
  <c r="E12"/>
  <c r="E24"/>
  <c r="E20"/>
  <c r="E16"/>
  <c r="E15"/>
  <c r="C6" i="6" l="1"/>
  <c r="C5"/>
  <c r="C7"/>
  <c r="F7" s="1"/>
  <c r="E17" i="2"/>
  <c r="E14"/>
  <c r="C5" i="7" s="1"/>
  <c r="J5" l="1"/>
  <c r="F5"/>
  <c r="J6" i="6"/>
  <c r="F6"/>
  <c r="J5"/>
  <c r="F5"/>
  <c r="J7"/>
  <c r="N7"/>
  <c r="C10"/>
  <c r="C13"/>
  <c r="C9"/>
  <c r="C11"/>
  <c r="C12"/>
  <c r="C8"/>
  <c r="C5" i="14"/>
  <c r="C5" i="12"/>
  <c r="C5" i="9"/>
  <c r="C5" i="10"/>
  <c r="C5" i="8"/>
  <c r="C5" i="13"/>
  <c r="C5" i="11"/>
  <c r="C21" i="10"/>
  <c r="C17" i="11"/>
  <c r="C21" i="14"/>
  <c r="C29"/>
  <c r="C11" i="10"/>
  <c r="C7" i="11"/>
  <c r="C9" i="13"/>
  <c r="C17"/>
  <c r="C25"/>
  <c r="C33"/>
  <c r="C11" i="8"/>
  <c r="C19"/>
  <c r="C27"/>
  <c r="C7" i="9"/>
  <c r="C15"/>
  <c r="C23"/>
  <c r="C31"/>
  <c r="C33" i="10"/>
  <c r="C7" i="14"/>
  <c r="C15"/>
  <c r="C31" i="10"/>
  <c r="C27" i="11"/>
  <c r="C19" i="6"/>
  <c r="C27"/>
  <c r="C34" i="14"/>
  <c r="C34" i="13"/>
  <c r="C6"/>
  <c r="C6" i="12"/>
  <c r="C9"/>
  <c r="C13"/>
  <c r="C17"/>
  <c r="C21"/>
  <c r="C25"/>
  <c r="C29"/>
  <c r="C33"/>
  <c r="C34" i="11"/>
  <c r="C16" i="10"/>
  <c r="C34"/>
  <c r="C6" i="9"/>
  <c r="C18" i="8"/>
  <c r="C20" i="7"/>
  <c r="F20" s="1"/>
  <c r="C13"/>
  <c r="F13" s="1"/>
  <c r="C21"/>
  <c r="F21" s="1"/>
  <c r="C29"/>
  <c r="F29" s="1"/>
  <c r="C20" i="5"/>
  <c r="C16" i="4"/>
  <c r="N16" s="1"/>
  <c r="C24"/>
  <c r="F24" s="1"/>
  <c r="C22" i="5"/>
  <c r="C35" i="7"/>
  <c r="F35" s="1"/>
  <c r="C6" i="4"/>
  <c r="F6" s="1"/>
  <c r="C29" i="10"/>
  <c r="C25" i="11"/>
  <c r="C23" i="14"/>
  <c r="C31"/>
  <c r="C19" i="10"/>
  <c r="C15" i="11"/>
  <c r="C11" i="13"/>
  <c r="C19"/>
  <c r="C27"/>
  <c r="C13" i="8"/>
  <c r="C21"/>
  <c r="C29"/>
  <c r="C9" i="9"/>
  <c r="C17"/>
  <c r="C25"/>
  <c r="C33"/>
  <c r="C9" i="10"/>
  <c r="C13" i="11"/>
  <c r="C9" i="14"/>
  <c r="C7" i="10"/>
  <c r="C33" i="11"/>
  <c r="C21" i="6"/>
  <c r="C29"/>
  <c r="C9" i="4"/>
  <c r="F9" s="1"/>
  <c r="C24" i="14"/>
  <c r="C10" i="13"/>
  <c r="C18" i="12"/>
  <c r="C26" i="11"/>
  <c r="C12" i="10"/>
  <c r="C8"/>
  <c r="C22" i="9"/>
  <c r="C10"/>
  <c r="C22" i="8"/>
  <c r="C16"/>
  <c r="C24" i="7"/>
  <c r="F24" s="1"/>
  <c r="N24" s="1"/>
  <c r="C31"/>
  <c r="F31" s="1"/>
  <c r="N31" s="1"/>
  <c r="C31" i="11"/>
  <c r="C25" i="14"/>
  <c r="C33"/>
  <c r="C27" i="10"/>
  <c r="C23" i="11"/>
  <c r="C13" i="13"/>
  <c r="C21"/>
  <c r="C29"/>
  <c r="C7" i="8"/>
  <c r="C15"/>
  <c r="C23"/>
  <c r="C31"/>
  <c r="C11" i="9"/>
  <c r="C19"/>
  <c r="C27"/>
  <c r="C35"/>
  <c r="C17" i="10"/>
  <c r="C21" i="11"/>
  <c r="C11" i="14"/>
  <c r="C15" i="10"/>
  <c r="C11" i="11"/>
  <c r="C25" i="6"/>
  <c r="C15"/>
  <c r="C23"/>
  <c r="C10" i="14"/>
  <c r="C26"/>
  <c r="C17"/>
  <c r="C22" i="13"/>
  <c r="C22" i="12"/>
  <c r="C7"/>
  <c r="C11"/>
  <c r="C15"/>
  <c r="C19"/>
  <c r="C23"/>
  <c r="C27"/>
  <c r="C31"/>
  <c r="C35"/>
  <c r="C32" i="11"/>
  <c r="C10" i="10"/>
  <c r="C32" i="9"/>
  <c r="C6" i="8"/>
  <c r="C18" i="7"/>
  <c r="F18" s="1"/>
  <c r="C7"/>
  <c r="F7" s="1"/>
  <c r="C11"/>
  <c r="F11" s="1"/>
  <c r="C15"/>
  <c r="F15" s="1"/>
  <c r="C19"/>
  <c r="F19" s="1"/>
  <c r="C23"/>
  <c r="F23" s="1"/>
  <c r="N23" s="1"/>
  <c r="C27"/>
  <c r="F27" s="1"/>
  <c r="C14" i="6"/>
  <c r="C24" i="5"/>
  <c r="C13" i="10"/>
  <c r="C9" i="11"/>
  <c r="C19" i="14"/>
  <c r="C27"/>
  <c r="C35" i="10"/>
  <c r="C7" i="13"/>
  <c r="C15"/>
  <c r="C23"/>
  <c r="C31"/>
  <c r="C9" i="8"/>
  <c r="C17"/>
  <c r="C25"/>
  <c r="C33"/>
  <c r="C13" i="9"/>
  <c r="C21"/>
  <c r="C29"/>
  <c r="C25" i="10"/>
  <c r="C13" i="14"/>
  <c r="C23" i="10"/>
  <c r="C19" i="11"/>
  <c r="C35" i="14"/>
  <c r="C33" i="6"/>
  <c r="C17"/>
  <c r="C31"/>
  <c r="C12" i="14"/>
  <c r="C32"/>
  <c r="C16" i="13"/>
  <c r="C34" i="12"/>
  <c r="C28" i="11"/>
  <c r="C29"/>
  <c r="C18" i="10"/>
  <c r="C30" i="9"/>
  <c r="C10" i="8"/>
  <c r="C14"/>
  <c r="C8" i="7"/>
  <c r="F8" s="1"/>
  <c r="C6"/>
  <c r="F6" s="1"/>
  <c r="C22" i="6"/>
  <c r="C16"/>
  <c r="C18" i="5"/>
  <c r="C14" i="4"/>
  <c r="C22"/>
  <c r="F22" s="1"/>
  <c r="N22" s="1"/>
  <c r="C14" i="9"/>
  <c r="C12" i="8"/>
  <c r="C9" i="7"/>
  <c r="F9" s="1"/>
  <c r="N9" s="1"/>
  <c r="C17"/>
  <c r="F17" s="1"/>
  <c r="N17" s="1"/>
  <c r="C25"/>
  <c r="F25" s="1"/>
  <c r="C33"/>
  <c r="F33" s="1"/>
  <c r="C18" i="4"/>
  <c r="N18" s="1"/>
  <c r="C20"/>
  <c r="N20" s="1"/>
  <c r="C32" i="6"/>
  <c r="C26"/>
  <c r="C19" i="5"/>
  <c r="C9"/>
  <c r="C23"/>
  <c r="C21"/>
  <c r="C15"/>
  <c r="C12" i="4"/>
  <c r="F12" s="1"/>
  <c r="C19"/>
  <c r="N19" s="1"/>
  <c r="C7"/>
  <c r="C29"/>
  <c r="F29" s="1"/>
  <c r="N29" s="1"/>
  <c r="C30" i="14"/>
  <c r="C6"/>
  <c r="C28" i="13"/>
  <c r="C8" i="12"/>
  <c r="C16" i="11"/>
  <c r="C20" i="8"/>
  <c r="C14" i="7"/>
  <c r="F14" s="1"/>
  <c r="C30" i="5"/>
  <c r="C10" i="4"/>
  <c r="F10" s="1"/>
  <c r="C18" i="11"/>
  <c r="C24" i="9"/>
  <c r="C26" i="8"/>
  <c r="C30" i="6"/>
  <c r="C12" i="5"/>
  <c r="C8" i="4"/>
  <c r="C7" i="5"/>
  <c r="C25"/>
  <c r="C33"/>
  <c r="C13"/>
  <c r="C13" i="4"/>
  <c r="F13" s="1"/>
  <c r="C23"/>
  <c r="F23" s="1"/>
  <c r="C21"/>
  <c r="F21" s="1"/>
  <c r="N21" s="1"/>
  <c r="C17"/>
  <c r="N17" s="1"/>
  <c r="C20" i="14"/>
  <c r="C28"/>
  <c r="C32" i="13"/>
  <c r="C30"/>
  <c r="C26"/>
  <c r="C14" i="12"/>
  <c r="C26"/>
  <c r="C20"/>
  <c r="C30" i="10"/>
  <c r="C16" i="9"/>
  <c r="C30" i="7"/>
  <c r="F30" s="1"/>
  <c r="N30" s="1"/>
  <c r="C14" i="5"/>
  <c r="C6"/>
  <c r="C18" i="6"/>
  <c r="C5" i="5"/>
  <c r="C29"/>
  <c r="C35"/>
  <c r="C17"/>
  <c r="C31"/>
  <c r="C5" i="4"/>
  <c r="F5" s="1"/>
  <c r="C15"/>
  <c r="C27"/>
  <c r="F27" s="1"/>
  <c r="C16" i="14"/>
  <c r="C18"/>
  <c r="C14" i="13"/>
  <c r="C8"/>
  <c r="C24"/>
  <c r="C28" i="12"/>
  <c r="C10"/>
  <c r="C30" i="11"/>
  <c r="C6"/>
  <c r="C20"/>
  <c r="C22" i="10"/>
  <c r="C32"/>
  <c r="C26" i="9"/>
  <c r="C18"/>
  <c r="C34"/>
  <c r="C34" i="8"/>
  <c r="C24"/>
  <c r="C28" i="7"/>
  <c r="F28" s="1"/>
  <c r="C32"/>
  <c r="F32" s="1"/>
  <c r="C16" i="5"/>
  <c r="C34" i="6"/>
  <c r="C26" i="5"/>
  <c r="C10"/>
  <c r="C27"/>
  <c r="C34"/>
  <c r="C11"/>
  <c r="C32" i="4"/>
  <c r="F32" s="1"/>
  <c r="C31"/>
  <c r="F31" s="1"/>
  <c r="C26"/>
  <c r="F26" s="1"/>
  <c r="C25"/>
  <c r="F25" s="1"/>
  <c r="C11"/>
  <c r="C8" i="14"/>
  <c r="C14"/>
  <c r="C12" i="13"/>
  <c r="C18"/>
  <c r="C16" i="12"/>
  <c r="C12"/>
  <c r="C24"/>
  <c r="C8" i="11"/>
  <c r="C22"/>
  <c r="C14"/>
  <c r="C14" i="10"/>
  <c r="C26"/>
  <c r="C20" i="9"/>
  <c r="C8"/>
  <c r="C28" i="8"/>
  <c r="C30"/>
  <c r="C34" i="7"/>
  <c r="F34" s="1"/>
  <c r="C12"/>
  <c r="F12" s="1"/>
  <c r="C16"/>
  <c r="F16" s="1"/>
  <c r="N16" s="1"/>
  <c r="C28" i="6"/>
  <c r="C8" i="5"/>
  <c r="C32"/>
  <c r="C30" i="4"/>
  <c r="F30" s="1"/>
  <c r="C22" i="14"/>
  <c r="C20" i="13"/>
  <c r="C30" i="12"/>
  <c r="C32"/>
  <c r="C10" i="11"/>
  <c r="C24"/>
  <c r="C28" i="10"/>
  <c r="C20"/>
  <c r="C28" i="9"/>
  <c r="C12"/>
  <c r="C8" i="8"/>
  <c r="C10" i="7"/>
  <c r="F10" s="1"/>
  <c r="N10" s="1"/>
  <c r="C22"/>
  <c r="F22" s="1"/>
  <c r="C24" i="6"/>
  <c r="C28" i="5"/>
  <c r="C12" i="11"/>
  <c r="C24" i="10"/>
  <c r="C6"/>
  <c r="C32" i="8"/>
  <c r="C26" i="7"/>
  <c r="F26" s="1"/>
  <c r="C20" i="6"/>
  <c r="C28" i="4"/>
  <c r="F28" s="1"/>
  <c r="N28" s="1"/>
  <c r="N28" i="7" l="1"/>
  <c r="L28" s="1"/>
  <c r="N14"/>
  <c r="L14"/>
  <c r="N33"/>
  <c r="L33" s="1"/>
  <c r="N8"/>
  <c r="L8" s="1"/>
  <c r="N15"/>
  <c r="L15"/>
  <c r="N21"/>
  <c r="L21" s="1"/>
  <c r="N12"/>
  <c r="L12"/>
  <c r="N25"/>
  <c r="L25" s="1"/>
  <c r="N27"/>
  <c r="L27" s="1"/>
  <c r="N11"/>
  <c r="L11" s="1"/>
  <c r="N13"/>
  <c r="L13" s="1"/>
  <c r="N26"/>
  <c r="L26"/>
  <c r="N7"/>
  <c r="L7" s="1"/>
  <c r="N35"/>
  <c r="L35"/>
  <c r="N34"/>
  <c r="L34" s="1"/>
  <c r="N22"/>
  <c r="L22" s="1"/>
  <c r="N32"/>
  <c r="L32" s="1"/>
  <c r="N6"/>
  <c r="L6" s="1"/>
  <c r="N19"/>
  <c r="L19" s="1"/>
  <c r="N18"/>
  <c r="L18"/>
  <c r="N29"/>
  <c r="L29" s="1"/>
  <c r="J28" i="8"/>
  <c r="F28"/>
  <c r="N28" s="1"/>
  <c r="J12"/>
  <c r="F12"/>
  <c r="J17"/>
  <c r="F17"/>
  <c r="J6"/>
  <c r="F6"/>
  <c r="N6" s="1"/>
  <c r="J7"/>
  <c r="F7"/>
  <c r="N7" s="1"/>
  <c r="J22"/>
  <c r="F22"/>
  <c r="J11"/>
  <c r="F11"/>
  <c r="J32"/>
  <c r="F32"/>
  <c r="J20"/>
  <c r="F20"/>
  <c r="N20" s="1"/>
  <c r="J14"/>
  <c r="F14"/>
  <c r="N14" s="1"/>
  <c r="J9"/>
  <c r="F9"/>
  <c r="J31"/>
  <c r="F31"/>
  <c r="J29"/>
  <c r="F29"/>
  <c r="J8"/>
  <c r="F8"/>
  <c r="J24"/>
  <c r="F24"/>
  <c r="J34"/>
  <c r="F34"/>
  <c r="N34" s="1"/>
  <c r="J10"/>
  <c r="F10"/>
  <c r="J33"/>
  <c r="F33"/>
  <c r="J23"/>
  <c r="F23"/>
  <c r="J21"/>
  <c r="F21"/>
  <c r="N21" s="1"/>
  <c r="J27"/>
  <c r="F27"/>
  <c r="N27" s="1"/>
  <c r="J30"/>
  <c r="F30"/>
  <c r="J26"/>
  <c r="F26"/>
  <c r="J25"/>
  <c r="F25"/>
  <c r="J15"/>
  <c r="F15"/>
  <c r="J16"/>
  <c r="F16"/>
  <c r="J13"/>
  <c r="F13"/>
  <c r="N13" s="1"/>
  <c r="J18"/>
  <c r="F18"/>
  <c r="J19"/>
  <c r="F19"/>
  <c r="J18" i="9"/>
  <c r="F18"/>
  <c r="N18" s="1"/>
  <c r="J24"/>
  <c r="F24"/>
  <c r="J21"/>
  <c r="F21"/>
  <c r="J11"/>
  <c r="F11"/>
  <c r="N11" s="1"/>
  <c r="J9"/>
  <c r="F9"/>
  <c r="J6"/>
  <c r="F6"/>
  <c r="J15"/>
  <c r="F15"/>
  <c r="J26"/>
  <c r="F26"/>
  <c r="N26" s="1"/>
  <c r="J14"/>
  <c r="F14"/>
  <c r="J13"/>
  <c r="F13"/>
  <c r="J32"/>
  <c r="F32"/>
  <c r="N32" s="1"/>
  <c r="J35"/>
  <c r="F35"/>
  <c r="J10"/>
  <c r="F10"/>
  <c r="J33"/>
  <c r="F33"/>
  <c r="N33" s="1"/>
  <c r="J7"/>
  <c r="F7"/>
  <c r="J8"/>
  <c r="F8"/>
  <c r="J12"/>
  <c r="F12"/>
  <c r="N12" s="1"/>
  <c r="J20"/>
  <c r="F20"/>
  <c r="J16"/>
  <c r="F16"/>
  <c r="J27"/>
  <c r="F27"/>
  <c r="J22"/>
  <c r="F22"/>
  <c r="J25"/>
  <c r="F25"/>
  <c r="N25" s="1"/>
  <c r="J31"/>
  <c r="F31"/>
  <c r="J28"/>
  <c r="F28"/>
  <c r="J34"/>
  <c r="F34"/>
  <c r="J30"/>
  <c r="F30"/>
  <c r="J29"/>
  <c r="F29"/>
  <c r="J19"/>
  <c r="F19"/>
  <c r="N19" s="1"/>
  <c r="J17"/>
  <c r="F17"/>
  <c r="J23"/>
  <c r="F23"/>
  <c r="J20" i="10"/>
  <c r="F20"/>
  <c r="J18"/>
  <c r="F18"/>
  <c r="J23"/>
  <c r="F23"/>
  <c r="N23" s="1"/>
  <c r="J17"/>
  <c r="F17"/>
  <c r="J12"/>
  <c r="F12"/>
  <c r="J9"/>
  <c r="F9"/>
  <c r="N9" s="1"/>
  <c r="J19"/>
  <c r="F19"/>
  <c r="J29"/>
  <c r="F29"/>
  <c r="N29" s="1"/>
  <c r="J14"/>
  <c r="F14"/>
  <c r="J28"/>
  <c r="F28"/>
  <c r="J15"/>
  <c r="F15"/>
  <c r="N15" s="1"/>
  <c r="J27"/>
  <c r="F27"/>
  <c r="J7"/>
  <c r="F7"/>
  <c r="J34"/>
  <c r="F34"/>
  <c r="J33"/>
  <c r="F33"/>
  <c r="J25"/>
  <c r="F25"/>
  <c r="J35"/>
  <c r="F35"/>
  <c r="J10"/>
  <c r="F10"/>
  <c r="J16"/>
  <c r="F16"/>
  <c r="N16" s="1"/>
  <c r="J31"/>
  <c r="F31"/>
  <c r="J11"/>
  <c r="F11"/>
  <c r="J21"/>
  <c r="F21"/>
  <c r="J6"/>
  <c r="F6"/>
  <c r="J32"/>
  <c r="F32"/>
  <c r="J13"/>
  <c r="F13"/>
  <c r="J24"/>
  <c r="F24"/>
  <c r="J26"/>
  <c r="F26"/>
  <c r="J22"/>
  <c r="F22"/>
  <c r="N22" s="1"/>
  <c r="J30"/>
  <c r="F30"/>
  <c r="N30" s="1"/>
  <c r="J8"/>
  <c r="F8"/>
  <c r="N8" s="1"/>
  <c r="J10" i="11"/>
  <c r="F10"/>
  <c r="J12"/>
  <c r="F12"/>
  <c r="N12" s="1"/>
  <c r="J20"/>
  <c r="F20"/>
  <c r="N20" s="1"/>
  <c r="J11"/>
  <c r="F11"/>
  <c r="J23"/>
  <c r="F23"/>
  <c r="J31"/>
  <c r="F31"/>
  <c r="J33"/>
  <c r="F33"/>
  <c r="N33" s="1"/>
  <c r="J14"/>
  <c r="F14"/>
  <c r="J29"/>
  <c r="F29"/>
  <c r="J9"/>
  <c r="F9"/>
  <c r="J26"/>
  <c r="F26"/>
  <c r="N26" s="1"/>
  <c r="J27"/>
  <c r="F27"/>
  <c r="N27" s="1"/>
  <c r="J7"/>
  <c r="F7"/>
  <c r="J17"/>
  <c r="F17"/>
  <c r="J8"/>
  <c r="F8"/>
  <c r="J6"/>
  <c r="F6"/>
  <c r="N6" s="1"/>
  <c r="J18"/>
  <c r="F18"/>
  <c r="J24"/>
  <c r="F24"/>
  <c r="J22"/>
  <c r="F22"/>
  <c r="J30"/>
  <c r="F30"/>
  <c r="J16"/>
  <c r="F16"/>
  <c r="J28"/>
  <c r="F28"/>
  <c r="J19"/>
  <c r="F19"/>
  <c r="N19" s="1"/>
  <c r="J32"/>
  <c r="F32"/>
  <c r="J21"/>
  <c r="F21"/>
  <c r="J13"/>
  <c r="F13"/>
  <c r="N13" s="1"/>
  <c r="J15"/>
  <c r="F15"/>
  <c r="J25"/>
  <c r="F25"/>
  <c r="J34"/>
  <c r="F34"/>
  <c r="N34" s="1"/>
  <c r="J32" i="12"/>
  <c r="F32"/>
  <c r="N32" s="1"/>
  <c r="J28"/>
  <c r="F28"/>
  <c r="J20"/>
  <c r="F20"/>
  <c r="J35"/>
  <c r="F35"/>
  <c r="J19"/>
  <c r="F19"/>
  <c r="J22"/>
  <c r="F22"/>
  <c r="J33"/>
  <c r="F33"/>
  <c r="J17"/>
  <c r="F17"/>
  <c r="N17" s="1"/>
  <c r="J24"/>
  <c r="F24"/>
  <c r="N24" s="1"/>
  <c r="J30"/>
  <c r="F30"/>
  <c r="J12"/>
  <c r="F12"/>
  <c r="J26"/>
  <c r="F26"/>
  <c r="J31"/>
  <c r="F31"/>
  <c r="N31" s="1"/>
  <c r="J15"/>
  <c r="F15"/>
  <c r="J29"/>
  <c r="F29"/>
  <c r="J13"/>
  <c r="F13"/>
  <c r="J14"/>
  <c r="F14"/>
  <c r="J27"/>
  <c r="F27"/>
  <c r="J11"/>
  <c r="F11"/>
  <c r="N11" s="1"/>
  <c r="J18"/>
  <c r="F18"/>
  <c r="N18" s="1"/>
  <c r="J25"/>
  <c r="F25"/>
  <c r="N25" s="1"/>
  <c r="J9"/>
  <c r="F9"/>
  <c r="J16"/>
  <c r="F16"/>
  <c r="J10"/>
  <c r="F10"/>
  <c r="N10" s="1"/>
  <c r="J8"/>
  <c r="F8"/>
  <c r="J34"/>
  <c r="F34"/>
  <c r="J23"/>
  <c r="F23"/>
  <c r="J7"/>
  <c r="F7"/>
  <c r="J21"/>
  <c r="F21"/>
  <c r="J6"/>
  <c r="F6"/>
  <c r="J12" i="13"/>
  <c r="F12"/>
  <c r="J30"/>
  <c r="F30"/>
  <c r="J28"/>
  <c r="F28"/>
  <c r="N28" s="1"/>
  <c r="J16"/>
  <c r="F16"/>
  <c r="J15"/>
  <c r="F15"/>
  <c r="N15" s="1"/>
  <c r="J27"/>
  <c r="F27"/>
  <c r="J6"/>
  <c r="F6"/>
  <c r="L6" s="1"/>
  <c r="J9"/>
  <c r="F9"/>
  <c r="J32"/>
  <c r="F32"/>
  <c r="J7"/>
  <c r="F7"/>
  <c r="N7" s="1"/>
  <c r="J22"/>
  <c r="F22"/>
  <c r="N22" s="1"/>
  <c r="J29"/>
  <c r="F29"/>
  <c r="N29" s="1"/>
  <c r="J19"/>
  <c r="F19"/>
  <c r="J34"/>
  <c r="F34"/>
  <c r="J33"/>
  <c r="F33"/>
  <c r="J24"/>
  <c r="F24"/>
  <c r="J20"/>
  <c r="F20"/>
  <c r="J8"/>
  <c r="F8"/>
  <c r="N8" s="1"/>
  <c r="J31"/>
  <c r="F31"/>
  <c r="J21"/>
  <c r="F21"/>
  <c r="N21" s="1"/>
  <c r="J11"/>
  <c r="F11"/>
  <c r="J25"/>
  <c r="F25"/>
  <c r="J18"/>
  <c r="F18"/>
  <c r="J14"/>
  <c r="F14"/>
  <c r="N14" s="1"/>
  <c r="J26"/>
  <c r="F26"/>
  <c r="J23"/>
  <c r="F23"/>
  <c r="J13"/>
  <c r="F13"/>
  <c r="J10"/>
  <c r="F10"/>
  <c r="J17"/>
  <c r="F17"/>
  <c r="J28" i="14"/>
  <c r="F28"/>
  <c r="J18"/>
  <c r="F18"/>
  <c r="J19"/>
  <c r="F19"/>
  <c r="N19" s="1"/>
  <c r="J10"/>
  <c r="F10"/>
  <c r="J24"/>
  <c r="F24"/>
  <c r="J7"/>
  <c r="F7"/>
  <c r="J21"/>
  <c r="F21"/>
  <c r="J8"/>
  <c r="F8"/>
  <c r="J14"/>
  <c r="F14"/>
  <c r="J16"/>
  <c r="F16"/>
  <c r="J6"/>
  <c r="F6"/>
  <c r="N6" s="1"/>
  <c r="J32"/>
  <c r="F32"/>
  <c r="J13"/>
  <c r="F13"/>
  <c r="N13" s="1"/>
  <c r="J31"/>
  <c r="F31"/>
  <c r="J30"/>
  <c r="F30"/>
  <c r="J12"/>
  <c r="F12"/>
  <c r="N12" s="1"/>
  <c r="J35"/>
  <c r="F35"/>
  <c r="J17"/>
  <c r="F17"/>
  <c r="J11"/>
  <c r="F11"/>
  <c r="J33"/>
  <c r="F33"/>
  <c r="N33" s="1"/>
  <c r="J9"/>
  <c r="F9"/>
  <c r="J23"/>
  <c r="F23"/>
  <c r="J34"/>
  <c r="F34"/>
  <c r="N34" s="1"/>
  <c r="J22"/>
  <c r="F22"/>
  <c r="J20"/>
  <c r="F20"/>
  <c r="N20" s="1"/>
  <c r="J27"/>
  <c r="F27"/>
  <c r="N27" s="1"/>
  <c r="J26"/>
  <c r="F26"/>
  <c r="N26" s="1"/>
  <c r="J25"/>
  <c r="F25"/>
  <c r="J15"/>
  <c r="F15"/>
  <c r="J29"/>
  <c r="F29"/>
  <c r="J5"/>
  <c r="F5"/>
  <c r="J5" i="13"/>
  <c r="F5"/>
  <c r="J5" i="12"/>
  <c r="F5"/>
  <c r="J5" i="11"/>
  <c r="J38" s="1"/>
  <c r="F5"/>
  <c r="J5" i="10"/>
  <c r="J38" s="1"/>
  <c r="F5"/>
  <c r="J5" i="9"/>
  <c r="F5"/>
  <c r="J5" i="8"/>
  <c r="J38" s="1"/>
  <c r="F5"/>
  <c r="N5" i="7"/>
  <c r="F38"/>
  <c r="L5"/>
  <c r="J18" i="6"/>
  <c r="F18"/>
  <c r="N18" s="1"/>
  <c r="J30"/>
  <c r="F30"/>
  <c r="J22"/>
  <c r="F22"/>
  <c r="J15"/>
  <c r="F15"/>
  <c r="J29"/>
  <c r="F29"/>
  <c r="J8"/>
  <c r="F8"/>
  <c r="J13"/>
  <c r="F13"/>
  <c r="J24"/>
  <c r="F24"/>
  <c r="J20"/>
  <c r="F20"/>
  <c r="J31"/>
  <c r="F31"/>
  <c r="J25"/>
  <c r="F25"/>
  <c r="N25" s="1"/>
  <c r="J21"/>
  <c r="F21"/>
  <c r="J27"/>
  <c r="F27"/>
  <c r="J12"/>
  <c r="F12"/>
  <c r="N12" s="1"/>
  <c r="J10"/>
  <c r="F10"/>
  <c r="J28"/>
  <c r="F28"/>
  <c r="J26"/>
  <c r="F26"/>
  <c r="N26" s="1"/>
  <c r="J17"/>
  <c r="F17"/>
  <c r="J14"/>
  <c r="F14"/>
  <c r="J19"/>
  <c r="F19"/>
  <c r="N19" s="1"/>
  <c r="J11"/>
  <c r="F11"/>
  <c r="N11" s="1"/>
  <c r="J34"/>
  <c r="F34"/>
  <c r="J32"/>
  <c r="F32"/>
  <c r="N32" s="1"/>
  <c r="J16"/>
  <c r="F16"/>
  <c r="J33"/>
  <c r="F33"/>
  <c r="N33" s="1"/>
  <c r="J23"/>
  <c r="F23"/>
  <c r="J9"/>
  <c r="F9"/>
  <c r="N6"/>
  <c r="L6"/>
  <c r="N5"/>
  <c r="J8" i="5"/>
  <c r="F8"/>
  <c r="N8" s="1"/>
  <c r="F27"/>
  <c r="J27"/>
  <c r="J16"/>
  <c r="F16"/>
  <c r="F17"/>
  <c r="J17"/>
  <c r="F25"/>
  <c r="J25"/>
  <c r="F9"/>
  <c r="J9"/>
  <c r="J20"/>
  <c r="F20"/>
  <c r="J35"/>
  <c r="F35"/>
  <c r="N35" s="1"/>
  <c r="F6"/>
  <c r="J6"/>
  <c r="F7"/>
  <c r="N7" s="1"/>
  <c r="J7"/>
  <c r="F30"/>
  <c r="J30"/>
  <c r="F15"/>
  <c r="N15" s="1"/>
  <c r="J15"/>
  <c r="F19"/>
  <c r="J19"/>
  <c r="J24"/>
  <c r="F24"/>
  <c r="F22"/>
  <c r="N22" s="1"/>
  <c r="J22"/>
  <c r="F10"/>
  <c r="J10"/>
  <c r="F11"/>
  <c r="J11"/>
  <c r="F26"/>
  <c r="J26"/>
  <c r="F29"/>
  <c r="N29" s="1"/>
  <c r="J29"/>
  <c r="F14"/>
  <c r="N14" s="1"/>
  <c r="J14"/>
  <c r="F13"/>
  <c r="J13"/>
  <c r="F21"/>
  <c r="N21" s="1"/>
  <c r="J21"/>
  <c r="F18"/>
  <c r="J18"/>
  <c r="J28"/>
  <c r="F28"/>
  <c r="N28" s="1"/>
  <c r="J32"/>
  <c r="F32"/>
  <c r="J34"/>
  <c r="F31"/>
  <c r="J31"/>
  <c r="J33"/>
  <c r="F33"/>
  <c r="J12"/>
  <c r="F12"/>
  <c r="F23"/>
  <c r="J23"/>
  <c r="J5"/>
  <c r="F5"/>
  <c r="J8" i="4"/>
  <c r="F8"/>
  <c r="N8" s="1"/>
  <c r="J7"/>
  <c r="F7"/>
  <c r="N7" s="1"/>
  <c r="N15"/>
  <c r="N10"/>
  <c r="L10" s="1"/>
  <c r="J10"/>
  <c r="N12"/>
  <c r="L12" s="1"/>
  <c r="J12"/>
  <c r="N11"/>
  <c r="L11" s="1"/>
  <c r="J11"/>
  <c r="N13"/>
  <c r="L13" s="1"/>
  <c r="J13"/>
  <c r="N9"/>
  <c r="L9" s="1"/>
  <c r="J9"/>
  <c r="N6"/>
  <c r="L6" s="1"/>
  <c r="J6"/>
  <c r="J5"/>
  <c r="L7" i="6"/>
  <c r="N20" i="7"/>
  <c r="L20" s="1"/>
  <c r="N32" i="4"/>
  <c r="L32" s="1"/>
  <c r="N31"/>
  <c r="L31" s="1"/>
  <c r="N30"/>
  <c r="L30" s="1"/>
  <c r="N27"/>
  <c r="L27" s="1"/>
  <c r="N26"/>
  <c r="L26" s="1"/>
  <c r="N25"/>
  <c r="L25" s="1"/>
  <c r="N24"/>
  <c r="L24" s="1"/>
  <c r="N23"/>
  <c r="L23" s="1"/>
  <c r="L16"/>
  <c r="J25"/>
  <c r="J24"/>
  <c r="J30"/>
  <c r="J26"/>
  <c r="J21"/>
  <c r="J16"/>
  <c r="J28"/>
  <c r="J31"/>
  <c r="J27"/>
  <c r="J23"/>
  <c r="J22"/>
  <c r="J32"/>
  <c r="J29"/>
  <c r="J17"/>
  <c r="J18"/>
  <c r="J19"/>
  <c r="J14"/>
  <c r="J15"/>
  <c r="J20"/>
  <c r="J16" i="7"/>
  <c r="J28"/>
  <c r="J19"/>
  <c r="J30"/>
  <c r="J14"/>
  <c r="J8"/>
  <c r="J22"/>
  <c r="J25"/>
  <c r="J27"/>
  <c r="J11"/>
  <c r="J31"/>
  <c r="J21"/>
  <c r="J32"/>
  <c r="J17"/>
  <c r="J23"/>
  <c r="J7"/>
  <c r="J24"/>
  <c r="J13"/>
  <c r="J26"/>
  <c r="J12"/>
  <c r="J6"/>
  <c r="J18"/>
  <c r="J35"/>
  <c r="J20"/>
  <c r="K38"/>
  <c r="J10"/>
  <c r="J9"/>
  <c r="J34"/>
  <c r="J33"/>
  <c r="J15"/>
  <c r="J29"/>
  <c r="C38" i="8"/>
  <c r="C38" i="9"/>
  <c r="C38" i="12"/>
  <c r="C38" i="5"/>
  <c r="C38" i="7"/>
  <c r="C38" i="10"/>
  <c r="C38" i="14"/>
  <c r="C38" i="11"/>
  <c r="C38" i="6"/>
  <c r="C38" i="13"/>
  <c r="C38" i="4"/>
  <c r="E38" i="1"/>
  <c r="F38"/>
  <c r="H38"/>
  <c r="I38"/>
  <c r="B6" i="2" s="1"/>
  <c r="J38" i="1"/>
  <c r="A10"/>
  <c r="M10" s="1"/>
  <c r="A11"/>
  <c r="M11" s="1"/>
  <c r="A12"/>
  <c r="A13"/>
  <c r="A14"/>
  <c r="A15"/>
  <c r="A16"/>
  <c r="A17"/>
  <c r="M17" s="1"/>
  <c r="A18"/>
  <c r="M18" s="1"/>
  <c r="A19"/>
  <c r="A20"/>
  <c r="A21"/>
  <c r="A22"/>
  <c r="A23"/>
  <c r="A24"/>
  <c r="M24" s="1"/>
  <c r="A25"/>
  <c r="M25" s="1"/>
  <c r="A26"/>
  <c r="A27"/>
  <c r="A28"/>
  <c r="A29"/>
  <c r="A30"/>
  <c r="N30" s="1"/>
  <c r="A31"/>
  <c r="N31" s="1"/>
  <c r="A32"/>
  <c r="A33"/>
  <c r="A34"/>
  <c r="A35"/>
  <c r="A6"/>
  <c r="A7"/>
  <c r="A8"/>
  <c r="A9"/>
  <c r="J38" i="14" l="1"/>
  <c r="F38" i="6"/>
  <c r="N38" i="7"/>
  <c r="J38" i="6"/>
  <c r="J38" i="13"/>
  <c r="J38" i="12"/>
  <c r="J38" i="9"/>
  <c r="N18" i="8"/>
  <c r="L18" s="1"/>
  <c r="N16"/>
  <c r="L16" s="1"/>
  <c r="N25"/>
  <c r="L25" s="1"/>
  <c r="N30"/>
  <c r="L30" s="1"/>
  <c r="N33"/>
  <c r="L33" s="1"/>
  <c r="N8"/>
  <c r="L8" s="1"/>
  <c r="N31"/>
  <c r="L31" s="1"/>
  <c r="N32"/>
  <c r="L32" s="1"/>
  <c r="N22"/>
  <c r="L22" s="1"/>
  <c r="N12"/>
  <c r="L12" s="1"/>
  <c r="N19"/>
  <c r="L19" s="1"/>
  <c r="N15"/>
  <c r="L15" s="1"/>
  <c r="N26"/>
  <c r="L26" s="1"/>
  <c r="N23"/>
  <c r="L23" s="1"/>
  <c r="N10"/>
  <c r="L10" s="1"/>
  <c r="N24"/>
  <c r="L24" s="1"/>
  <c r="N29"/>
  <c r="L29" s="1"/>
  <c r="N9"/>
  <c r="L9" s="1"/>
  <c r="N11"/>
  <c r="L11" s="1"/>
  <c r="N17"/>
  <c r="L17" s="1"/>
  <c r="N23" i="9"/>
  <c r="L23" s="1"/>
  <c r="N30"/>
  <c r="L30" s="1"/>
  <c r="N28"/>
  <c r="L28" s="1"/>
  <c r="N27"/>
  <c r="L27" s="1"/>
  <c r="N20"/>
  <c r="L20" s="1"/>
  <c r="N8"/>
  <c r="L8" s="1"/>
  <c r="N35"/>
  <c r="L35" s="1"/>
  <c r="N13"/>
  <c r="L13" s="1"/>
  <c r="N6"/>
  <c r="L6" s="1"/>
  <c r="N24"/>
  <c r="L24" s="1"/>
  <c r="N17"/>
  <c r="L17" s="1"/>
  <c r="N29"/>
  <c r="L29" s="1"/>
  <c r="N34"/>
  <c r="L34"/>
  <c r="N31"/>
  <c r="L31" s="1"/>
  <c r="N22"/>
  <c r="L22" s="1"/>
  <c r="N16"/>
  <c r="L16" s="1"/>
  <c r="N7"/>
  <c r="L7" s="1"/>
  <c r="N10"/>
  <c r="L10" s="1"/>
  <c r="N14"/>
  <c r="L14" s="1"/>
  <c r="N15"/>
  <c r="L15" s="1"/>
  <c r="N9"/>
  <c r="L9" s="1"/>
  <c r="N21"/>
  <c r="L21" s="1"/>
  <c r="N24" i="10"/>
  <c r="L24" s="1"/>
  <c r="N32"/>
  <c r="L32" s="1"/>
  <c r="N21"/>
  <c r="L21"/>
  <c r="N31"/>
  <c r="L31" s="1"/>
  <c r="N10"/>
  <c r="L10"/>
  <c r="N25"/>
  <c r="L25" s="1"/>
  <c r="N34"/>
  <c r="L34" s="1"/>
  <c r="N27"/>
  <c r="L27" s="1"/>
  <c r="N28"/>
  <c r="L28" s="1"/>
  <c r="N17"/>
  <c r="L17" s="1"/>
  <c r="N18"/>
  <c r="L18" s="1"/>
  <c r="N26"/>
  <c r="L26" s="1"/>
  <c r="N13"/>
  <c r="L13" s="1"/>
  <c r="N6"/>
  <c r="L6" s="1"/>
  <c r="N11"/>
  <c r="L11" s="1"/>
  <c r="N35"/>
  <c r="L35" s="1"/>
  <c r="N33"/>
  <c r="L33" s="1"/>
  <c r="N7"/>
  <c r="L7" s="1"/>
  <c r="N14"/>
  <c r="L14" s="1"/>
  <c r="N19"/>
  <c r="L19"/>
  <c r="N12"/>
  <c r="L12" s="1"/>
  <c r="N20"/>
  <c r="L20" s="1"/>
  <c r="N25" i="11"/>
  <c r="L25" s="1"/>
  <c r="N32"/>
  <c r="L32" s="1"/>
  <c r="N28"/>
  <c r="L28" s="1"/>
  <c r="N30"/>
  <c r="L30" s="1"/>
  <c r="N24"/>
  <c r="L24" s="1"/>
  <c r="N17"/>
  <c r="L17" s="1"/>
  <c r="N9"/>
  <c r="L9" s="1"/>
  <c r="N14"/>
  <c r="L14" s="1"/>
  <c r="N31"/>
  <c r="L31" s="1"/>
  <c r="N11"/>
  <c r="L11" s="1"/>
  <c r="N15"/>
  <c r="L15" s="1"/>
  <c r="N21"/>
  <c r="L21" s="1"/>
  <c r="N16"/>
  <c r="L16" s="1"/>
  <c r="N22"/>
  <c r="L22" s="1"/>
  <c r="N18"/>
  <c r="L18" s="1"/>
  <c r="N8"/>
  <c r="L8" s="1"/>
  <c r="N7"/>
  <c r="L7" s="1"/>
  <c r="N29"/>
  <c r="L29" s="1"/>
  <c r="N23"/>
  <c r="L23" s="1"/>
  <c r="N10"/>
  <c r="L10" s="1"/>
  <c r="N6" i="12"/>
  <c r="L6" s="1"/>
  <c r="N7"/>
  <c r="L7" s="1"/>
  <c r="N34"/>
  <c r="L34" s="1"/>
  <c r="N9"/>
  <c r="L9" s="1"/>
  <c r="N27"/>
  <c r="L27"/>
  <c r="N13"/>
  <c r="L13" s="1"/>
  <c r="N15"/>
  <c r="L15" s="1"/>
  <c r="N26"/>
  <c r="L26"/>
  <c r="N30"/>
  <c r="L30" s="1"/>
  <c r="N22"/>
  <c r="L22" s="1"/>
  <c r="N35"/>
  <c r="L35" s="1"/>
  <c r="N28"/>
  <c r="L28"/>
  <c r="N21"/>
  <c r="L21" s="1"/>
  <c r="N23"/>
  <c r="L23" s="1"/>
  <c r="N8"/>
  <c r="L8" s="1"/>
  <c r="N16"/>
  <c r="L16" s="1"/>
  <c r="N14"/>
  <c r="L14" s="1"/>
  <c r="N29"/>
  <c r="L29" s="1"/>
  <c r="N12"/>
  <c r="L12" s="1"/>
  <c r="N33"/>
  <c r="L33" s="1"/>
  <c r="N19"/>
  <c r="L19" s="1"/>
  <c r="N20"/>
  <c r="L20" s="1"/>
  <c r="N10" i="13"/>
  <c r="L10" s="1"/>
  <c r="N23"/>
  <c r="L23" s="1"/>
  <c r="N25"/>
  <c r="L25" s="1"/>
  <c r="N24"/>
  <c r="L24" s="1"/>
  <c r="N34"/>
  <c r="L34" s="1"/>
  <c r="N9"/>
  <c r="L9" s="1"/>
  <c r="N27"/>
  <c r="L27" s="1"/>
  <c r="N16"/>
  <c r="L16" s="1"/>
  <c r="N30"/>
  <c r="L30" s="1"/>
  <c r="N17"/>
  <c r="L17" s="1"/>
  <c r="N13"/>
  <c r="L13" s="1"/>
  <c r="N26"/>
  <c r="L26" s="1"/>
  <c r="N18"/>
  <c r="L18" s="1"/>
  <c r="N11"/>
  <c r="L11" s="1"/>
  <c r="N31"/>
  <c r="L31" s="1"/>
  <c r="N20"/>
  <c r="L20" s="1"/>
  <c r="N33"/>
  <c r="L33" s="1"/>
  <c r="N19"/>
  <c r="L19" s="1"/>
  <c r="N32"/>
  <c r="L32" s="1"/>
  <c r="N6"/>
  <c r="N12"/>
  <c r="L12" s="1"/>
  <c r="N29" i="14"/>
  <c r="L29"/>
  <c r="N25"/>
  <c r="L25" s="1"/>
  <c r="N22"/>
  <c r="L22" s="1"/>
  <c r="N23"/>
  <c r="L23" s="1"/>
  <c r="N17"/>
  <c r="L17" s="1"/>
  <c r="N31"/>
  <c r="L31"/>
  <c r="N32"/>
  <c r="L32"/>
  <c r="N16"/>
  <c r="L16" s="1"/>
  <c r="N8"/>
  <c r="L8" s="1"/>
  <c r="N7"/>
  <c r="L7" s="1"/>
  <c r="N10"/>
  <c r="L10" s="1"/>
  <c r="N18"/>
  <c r="L18" s="1"/>
  <c r="N15"/>
  <c r="L15" s="1"/>
  <c r="N9"/>
  <c r="L9" s="1"/>
  <c r="N11"/>
  <c r="L11" s="1"/>
  <c r="N35"/>
  <c r="L35" s="1"/>
  <c r="N30"/>
  <c r="L30"/>
  <c r="N14"/>
  <c r="L14" s="1"/>
  <c r="N21"/>
  <c r="L21" s="1"/>
  <c r="N24"/>
  <c r="L24" s="1"/>
  <c r="N28"/>
  <c r="L28"/>
  <c r="N5"/>
  <c r="F38"/>
  <c r="N5" i="13"/>
  <c r="F38"/>
  <c r="L5"/>
  <c r="N5" i="12"/>
  <c r="F38"/>
  <c r="N5" i="11"/>
  <c r="F38"/>
  <c r="N5" i="10"/>
  <c r="F38"/>
  <c r="N5" i="9"/>
  <c r="F38"/>
  <c r="N5" i="8"/>
  <c r="N38" s="1"/>
  <c r="F38"/>
  <c r="N23" i="6"/>
  <c r="L23" s="1"/>
  <c r="N16"/>
  <c r="L16" s="1"/>
  <c r="N34"/>
  <c r="L34" s="1"/>
  <c r="N17"/>
  <c r="L17" s="1"/>
  <c r="N28"/>
  <c r="L28" s="1"/>
  <c r="N21"/>
  <c r="L21" s="1"/>
  <c r="N31"/>
  <c r="L31" s="1"/>
  <c r="N24"/>
  <c r="L24" s="1"/>
  <c r="N8"/>
  <c r="L8" s="1"/>
  <c r="N15"/>
  <c r="L15" s="1"/>
  <c r="N30"/>
  <c r="L30" s="1"/>
  <c r="N9"/>
  <c r="L9" s="1"/>
  <c r="N14"/>
  <c r="L14" s="1"/>
  <c r="N10"/>
  <c r="L10" s="1"/>
  <c r="N27"/>
  <c r="L27" s="1"/>
  <c r="N20"/>
  <c r="L20" s="1"/>
  <c r="N13"/>
  <c r="L13" s="1"/>
  <c r="N29"/>
  <c r="L29" s="1"/>
  <c r="N22"/>
  <c r="L22" s="1"/>
  <c r="N33" i="5"/>
  <c r="L33" s="1"/>
  <c r="N24"/>
  <c r="L24" s="1"/>
  <c r="N23"/>
  <c r="L23" s="1"/>
  <c r="N34"/>
  <c r="L34" s="1"/>
  <c r="N26"/>
  <c r="L26" s="1"/>
  <c r="N10"/>
  <c r="L10" s="1"/>
  <c r="N9"/>
  <c r="L9" s="1"/>
  <c r="N17"/>
  <c r="L17" s="1"/>
  <c r="N27"/>
  <c r="L27" s="1"/>
  <c r="N12"/>
  <c r="L12" s="1"/>
  <c r="N32"/>
  <c r="L32" s="1"/>
  <c r="N20"/>
  <c r="L20" s="1"/>
  <c r="N16"/>
  <c r="L16" s="1"/>
  <c r="N31"/>
  <c r="L31" s="1"/>
  <c r="N18"/>
  <c r="L18" s="1"/>
  <c r="N13"/>
  <c r="L13" s="1"/>
  <c r="N11"/>
  <c r="L11" s="1"/>
  <c r="N19"/>
  <c r="L19" s="1"/>
  <c r="N30"/>
  <c r="L30" s="1"/>
  <c r="N6"/>
  <c r="L6" s="1"/>
  <c r="N25"/>
  <c r="L25" s="1"/>
  <c r="N5"/>
  <c r="L5" s="1"/>
  <c r="M38" i="4"/>
  <c r="N14"/>
  <c r="N5"/>
  <c r="L5" s="1"/>
  <c r="J38" i="5"/>
  <c r="M32" i="1"/>
  <c r="M31"/>
  <c r="L38" i="7"/>
  <c r="F38" i="4"/>
  <c r="J38"/>
  <c r="J38" i="7"/>
  <c r="D35" i="1"/>
  <c r="G35" s="1"/>
  <c r="C35" s="1"/>
  <c r="D27"/>
  <c r="G27" s="1"/>
  <c r="C27" s="1"/>
  <c r="D19"/>
  <c r="O19" s="1"/>
  <c r="D15"/>
  <c r="G15" s="1"/>
  <c r="C15" s="1"/>
  <c r="D8"/>
  <c r="G8" s="1"/>
  <c r="C8" s="1"/>
  <c r="D30"/>
  <c r="G30" s="1"/>
  <c r="C30" s="1"/>
  <c r="D22"/>
  <c r="O22" s="1"/>
  <c r="D14"/>
  <c r="G14" s="1"/>
  <c r="C14" s="1"/>
  <c r="D10"/>
  <c r="G10" s="1"/>
  <c r="C10" s="1"/>
  <c r="D33"/>
  <c r="G33" s="1"/>
  <c r="C33" s="1"/>
  <c r="D29"/>
  <c r="G29" s="1"/>
  <c r="C29" s="1"/>
  <c r="D25"/>
  <c r="G25" s="1"/>
  <c r="C25" s="1"/>
  <c r="D21"/>
  <c r="O21" s="1"/>
  <c r="D17"/>
  <c r="G17" s="1"/>
  <c r="C17" s="1"/>
  <c r="D13"/>
  <c r="G13" s="1"/>
  <c r="C13" s="1"/>
  <c r="D9"/>
  <c r="G9" s="1"/>
  <c r="C9" s="1"/>
  <c r="D31"/>
  <c r="O31" s="1"/>
  <c r="D23"/>
  <c r="O23" s="1"/>
  <c r="D11"/>
  <c r="G11" s="1"/>
  <c r="C11" s="1"/>
  <c r="D34"/>
  <c r="G34" s="1"/>
  <c r="C34" s="1"/>
  <c r="D26"/>
  <c r="G26" s="1"/>
  <c r="C26" s="1"/>
  <c r="D18"/>
  <c r="G18" s="1"/>
  <c r="C18" s="1"/>
  <c r="D7"/>
  <c r="G7" s="1"/>
  <c r="C7" s="1"/>
  <c r="D6"/>
  <c r="G6" s="1"/>
  <c r="C6" s="1"/>
  <c r="D32"/>
  <c r="G32" s="1"/>
  <c r="C32" s="1"/>
  <c r="D28"/>
  <c r="G28" s="1"/>
  <c r="C28" s="1"/>
  <c r="D24"/>
  <c r="G24" s="1"/>
  <c r="C24" s="1"/>
  <c r="D20"/>
  <c r="O20" s="1"/>
  <c r="D16"/>
  <c r="O16" s="1"/>
  <c r="D12"/>
  <c r="G12" s="1"/>
  <c r="C12" s="1"/>
  <c r="O14" l="1"/>
  <c r="O24"/>
  <c r="O13"/>
  <c r="O29"/>
  <c r="O15"/>
  <c r="O28"/>
  <c r="O18"/>
  <c r="O17"/>
  <c r="O33"/>
  <c r="M33" s="1"/>
  <c r="O30"/>
  <c r="O27"/>
  <c r="O34"/>
  <c r="O25"/>
  <c r="O32"/>
  <c r="O26"/>
  <c r="M26" s="1"/>
  <c r="O35"/>
  <c r="O12"/>
  <c r="M12" s="1"/>
  <c r="O7"/>
  <c r="O11"/>
  <c r="O10"/>
  <c r="O8"/>
  <c r="O6"/>
  <c r="O9"/>
  <c r="M9" s="1"/>
  <c r="L5" i="8"/>
  <c r="L38" s="1"/>
  <c r="N38" i="11"/>
  <c r="L38" i="6"/>
  <c r="N38" i="14"/>
  <c r="N38" i="6"/>
  <c r="N38" i="13"/>
  <c r="N38" i="12"/>
  <c r="N38" i="9"/>
  <c r="N38" i="10"/>
  <c r="L38" i="9"/>
  <c r="L5" i="10"/>
  <c r="L38" s="1"/>
  <c r="L38" i="11"/>
  <c r="L38" i="13"/>
  <c r="L38" i="14"/>
  <c r="L5" i="12"/>
  <c r="L38" s="1"/>
  <c r="L38" i="4"/>
  <c r="N38"/>
  <c r="K14" i="1"/>
  <c r="K12"/>
  <c r="K28"/>
  <c r="K18"/>
  <c r="K23"/>
  <c r="K17"/>
  <c r="K33"/>
  <c r="K30"/>
  <c r="K27"/>
  <c r="K34"/>
  <c r="M34"/>
  <c r="K16"/>
  <c r="K32"/>
  <c r="K26"/>
  <c r="K31"/>
  <c r="K21"/>
  <c r="K10"/>
  <c r="K35"/>
  <c r="M35"/>
  <c r="K20"/>
  <c r="K25"/>
  <c r="K15"/>
  <c r="M15"/>
  <c r="K24"/>
  <c r="K11"/>
  <c r="K13"/>
  <c r="K29"/>
  <c r="M29"/>
  <c r="K22"/>
  <c r="K19"/>
  <c r="K7"/>
  <c r="K6"/>
  <c r="K9"/>
  <c r="K8"/>
  <c r="M19"/>
  <c r="M7"/>
  <c r="M30"/>
  <c r="A5"/>
  <c r="N38" l="1"/>
  <c r="B12" i="2" s="1"/>
  <c r="M14" i="1"/>
  <c r="M28"/>
  <c r="M27"/>
  <c r="M16"/>
  <c r="M13"/>
  <c r="M20"/>
  <c r="M21"/>
  <c r="M23"/>
  <c r="M22"/>
  <c r="M6"/>
  <c r="M8"/>
  <c r="D5"/>
  <c r="G5" s="1"/>
  <c r="C5" s="1"/>
  <c r="C38" s="1"/>
  <c r="O5" l="1"/>
  <c r="M5"/>
  <c r="K5"/>
  <c r="L38"/>
  <c r="B7" i="2" s="1"/>
  <c r="D38" i="1"/>
  <c r="B5" i="2" s="1"/>
  <c r="K38" i="1" l="1"/>
  <c r="B4" i="2" s="1"/>
  <c r="B8" s="1"/>
  <c r="G38" i="1"/>
  <c r="O38"/>
  <c r="B21" i="2"/>
  <c r="F38" i="5"/>
  <c r="L38"/>
  <c r="B9" i="2" l="1"/>
  <c r="M38" i="1"/>
  <c r="N38" i="5"/>
  <c r="B13" i="2" s="1"/>
  <c r="B14" s="1"/>
  <c r="B15" l="1"/>
  <c r="B20" s="1"/>
  <c r="B22" l="1"/>
  <c r="B24" s="1"/>
  <c r="B16"/>
  <c r="B29" l="1"/>
</calcChain>
</file>

<file path=xl/sharedStrings.xml><?xml version="1.0" encoding="utf-8"?>
<sst xmlns="http://schemas.openxmlformats.org/spreadsheetml/2006/main" count="230" uniqueCount="64">
  <si>
    <t>Heures à faire:</t>
  </si>
  <si>
    <t>ASA</t>
  </si>
  <si>
    <t>22hà3h30à6h 
(X2,5)</t>
  </si>
  <si>
    <t>16h45à22h 
(X1,25)</t>
  </si>
  <si>
    <t>Heures pointées 
Bâtiment</t>
  </si>
  <si>
    <t>Congés</t>
  </si>
  <si>
    <t>Heures
Neige</t>
  </si>
  <si>
    <t>Heures faites:</t>
  </si>
  <si>
    <t>Année :</t>
  </si>
  <si>
    <t>Heures :</t>
  </si>
  <si>
    <t>Neige :</t>
  </si>
  <si>
    <t>TOTAL des heures déjà récupérées</t>
  </si>
  <si>
    <t>TOTAL Récup neige</t>
  </si>
  <si>
    <t>Moins une semaine de congés</t>
  </si>
  <si>
    <t>Récup Heures
Neige</t>
  </si>
  <si>
    <t>Congés : (en heures)</t>
  </si>
  <si>
    <t>Totaux :</t>
  </si>
  <si>
    <t>Jours 
Fériés</t>
  </si>
  <si>
    <t>Heures 
Supp</t>
  </si>
  <si>
    <t>7h30à16h45
 (X1)</t>
  </si>
  <si>
    <t>6hà7h30 
(X1,25)</t>
  </si>
  <si>
    <t>Lundi</t>
  </si>
  <si>
    <t>Vendredi</t>
  </si>
  <si>
    <t>Mardi</t>
  </si>
  <si>
    <t>Mercredi</t>
  </si>
  <si>
    <t>Jeudi</t>
  </si>
  <si>
    <t>Samedi</t>
  </si>
  <si>
    <t>Dimanche</t>
  </si>
  <si>
    <t>Mes Horaires</t>
  </si>
  <si>
    <t>Dates :</t>
  </si>
  <si>
    <t>en jours :</t>
  </si>
  <si>
    <t>Lundi de Pâques</t>
  </si>
  <si>
    <t>Assomption</t>
  </si>
  <si>
    <t>Toussaint</t>
  </si>
  <si>
    <t>Armistice 1945</t>
  </si>
  <si>
    <t>Fête du travail</t>
  </si>
  <si>
    <t>Pâques</t>
  </si>
  <si>
    <t>Jour de l'an</t>
  </si>
  <si>
    <t xml:space="preserve">Ascension </t>
  </si>
  <si>
    <t xml:space="preserve">Pentecôte </t>
  </si>
  <si>
    <t>Lundi de Pentecote</t>
  </si>
  <si>
    <t>Fête nationale</t>
  </si>
  <si>
    <t>Armistice 1918</t>
  </si>
  <si>
    <t>NOEL</t>
  </si>
  <si>
    <t>Jours_fériés</t>
  </si>
  <si>
    <t>Heures théoriques faites sur l'année :</t>
  </si>
  <si>
    <t>Semaine</t>
  </si>
  <si>
    <t>Heures jours fériés :</t>
  </si>
  <si>
    <t>Heures théoriques restantes à faire :</t>
  </si>
  <si>
    <t>Heures réelles restantes à faire :</t>
  </si>
  <si>
    <t>heures à faire sur 1 an</t>
  </si>
  <si>
    <t>TOTAL heures supp neige de janv à avril</t>
  </si>
  <si>
    <t xml:space="preserve">Jour de fractionnement à prendre </t>
  </si>
  <si>
    <t>TOTAL heures supp neige de oct au 31/12année précédente</t>
  </si>
  <si>
    <t>TOTAL heures supp neige de Oct à Déc /année suivante :</t>
  </si>
  <si>
    <r>
      <t xml:space="preserve">Heures réelles faites sur l'année :                                 </t>
    </r>
    <r>
      <rPr>
        <b/>
        <sz val="16"/>
        <color theme="1"/>
        <rFont val="Calibri"/>
        <family val="2"/>
        <scheme val="minor"/>
      </rPr>
      <t>= A</t>
    </r>
  </si>
  <si>
    <r>
      <t xml:space="preserve">Heures à faire sur l'année :                                           </t>
    </r>
    <r>
      <rPr>
        <b/>
        <sz val="16"/>
        <color theme="1"/>
        <rFont val="Calibri"/>
        <family val="2"/>
        <scheme val="minor"/>
      </rPr>
      <t xml:space="preserve"> = H</t>
    </r>
  </si>
  <si>
    <r>
      <t xml:space="preserve">Congés neige 35h :                                                       </t>
    </r>
    <r>
      <rPr>
        <b/>
        <sz val="16"/>
        <color theme="1"/>
        <rFont val="Calibri"/>
        <family val="2"/>
        <scheme val="minor"/>
      </rPr>
      <t>= B</t>
    </r>
  </si>
  <si>
    <r>
      <t xml:space="preserve">Congés à prendre :                                                       </t>
    </r>
    <r>
      <rPr>
        <b/>
        <sz val="16"/>
        <color theme="1"/>
        <rFont val="Calibri"/>
        <family val="2"/>
        <scheme val="minor"/>
      </rPr>
      <t>= E</t>
    </r>
  </si>
  <si>
    <r>
      <t xml:space="preserve">Congés pris sur l'année en cours :                              </t>
    </r>
    <r>
      <rPr>
        <b/>
        <sz val="16"/>
        <color theme="1"/>
        <rFont val="Calibri"/>
        <family val="2"/>
        <scheme val="minor"/>
      </rPr>
      <t>= F</t>
    </r>
  </si>
  <si>
    <r>
      <t xml:space="preserve">restant à prendre pour l'année en cours :             </t>
    </r>
    <r>
      <rPr>
        <b/>
        <sz val="16"/>
        <color theme="1"/>
        <rFont val="Calibri"/>
        <family val="2"/>
        <scheme val="minor"/>
      </rPr>
      <t xml:space="preserve"> G = E-F</t>
    </r>
  </si>
  <si>
    <r>
      <t xml:space="preserve">Reliquat année précédente :   Solde N-1                   </t>
    </r>
    <r>
      <rPr>
        <b/>
        <sz val="16"/>
        <color theme="1"/>
        <rFont val="Calibri"/>
        <family val="2"/>
        <scheme val="minor"/>
      </rPr>
      <t>= I</t>
    </r>
  </si>
  <si>
    <t>Bilan au 31/12 : (A+B)-(h-i+g)+g</t>
  </si>
  <si>
    <t>Jours 
travaillés</t>
  </si>
</sst>
</file>

<file path=xl/styles.xml><?xml version="1.0" encoding="utf-8"?>
<styleSheet xmlns="http://schemas.openxmlformats.org/spreadsheetml/2006/main">
  <numFmts count="5">
    <numFmt numFmtId="164" formatCode="h:mm;@"/>
    <numFmt numFmtId="165" formatCode="[$-F800]dddd\,\ mmmm\ dd\,\ yyyy"/>
    <numFmt numFmtId="166" formatCode="[$-40C]mmmm\-yy;@"/>
    <numFmt numFmtId="167" formatCode="[h]:mm"/>
    <numFmt numFmtId="168" formatCode="dddd\ dd\ mmmm\ yyyy"/>
  </numFmts>
  <fonts count="1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22"/>
      <color theme="1"/>
      <name val="Times New Roman"/>
      <family val="1"/>
    </font>
    <font>
      <sz val="36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75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vertical="center"/>
    </xf>
    <xf numFmtId="164" fontId="0" fillId="4" borderId="2" xfId="0" applyNumberFormat="1" applyFill="1" applyBorder="1"/>
    <xf numFmtId="164" fontId="0" fillId="5" borderId="5" xfId="0" applyNumberFormat="1" applyFill="1" applyBorder="1"/>
    <xf numFmtId="164" fontId="0" fillId="6" borderId="5" xfId="0" applyNumberFormat="1" applyFill="1" applyBorder="1"/>
    <xf numFmtId="0" fontId="4" fillId="5" borderId="4" xfId="0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</xf>
    <xf numFmtId="0" fontId="0" fillId="7" borderId="2" xfId="0" applyFill="1" applyBorder="1"/>
    <xf numFmtId="0" fontId="0" fillId="7" borderId="3" xfId="0" applyFill="1" applyBorder="1"/>
    <xf numFmtId="14" fontId="0" fillId="3" borderId="5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65" fontId="0" fillId="3" borderId="3" xfId="0" applyNumberFormat="1" applyFill="1" applyBorder="1" applyAlignment="1">
      <alignment horizontal="center"/>
    </xf>
    <xf numFmtId="0" fontId="1" fillId="8" borderId="2" xfId="0" applyFont="1" applyFill="1" applyBorder="1"/>
    <xf numFmtId="0" fontId="1" fillId="8" borderId="2" xfId="0" applyFont="1" applyFill="1" applyBorder="1" applyAlignment="1">
      <alignment vertical="center"/>
    </xf>
    <xf numFmtId="167" fontId="2" fillId="8" borderId="2" xfId="0" applyNumberFormat="1" applyFont="1" applyFill="1" applyBorder="1" applyAlignment="1">
      <alignment vertical="center"/>
    </xf>
    <xf numFmtId="0" fontId="10" fillId="9" borderId="0" xfId="1" applyFont="1" applyFill="1" applyBorder="1"/>
    <xf numFmtId="0" fontId="11" fillId="9" borderId="0" xfId="1" applyFont="1" applyFill="1" applyBorder="1"/>
    <xf numFmtId="168" fontId="10" fillId="9" borderId="0" xfId="1" applyNumberFormat="1" applyFont="1" applyFill="1" applyBorder="1" applyAlignment="1">
      <alignment horizontal="center"/>
    </xf>
    <xf numFmtId="165" fontId="10" fillId="9" borderId="0" xfId="1" applyNumberFormat="1" applyFont="1" applyFill="1" applyBorder="1" applyAlignment="1">
      <alignment horizontal="center"/>
    </xf>
    <xf numFmtId="0" fontId="0" fillId="11" borderId="2" xfId="0" applyFill="1" applyBorder="1"/>
    <xf numFmtId="20" fontId="0" fillId="11" borderId="2" xfId="0" applyNumberFormat="1" applyFill="1" applyBorder="1"/>
    <xf numFmtId="46" fontId="0" fillId="0" borderId="0" xfId="0" applyNumberFormat="1"/>
    <xf numFmtId="0" fontId="0" fillId="0" borderId="0" xfId="0" applyAlignment="1">
      <alignment horizontal="right"/>
    </xf>
    <xf numFmtId="167" fontId="2" fillId="8" borderId="2" xfId="0" applyNumberFormat="1" applyFont="1" applyFill="1" applyBorder="1"/>
    <xf numFmtId="0" fontId="1" fillId="8" borderId="2" xfId="0" applyFont="1" applyFill="1" applyBorder="1" applyAlignment="1">
      <alignment horizontal="right"/>
    </xf>
    <xf numFmtId="0" fontId="2" fillId="8" borderId="2" xfId="0" applyFont="1" applyFill="1" applyBorder="1"/>
    <xf numFmtId="167" fontId="2" fillId="8" borderId="2" xfId="0" applyNumberFormat="1" applyFont="1" applyFill="1" applyBorder="1" applyAlignment="1" applyProtection="1">
      <alignment vertical="center"/>
      <protection locked="0"/>
    </xf>
    <xf numFmtId="167" fontId="2" fillId="8" borderId="2" xfId="0" applyNumberFormat="1" applyFont="1" applyFill="1" applyBorder="1" applyProtection="1">
      <protection locked="0"/>
    </xf>
    <xf numFmtId="20" fontId="2" fillId="8" borderId="0" xfId="0" applyNumberFormat="1" applyFont="1" applyFill="1" applyProtection="1">
      <protection locked="0"/>
    </xf>
    <xf numFmtId="0" fontId="14" fillId="10" borderId="21" xfId="0" applyFont="1" applyFill="1" applyBorder="1" applyAlignment="1">
      <alignment horizontal="center"/>
    </xf>
    <xf numFmtId="167" fontId="14" fillId="10" borderId="22" xfId="0" applyNumberFormat="1" applyFont="1" applyFill="1" applyBorder="1"/>
    <xf numFmtId="0" fontId="0" fillId="7" borderId="5" xfId="0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2" fillId="5" borderId="0" xfId="0" applyFont="1" applyFill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0" fillId="10" borderId="2" xfId="0" applyNumberFormat="1" applyFill="1" applyBorder="1" applyAlignment="1">
      <alignment horizontal="center"/>
    </xf>
    <xf numFmtId="167" fontId="0" fillId="4" borderId="11" xfId="0" applyNumberFormat="1" applyFill="1" applyBorder="1" applyAlignment="1">
      <alignment horizontal="center"/>
    </xf>
    <xf numFmtId="167" fontId="0" fillId="4" borderId="12" xfId="0" applyNumberFormat="1" applyFill="1" applyBorder="1" applyAlignment="1">
      <alignment horizontal="center"/>
    </xf>
    <xf numFmtId="0" fontId="7" fillId="3" borderId="13" xfId="0" applyFont="1" applyFill="1" applyBorder="1" applyAlignment="1" applyProtection="1">
      <alignment horizontal="center" vertical="center"/>
    </xf>
    <xf numFmtId="0" fontId="7" fillId="3" borderId="14" xfId="0" applyFont="1" applyFill="1" applyBorder="1" applyAlignment="1" applyProtection="1">
      <alignment horizontal="center" vertical="center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 wrapText="1"/>
    </xf>
    <xf numFmtId="0" fontId="5" fillId="5" borderId="10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5" fillId="6" borderId="7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 applyProtection="1">
      <alignment horizontal="center" vertical="center"/>
    </xf>
    <xf numFmtId="0" fontId="5" fillId="5" borderId="6" xfId="0" applyFont="1" applyFill="1" applyBorder="1" applyAlignment="1" applyProtection="1">
      <alignment horizontal="center" vertical="center" wrapText="1"/>
    </xf>
    <xf numFmtId="0" fontId="5" fillId="5" borderId="7" xfId="0" applyFont="1" applyFill="1" applyBorder="1" applyAlignment="1" applyProtection="1">
      <alignment horizontal="center" vertical="center" wrapText="1"/>
    </xf>
    <xf numFmtId="0" fontId="15" fillId="3" borderId="25" xfId="0" applyFont="1" applyFill="1" applyBorder="1" applyAlignment="1" applyProtection="1">
      <alignment horizontal="center" vertical="center" wrapText="1"/>
    </xf>
    <xf numFmtId="0" fontId="15" fillId="3" borderId="26" xfId="0" applyFont="1" applyFill="1" applyBorder="1" applyAlignment="1" applyProtection="1">
      <alignment horizontal="center" vertic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166" fontId="8" fillId="3" borderId="0" xfId="0" applyNumberFormat="1" applyFont="1" applyFill="1" applyBorder="1" applyAlignment="1">
      <alignment horizontal="left" vertical="center" indent="16"/>
    </xf>
    <xf numFmtId="166" fontId="8" fillId="3" borderId="1" xfId="0" applyNumberFormat="1" applyFont="1" applyFill="1" applyBorder="1" applyAlignment="1">
      <alignment horizontal="left" vertical="center" indent="16"/>
    </xf>
    <xf numFmtId="0" fontId="6" fillId="6" borderId="19" xfId="0" applyFont="1" applyFill="1" applyBorder="1" applyAlignment="1" applyProtection="1">
      <alignment horizontal="center" vertical="center"/>
    </xf>
    <xf numFmtId="0" fontId="6" fillId="6" borderId="20" xfId="0" applyFont="1" applyFill="1" applyBorder="1" applyAlignment="1" applyProtection="1">
      <alignment horizontal="center" vertical="center"/>
    </xf>
    <xf numFmtId="0" fontId="6" fillId="6" borderId="8" xfId="0" applyFont="1" applyFill="1" applyBorder="1" applyAlignment="1" applyProtection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5" fillId="4" borderId="6" xfId="0" applyFont="1" applyFill="1" applyBorder="1" applyAlignment="1" applyProtection="1">
      <alignment horizontal="center" vertical="center"/>
    </xf>
    <xf numFmtId="0" fontId="5" fillId="4" borderId="7" xfId="0" applyFont="1" applyFill="1" applyBorder="1" applyAlignment="1" applyProtection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_feries" xfId="1"/>
  </cellStyles>
  <dxfs count="191"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 val="0"/>
        <i/>
        <color rgb="FFCC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b val="0"/>
        <i/>
        <color rgb="FFCC0000"/>
      </font>
      <fill>
        <patternFill patternType="solid">
          <bgColor theme="0"/>
        </patternFill>
      </fill>
    </dxf>
    <dxf>
      <fill>
        <patternFill>
          <bgColor rgb="FF92D050"/>
        </patternFill>
      </fill>
    </dxf>
    <dxf>
      <fill>
        <patternFill>
          <bgColor indexed="57"/>
        </patternFill>
      </fill>
    </dxf>
  </dxfs>
  <tableStyles count="0" defaultTableStyle="TableStyleMedium2" defaultPivotStyle="PivotStyleMedium9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zoomScale="70" zoomScaleNormal="70" workbookViewId="0">
      <selection activeCell="E10" sqref="E10"/>
    </sheetView>
  </sheetViews>
  <sheetFormatPr baseColWidth="10" defaultColWidth="9.109375" defaultRowHeight="14.4"/>
  <cols>
    <col min="1" max="1" width="68.44140625" bestFit="1" customWidth="1"/>
    <col min="2" max="2" width="29.6640625" customWidth="1"/>
    <col min="3" max="3" width="18.33203125" bestFit="1" customWidth="1"/>
    <col min="4" max="4" width="11.5546875" customWidth="1"/>
    <col min="5" max="5" width="27" bestFit="1" customWidth="1"/>
    <col min="6" max="6" width="14.88671875" customWidth="1"/>
  </cols>
  <sheetData>
    <row r="1" spans="1:7">
      <c r="A1" s="33" t="s">
        <v>8</v>
      </c>
      <c r="B1" s="34">
        <v>2018</v>
      </c>
      <c r="C1" s="36" t="s">
        <v>28</v>
      </c>
      <c r="D1" s="37"/>
    </row>
    <row r="2" spans="1:7">
      <c r="A2" s="33"/>
      <c r="B2" s="34"/>
      <c r="C2" s="20" t="s">
        <v>21</v>
      </c>
      <c r="D2" s="21">
        <v>0.32291666666666669</v>
      </c>
    </row>
    <row r="3" spans="1:7" ht="18">
      <c r="A3" s="38" t="s">
        <v>9</v>
      </c>
      <c r="B3" s="38"/>
      <c r="C3" s="20" t="s">
        <v>23</v>
      </c>
      <c r="D3" s="21">
        <v>0.32291666666666669</v>
      </c>
    </row>
    <row r="4" spans="1:7" ht="21">
      <c r="A4" s="13" t="s">
        <v>56</v>
      </c>
      <c r="B4" s="24">
        <f>F5+'Janvier 2018'!K38+Février!J38+Mars!J38+'Avril '!J38+Mai!J38+Juin!J38+Juillet!J38+Août!J38+Septembre!J38+Octobre!J38+Novembre!J38+Décembre!J38+B18</f>
        <v>70.412500000000023</v>
      </c>
      <c r="C4" s="20" t="s">
        <v>24</v>
      </c>
      <c r="D4" s="21">
        <v>0.32291666666666669</v>
      </c>
    </row>
    <row r="5" spans="1:7" ht="18">
      <c r="A5" s="13" t="s">
        <v>45</v>
      </c>
      <c r="B5" s="24">
        <f>'Janvier 2018'!D38+Février!C38+Mars!C38+'Avril '!C38+Mai!C38+Juin!C38+Juillet!C38+Août!C38+Septembre!C38+Octobre!C38+Novembre!C38+Décembre!C38</f>
        <v>73.572916666666686</v>
      </c>
      <c r="C5" s="20" t="s">
        <v>25</v>
      </c>
      <c r="D5" s="21">
        <v>0.32291666666666669</v>
      </c>
      <c r="E5" s="23" t="s">
        <v>50</v>
      </c>
      <c r="F5" s="22">
        <v>65.625</v>
      </c>
    </row>
    <row r="6" spans="1:7" ht="21">
      <c r="A6" s="13" t="s">
        <v>55</v>
      </c>
      <c r="B6" s="24">
        <f>'Avril '!H38+Mai!H38+Juin!H38+Juillet!H38+Août!H38+Septembre!H38+Octobre!H38+Novembre!H38+Décembre!H38+'Janvier 2018'!I38+Février!H38+Mars!H38</f>
        <v>5.0513888888888898</v>
      </c>
      <c r="C6" s="20" t="s">
        <v>22</v>
      </c>
      <c r="D6" s="21">
        <v>0.16666666666666666</v>
      </c>
      <c r="E6" s="23" t="s">
        <v>46</v>
      </c>
      <c r="F6" s="22">
        <v>1.4583333333333333</v>
      </c>
    </row>
    <row r="7" spans="1:7" ht="19.5" customHeight="1">
      <c r="A7" s="13" t="s">
        <v>47</v>
      </c>
      <c r="B7" s="24">
        <f>'Avril '!J38+Mai!J38+Juin!J38+Juillet!J38+Août!J38+Septembre!J38+Octobre!J38+Novembre!J38+Décembre!J38+'Janvier 2018'!L38+Février!J38+Mars!J38</f>
        <v>3.7187500000000004</v>
      </c>
      <c r="C7" s="20" t="s">
        <v>26</v>
      </c>
      <c r="D7" s="21">
        <v>0</v>
      </c>
    </row>
    <row r="8" spans="1:7" ht="18">
      <c r="A8" s="13" t="s">
        <v>48</v>
      </c>
      <c r="B8" s="24">
        <f>B4-B5+B7</f>
        <v>0.55833333333333757</v>
      </c>
      <c r="C8" s="20" t="s">
        <v>27</v>
      </c>
      <c r="D8" s="21">
        <v>0</v>
      </c>
    </row>
    <row r="9" spans="1:7" ht="19.5" customHeight="1">
      <c r="A9" s="13" t="s">
        <v>49</v>
      </c>
      <c r="B9" s="24">
        <f>B4-B6-B7+B21</f>
        <v>71.704861111111128</v>
      </c>
      <c r="C9" s="1"/>
      <c r="D9" s="1"/>
      <c r="E9" s="1"/>
      <c r="F9" s="1"/>
      <c r="G9" s="1"/>
    </row>
    <row r="10" spans="1:7" ht="23.25" customHeight="1">
      <c r="A10" s="38" t="s">
        <v>10</v>
      </c>
      <c r="B10" s="38"/>
      <c r="C10" s="1"/>
      <c r="D10" s="1"/>
      <c r="E10" s="1"/>
      <c r="F10" s="1"/>
      <c r="G10" s="1"/>
    </row>
    <row r="11" spans="1:7" ht="18">
      <c r="A11" s="14" t="s">
        <v>53</v>
      </c>
      <c r="B11" s="27">
        <v>3.4416666666666664</v>
      </c>
      <c r="C11" s="39" t="s">
        <v>44</v>
      </c>
      <c r="D11" s="39"/>
      <c r="E11" s="39"/>
      <c r="F11" s="2"/>
      <c r="G11" s="1"/>
    </row>
    <row r="12" spans="1:7" ht="18">
      <c r="A12" s="14" t="s">
        <v>51</v>
      </c>
      <c r="B12" s="15">
        <f>'Janvier 2018'!N38+Février!M38+Mars!M38+'Avril '!M38</f>
        <v>2.877604166666667</v>
      </c>
      <c r="C12" s="16" t="s">
        <v>37</v>
      </c>
      <c r="D12" s="17"/>
      <c r="E12" s="18">
        <f>DATE(Année,1,1)</f>
        <v>41639</v>
      </c>
      <c r="F12" s="21">
        <v>0</v>
      </c>
      <c r="G12" s="1"/>
    </row>
    <row r="13" spans="1:7" ht="18">
      <c r="A13" s="14" t="s">
        <v>11</v>
      </c>
      <c r="B13" s="15">
        <f>'Janvier 2018'!P38+Février!N38+Mars!N38+'Avril '!N38+Mai!N38+Juin!N38+Juillet!N38+Août!N38+Septembre!N38+Octobre!N38+Novembre!N38+Décembre!N38</f>
        <v>0.36527777777777781</v>
      </c>
      <c r="C13" s="16" t="s">
        <v>36</v>
      </c>
      <c r="D13" s="17"/>
      <c r="E13" s="19">
        <f>IF(MOD(19*MOD(Année,19)+24,30)+MOD(2*MOD(Année,4)+4*MOD(Année,7)+6*
MOD(19*MOD(Année,19)+24,30)+5,7)-9&lt;=0,DATE(Année,3,22+MOD(19*MOD(Année,
19)+24,30)+MOD(2*MOD(Année,4)+4*MOD(Année,7)+6*MOD(19*MOD(Année,19)+24,
30)+5,7)),DATE(Année,4,MOD(19*MOD(Année,19)+24,30)+MOD(2*MOD(Année,4)+4*
MOD(Année,7)+6*MOD(19*MOD(Année,19)+24,30)+5,7)-9))</f>
        <v>41729</v>
      </c>
      <c r="F13" s="21">
        <v>0</v>
      </c>
      <c r="G13" s="1"/>
    </row>
    <row r="14" spans="1:7" ht="18">
      <c r="A14" s="14" t="s">
        <v>12</v>
      </c>
      <c r="B14" s="15">
        <f>B11+B12-B13</f>
        <v>5.9539930555555554</v>
      </c>
      <c r="C14" s="16" t="s">
        <v>31</v>
      </c>
      <c r="D14" s="17"/>
      <c r="E14" s="19">
        <f>E13+1</f>
        <v>41730</v>
      </c>
      <c r="F14" s="21">
        <v>0</v>
      </c>
      <c r="G14" s="1"/>
    </row>
    <row r="15" spans="1:7" ht="18">
      <c r="A15" s="14" t="s">
        <v>13</v>
      </c>
      <c r="B15" s="15">
        <f>IF(B14&lt;F6,0,F6)</f>
        <v>1.4583333333333333</v>
      </c>
      <c r="C15" s="16" t="s">
        <v>35</v>
      </c>
      <c r="D15" s="17"/>
      <c r="E15" s="19">
        <f>DATE(An,5,1)</f>
        <v>41759</v>
      </c>
      <c r="F15" s="21">
        <v>0</v>
      </c>
      <c r="G15" s="1"/>
    </row>
    <row r="16" spans="1:7" ht="18">
      <c r="A16" s="14" t="s">
        <v>12</v>
      </c>
      <c r="B16" s="15">
        <f>B14-B15</f>
        <v>4.4956597222222223</v>
      </c>
      <c r="C16" s="16" t="s">
        <v>34</v>
      </c>
      <c r="D16" s="17"/>
      <c r="E16" s="19">
        <f>DATE(An,5,8)</f>
        <v>41766</v>
      </c>
      <c r="F16" s="21">
        <v>0</v>
      </c>
      <c r="G16" s="1"/>
    </row>
    <row r="17" spans="1:6" ht="18">
      <c r="A17" s="35" t="s">
        <v>15</v>
      </c>
      <c r="B17" s="35"/>
      <c r="C17" s="16" t="s">
        <v>38</v>
      </c>
      <c r="D17" s="17"/>
      <c r="E17" s="19">
        <f>E13+39</f>
        <v>41768</v>
      </c>
      <c r="F17" s="21">
        <v>0</v>
      </c>
    </row>
    <row r="18" spans="1:6" ht="21">
      <c r="A18" s="14" t="s">
        <v>61</v>
      </c>
      <c r="B18" s="28">
        <v>2.2041666666666666</v>
      </c>
      <c r="C18" s="16" t="s">
        <v>39</v>
      </c>
      <c r="D18" s="17"/>
      <c r="E18" s="18">
        <f>E13+49</f>
        <v>41778</v>
      </c>
      <c r="F18" s="21">
        <v>0</v>
      </c>
    </row>
    <row r="19" spans="1:6" ht="21">
      <c r="A19" s="14" t="s">
        <v>58</v>
      </c>
      <c r="B19" s="24">
        <v>7.875</v>
      </c>
      <c r="C19" s="16" t="s">
        <v>40</v>
      </c>
      <c r="D19" s="17"/>
      <c r="E19" s="18">
        <f>E18+1</f>
        <v>41779</v>
      </c>
      <c r="F19" s="21">
        <v>0.32291666666666669</v>
      </c>
    </row>
    <row r="20" spans="1:6" ht="21">
      <c r="A20" s="14" t="s">
        <v>57</v>
      </c>
      <c r="B20" s="24">
        <f>B15</f>
        <v>1.4583333333333333</v>
      </c>
      <c r="C20" s="16" t="s">
        <v>41</v>
      </c>
      <c r="D20" s="17"/>
      <c r="E20" s="18">
        <f>DATE(An,7,14)</f>
        <v>41833</v>
      </c>
      <c r="F20" s="21">
        <v>0</v>
      </c>
    </row>
    <row r="21" spans="1:6" ht="21">
      <c r="A21" s="14" t="s">
        <v>59</v>
      </c>
      <c r="B21" s="24">
        <f>'Janvier 2018'!L38+Février!K38+Mars!K38+'Avril '!K38+Mai!K38+Juin!K38+Juillet!K38+Août!K38+Septembre!K38+Octobre!K38+Novembre!K38+Décembre!K38</f>
        <v>10.062499999999998</v>
      </c>
      <c r="C21" s="16" t="s">
        <v>32</v>
      </c>
      <c r="D21" s="17"/>
      <c r="E21" s="18">
        <f>DATE(Année,8,15)</f>
        <v>41865</v>
      </c>
      <c r="F21" s="21">
        <v>0</v>
      </c>
    </row>
    <row r="22" spans="1:6" ht="21">
      <c r="A22" s="14" t="s">
        <v>60</v>
      </c>
      <c r="B22" s="24">
        <f>B18+B19+B20-B21</f>
        <v>1.4750000000000014</v>
      </c>
      <c r="C22" s="16" t="s">
        <v>33</v>
      </c>
      <c r="D22" s="17"/>
      <c r="E22" s="18">
        <f>DATE(Année,11,1)</f>
        <v>41943</v>
      </c>
      <c r="F22" s="21">
        <v>0</v>
      </c>
    </row>
    <row r="23" spans="1:6" ht="18">
      <c r="A23" s="14" t="s">
        <v>52</v>
      </c>
      <c r="B23" s="29">
        <v>0.32291666666666669</v>
      </c>
      <c r="C23" s="16" t="s">
        <v>42</v>
      </c>
      <c r="D23" s="17"/>
      <c r="E23" s="18">
        <f>DATE(Année,11,11)</f>
        <v>41953</v>
      </c>
      <c r="F23" s="21">
        <v>0</v>
      </c>
    </row>
    <row r="24" spans="1:6" ht="18">
      <c r="A24" s="25" t="s">
        <v>30</v>
      </c>
      <c r="B24" s="24">
        <f>(B22+B23)/7.45</f>
        <v>0.24133109619686821</v>
      </c>
      <c r="C24" s="16" t="s">
        <v>43</v>
      </c>
      <c r="D24" s="17"/>
      <c r="E24" s="18">
        <f>DATE(An,12,25)</f>
        <v>41997</v>
      </c>
      <c r="F24" s="21">
        <v>0</v>
      </c>
    </row>
    <row r="27" spans="1:6" ht="18">
      <c r="A27" s="14" t="s">
        <v>54</v>
      </c>
      <c r="B27" s="26">
        <f>Octobre!M38+Novembre!M38+Décembre!M38</f>
        <v>0</v>
      </c>
    </row>
    <row r="29" spans="1:6" ht="24" thickBot="1">
      <c r="A29" s="30" t="s">
        <v>62</v>
      </c>
      <c r="B29" s="31">
        <f>B6+B20-B4-B18+B22+B22</f>
        <v>-63.156944444444456</v>
      </c>
    </row>
    <row r="30" spans="1:6" ht="15" thickTop="1"/>
  </sheetData>
  <mergeCells count="7">
    <mergeCell ref="A1:A2"/>
    <mergeCell ref="B1:B2"/>
    <mergeCell ref="A17:B17"/>
    <mergeCell ref="C1:D1"/>
    <mergeCell ref="A3:B3"/>
    <mergeCell ref="C11:E11"/>
    <mergeCell ref="A10:B10"/>
  </mergeCells>
  <conditionalFormatting sqref="C12:E24">
    <cfRule type="expression" dxfId="190" priority="1" stopIfTrue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ignoredErrors>
    <ignoredError sqref="B1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-0.249977111117893"/>
  </sheetPr>
  <dimension ref="A1:O39"/>
  <sheetViews>
    <sheetView tabSelected="1" workbookViewId="0">
      <pane ySplit="4" topLeftCell="A5" activePane="bottomLeft" state="frozen"/>
      <selection activeCell="B36" sqref="B36"/>
      <selection pane="bottomLeft" activeCell="C5" sqref="C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3" width="8" bestFit="1" customWidth="1"/>
    <col min="4" max="9" width="14.5546875" customWidth="1"/>
    <col min="10" max="12" width="10.88671875" customWidth="1"/>
    <col min="13" max="13" width="14.33203125" customWidth="1"/>
    <col min="14" max="15" width="10.88671875" customWidth="1"/>
  </cols>
  <sheetData>
    <row r="1" spans="1:15" ht="26.25" customHeight="1">
      <c r="A1" s="58">
        <f>DATE(Année!B1,1,1)</f>
        <v>41639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9"/>
    </row>
    <row r="2" spans="1:15" ht="24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9"/>
    </row>
    <row r="3" spans="1:15" ht="30" customHeight="1">
      <c r="A3" s="42" t="s">
        <v>29</v>
      </c>
      <c r="B3" s="43"/>
      <c r="C3" s="54" t="s">
        <v>63</v>
      </c>
      <c r="D3" s="63" t="s">
        <v>0</v>
      </c>
      <c r="E3" s="60" t="s">
        <v>7</v>
      </c>
      <c r="F3" s="61"/>
      <c r="G3" s="61"/>
      <c r="H3" s="61"/>
      <c r="I3" s="62"/>
      <c r="J3" s="50" t="s">
        <v>1</v>
      </c>
      <c r="K3" s="48" t="s">
        <v>17</v>
      </c>
      <c r="L3" s="50" t="s">
        <v>5</v>
      </c>
      <c r="M3" s="48" t="s">
        <v>18</v>
      </c>
      <c r="N3" s="52" t="s">
        <v>6</v>
      </c>
      <c r="O3" s="46" t="s">
        <v>14</v>
      </c>
    </row>
    <row r="4" spans="1:15" ht="30.75" customHeight="1" thickBot="1">
      <c r="A4" s="44"/>
      <c r="B4" s="45"/>
      <c r="C4" s="55"/>
      <c r="D4" s="64"/>
      <c r="E4" s="6" t="s">
        <v>2</v>
      </c>
      <c r="F4" s="6" t="s">
        <v>20</v>
      </c>
      <c r="G4" s="7" t="s">
        <v>19</v>
      </c>
      <c r="H4" s="6" t="s">
        <v>3</v>
      </c>
      <c r="I4" s="7" t="s">
        <v>4</v>
      </c>
      <c r="J4" s="51"/>
      <c r="K4" s="49"/>
      <c r="L4" s="51"/>
      <c r="M4" s="49"/>
      <c r="N4" s="53"/>
      <c r="O4" s="47"/>
    </row>
    <row r="5" spans="1:15">
      <c r="A5" s="32" t="str">
        <f>CHOOSE(WEEKDAY(B5),"Dimanche","Lundi","Mardi","Mercredi","Jeudi","Vendredi","Samedi")</f>
        <v>Lundi</v>
      </c>
      <c r="B5" s="10">
        <f t="shared" ref="B5:B35" si="0">DATE(An,1,ROW(1:31))</f>
        <v>41639</v>
      </c>
      <c r="C5" s="32">
        <f>IF(G5="","",--(G5&gt;0))</f>
        <v>0</v>
      </c>
      <c r="D5" s="3">
        <f>IFERROR((VLOOKUP(B5,Fériés:Fériés,2,0)),VLOOKUP(A5,Année!$C$2:$C$8:'Année'!$D$2:$D$8,2,0))</f>
        <v>0</v>
      </c>
      <c r="E5" s="4"/>
      <c r="F5" s="4"/>
      <c r="G5" s="5">
        <f>IF(L5="",D5,0)</f>
        <v>0</v>
      </c>
      <c r="H5" s="4"/>
      <c r="I5" s="5"/>
      <c r="J5" s="5"/>
      <c r="K5" s="5">
        <f t="shared" ref="K5:K35" si="1">IF(D5=0,VLOOKUP(A5,Horaires,2,FALSE)," ")</f>
        <v>0.32291666666666669</v>
      </c>
      <c r="L5" s="5"/>
      <c r="M5" s="5" t="str">
        <f t="shared" ref="M5:M35" si="2">IF(A5="dimanche","",IF(A5="samedi","",IF(G5&lt;=0,"",(IF(I5="",G5-D5,I5-D5))+(J5+L5+O5))))</f>
        <v/>
      </c>
      <c r="N5" s="4" t="str">
        <f t="shared" ref="N5:N35" si="3">IF(E5="","",IF(AND(A5="Dimanche",E5&gt;0),SUM(E5*2.5+(F5+G5+H5)*2),IF(A5="samedi",SUM(E5*2.5,F5*1.25,H5*1.25,G5*1.25),SUM(E5*2.5,F5*1.25,H5*1.25,))))</f>
        <v/>
      </c>
      <c r="O5" s="4" t="str">
        <f>IF(G5="","",IF((G5+J5+L5)&gt;=D5,"0:00",D5-G5))</f>
        <v>0:00</v>
      </c>
    </row>
    <row r="6" spans="1:15">
      <c r="A6" s="8" t="str">
        <f>CHOOSE(WEEKDAY(B6),"Dimanche","Lundi","Mardi","Mercredi","Jeudi","Vendredi","Samedi")</f>
        <v>Mardi</v>
      </c>
      <c r="B6" s="10">
        <f t="shared" si="0"/>
        <v>41640</v>
      </c>
      <c r="C6" s="32">
        <f t="shared" ref="C6:C37" si="4">IF(G6="","",--(G6&gt;0))</f>
        <v>1</v>
      </c>
      <c r="D6" s="3">
        <f>IFERROR((VLOOKUP(B6,Fériés:Fériés,2,0)),VLOOKUP(A6,Année!$C$2:$C$8:'Année'!$D$2:$D$8,2,0))</f>
        <v>0.32291666666666669</v>
      </c>
      <c r="E6" s="4"/>
      <c r="F6" s="4"/>
      <c r="G6" s="5">
        <f t="shared" ref="G6:G35" si="5">IF(L6="",D6,0)</f>
        <v>0.32291666666666669</v>
      </c>
      <c r="H6" s="4"/>
      <c r="I6" s="5">
        <v>0.32500000000000001</v>
      </c>
      <c r="J6" s="5"/>
      <c r="K6" s="5" t="str">
        <f t="shared" si="1"/>
        <v xml:space="preserve"> </v>
      </c>
      <c r="L6" s="5"/>
      <c r="M6" s="5">
        <f t="shared" si="2"/>
        <v>2.0833333333333259E-3</v>
      </c>
      <c r="N6" s="4" t="str">
        <f t="shared" si="3"/>
        <v/>
      </c>
      <c r="O6" s="4" t="str">
        <f t="shared" ref="O6:O35" si="6">IF(G6="","",IF((G6+J6+L6)&gt;=D6,"0:00",D6-G6))</f>
        <v>0:00</v>
      </c>
    </row>
    <row r="7" spans="1:15">
      <c r="A7" s="8" t="str">
        <f>CHOOSE(WEEKDAY(B7),"Dimanche","Lundi","Mardi","Mercredi","Jeudi","Vendredi","Samedi")</f>
        <v>Mercredi</v>
      </c>
      <c r="B7" s="10">
        <f t="shared" si="0"/>
        <v>41641</v>
      </c>
      <c r="C7" s="32">
        <f t="shared" si="4"/>
        <v>1</v>
      </c>
      <c r="D7" s="3">
        <f>IFERROR((VLOOKUP(B7,Fériés:Fériés,2,0)),VLOOKUP(A7,Année!$C$2:$C$8:'Année'!$D$2:$D$8,2,0))</f>
        <v>0.32291666666666669</v>
      </c>
      <c r="E7" s="4"/>
      <c r="F7" s="4"/>
      <c r="G7" s="5">
        <f t="shared" si="5"/>
        <v>0.32291666666666669</v>
      </c>
      <c r="H7" s="4"/>
      <c r="I7" s="5">
        <v>0.32500000000000001</v>
      </c>
      <c r="J7" s="5"/>
      <c r="K7" s="5" t="str">
        <f t="shared" si="1"/>
        <v xml:space="preserve"> </v>
      </c>
      <c r="L7" s="5"/>
      <c r="M7" s="5">
        <f t="shared" si="2"/>
        <v>2.0833333333333259E-3</v>
      </c>
      <c r="N7" s="4" t="str">
        <f t="shared" si="3"/>
        <v/>
      </c>
      <c r="O7" s="4" t="str">
        <f t="shared" si="6"/>
        <v>0:00</v>
      </c>
    </row>
    <row r="8" spans="1:15">
      <c r="A8" s="8" t="str">
        <f>CHOOSE(WEEKDAY(B8),"Dimanche","Lundi","Mardi","Mercredi","Jeudi","Vendredi","Samedi")</f>
        <v>Jeudi</v>
      </c>
      <c r="B8" s="10">
        <f t="shared" si="0"/>
        <v>41642</v>
      </c>
      <c r="C8" s="32">
        <f t="shared" si="4"/>
        <v>1</v>
      </c>
      <c r="D8" s="3">
        <f>IFERROR((VLOOKUP(B8,Fériés:Fériés,2,0)),VLOOKUP(A8,Année!$C$2:$C$8:'Année'!$D$2:$D$8,2,0))</f>
        <v>0.32291666666666669</v>
      </c>
      <c r="E8" s="4"/>
      <c r="F8" s="4"/>
      <c r="G8" s="5">
        <f t="shared" si="5"/>
        <v>0.32291666666666669</v>
      </c>
      <c r="H8" s="4"/>
      <c r="I8" s="5">
        <v>0.32361111111111113</v>
      </c>
      <c r="J8" s="5"/>
      <c r="K8" s="5" t="str">
        <f t="shared" si="1"/>
        <v xml:space="preserve"> </v>
      </c>
      <c r="L8" s="5"/>
      <c r="M8" s="5">
        <f t="shared" si="2"/>
        <v>6.9444444444444198E-4</v>
      </c>
      <c r="N8" s="4" t="str">
        <f t="shared" si="3"/>
        <v/>
      </c>
      <c r="O8" s="4" t="str">
        <f t="shared" si="6"/>
        <v>0:00</v>
      </c>
    </row>
    <row r="9" spans="1:15">
      <c r="A9" s="8" t="str">
        <f>CHOOSE(WEEKDAY(B9),"Dimanche","Lundi","Mardi","Mercredi","Jeudi","Vendredi","Samedi")</f>
        <v>Vendredi</v>
      </c>
      <c r="B9" s="10">
        <f t="shared" si="0"/>
        <v>41643</v>
      </c>
      <c r="C9" s="32">
        <f t="shared" si="4"/>
        <v>1</v>
      </c>
      <c r="D9" s="3">
        <f>IFERROR((VLOOKUP(B9,Fériés:Fériés,2,0)),VLOOKUP(A9,Année!$C$2:$C$8:'Année'!$D$2:$D$8,2,0))</f>
        <v>0.16666666666666666</v>
      </c>
      <c r="E9" s="4"/>
      <c r="F9" s="4"/>
      <c r="G9" s="5">
        <f t="shared" si="5"/>
        <v>0.16666666666666666</v>
      </c>
      <c r="H9" s="4"/>
      <c r="I9" s="5">
        <v>0.16874999999999998</v>
      </c>
      <c r="J9" s="5"/>
      <c r="K9" s="5" t="str">
        <f t="shared" si="1"/>
        <v xml:space="preserve"> </v>
      </c>
      <c r="L9" s="5"/>
      <c r="M9" s="5">
        <f t="shared" si="2"/>
        <v>2.0833333333333259E-3</v>
      </c>
      <c r="N9" s="4" t="str">
        <f t="shared" si="3"/>
        <v/>
      </c>
      <c r="O9" s="4" t="str">
        <f t="shared" si="6"/>
        <v>0:00</v>
      </c>
    </row>
    <row r="10" spans="1:15">
      <c r="A10" s="8" t="str">
        <f t="shared" ref="A10:A35" si="7">CHOOSE(WEEKDAY(B10),"Dimanche","Lundi","Mardi","Mercredi","Jeudi","Vendredi","Samedi")</f>
        <v>Samedi</v>
      </c>
      <c r="B10" s="10">
        <f t="shared" si="0"/>
        <v>41644</v>
      </c>
      <c r="C10" s="32">
        <f t="shared" si="4"/>
        <v>0</v>
      </c>
      <c r="D10" s="3">
        <f>IFERROR((VLOOKUP(B10,Fériés:Fériés,2,0)),VLOOKUP(A10,Année!$C$2:$C$8:'Année'!$D$2:$D$8,2,0))</f>
        <v>0</v>
      </c>
      <c r="E10" s="4"/>
      <c r="F10" s="4"/>
      <c r="G10" s="5">
        <f t="shared" si="5"/>
        <v>0</v>
      </c>
      <c r="H10" s="4"/>
      <c r="I10" s="5"/>
      <c r="J10" s="5"/>
      <c r="K10" s="5">
        <f t="shared" si="1"/>
        <v>0</v>
      </c>
      <c r="L10" s="5"/>
      <c r="M10" s="5" t="str">
        <f t="shared" si="2"/>
        <v/>
      </c>
      <c r="N10" s="4" t="str">
        <f t="shared" si="3"/>
        <v/>
      </c>
      <c r="O10" s="4" t="str">
        <f t="shared" si="6"/>
        <v>0:00</v>
      </c>
    </row>
    <row r="11" spans="1:15">
      <c r="A11" s="8" t="str">
        <f t="shared" si="7"/>
        <v>Dimanche</v>
      </c>
      <c r="B11" s="10">
        <f t="shared" si="0"/>
        <v>41645</v>
      </c>
      <c r="C11" s="32">
        <f t="shared" si="4"/>
        <v>0</v>
      </c>
      <c r="D11" s="3">
        <f>IFERROR((VLOOKUP(B11,Fériés:Fériés,2,0)),VLOOKUP(A11,Année!$C$2:$C$8:'Année'!$D$2:$D$8,2,0))</f>
        <v>0</v>
      </c>
      <c r="E11" s="4"/>
      <c r="F11" s="4"/>
      <c r="G11" s="5">
        <f t="shared" si="5"/>
        <v>0</v>
      </c>
      <c r="H11" s="4"/>
      <c r="I11" s="5"/>
      <c r="J11" s="5"/>
      <c r="K11" s="5">
        <f t="shared" si="1"/>
        <v>0</v>
      </c>
      <c r="L11" s="5"/>
      <c r="M11" s="5" t="str">
        <f t="shared" si="2"/>
        <v/>
      </c>
      <c r="N11" s="4" t="str">
        <f t="shared" si="3"/>
        <v/>
      </c>
      <c r="O11" s="4" t="str">
        <f t="shared" si="6"/>
        <v>0:00</v>
      </c>
    </row>
    <row r="12" spans="1:15">
      <c r="A12" s="8" t="str">
        <f t="shared" si="7"/>
        <v>Lundi</v>
      </c>
      <c r="B12" s="10">
        <f t="shared" si="0"/>
        <v>41646</v>
      </c>
      <c r="C12" s="32">
        <f t="shared" si="4"/>
        <v>1</v>
      </c>
      <c r="D12" s="3">
        <f>IFERROR((VLOOKUP(B12,Fériés:Fériés,2,0)),VLOOKUP(A12,Année!$C$2:$C$8:'Année'!$D$2:$D$8,2,0))</f>
        <v>0.32291666666666669</v>
      </c>
      <c r="E12" s="4"/>
      <c r="F12" s="4"/>
      <c r="G12" s="5">
        <f t="shared" si="5"/>
        <v>0.32291666666666669</v>
      </c>
      <c r="H12" s="4"/>
      <c r="I12" s="5">
        <v>0.32430555555555557</v>
      </c>
      <c r="J12" s="5"/>
      <c r="K12" s="5" t="str">
        <f t="shared" si="1"/>
        <v xml:space="preserve"> </v>
      </c>
      <c r="L12" s="5"/>
      <c r="M12" s="5">
        <f t="shared" si="2"/>
        <v>1.388888888888884E-3</v>
      </c>
      <c r="N12" s="4" t="str">
        <f t="shared" si="3"/>
        <v/>
      </c>
      <c r="O12" s="4" t="str">
        <f t="shared" si="6"/>
        <v>0:00</v>
      </c>
    </row>
    <row r="13" spans="1:15">
      <c r="A13" s="8" t="str">
        <f t="shared" si="7"/>
        <v>Mardi</v>
      </c>
      <c r="B13" s="10">
        <f t="shared" si="0"/>
        <v>41647</v>
      </c>
      <c r="C13" s="32">
        <f t="shared" si="4"/>
        <v>1</v>
      </c>
      <c r="D13" s="3">
        <f>IFERROR((VLOOKUP(B13,Fériés:Fériés,2,0)),VLOOKUP(A13,Année!$C$2:$C$8:'Année'!$D$2:$D$8,2,0))</f>
        <v>0.32291666666666669</v>
      </c>
      <c r="E13" s="4"/>
      <c r="F13" s="4"/>
      <c r="G13" s="5">
        <f t="shared" si="5"/>
        <v>0.32291666666666669</v>
      </c>
      <c r="H13" s="4"/>
      <c r="I13" s="5">
        <v>0.32430555555555557</v>
      </c>
      <c r="J13" s="5"/>
      <c r="K13" s="5" t="str">
        <f t="shared" si="1"/>
        <v xml:space="preserve"> </v>
      </c>
      <c r="L13" s="5"/>
      <c r="M13" s="5">
        <f t="shared" si="2"/>
        <v>1.388888888888884E-3</v>
      </c>
      <c r="N13" s="4" t="str">
        <f t="shared" si="3"/>
        <v/>
      </c>
      <c r="O13" s="4" t="str">
        <f t="shared" si="6"/>
        <v>0:00</v>
      </c>
    </row>
    <row r="14" spans="1:15">
      <c r="A14" s="8" t="str">
        <f t="shared" si="7"/>
        <v>Mercredi</v>
      </c>
      <c r="B14" s="10">
        <f t="shared" si="0"/>
        <v>41648</v>
      </c>
      <c r="C14" s="32">
        <f t="shared" si="4"/>
        <v>1</v>
      </c>
      <c r="D14" s="3">
        <f>IFERROR((VLOOKUP(B14,Fériés:Fériés,2,0)),VLOOKUP(A14,Année!$C$2:$C$8:'Année'!$D$2:$D$8,2,0))</f>
        <v>0.32291666666666669</v>
      </c>
      <c r="E14" s="4"/>
      <c r="F14" s="4"/>
      <c r="G14" s="5">
        <f t="shared" si="5"/>
        <v>0.32291666666666669</v>
      </c>
      <c r="H14" s="4"/>
      <c r="I14" s="5">
        <v>0.32708333333333334</v>
      </c>
      <c r="J14" s="5"/>
      <c r="K14" s="5" t="str">
        <f t="shared" si="1"/>
        <v xml:space="preserve"> </v>
      </c>
      <c r="L14" s="5"/>
      <c r="M14" s="5">
        <f t="shared" si="2"/>
        <v>4.1666666666666519E-3</v>
      </c>
      <c r="N14" s="4" t="str">
        <f t="shared" si="3"/>
        <v/>
      </c>
      <c r="O14" s="4" t="str">
        <f t="shared" si="6"/>
        <v>0:00</v>
      </c>
    </row>
    <row r="15" spans="1:15">
      <c r="A15" s="8" t="str">
        <f t="shared" si="7"/>
        <v>Jeudi</v>
      </c>
      <c r="B15" s="10">
        <f t="shared" si="0"/>
        <v>41649</v>
      </c>
      <c r="C15" s="32">
        <f t="shared" si="4"/>
        <v>1</v>
      </c>
      <c r="D15" s="3">
        <f>IFERROR((VLOOKUP(B15,Fériés:Fériés,2,0)),VLOOKUP(A15,Année!$C$2:$C$8:'Année'!$D$2:$D$8,2,0))</f>
        <v>0.32291666666666669</v>
      </c>
      <c r="E15" s="4"/>
      <c r="F15" s="4"/>
      <c r="G15" s="5">
        <f t="shared" si="5"/>
        <v>0.32291666666666669</v>
      </c>
      <c r="H15" s="4"/>
      <c r="I15" s="5">
        <v>0.32430555555555557</v>
      </c>
      <c r="J15" s="5"/>
      <c r="K15" s="5" t="str">
        <f t="shared" si="1"/>
        <v xml:space="preserve"> </v>
      </c>
      <c r="L15" s="5"/>
      <c r="M15" s="5">
        <f t="shared" si="2"/>
        <v>1.388888888888884E-3</v>
      </c>
      <c r="N15" s="4" t="str">
        <f t="shared" si="3"/>
        <v/>
      </c>
      <c r="O15" s="4" t="str">
        <f t="shared" si="6"/>
        <v>0:00</v>
      </c>
    </row>
    <row r="16" spans="1:15">
      <c r="A16" s="8" t="str">
        <f t="shared" si="7"/>
        <v>Vendredi</v>
      </c>
      <c r="B16" s="10">
        <f t="shared" si="0"/>
        <v>41650</v>
      </c>
      <c r="C16" s="32">
        <f t="shared" si="4"/>
        <v>1</v>
      </c>
      <c r="D16" s="3">
        <f>IFERROR((VLOOKUP(B16,Fériés:Fériés,2,0)),VLOOKUP(A16,Année!$C$2:$C$8:'Année'!$D$2:$D$8,2,0))</f>
        <v>0.16666666666666666</v>
      </c>
      <c r="E16" s="4"/>
      <c r="F16" s="4"/>
      <c r="G16" s="5">
        <v>0.16666666666666666</v>
      </c>
      <c r="H16" s="4"/>
      <c r="I16" s="5">
        <v>0.17013888888888887</v>
      </c>
      <c r="J16" s="5"/>
      <c r="K16" s="5" t="str">
        <f t="shared" si="1"/>
        <v xml:space="preserve"> </v>
      </c>
      <c r="L16" s="5"/>
      <c r="M16" s="5">
        <f t="shared" si="2"/>
        <v>3.4722222222222099E-3</v>
      </c>
      <c r="N16" s="4" t="str">
        <f t="shared" si="3"/>
        <v/>
      </c>
      <c r="O16" s="4" t="str">
        <f t="shared" si="6"/>
        <v>0:00</v>
      </c>
    </row>
    <row r="17" spans="1:15">
      <c r="A17" s="8" t="str">
        <f t="shared" si="7"/>
        <v>Samedi</v>
      </c>
      <c r="B17" s="10">
        <f t="shared" si="0"/>
        <v>41651</v>
      </c>
      <c r="C17" s="32">
        <f t="shared" si="4"/>
        <v>0</v>
      </c>
      <c r="D17" s="3">
        <f>IFERROR((VLOOKUP(B17,Fériés:Fériés,2,0)),VLOOKUP(A17,Année!$C$2:$C$8:'Année'!$D$2:$D$8,2,0))</f>
        <v>0</v>
      </c>
      <c r="E17" s="4"/>
      <c r="F17" s="4"/>
      <c r="G17" s="5">
        <f t="shared" si="5"/>
        <v>0</v>
      </c>
      <c r="H17" s="4"/>
      <c r="I17" s="5"/>
      <c r="J17" s="5"/>
      <c r="K17" s="5">
        <f t="shared" si="1"/>
        <v>0</v>
      </c>
      <c r="L17" s="5"/>
      <c r="M17" s="5" t="str">
        <f t="shared" si="2"/>
        <v/>
      </c>
      <c r="N17" s="4" t="str">
        <f t="shared" si="3"/>
        <v/>
      </c>
      <c r="O17" s="4" t="str">
        <f t="shared" si="6"/>
        <v>0:00</v>
      </c>
    </row>
    <row r="18" spans="1:15">
      <c r="A18" s="8" t="str">
        <f t="shared" si="7"/>
        <v>Dimanche</v>
      </c>
      <c r="B18" s="10">
        <f t="shared" si="0"/>
        <v>41652</v>
      </c>
      <c r="C18" s="32">
        <f t="shared" si="4"/>
        <v>0</v>
      </c>
      <c r="D18" s="3">
        <f>IFERROR((VLOOKUP(B18,Fériés:Fériés,2,0)),VLOOKUP(A18,Année!$C$2:$C$8:'Année'!$D$2:$D$8,2,0))</f>
        <v>0</v>
      </c>
      <c r="E18" s="4"/>
      <c r="F18" s="4"/>
      <c r="G18" s="5">
        <f t="shared" si="5"/>
        <v>0</v>
      </c>
      <c r="H18" s="4"/>
      <c r="I18" s="5"/>
      <c r="J18" s="5"/>
      <c r="K18" s="5">
        <f t="shared" si="1"/>
        <v>0</v>
      </c>
      <c r="L18" s="5"/>
      <c r="M18" s="5" t="str">
        <f t="shared" si="2"/>
        <v/>
      </c>
      <c r="N18" s="4" t="str">
        <f t="shared" si="3"/>
        <v/>
      </c>
      <c r="O18" s="4" t="str">
        <f t="shared" si="6"/>
        <v>0:00</v>
      </c>
    </row>
    <row r="19" spans="1:15">
      <c r="A19" s="8" t="str">
        <f t="shared" si="7"/>
        <v>Lundi</v>
      </c>
      <c r="B19" s="10">
        <f t="shared" si="0"/>
        <v>41653</v>
      </c>
      <c r="C19" s="32">
        <f t="shared" si="4"/>
        <v>0</v>
      </c>
      <c r="D19" s="3">
        <f>IFERROR((VLOOKUP(B19,Fériés:Fériés,2,0)),VLOOKUP(A19,Année!$C$2:$C$8:'Année'!$D$2:$D$8,2,0))</f>
        <v>0.32291666666666669</v>
      </c>
      <c r="E19" s="4"/>
      <c r="F19" s="4"/>
      <c r="G19" s="5">
        <f t="shared" si="5"/>
        <v>0</v>
      </c>
      <c r="H19" s="4"/>
      <c r="I19" s="5"/>
      <c r="J19" s="5"/>
      <c r="K19" s="5" t="str">
        <f t="shared" si="1"/>
        <v xml:space="preserve"> </v>
      </c>
      <c r="L19" s="5">
        <v>0.32291666666666669</v>
      </c>
      <c r="M19" s="5" t="str">
        <f t="shared" si="2"/>
        <v/>
      </c>
      <c r="N19" s="4" t="str">
        <f t="shared" si="3"/>
        <v/>
      </c>
      <c r="O19" s="4" t="str">
        <f t="shared" si="6"/>
        <v>0:00</v>
      </c>
    </row>
    <row r="20" spans="1:15">
      <c r="A20" s="8" t="str">
        <f t="shared" si="7"/>
        <v>Mardi</v>
      </c>
      <c r="B20" s="10">
        <f t="shared" si="0"/>
        <v>41654</v>
      </c>
      <c r="C20" s="32">
        <f t="shared" si="4"/>
        <v>0</v>
      </c>
      <c r="D20" s="3">
        <f>IFERROR((VLOOKUP(B20,Fériés:Fériés,2,0)),VLOOKUP(A20,Année!$C$2:$C$8:'Année'!$D$2:$D$8,2,0))</f>
        <v>0.32291666666666669</v>
      </c>
      <c r="E20" s="4"/>
      <c r="F20" s="4"/>
      <c r="G20" s="5">
        <f t="shared" si="5"/>
        <v>0</v>
      </c>
      <c r="H20" s="4"/>
      <c r="I20" s="5"/>
      <c r="J20" s="5"/>
      <c r="K20" s="5" t="str">
        <f t="shared" si="1"/>
        <v xml:space="preserve"> </v>
      </c>
      <c r="L20" s="5">
        <v>0.32291666666666669</v>
      </c>
      <c r="M20" s="5" t="str">
        <f t="shared" si="2"/>
        <v/>
      </c>
      <c r="N20" s="4" t="str">
        <f t="shared" si="3"/>
        <v/>
      </c>
      <c r="O20" s="4" t="str">
        <f t="shared" si="6"/>
        <v>0:00</v>
      </c>
    </row>
    <row r="21" spans="1:15">
      <c r="A21" s="8" t="str">
        <f t="shared" si="7"/>
        <v>Mercredi</v>
      </c>
      <c r="B21" s="10">
        <f t="shared" si="0"/>
        <v>41655</v>
      </c>
      <c r="C21" s="32">
        <f t="shared" si="4"/>
        <v>0</v>
      </c>
      <c r="D21" s="3">
        <f>IFERROR((VLOOKUP(B21,Fériés:Fériés,2,0)),VLOOKUP(A21,Année!$C$2:$C$8:'Année'!$D$2:$D$8,2,0))</f>
        <v>0.32291666666666669</v>
      </c>
      <c r="E21" s="4"/>
      <c r="F21" s="4"/>
      <c r="G21" s="5">
        <f t="shared" si="5"/>
        <v>0</v>
      </c>
      <c r="H21" s="4"/>
      <c r="I21" s="5"/>
      <c r="J21" s="5"/>
      <c r="K21" s="5" t="str">
        <f t="shared" si="1"/>
        <v xml:space="preserve"> </v>
      </c>
      <c r="L21" s="5">
        <v>0.32291666666666669</v>
      </c>
      <c r="M21" s="5" t="str">
        <f t="shared" si="2"/>
        <v/>
      </c>
      <c r="N21" s="4" t="str">
        <f t="shared" si="3"/>
        <v/>
      </c>
      <c r="O21" s="4" t="str">
        <f t="shared" si="6"/>
        <v>0:00</v>
      </c>
    </row>
    <row r="22" spans="1:15">
      <c r="A22" s="8" t="str">
        <f t="shared" si="7"/>
        <v>Jeudi</v>
      </c>
      <c r="B22" s="10">
        <f t="shared" si="0"/>
        <v>41656</v>
      </c>
      <c r="C22" s="32">
        <f t="shared" si="4"/>
        <v>0</v>
      </c>
      <c r="D22" s="3">
        <f>IFERROR((VLOOKUP(B22,Fériés:Fériés,2,0)),VLOOKUP(A22,Année!$C$2:$C$8:'Année'!$D$2:$D$8,2,0))</f>
        <v>0.32291666666666669</v>
      </c>
      <c r="E22" s="4"/>
      <c r="F22" s="4"/>
      <c r="G22" s="5">
        <f t="shared" si="5"/>
        <v>0</v>
      </c>
      <c r="H22" s="4"/>
      <c r="I22" s="5"/>
      <c r="J22" s="5"/>
      <c r="K22" s="5" t="str">
        <f t="shared" si="1"/>
        <v xml:space="preserve"> </v>
      </c>
      <c r="L22" s="5">
        <v>0.32291666666666669</v>
      </c>
      <c r="M22" s="5" t="str">
        <f t="shared" si="2"/>
        <v/>
      </c>
      <c r="N22" s="4" t="str">
        <f t="shared" si="3"/>
        <v/>
      </c>
      <c r="O22" s="4" t="str">
        <f t="shared" si="6"/>
        <v>0:00</v>
      </c>
    </row>
    <row r="23" spans="1:15">
      <c r="A23" s="8" t="str">
        <f t="shared" si="7"/>
        <v>Vendredi</v>
      </c>
      <c r="B23" s="10">
        <f t="shared" si="0"/>
        <v>41657</v>
      </c>
      <c r="C23" s="32">
        <f t="shared" si="4"/>
        <v>0</v>
      </c>
      <c r="D23" s="3">
        <f>IFERROR((VLOOKUP(B23,Fériés:Fériés,2,0)),VLOOKUP(A23,Année!$C$2:$C$8:'Année'!$D$2:$D$8,2,0))</f>
        <v>0.16666666666666666</v>
      </c>
      <c r="E23" s="4"/>
      <c r="F23" s="4"/>
      <c r="G23" s="5">
        <f t="shared" si="5"/>
        <v>0</v>
      </c>
      <c r="H23" s="4"/>
      <c r="I23" s="5"/>
      <c r="J23" s="5"/>
      <c r="K23" s="5" t="str">
        <f t="shared" si="1"/>
        <v xml:space="preserve"> </v>
      </c>
      <c r="L23" s="5">
        <v>0.16666666666666666</v>
      </c>
      <c r="M23" s="5" t="str">
        <f t="shared" si="2"/>
        <v/>
      </c>
      <c r="N23" s="4" t="str">
        <f t="shared" si="3"/>
        <v/>
      </c>
      <c r="O23" s="4" t="str">
        <f t="shared" si="6"/>
        <v>0:00</v>
      </c>
    </row>
    <row r="24" spans="1:15">
      <c r="A24" s="8" t="str">
        <f t="shared" si="7"/>
        <v>Samedi</v>
      </c>
      <c r="B24" s="10">
        <f t="shared" si="0"/>
        <v>41658</v>
      </c>
      <c r="C24" s="32">
        <f t="shared" si="4"/>
        <v>0</v>
      </c>
      <c r="D24" s="3">
        <f>IFERROR((VLOOKUP(B24,Fériés:Fériés,2,0)),VLOOKUP(A24,Année!$C$2:$C$8:'Année'!$D$2:$D$8,2,0))</f>
        <v>0</v>
      </c>
      <c r="E24" s="4"/>
      <c r="F24" s="4"/>
      <c r="G24" s="5">
        <f t="shared" si="5"/>
        <v>0</v>
      </c>
      <c r="H24" s="4"/>
      <c r="I24" s="5"/>
      <c r="J24" s="5"/>
      <c r="K24" s="5">
        <f t="shared" si="1"/>
        <v>0</v>
      </c>
      <c r="L24" s="5"/>
      <c r="M24" s="5" t="str">
        <f t="shared" si="2"/>
        <v/>
      </c>
      <c r="N24" s="4" t="str">
        <f t="shared" si="3"/>
        <v/>
      </c>
      <c r="O24" s="4" t="str">
        <f t="shared" si="6"/>
        <v>0:00</v>
      </c>
    </row>
    <row r="25" spans="1:15">
      <c r="A25" s="8" t="str">
        <f t="shared" si="7"/>
        <v>Dimanche</v>
      </c>
      <c r="B25" s="10">
        <f t="shared" si="0"/>
        <v>41659</v>
      </c>
      <c r="C25" s="32">
        <f t="shared" si="4"/>
        <v>0</v>
      </c>
      <c r="D25" s="3">
        <f>IFERROR((VLOOKUP(B25,Fériés:Fériés,2,0)),VLOOKUP(A25,Année!$C$2:$C$8:'Année'!$D$2:$D$8,2,0))</f>
        <v>0</v>
      </c>
      <c r="E25" s="4"/>
      <c r="F25" s="4"/>
      <c r="G25" s="5">
        <f t="shared" si="5"/>
        <v>0</v>
      </c>
      <c r="H25" s="4"/>
      <c r="I25" s="5"/>
      <c r="J25" s="5"/>
      <c r="K25" s="5">
        <f t="shared" si="1"/>
        <v>0</v>
      </c>
      <c r="L25" s="5"/>
      <c r="M25" s="5" t="str">
        <f t="shared" si="2"/>
        <v/>
      </c>
      <c r="N25" s="4" t="str">
        <f t="shared" si="3"/>
        <v/>
      </c>
      <c r="O25" s="4" t="str">
        <f t="shared" si="6"/>
        <v>0:00</v>
      </c>
    </row>
    <row r="26" spans="1:15">
      <c r="A26" s="8" t="str">
        <f t="shared" si="7"/>
        <v>Lundi</v>
      </c>
      <c r="B26" s="10">
        <f t="shared" si="0"/>
        <v>41660</v>
      </c>
      <c r="C26" s="32">
        <f t="shared" si="4"/>
        <v>1</v>
      </c>
      <c r="D26" s="3">
        <f>IFERROR((VLOOKUP(B26,Fériés:Fériés,2,0)),VLOOKUP(A26,Année!$C$2:$C$8:'Année'!$D$2:$D$8,2,0))</f>
        <v>0.32291666666666669</v>
      </c>
      <c r="E26" s="4"/>
      <c r="F26" s="4"/>
      <c r="G26" s="5">
        <f t="shared" si="5"/>
        <v>0.32291666666666669</v>
      </c>
      <c r="H26" s="4"/>
      <c r="I26" s="5">
        <v>0.3263888888888889</v>
      </c>
      <c r="J26" s="5"/>
      <c r="K26" s="5" t="str">
        <f t="shared" si="1"/>
        <v xml:space="preserve"> </v>
      </c>
      <c r="L26" s="5"/>
      <c r="M26" s="5">
        <f t="shared" si="2"/>
        <v>3.4722222222222099E-3</v>
      </c>
      <c r="N26" s="4" t="str">
        <f t="shared" si="3"/>
        <v/>
      </c>
      <c r="O26" s="4" t="str">
        <f t="shared" si="6"/>
        <v>0:00</v>
      </c>
    </row>
    <row r="27" spans="1:15">
      <c r="A27" s="8" t="str">
        <f t="shared" si="7"/>
        <v>Mardi</v>
      </c>
      <c r="B27" s="10">
        <f t="shared" si="0"/>
        <v>41661</v>
      </c>
      <c r="C27" s="32">
        <f t="shared" si="4"/>
        <v>1</v>
      </c>
      <c r="D27" s="3">
        <f>IFERROR((VLOOKUP(B27,Fériés:Fériés,2,0)),VLOOKUP(A27,Année!$C$2:$C$8:'Année'!$D$2:$D$8,2,0))</f>
        <v>0.32291666666666669</v>
      </c>
      <c r="E27" s="4"/>
      <c r="F27" s="4"/>
      <c r="G27" s="5">
        <f t="shared" si="5"/>
        <v>0.32291666666666669</v>
      </c>
      <c r="H27" s="4"/>
      <c r="I27" s="5">
        <v>0.32500000000000001</v>
      </c>
      <c r="J27" s="5"/>
      <c r="K27" s="5" t="str">
        <f t="shared" si="1"/>
        <v xml:space="preserve"> </v>
      </c>
      <c r="L27" s="5"/>
      <c r="M27" s="5">
        <f t="shared" si="2"/>
        <v>2.0833333333333259E-3</v>
      </c>
      <c r="N27" s="4" t="str">
        <f t="shared" si="3"/>
        <v/>
      </c>
      <c r="O27" s="4" t="str">
        <f t="shared" si="6"/>
        <v>0:00</v>
      </c>
    </row>
    <row r="28" spans="1:15">
      <c r="A28" s="8" t="str">
        <f t="shared" si="7"/>
        <v>Mercredi</v>
      </c>
      <c r="B28" s="10">
        <f t="shared" si="0"/>
        <v>41662</v>
      </c>
      <c r="C28" s="32">
        <f t="shared" si="4"/>
        <v>1</v>
      </c>
      <c r="D28" s="3">
        <f>IFERROR((VLOOKUP(B28,Fériés:Fériés,2,0)),VLOOKUP(A28,Année!$C$2:$C$8:'Année'!$D$2:$D$8,2,0))</f>
        <v>0.32291666666666669</v>
      </c>
      <c r="E28" s="4"/>
      <c r="F28" s="4"/>
      <c r="G28" s="5">
        <f t="shared" si="5"/>
        <v>0.32291666666666669</v>
      </c>
      <c r="H28" s="4"/>
      <c r="I28" s="5">
        <v>0.32430555555555557</v>
      </c>
      <c r="J28" s="5"/>
      <c r="K28" s="5" t="str">
        <f t="shared" si="1"/>
        <v xml:space="preserve"> </v>
      </c>
      <c r="L28" s="5"/>
      <c r="M28" s="5">
        <f t="shared" si="2"/>
        <v>1.388888888888884E-3</v>
      </c>
      <c r="N28" s="4" t="str">
        <f t="shared" si="3"/>
        <v/>
      </c>
      <c r="O28" s="4" t="str">
        <f t="shared" si="6"/>
        <v>0:00</v>
      </c>
    </row>
    <row r="29" spans="1:15">
      <c r="A29" s="8" t="str">
        <f t="shared" si="7"/>
        <v>Jeudi</v>
      </c>
      <c r="B29" s="10">
        <f t="shared" si="0"/>
        <v>41663</v>
      </c>
      <c r="C29" s="32">
        <f t="shared" si="4"/>
        <v>1</v>
      </c>
      <c r="D29" s="3">
        <f>IFERROR((VLOOKUP(B29,Fériés:Fériés,2,0)),VLOOKUP(A29,Année!$C$2:$C$8:'Année'!$D$2:$D$8,2,0))</f>
        <v>0.32291666666666669</v>
      </c>
      <c r="E29" s="4"/>
      <c r="F29" s="4"/>
      <c r="G29" s="5">
        <f t="shared" si="5"/>
        <v>0.32291666666666669</v>
      </c>
      <c r="H29" s="4"/>
      <c r="I29" s="5">
        <v>0.32430555555555557</v>
      </c>
      <c r="J29" s="5"/>
      <c r="K29" s="5" t="str">
        <f t="shared" si="1"/>
        <v xml:space="preserve"> </v>
      </c>
      <c r="L29" s="5"/>
      <c r="M29" s="5">
        <f t="shared" si="2"/>
        <v>1.388888888888884E-3</v>
      </c>
      <c r="N29" s="4" t="str">
        <f t="shared" si="3"/>
        <v/>
      </c>
      <c r="O29" s="4" t="str">
        <f t="shared" si="6"/>
        <v>0:00</v>
      </c>
    </row>
    <row r="30" spans="1:15">
      <c r="A30" s="8" t="str">
        <f t="shared" si="7"/>
        <v>Vendredi</v>
      </c>
      <c r="B30" s="10">
        <f t="shared" si="0"/>
        <v>41664</v>
      </c>
      <c r="C30" s="32">
        <f t="shared" si="4"/>
        <v>1</v>
      </c>
      <c r="D30" s="3">
        <f>IFERROR((VLOOKUP(B30,Fériés:Fériés,2,0)),VLOOKUP(A30,Année!$C$2:$C$8:'Année'!$D$2:$D$8,2,0))</f>
        <v>0.16666666666666666</v>
      </c>
      <c r="E30" s="4">
        <v>6.9444444444444447E-4</v>
      </c>
      <c r="F30" s="4"/>
      <c r="G30" s="5">
        <f t="shared" si="5"/>
        <v>0.16666666666666666</v>
      </c>
      <c r="H30" s="4">
        <v>0.2673611111111111</v>
      </c>
      <c r="I30" s="5">
        <v>0.16666666666666666</v>
      </c>
      <c r="J30" s="5"/>
      <c r="K30" s="5" t="str">
        <f t="shared" si="1"/>
        <v xml:space="preserve"> </v>
      </c>
      <c r="L30" s="5"/>
      <c r="M30" s="5">
        <f t="shared" si="2"/>
        <v>0</v>
      </c>
      <c r="N30" s="4">
        <f t="shared" si="3"/>
        <v>0.3359375</v>
      </c>
      <c r="O30" s="4" t="str">
        <f t="shared" si="6"/>
        <v>0:00</v>
      </c>
    </row>
    <row r="31" spans="1:15">
      <c r="A31" s="8" t="str">
        <f t="shared" si="7"/>
        <v>Samedi</v>
      </c>
      <c r="B31" s="10">
        <f t="shared" si="0"/>
        <v>41665</v>
      </c>
      <c r="C31" s="32">
        <f t="shared" si="4"/>
        <v>1</v>
      </c>
      <c r="D31" s="3">
        <f>IFERROR((VLOOKUP(B31,Fériés:Fériés,2,0)),VLOOKUP(A31,Année!$C$2:$C$8:'Année'!$D$2:$D$8,2,0))</f>
        <v>0</v>
      </c>
      <c r="E31" s="4">
        <v>0.10416666666666667</v>
      </c>
      <c r="F31" s="4">
        <v>6.25E-2</v>
      </c>
      <c r="G31" s="5">
        <v>0.27916666666666667</v>
      </c>
      <c r="H31" s="4"/>
      <c r="I31" s="5"/>
      <c r="J31" s="5"/>
      <c r="K31" s="5">
        <f t="shared" si="1"/>
        <v>0</v>
      </c>
      <c r="L31" s="5"/>
      <c r="M31" s="5" t="str">
        <f t="shared" si="2"/>
        <v/>
      </c>
      <c r="N31" s="4">
        <f t="shared" si="3"/>
        <v>0.6875</v>
      </c>
      <c r="O31" s="4" t="str">
        <f t="shared" si="6"/>
        <v>0:00</v>
      </c>
    </row>
    <row r="32" spans="1:15">
      <c r="A32" s="8" t="str">
        <f t="shared" si="7"/>
        <v>Dimanche</v>
      </c>
      <c r="B32" s="10">
        <f t="shared" si="0"/>
        <v>41666</v>
      </c>
      <c r="C32" s="32">
        <f t="shared" si="4"/>
        <v>0</v>
      </c>
      <c r="D32" s="3">
        <f>IFERROR((VLOOKUP(B32,Fériés:Fériés,2,0)),VLOOKUP(A32,Année!$C$2:$C$8:'Année'!$D$2:$D$8,2,0))</f>
        <v>0</v>
      </c>
      <c r="E32" s="4"/>
      <c r="F32" s="4"/>
      <c r="G32" s="5">
        <f t="shared" si="5"/>
        <v>0</v>
      </c>
      <c r="H32" s="4"/>
      <c r="I32" s="5"/>
      <c r="J32" s="5"/>
      <c r="K32" s="5">
        <f t="shared" si="1"/>
        <v>0</v>
      </c>
      <c r="L32" s="5"/>
      <c r="M32" s="5" t="str">
        <f t="shared" si="2"/>
        <v/>
      </c>
      <c r="N32" s="4" t="str">
        <f t="shared" si="3"/>
        <v/>
      </c>
      <c r="O32" s="4" t="str">
        <f t="shared" si="6"/>
        <v>0:00</v>
      </c>
    </row>
    <row r="33" spans="1:15">
      <c r="A33" s="8" t="str">
        <f t="shared" si="7"/>
        <v>Lundi</v>
      </c>
      <c r="B33" s="10">
        <f t="shared" si="0"/>
        <v>41667</v>
      </c>
      <c r="C33" s="32">
        <f t="shared" si="4"/>
        <v>1</v>
      </c>
      <c r="D33" s="3">
        <f>IFERROR((VLOOKUP(B33,Fériés:Fériés,2,0)),VLOOKUP(A33,Année!$C$2:$C$8:'Année'!$D$2:$D$8,2,0))</f>
        <v>0.32291666666666669</v>
      </c>
      <c r="E33" s="4"/>
      <c r="F33" s="4"/>
      <c r="G33" s="5">
        <f t="shared" si="5"/>
        <v>0.32291666666666669</v>
      </c>
      <c r="H33" s="4"/>
      <c r="I33" s="5">
        <v>0.32500000000000001</v>
      </c>
      <c r="J33" s="5"/>
      <c r="K33" s="5" t="str">
        <f t="shared" si="1"/>
        <v xml:space="preserve"> </v>
      </c>
      <c r="L33" s="5"/>
      <c r="M33" s="5">
        <f t="shared" si="2"/>
        <v>2.0833333333333259E-3</v>
      </c>
      <c r="N33" s="4" t="str">
        <f t="shared" si="3"/>
        <v/>
      </c>
      <c r="O33" s="4" t="str">
        <f t="shared" si="6"/>
        <v>0:00</v>
      </c>
    </row>
    <row r="34" spans="1:15">
      <c r="A34" s="8" t="str">
        <f t="shared" si="7"/>
        <v>Mardi</v>
      </c>
      <c r="B34" s="10">
        <f t="shared" si="0"/>
        <v>41668</v>
      </c>
      <c r="C34" s="32">
        <f t="shared" si="4"/>
        <v>1</v>
      </c>
      <c r="D34" s="3">
        <f>IFERROR((VLOOKUP(B34,Fériés:Fériés,2,0)),VLOOKUP(A34,Année!$C$2:$C$8:'Année'!$D$2:$D$8,2,0))</f>
        <v>0.32291666666666669</v>
      </c>
      <c r="E34" s="4"/>
      <c r="F34" s="4"/>
      <c r="G34" s="5">
        <f t="shared" si="5"/>
        <v>0.32291666666666669</v>
      </c>
      <c r="H34" s="4"/>
      <c r="I34" s="5">
        <v>0.32361111111111113</v>
      </c>
      <c r="J34" s="5"/>
      <c r="K34" s="5" t="str">
        <f t="shared" si="1"/>
        <v xml:space="preserve"> </v>
      </c>
      <c r="L34" s="5"/>
      <c r="M34" s="5">
        <f t="shared" si="2"/>
        <v>6.9444444444444198E-4</v>
      </c>
      <c r="N34" s="4" t="str">
        <f t="shared" si="3"/>
        <v/>
      </c>
      <c r="O34" s="4" t="str">
        <f t="shared" si="6"/>
        <v>0:00</v>
      </c>
    </row>
    <row r="35" spans="1:15">
      <c r="A35" s="8" t="str">
        <f t="shared" si="7"/>
        <v>Mercredi</v>
      </c>
      <c r="B35" s="10">
        <f t="shared" si="0"/>
        <v>41669</v>
      </c>
      <c r="C35" s="32">
        <f t="shared" si="4"/>
        <v>1</v>
      </c>
      <c r="D35" s="3">
        <f>IFERROR((VLOOKUP(B35,Fériés:Fériés,2,0)),VLOOKUP(A35,Année!$C$2:$C$8:'Année'!$D$2:$D$8,2,0))</f>
        <v>0.32291666666666669</v>
      </c>
      <c r="E35" s="4"/>
      <c r="F35" s="4"/>
      <c r="G35" s="5">
        <f t="shared" si="5"/>
        <v>0.32291666666666669</v>
      </c>
      <c r="H35" s="4"/>
      <c r="I35" s="5">
        <v>0.32361111111111113</v>
      </c>
      <c r="J35" s="5"/>
      <c r="K35" s="5" t="str">
        <f t="shared" si="1"/>
        <v xml:space="preserve"> </v>
      </c>
      <c r="L35" s="5"/>
      <c r="M35" s="5">
        <f t="shared" si="2"/>
        <v>6.9444444444444198E-4</v>
      </c>
      <c r="N35" s="4" t="str">
        <f t="shared" si="3"/>
        <v/>
      </c>
      <c r="O35" s="4" t="str">
        <f t="shared" si="6"/>
        <v>0:00</v>
      </c>
    </row>
    <row r="36" spans="1:15">
      <c r="A36" s="8"/>
      <c r="B36" s="11"/>
      <c r="C36" s="11" t="str">
        <f t="shared" si="4"/>
        <v/>
      </c>
      <c r="D36" s="3"/>
      <c r="E36" s="4"/>
      <c r="F36" s="4"/>
      <c r="G36" s="5"/>
      <c r="H36" s="4"/>
      <c r="I36" s="5"/>
      <c r="J36" s="5"/>
      <c r="K36" s="5"/>
      <c r="L36" s="5"/>
      <c r="M36" s="5"/>
      <c r="N36" s="4"/>
      <c r="O36" s="4"/>
    </row>
    <row r="37" spans="1:15" ht="15" thickBot="1">
      <c r="A37" s="9"/>
      <c r="B37" s="12"/>
      <c r="C37" s="12" t="str">
        <f t="shared" si="4"/>
        <v/>
      </c>
      <c r="D37" s="3"/>
      <c r="E37" s="4"/>
      <c r="F37" s="4"/>
      <c r="G37" s="5"/>
      <c r="H37" s="4"/>
      <c r="I37" s="5"/>
      <c r="J37" s="5"/>
      <c r="K37" s="5"/>
      <c r="L37" s="5"/>
      <c r="M37" s="5"/>
      <c r="N37" s="4"/>
      <c r="O37" s="4"/>
    </row>
    <row r="38" spans="1:15">
      <c r="A38" s="65" t="s">
        <v>16</v>
      </c>
      <c r="B38" s="66"/>
      <c r="C38" s="56">
        <f>SUM(C5:C37)</f>
        <v>18</v>
      </c>
      <c r="D38" s="40">
        <f>SUM(D5:D37)</f>
        <v>6.4791666666666687</v>
      </c>
      <c r="E38" s="40">
        <f t="shared" ref="E38:O38" si="8">SUM(E5:E37)</f>
        <v>0.10486111111111111</v>
      </c>
      <c r="F38" s="40">
        <f t="shared" si="8"/>
        <v>6.25E-2</v>
      </c>
      <c r="G38" s="40">
        <f t="shared" si="8"/>
        <v>5.3000000000000007</v>
      </c>
      <c r="H38" s="40">
        <f t="shared" si="8"/>
        <v>0.2673611111111111</v>
      </c>
      <c r="I38" s="40">
        <f t="shared" si="8"/>
        <v>5.0513888888888898</v>
      </c>
      <c r="J38" s="40">
        <f t="shared" si="8"/>
        <v>0</v>
      </c>
      <c r="K38" s="40">
        <f t="shared" si="8"/>
        <v>0.32291666666666669</v>
      </c>
      <c r="L38" s="40">
        <f t="shared" si="8"/>
        <v>1.4583333333333335</v>
      </c>
      <c r="M38" s="40">
        <f t="shared" si="8"/>
        <v>3.0555555555555447E-2</v>
      </c>
      <c r="N38" s="40">
        <f t="shared" si="8"/>
        <v>1.0234375</v>
      </c>
      <c r="O38" s="40">
        <f t="shared" si="8"/>
        <v>0</v>
      </c>
    </row>
    <row r="39" spans="1:15" ht="15" thickBot="1">
      <c r="A39" s="67"/>
      <c r="B39" s="68"/>
      <c r="C39" s="57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</row>
  </sheetData>
  <mergeCells count="25">
    <mergeCell ref="A1:O2"/>
    <mergeCell ref="E3:I3"/>
    <mergeCell ref="D3:D4"/>
    <mergeCell ref="J3:J4"/>
    <mergeCell ref="A38:B39"/>
    <mergeCell ref="D38:D39"/>
    <mergeCell ref="I38:I39"/>
    <mergeCell ref="J38:J39"/>
    <mergeCell ref="M38:M39"/>
    <mergeCell ref="O38:O39"/>
    <mergeCell ref="L38:L39"/>
    <mergeCell ref="N38:N39"/>
    <mergeCell ref="E38:E39"/>
    <mergeCell ref="F38:F39"/>
    <mergeCell ref="G38:G39"/>
    <mergeCell ref="A3:B4"/>
    <mergeCell ref="H38:H39"/>
    <mergeCell ref="O3:O4"/>
    <mergeCell ref="M3:M4"/>
    <mergeCell ref="L3:L4"/>
    <mergeCell ref="N3:N4"/>
    <mergeCell ref="K3:K4"/>
    <mergeCell ref="K38:K39"/>
    <mergeCell ref="C3:C4"/>
    <mergeCell ref="C38:C39"/>
  </mergeCells>
  <conditionalFormatting sqref="A5:A37">
    <cfRule type="expression" dxfId="189" priority="17">
      <formula>$N5&lt;&gt;""</formula>
    </cfRule>
  </conditionalFormatting>
  <conditionalFormatting sqref="M36:O36 A36:J36 A5:D35">
    <cfRule type="expression" dxfId="188" priority="30">
      <formula>COUNTIF(Jours_fériés,$B5)=1</formula>
    </cfRule>
  </conditionalFormatting>
  <conditionalFormatting sqref="H5:O35 A36:O36 A5:F35">
    <cfRule type="expression" dxfId="187" priority="19">
      <formula>$A5="Dimanche"</formula>
    </cfRule>
  </conditionalFormatting>
  <conditionalFormatting sqref="G5:G35">
    <cfRule type="expression" dxfId="186" priority="2">
      <formula>$A5="Dimanche"</formula>
    </cfRule>
    <cfRule type="expression" dxfId="185" priority="3">
      <formula>$A5="Samedi"</formula>
    </cfRule>
  </conditionalFormatting>
  <conditionalFormatting sqref="G5:G35">
    <cfRule type="expression" dxfId="184" priority="4">
      <formula>COUNTIF(Jours_fériés,$B5)=1</formula>
    </cfRule>
  </conditionalFormatting>
  <conditionalFormatting sqref="C5:C35">
    <cfRule type="expression" dxfId="183" priority="1">
      <formula>$N5&lt;&gt;""</formula>
    </cfRule>
  </conditionalFormatting>
  <conditionalFormatting sqref="A36:O37 H5:O35 A5:F35">
    <cfRule type="expression" dxfId="182" priority="31">
      <formula>COUNTIF(Jours_fériés,$B5)=1</formula>
    </cfRule>
    <cfRule type="expression" dxfId="181" priority="32">
      <formula>$A5="Samedi"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N39"/>
  <sheetViews>
    <sheetView workbookViewId="0">
      <pane ySplit="4" topLeftCell="A5" activePane="bottomLeft" state="frozen"/>
      <selection activeCell="B36" sqref="B36"/>
      <selection pane="bottomLeft" activeCell="M5" sqref="M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DATE(Année!B1,2,1)</f>
        <v>41670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 ht="15" customHeight="1">
      <c r="A5" s="8" t="str">
        <f t="shared" ref="A5:A8" si="0">CHOOSE(WEEKDAY(B5),"Dimanche","Lundi","Mardi","Mercredi","Jeudi","Vendredi","Samedi")</f>
        <v>Jeudi</v>
      </c>
      <c r="B5" s="10">
        <f t="shared" ref="B5:B32" si="1">DATE(An,2,ROW(1:31))</f>
        <v>41670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0.32291666666666669</v>
      </c>
      <c r="G5" s="4"/>
      <c r="H5" s="5"/>
      <c r="I5" s="5"/>
      <c r="J5" s="5" t="str">
        <f t="shared" ref="J5" si="2">IF(C5=0,VLOOKUP(A5,Horaires,2,FALSE)," ")</f>
        <v xml:space="preserve"> </v>
      </c>
      <c r="K5" s="5"/>
      <c r="L5" s="5">
        <f t="shared" ref="L5" si="3">IF(A5="dimanche","",IF(A5="samedi","",IF(F5&lt;=0,"",(IF(H5="",F5-C5,H5-C5))+(I5+K5+N5))))</f>
        <v>0</v>
      </c>
      <c r="M5" s="4" t="str">
        <f t="shared" ref="M5:M32" si="4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 ht="15.75" customHeight="1">
      <c r="A6" s="8" t="str">
        <f t="shared" si="0"/>
        <v>Vendredi</v>
      </c>
      <c r="B6" s="10">
        <f t="shared" si="1"/>
        <v>41671</v>
      </c>
      <c r="C6" s="3">
        <f>IFERROR((VLOOKUP(B6,Fériés:Fériés,2,0)),VLOOKUP(A6,Année!$C$2:$C$8:'Année'!$D$2:$D$8,2,0))</f>
        <v>0.16666666666666666</v>
      </c>
      <c r="D6" s="4"/>
      <c r="E6" s="4"/>
      <c r="F6" s="5">
        <f>IF(K6="",C6,0)</f>
        <v>0.16666666666666666</v>
      </c>
      <c r="G6" s="4"/>
      <c r="H6" s="5"/>
      <c r="I6" s="5"/>
      <c r="J6" s="5" t="str">
        <f t="shared" ref="J6:J32" si="5">IF(C6=0,VLOOKUP(A6,Horaires,2,FALSE)," ")</f>
        <v xml:space="preserve"> </v>
      </c>
      <c r="K6" s="5"/>
      <c r="L6" s="5">
        <f t="shared" ref="L6:L35" si="6">IF(A6="dimanche","",IF(A6="samedi","",IF(F6&lt;=0,"",(IF(H6="",F6-C6,H6-C6))+(I6+K6+N6))))</f>
        <v>0</v>
      </c>
      <c r="M6" s="4" t="str">
        <f t="shared" si="4"/>
        <v/>
      </c>
      <c r="N6" s="4" t="str">
        <f t="shared" ref="N6:N35" si="7">IF(F6="","",IF((F6+I6+K6)&gt;=C6,"0:00",C6-F6))</f>
        <v>0:00</v>
      </c>
    </row>
    <row r="7" spans="1:14" ht="18.75" customHeight="1">
      <c r="A7" s="8" t="str">
        <f t="shared" si="0"/>
        <v>Samedi</v>
      </c>
      <c r="B7" s="10">
        <f t="shared" si="1"/>
        <v>41672</v>
      </c>
      <c r="C7" s="3">
        <f>IFERROR((VLOOKUP(B7,Fériés:Fériés,2,0)),VLOOKUP(A7,Année!$C$2:$C$8:'Année'!$D$2:$D$8,2,0))</f>
        <v>0</v>
      </c>
      <c r="D7" s="4"/>
      <c r="E7" s="4"/>
      <c r="F7" s="5">
        <f t="shared" ref="F7:F32" si="8">IF(K7="",C7,0)</f>
        <v>0</v>
      </c>
      <c r="G7" s="4"/>
      <c r="H7" s="5"/>
      <c r="I7" s="5"/>
      <c r="J7" s="5">
        <f t="shared" si="5"/>
        <v>0</v>
      </c>
      <c r="K7" s="5"/>
      <c r="L7" s="5" t="str">
        <f t="shared" si="6"/>
        <v/>
      </c>
      <c r="M7" s="4" t="str">
        <f t="shared" si="4"/>
        <v/>
      </c>
      <c r="N7" s="4" t="str">
        <f t="shared" si="7"/>
        <v>0:00</v>
      </c>
    </row>
    <row r="8" spans="1:14">
      <c r="A8" s="8" t="str">
        <f t="shared" si="0"/>
        <v>Dimanche</v>
      </c>
      <c r="B8" s="10">
        <f t="shared" si="1"/>
        <v>41673</v>
      </c>
      <c r="C8" s="3">
        <f>IFERROR((VLOOKUP(B8,Fériés:Fériés,2,0)),VLOOKUP(A8,Année!$C$2:$C$8:'Année'!$D$2:$D$8,2,0))</f>
        <v>0</v>
      </c>
      <c r="D8" s="4"/>
      <c r="E8" s="4"/>
      <c r="F8" s="5">
        <f t="shared" si="8"/>
        <v>0</v>
      </c>
      <c r="G8" s="4"/>
      <c r="H8" s="5"/>
      <c r="I8" s="5"/>
      <c r="J8" s="5">
        <f t="shared" si="5"/>
        <v>0</v>
      </c>
      <c r="K8" s="5"/>
      <c r="L8" s="5" t="str">
        <f t="shared" si="6"/>
        <v/>
      </c>
      <c r="M8" s="4" t="str">
        <f t="shared" si="4"/>
        <v/>
      </c>
      <c r="N8" s="4" t="str">
        <f t="shared" si="7"/>
        <v>0:00</v>
      </c>
    </row>
    <row r="9" spans="1:14">
      <c r="A9" s="8" t="str">
        <f>CHOOSE(WEEKDAY(B9),"Dimanche","Lundi","Mardi","Mercredi","Jeudi","Vendredi","Samedi")</f>
        <v>Lundi</v>
      </c>
      <c r="B9" s="10">
        <f t="shared" si="1"/>
        <v>41674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8"/>
        <v>0.32291666666666669</v>
      </c>
      <c r="G9" s="4"/>
      <c r="H9" s="5"/>
      <c r="I9" s="5"/>
      <c r="J9" s="5" t="str">
        <f t="shared" si="5"/>
        <v xml:space="preserve"> </v>
      </c>
      <c r="K9" s="5"/>
      <c r="L9" s="5">
        <f t="shared" si="6"/>
        <v>0</v>
      </c>
      <c r="M9" s="4" t="str">
        <f t="shared" si="4"/>
        <v/>
      </c>
      <c r="N9" s="4" t="str">
        <f t="shared" si="7"/>
        <v>0:00</v>
      </c>
    </row>
    <row r="10" spans="1:14">
      <c r="A10" s="8" t="str">
        <f t="shared" ref="A10:A32" si="9">CHOOSE(WEEKDAY(B10),"Dimanche","Lundi","Mardi","Mercredi","Jeudi","Vendredi","Samedi")</f>
        <v>Mardi</v>
      </c>
      <c r="B10" s="10">
        <f t="shared" si="1"/>
        <v>41675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8"/>
        <v>0.32291666666666669</v>
      </c>
      <c r="G10" s="4"/>
      <c r="H10" s="5"/>
      <c r="I10" s="5"/>
      <c r="J10" s="5" t="str">
        <f t="shared" si="5"/>
        <v xml:space="preserve"> </v>
      </c>
      <c r="K10" s="5"/>
      <c r="L10" s="5">
        <f t="shared" si="6"/>
        <v>0</v>
      </c>
      <c r="M10" s="4" t="str">
        <f t="shared" si="4"/>
        <v/>
      </c>
      <c r="N10" s="4" t="str">
        <f t="shared" si="7"/>
        <v>0:00</v>
      </c>
    </row>
    <row r="11" spans="1:14">
      <c r="A11" s="8" t="str">
        <f t="shared" si="9"/>
        <v>Mercredi</v>
      </c>
      <c r="B11" s="10">
        <f t="shared" si="1"/>
        <v>41676</v>
      </c>
      <c r="C11" s="3">
        <f>IFERROR((VLOOKUP(B11,Fériés:Fériés,2,0)),VLOOKUP(A11,Année!$C$2:$C$8:'Année'!$D$2:$D$8,2,0))</f>
        <v>0.32291666666666669</v>
      </c>
      <c r="D11" s="4">
        <v>0.10416666666666667</v>
      </c>
      <c r="E11" s="4">
        <v>6.25E-2</v>
      </c>
      <c r="F11" s="5">
        <v>0.1875</v>
      </c>
      <c r="G11" s="4"/>
      <c r="H11" s="5"/>
      <c r="I11" s="5"/>
      <c r="J11" s="5" t="str">
        <f t="shared" si="5"/>
        <v xml:space="preserve"> </v>
      </c>
      <c r="K11" s="5"/>
      <c r="L11" s="5">
        <f t="shared" si="6"/>
        <v>0</v>
      </c>
      <c r="M11" s="4">
        <f t="shared" si="4"/>
        <v>0.33854166666666669</v>
      </c>
      <c r="N11" s="4">
        <f t="shared" si="7"/>
        <v>0.13541666666666669</v>
      </c>
    </row>
    <row r="12" spans="1:14">
      <c r="A12" s="8" t="str">
        <f t="shared" si="9"/>
        <v>Jeudi</v>
      </c>
      <c r="B12" s="10">
        <f t="shared" si="1"/>
        <v>41677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8"/>
        <v>0.32291666666666669</v>
      </c>
      <c r="G12" s="4"/>
      <c r="H12" s="5"/>
      <c r="I12" s="5"/>
      <c r="J12" s="5" t="str">
        <f t="shared" si="5"/>
        <v xml:space="preserve"> </v>
      </c>
      <c r="K12" s="5"/>
      <c r="L12" s="5">
        <f t="shared" si="6"/>
        <v>0</v>
      </c>
      <c r="M12" s="4" t="str">
        <f t="shared" si="4"/>
        <v/>
      </c>
      <c r="N12" s="4" t="str">
        <f t="shared" si="7"/>
        <v>0:00</v>
      </c>
    </row>
    <row r="13" spans="1:14">
      <c r="A13" s="8" t="str">
        <f t="shared" si="9"/>
        <v>Vendredi</v>
      </c>
      <c r="B13" s="10">
        <f t="shared" si="1"/>
        <v>41678</v>
      </c>
      <c r="C13" s="3">
        <f>IFERROR((VLOOKUP(B13,Fériés:Fériés,2,0)),VLOOKUP(A13,Année!$C$2:$C$8:'Année'!$D$2:$D$8,2,0))</f>
        <v>0.16666666666666666</v>
      </c>
      <c r="D13" s="4"/>
      <c r="E13" s="4"/>
      <c r="F13" s="5">
        <f t="shared" si="8"/>
        <v>0.16666666666666666</v>
      </c>
      <c r="G13" s="4"/>
      <c r="H13" s="5"/>
      <c r="I13" s="5"/>
      <c r="J13" s="5" t="str">
        <f t="shared" si="5"/>
        <v xml:space="preserve"> </v>
      </c>
      <c r="K13" s="5"/>
      <c r="L13" s="5">
        <f t="shared" si="6"/>
        <v>0</v>
      </c>
      <c r="M13" s="4" t="str">
        <f t="shared" si="4"/>
        <v/>
      </c>
      <c r="N13" s="4" t="str">
        <f t="shared" si="7"/>
        <v>0:00</v>
      </c>
    </row>
    <row r="14" spans="1:14">
      <c r="A14" s="8" t="str">
        <f t="shared" si="9"/>
        <v>Samedi</v>
      </c>
      <c r="B14" s="10">
        <f t="shared" si="1"/>
        <v>41679</v>
      </c>
      <c r="C14" s="3">
        <f>IFERROR((VLOOKUP(B14,Fériés:Fériés,2,0)),VLOOKUP(A14,Année!$C$2:$C$8:'Année'!$D$2:$D$8,2,0))</f>
        <v>0</v>
      </c>
      <c r="D14" s="4">
        <v>0.10416666666666667</v>
      </c>
      <c r="E14" s="4">
        <v>6.25E-2</v>
      </c>
      <c r="F14" s="5">
        <v>0.22916666666666666</v>
      </c>
      <c r="G14" s="4"/>
      <c r="H14" s="5"/>
      <c r="I14" s="5"/>
      <c r="J14" s="5">
        <f t="shared" si="5"/>
        <v>0</v>
      </c>
      <c r="K14" s="5"/>
      <c r="L14" s="5" t="str">
        <f t="shared" si="6"/>
        <v/>
      </c>
      <c r="M14" s="4">
        <f t="shared" si="4"/>
        <v>0.625</v>
      </c>
      <c r="N14" s="4" t="str">
        <f t="shared" si="7"/>
        <v>0:00</v>
      </c>
    </row>
    <row r="15" spans="1:14">
      <c r="A15" s="8" t="str">
        <f t="shared" si="9"/>
        <v>Dimanche</v>
      </c>
      <c r="B15" s="10">
        <f t="shared" si="1"/>
        <v>41680</v>
      </c>
      <c r="C15" s="3">
        <f>IFERROR((VLOOKUP(B15,Fériés:Fériés,2,0)),VLOOKUP(A15,Année!$C$2:$C$8:'Année'!$D$2:$D$8,2,0))</f>
        <v>0</v>
      </c>
      <c r="D15" s="4">
        <v>0.10416666666666667</v>
      </c>
      <c r="E15" s="4">
        <v>6.25E-2</v>
      </c>
      <c r="F15" s="5">
        <v>8.3333333333333329E-2</v>
      </c>
      <c r="G15" s="4"/>
      <c r="H15" s="5"/>
      <c r="I15" s="5"/>
      <c r="J15" s="5">
        <f t="shared" si="5"/>
        <v>0</v>
      </c>
      <c r="K15" s="5"/>
      <c r="L15" s="5" t="str">
        <f t="shared" si="6"/>
        <v/>
      </c>
      <c r="M15" s="4">
        <f t="shared" si="4"/>
        <v>0.55208333333333326</v>
      </c>
      <c r="N15" s="4" t="str">
        <f t="shared" si="7"/>
        <v>0:00</v>
      </c>
    </row>
    <row r="16" spans="1:14">
      <c r="A16" s="8" t="str">
        <f t="shared" si="9"/>
        <v>Lundi</v>
      </c>
      <c r="B16" s="10">
        <f t="shared" si="1"/>
        <v>41681</v>
      </c>
      <c r="C16" s="3">
        <f>IFERROR((VLOOKUP(B16,Fériés:Fériés,2,0)),VLOOKUP(A16,Année!$C$2:$C$8:'Année'!$D$2:$D$8,2,0))</f>
        <v>0.32291666666666669</v>
      </c>
      <c r="D16" s="4">
        <v>0.10416666666666667</v>
      </c>
      <c r="E16" s="4">
        <v>6.25E-2</v>
      </c>
      <c r="F16" s="5">
        <v>9.3055555555555558E-2</v>
      </c>
      <c r="G16" s="4"/>
      <c r="H16" s="5"/>
      <c r="I16" s="5"/>
      <c r="J16" s="5" t="str">
        <f t="shared" si="5"/>
        <v xml:space="preserve"> </v>
      </c>
      <c r="K16" s="5">
        <v>0</v>
      </c>
      <c r="L16" s="5">
        <f t="shared" si="6"/>
        <v>0</v>
      </c>
      <c r="M16" s="4">
        <f t="shared" si="4"/>
        <v>0.33854166666666669</v>
      </c>
      <c r="N16" s="4">
        <f>IF(F16="","",IF((F16+I16+K16)&gt;=C16,"0:00",C16-F16))</f>
        <v>0.22986111111111113</v>
      </c>
    </row>
    <row r="17" spans="1:14">
      <c r="A17" s="8" t="str">
        <f t="shared" si="9"/>
        <v>Mardi</v>
      </c>
      <c r="B17" s="10">
        <f t="shared" si="1"/>
        <v>41682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8"/>
        <v>0</v>
      </c>
      <c r="G17" s="4"/>
      <c r="H17" s="5"/>
      <c r="I17" s="5"/>
      <c r="J17" s="5" t="str">
        <f t="shared" si="5"/>
        <v xml:space="preserve"> </v>
      </c>
      <c r="K17" s="5">
        <v>0.32291666666666669</v>
      </c>
      <c r="L17" s="5" t="str">
        <f t="shared" si="6"/>
        <v/>
      </c>
      <c r="M17" s="4" t="str">
        <f t="shared" si="4"/>
        <v/>
      </c>
      <c r="N17" s="4" t="str">
        <f t="shared" si="7"/>
        <v>0:00</v>
      </c>
    </row>
    <row r="18" spans="1:14">
      <c r="A18" s="8" t="str">
        <f t="shared" si="9"/>
        <v>Mercredi</v>
      </c>
      <c r="B18" s="10">
        <f t="shared" si="1"/>
        <v>41683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8"/>
        <v>0</v>
      </c>
      <c r="G18" s="4"/>
      <c r="H18" s="5"/>
      <c r="I18" s="5"/>
      <c r="J18" s="5" t="str">
        <f t="shared" si="5"/>
        <v xml:space="preserve"> </v>
      </c>
      <c r="K18" s="5">
        <v>0.32291666666666669</v>
      </c>
      <c r="L18" s="5" t="str">
        <f t="shared" si="6"/>
        <v/>
      </c>
      <c r="M18" s="4" t="str">
        <f t="shared" si="4"/>
        <v/>
      </c>
      <c r="N18" s="4" t="str">
        <f t="shared" si="7"/>
        <v>0:00</v>
      </c>
    </row>
    <row r="19" spans="1:14">
      <c r="A19" s="8" t="str">
        <f t="shared" si="9"/>
        <v>Jeudi</v>
      </c>
      <c r="B19" s="10">
        <f t="shared" si="1"/>
        <v>41684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8"/>
        <v>0</v>
      </c>
      <c r="G19" s="4"/>
      <c r="H19" s="5"/>
      <c r="I19" s="5"/>
      <c r="J19" s="5" t="str">
        <f t="shared" si="5"/>
        <v xml:space="preserve"> </v>
      </c>
      <c r="K19" s="5">
        <v>0.32291666666666669</v>
      </c>
      <c r="L19" s="5" t="str">
        <f t="shared" si="6"/>
        <v/>
      </c>
      <c r="M19" s="4" t="str">
        <f t="shared" si="4"/>
        <v/>
      </c>
      <c r="N19" s="4" t="str">
        <f t="shared" si="7"/>
        <v>0:00</v>
      </c>
    </row>
    <row r="20" spans="1:14">
      <c r="A20" s="8" t="str">
        <f t="shared" si="9"/>
        <v>Vendredi</v>
      </c>
      <c r="B20" s="10">
        <f t="shared" si="1"/>
        <v>41685</v>
      </c>
      <c r="C20" s="3">
        <f>IFERROR((VLOOKUP(B20,Fériés:Fériés,2,0)),VLOOKUP(A20,Année!$C$2:$C$8:'Année'!$D$2:$D$8,2,0))</f>
        <v>0.16666666666666666</v>
      </c>
      <c r="D20" s="4"/>
      <c r="E20" s="4"/>
      <c r="F20" s="5">
        <f t="shared" si="8"/>
        <v>0</v>
      </c>
      <c r="G20" s="4"/>
      <c r="H20" s="5"/>
      <c r="I20" s="5"/>
      <c r="J20" s="5" t="str">
        <f t="shared" si="5"/>
        <v xml:space="preserve"> </v>
      </c>
      <c r="K20" s="5">
        <v>0.16666666666666666</v>
      </c>
      <c r="L20" s="5" t="str">
        <f t="shared" si="6"/>
        <v/>
      </c>
      <c r="M20" s="4" t="str">
        <f t="shared" si="4"/>
        <v/>
      </c>
      <c r="N20" s="4" t="str">
        <f t="shared" si="7"/>
        <v>0:00</v>
      </c>
    </row>
    <row r="21" spans="1:14">
      <c r="A21" s="8" t="str">
        <f t="shared" si="9"/>
        <v>Samedi</v>
      </c>
      <c r="B21" s="10">
        <f t="shared" si="1"/>
        <v>41686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8"/>
        <v>0</v>
      </c>
      <c r="G21" s="4"/>
      <c r="H21" s="5"/>
      <c r="I21" s="5"/>
      <c r="J21" s="5">
        <f t="shared" si="5"/>
        <v>0</v>
      </c>
      <c r="K21" s="5"/>
      <c r="L21" s="5" t="str">
        <f t="shared" si="6"/>
        <v/>
      </c>
      <c r="M21" s="4" t="str">
        <f t="shared" si="4"/>
        <v/>
      </c>
      <c r="N21" s="4" t="str">
        <f t="shared" si="7"/>
        <v>0:00</v>
      </c>
    </row>
    <row r="22" spans="1:14">
      <c r="A22" s="8" t="str">
        <f t="shared" si="9"/>
        <v>Dimanche</v>
      </c>
      <c r="B22" s="10">
        <f t="shared" si="1"/>
        <v>41687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8"/>
        <v>0</v>
      </c>
      <c r="G22" s="4"/>
      <c r="H22" s="5"/>
      <c r="I22" s="5"/>
      <c r="J22" s="5">
        <f t="shared" si="5"/>
        <v>0</v>
      </c>
      <c r="K22" s="5"/>
      <c r="L22" s="5" t="str">
        <f t="shared" si="6"/>
        <v/>
      </c>
      <c r="M22" s="4" t="str">
        <f t="shared" si="4"/>
        <v/>
      </c>
      <c r="N22" s="4" t="str">
        <f t="shared" si="7"/>
        <v>0:00</v>
      </c>
    </row>
    <row r="23" spans="1:14">
      <c r="A23" s="8" t="str">
        <f t="shared" si="9"/>
        <v>Lundi</v>
      </c>
      <c r="B23" s="10">
        <f t="shared" si="1"/>
        <v>41688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8"/>
        <v>0.32291666666666669</v>
      </c>
      <c r="G23" s="4"/>
      <c r="H23" s="5"/>
      <c r="I23" s="5"/>
      <c r="J23" s="5" t="str">
        <f t="shared" si="5"/>
        <v xml:space="preserve"> </v>
      </c>
      <c r="K23" s="5"/>
      <c r="L23" s="5">
        <f t="shared" si="6"/>
        <v>0</v>
      </c>
      <c r="M23" s="4" t="str">
        <f t="shared" si="4"/>
        <v/>
      </c>
      <c r="N23" s="4" t="str">
        <f t="shared" si="7"/>
        <v>0:00</v>
      </c>
    </row>
    <row r="24" spans="1:14">
      <c r="A24" s="8" t="str">
        <f t="shared" si="9"/>
        <v>Mardi</v>
      </c>
      <c r="B24" s="10">
        <f t="shared" si="1"/>
        <v>41689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8"/>
        <v>0.32291666666666669</v>
      </c>
      <c r="G24" s="4"/>
      <c r="H24" s="5"/>
      <c r="I24" s="5"/>
      <c r="J24" s="5" t="str">
        <f t="shared" si="5"/>
        <v xml:space="preserve"> </v>
      </c>
      <c r="K24" s="5"/>
      <c r="L24" s="5">
        <f t="shared" si="6"/>
        <v>0</v>
      </c>
      <c r="M24" s="4" t="str">
        <f t="shared" si="4"/>
        <v/>
      </c>
      <c r="N24" s="4" t="str">
        <f t="shared" si="7"/>
        <v>0:00</v>
      </c>
    </row>
    <row r="25" spans="1:14">
      <c r="A25" s="8" t="str">
        <f t="shared" si="9"/>
        <v>Mercredi</v>
      </c>
      <c r="B25" s="10">
        <f t="shared" si="1"/>
        <v>41690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8"/>
        <v>0.32291666666666669</v>
      </c>
      <c r="G25" s="4"/>
      <c r="H25" s="5"/>
      <c r="I25" s="5"/>
      <c r="J25" s="5" t="str">
        <f t="shared" si="5"/>
        <v xml:space="preserve"> </v>
      </c>
      <c r="K25" s="5"/>
      <c r="L25" s="5">
        <f t="shared" si="6"/>
        <v>0</v>
      </c>
      <c r="M25" s="4" t="str">
        <f t="shared" si="4"/>
        <v/>
      </c>
      <c r="N25" s="4" t="str">
        <f t="shared" si="7"/>
        <v>0:00</v>
      </c>
    </row>
    <row r="26" spans="1:14">
      <c r="A26" s="8" t="str">
        <f t="shared" si="9"/>
        <v>Jeudi</v>
      </c>
      <c r="B26" s="10">
        <f t="shared" si="1"/>
        <v>41691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8"/>
        <v>0.32291666666666669</v>
      </c>
      <c r="G26" s="4"/>
      <c r="H26" s="5"/>
      <c r="I26" s="5"/>
      <c r="J26" s="5" t="str">
        <f t="shared" si="5"/>
        <v xml:space="preserve"> </v>
      </c>
      <c r="K26" s="5"/>
      <c r="L26" s="5">
        <f t="shared" si="6"/>
        <v>0</v>
      </c>
      <c r="M26" s="4" t="str">
        <f t="shared" si="4"/>
        <v/>
      </c>
      <c r="N26" s="4" t="str">
        <f t="shared" si="7"/>
        <v>0:00</v>
      </c>
    </row>
    <row r="27" spans="1:14">
      <c r="A27" s="8" t="str">
        <f t="shared" si="9"/>
        <v>Vendredi</v>
      </c>
      <c r="B27" s="10">
        <f t="shared" si="1"/>
        <v>41692</v>
      </c>
      <c r="C27" s="3">
        <f>IFERROR((VLOOKUP(B27,Fériés:Fériés,2,0)),VLOOKUP(A27,Année!$C$2:$C$8:'Année'!$D$2:$D$8,2,0))</f>
        <v>0.16666666666666666</v>
      </c>
      <c r="D27" s="4"/>
      <c r="E27" s="4"/>
      <c r="F27" s="5">
        <f t="shared" si="8"/>
        <v>0.16666666666666666</v>
      </c>
      <c r="G27" s="4"/>
      <c r="H27" s="5"/>
      <c r="I27" s="5"/>
      <c r="J27" s="5" t="str">
        <f t="shared" si="5"/>
        <v xml:space="preserve"> </v>
      </c>
      <c r="K27" s="5"/>
      <c r="L27" s="5">
        <f t="shared" si="6"/>
        <v>0</v>
      </c>
      <c r="M27" s="4" t="str">
        <f t="shared" si="4"/>
        <v/>
      </c>
      <c r="N27" s="4" t="str">
        <f t="shared" si="7"/>
        <v>0:00</v>
      </c>
    </row>
    <row r="28" spans="1:14">
      <c r="A28" s="8" t="str">
        <f t="shared" si="9"/>
        <v>Samedi</v>
      </c>
      <c r="B28" s="10">
        <f t="shared" si="1"/>
        <v>41693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8"/>
        <v>0</v>
      </c>
      <c r="G28" s="4"/>
      <c r="H28" s="5"/>
      <c r="I28" s="5"/>
      <c r="J28" s="5">
        <f t="shared" si="5"/>
        <v>0</v>
      </c>
      <c r="K28" s="5"/>
      <c r="L28" s="5" t="str">
        <f t="shared" si="6"/>
        <v/>
      </c>
      <c r="M28" s="4" t="str">
        <f t="shared" si="4"/>
        <v/>
      </c>
      <c r="N28" s="4" t="str">
        <f t="shared" si="7"/>
        <v>0:00</v>
      </c>
    </row>
    <row r="29" spans="1:14">
      <c r="A29" s="8" t="str">
        <f t="shared" si="9"/>
        <v>Dimanche</v>
      </c>
      <c r="B29" s="10">
        <f t="shared" si="1"/>
        <v>41694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8"/>
        <v>0</v>
      </c>
      <c r="G29" s="4"/>
      <c r="H29" s="5"/>
      <c r="I29" s="5"/>
      <c r="J29" s="5">
        <f t="shared" si="5"/>
        <v>0</v>
      </c>
      <c r="K29" s="5"/>
      <c r="L29" s="5" t="str">
        <f t="shared" si="6"/>
        <v/>
      </c>
      <c r="M29" s="4" t="str">
        <f t="shared" si="4"/>
        <v/>
      </c>
      <c r="N29" s="4" t="str">
        <f t="shared" si="7"/>
        <v>0:00</v>
      </c>
    </row>
    <row r="30" spans="1:14">
      <c r="A30" s="8" t="str">
        <f t="shared" si="9"/>
        <v>Lundi</v>
      </c>
      <c r="B30" s="10">
        <f t="shared" si="1"/>
        <v>41695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8"/>
        <v>0.32291666666666669</v>
      </c>
      <c r="G30" s="4"/>
      <c r="H30" s="5"/>
      <c r="I30" s="5"/>
      <c r="J30" s="5" t="str">
        <f t="shared" si="5"/>
        <v xml:space="preserve"> </v>
      </c>
      <c r="K30" s="5"/>
      <c r="L30" s="5">
        <f t="shared" si="6"/>
        <v>0</v>
      </c>
      <c r="M30" s="4" t="str">
        <f t="shared" si="4"/>
        <v/>
      </c>
      <c r="N30" s="4" t="str">
        <f t="shared" si="7"/>
        <v>0:00</v>
      </c>
    </row>
    <row r="31" spans="1:14">
      <c r="A31" s="8" t="str">
        <f t="shared" si="9"/>
        <v>Mardi</v>
      </c>
      <c r="B31" s="10">
        <f t="shared" si="1"/>
        <v>41696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8"/>
        <v>0.32291666666666669</v>
      </c>
      <c r="G31" s="4"/>
      <c r="H31" s="5"/>
      <c r="I31" s="5"/>
      <c r="J31" s="5" t="str">
        <f t="shared" si="5"/>
        <v xml:space="preserve"> </v>
      </c>
      <c r="K31" s="5"/>
      <c r="L31" s="5">
        <f t="shared" si="6"/>
        <v>0</v>
      </c>
      <c r="M31" s="4" t="str">
        <f t="shared" si="4"/>
        <v/>
      </c>
      <c r="N31" s="4" t="str">
        <f t="shared" si="7"/>
        <v>0:00</v>
      </c>
    </row>
    <row r="32" spans="1:14">
      <c r="A32" s="8" t="str">
        <f t="shared" si="9"/>
        <v>Mercredi</v>
      </c>
      <c r="B32" s="10">
        <f t="shared" si="1"/>
        <v>41697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8"/>
        <v>0.32291666666666669</v>
      </c>
      <c r="G32" s="4"/>
      <c r="H32" s="5"/>
      <c r="I32" s="5"/>
      <c r="J32" s="5" t="str">
        <f t="shared" si="5"/>
        <v xml:space="preserve"> </v>
      </c>
      <c r="K32" s="5"/>
      <c r="L32" s="5">
        <f t="shared" si="6"/>
        <v>0</v>
      </c>
      <c r="M32" s="4" t="str">
        <f t="shared" si="4"/>
        <v/>
      </c>
      <c r="N32" s="4" t="str">
        <f t="shared" si="7"/>
        <v>0:00</v>
      </c>
    </row>
    <row r="33" spans="1:14">
      <c r="A33" s="8"/>
      <c r="B33" s="10"/>
      <c r="C33" s="3"/>
      <c r="D33" s="4"/>
      <c r="E33" s="4"/>
      <c r="F33" s="5"/>
      <c r="G33" s="4"/>
      <c r="H33" s="5"/>
      <c r="I33" s="5"/>
      <c r="J33" s="5"/>
      <c r="K33" s="5"/>
      <c r="L33" s="5" t="str">
        <f t="shared" si="6"/>
        <v/>
      </c>
      <c r="M33" s="4" t="str">
        <f t="shared" ref="M33:M35" si="10">IF(D33="","",IF(AND(A33="Dimanche",D33&gt;0),SUM(D33*2.5+(E33+F33+G33)*2),IF(A33="samedi",SUM(D33*2.5,E33*1.25,G33*1.25,F33),SUM(D33*2.5,E33*1.25,G33*1.25,))))</f>
        <v/>
      </c>
      <c r="N33" s="4" t="str">
        <f t="shared" si="7"/>
        <v/>
      </c>
    </row>
    <row r="34" spans="1:14">
      <c r="A34" s="8"/>
      <c r="B34" s="10"/>
      <c r="C34" s="3"/>
      <c r="D34" s="4"/>
      <c r="E34" s="4"/>
      <c r="F34" s="5"/>
      <c r="G34" s="4"/>
      <c r="H34" s="5"/>
      <c r="I34" s="5"/>
      <c r="J34" s="5"/>
      <c r="K34" s="5"/>
      <c r="L34" s="5" t="str">
        <f t="shared" si="6"/>
        <v/>
      </c>
      <c r="M34" s="4" t="str">
        <f t="shared" si="10"/>
        <v/>
      </c>
      <c r="N34" s="4" t="str">
        <f t="shared" si="7"/>
        <v/>
      </c>
    </row>
    <row r="35" spans="1:14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si="6"/>
        <v/>
      </c>
      <c r="M35" s="4" t="str">
        <f t="shared" si="10"/>
        <v/>
      </c>
      <c r="N35" s="4" t="str">
        <f t="shared" si="7"/>
        <v/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5.8333333333333348</v>
      </c>
      <c r="D38" s="40">
        <f t="shared" ref="D38:N38" si="11">SUM(D5:D37)</f>
        <v>0.41666666666666669</v>
      </c>
      <c r="E38" s="40">
        <f t="shared" si="11"/>
        <v>0.25</v>
      </c>
      <c r="F38" s="40">
        <f t="shared" si="11"/>
        <v>4.6451388888888889</v>
      </c>
      <c r="G38" s="40">
        <f t="shared" si="11"/>
        <v>0</v>
      </c>
      <c r="H38" s="40">
        <f t="shared" si="11"/>
        <v>0</v>
      </c>
      <c r="I38" s="40">
        <f t="shared" si="11"/>
        <v>0</v>
      </c>
      <c r="J38" s="40">
        <f t="shared" si="11"/>
        <v>0</v>
      </c>
      <c r="K38" s="40">
        <f t="shared" si="11"/>
        <v>1.1354166666666667</v>
      </c>
      <c r="L38" s="40">
        <f t="shared" si="11"/>
        <v>0</v>
      </c>
      <c r="M38" s="40">
        <f t="shared" si="11"/>
        <v>1.8541666666666667</v>
      </c>
      <c r="N38" s="40">
        <f t="shared" si="11"/>
        <v>0.36527777777777781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A1:N2"/>
    <mergeCell ref="N38:N39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A33:I35 K33:K35 A5:C32">
    <cfRule type="expression" dxfId="180" priority="25">
      <formula>$A5="Dimanche"</formula>
    </cfRule>
    <cfRule type="expression" dxfId="179" priority="26">
      <formula>$A5="Samedi"</formula>
    </cfRule>
  </conditionalFormatting>
  <conditionalFormatting sqref="A5:A37">
    <cfRule type="expression" dxfId="178" priority="24">
      <formula>$M5&lt;&gt;""</formula>
    </cfRule>
  </conditionalFormatting>
  <conditionalFormatting sqref="A36:N36 A33:I35 K33:K35 A5:C32">
    <cfRule type="expression" dxfId="177" priority="27">
      <formula>COUNTIF(Jours_fériés,$B5)=1</formula>
    </cfRule>
  </conditionalFormatting>
  <conditionalFormatting sqref="K6:K32 D6:E32 G6:I32">
    <cfRule type="expression" dxfId="176" priority="22">
      <formula>$A6="Dimanche"</formula>
    </cfRule>
    <cfRule type="expression" dxfId="175" priority="23">
      <formula>$A6="Samedi"</formula>
    </cfRule>
  </conditionalFormatting>
  <conditionalFormatting sqref="J6:J35">
    <cfRule type="expression" dxfId="174" priority="19">
      <formula>$A6="Dimanche"</formula>
    </cfRule>
    <cfRule type="expression" dxfId="173" priority="20">
      <formula>$A6="Samedi"</formula>
    </cfRule>
  </conditionalFormatting>
  <conditionalFormatting sqref="J6:J35">
    <cfRule type="expression" dxfId="172" priority="21">
      <formula>COUNTIF(Jours_fériés,$B6)=1</formula>
    </cfRule>
  </conditionalFormatting>
  <conditionalFormatting sqref="L6:L35 N6:N35">
    <cfRule type="expression" dxfId="171" priority="16">
      <formula>COUNTIF(Jours_fériés,$B6)=1</formula>
    </cfRule>
    <cfRule type="expression" dxfId="170" priority="18">
      <formula>$A6="Samedi"</formula>
    </cfRule>
  </conditionalFormatting>
  <conditionalFormatting sqref="L6:L35 N6:N35">
    <cfRule type="expression" dxfId="169" priority="17">
      <formula>$A6="Dimanche"</formula>
    </cfRule>
  </conditionalFormatting>
  <conditionalFormatting sqref="M33:M35">
    <cfRule type="expression" dxfId="168" priority="13">
      <formula>COUNTIF(Jours_fériés,$B33)=1</formula>
    </cfRule>
    <cfRule type="expression" dxfId="167" priority="15">
      <formula>$A33="Samedi"</formula>
    </cfRule>
  </conditionalFormatting>
  <conditionalFormatting sqref="M33:M35">
    <cfRule type="expression" dxfId="166" priority="14">
      <formula>$A33="Dimanche"</formula>
    </cfRule>
  </conditionalFormatting>
  <conditionalFormatting sqref="D5:E5 G5:L5 N5">
    <cfRule type="expression" dxfId="165" priority="10">
      <formula>COUNTIF(Jours_fériés,$B5)=1</formula>
    </cfRule>
    <cfRule type="expression" dxfId="164" priority="12">
      <formula>$A5="Samedi"</formula>
    </cfRule>
  </conditionalFormatting>
  <conditionalFormatting sqref="D5:E5 G5:L5 N5">
    <cfRule type="expression" dxfId="163" priority="11">
      <formula>$A5="Dimanche"</formula>
    </cfRule>
  </conditionalFormatting>
  <conditionalFormatting sqref="F5:F32">
    <cfRule type="expression" dxfId="162" priority="4">
      <formula>$A5="Dimanche"</formula>
    </cfRule>
    <cfRule type="expression" dxfId="161" priority="5">
      <formula>$A5="Samedi"</formula>
    </cfRule>
  </conditionalFormatting>
  <conditionalFormatting sqref="F5:F32">
    <cfRule type="expression" dxfId="160" priority="6">
      <formula>COUNTIF(Jours_fériés,$B5)=1</formula>
    </cfRule>
  </conditionalFormatting>
  <conditionalFormatting sqref="M5:M32">
    <cfRule type="expression" dxfId="159" priority="1">
      <formula>COUNTIF(Jours_fériés,$B5)=1</formula>
    </cfRule>
    <cfRule type="expression" dxfId="158" priority="3">
      <formula>$A5="Samedi"</formula>
    </cfRule>
  </conditionalFormatting>
  <conditionalFormatting sqref="M5:M32">
    <cfRule type="expression" dxfId="157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N39"/>
  <sheetViews>
    <sheetView workbookViewId="0">
      <pane ySplit="4" topLeftCell="A5" activePane="bottomLeft" state="frozen"/>
      <selection activeCell="B36" sqref="B36"/>
      <selection pane="bottomLeft" activeCell="M5" sqref="M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DATE(Année!B1,3,1)</f>
        <v>41698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Jeudi</v>
      </c>
      <c r="B5" s="10">
        <f t="shared" ref="B5:B35" si="1">DATE(An,3,ROW(1:31))</f>
        <v>41698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0.32291666666666669</v>
      </c>
      <c r="G5" s="4"/>
      <c r="H5" s="5"/>
      <c r="I5" s="5"/>
      <c r="J5" s="5" t="str">
        <f t="shared" ref="J5" si="2">IF(C5=0,VLOOKUP(A5,Horaires,2,FALSE)," ")</f>
        <v xml:space="preserve"> </v>
      </c>
      <c r="K5" s="5"/>
      <c r="L5" s="5">
        <f t="shared" ref="L5" si="3">IF(A5="dimanche","",IF(A5="samedi","",IF(F5&lt;=0,"",(IF(H5="",F5-C5,H5-C5))+(I5+K5+N5))))</f>
        <v>0</v>
      </c>
      <c r="M5" s="4" t="str">
        <f t="shared" ref="M5:M36" si="4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Vendredi</v>
      </c>
      <c r="B6" s="10">
        <f t="shared" si="1"/>
        <v>41699</v>
      </c>
      <c r="C6" s="3">
        <f>IFERROR((VLOOKUP(B6,Fériés:Fériés,2,0)),VLOOKUP(A6,Année!$C$2:$C$8:'Année'!$D$2:$D$8,2,0))</f>
        <v>0.16666666666666666</v>
      </c>
      <c r="D6" s="4"/>
      <c r="E6" s="4"/>
      <c r="F6" s="5">
        <f t="shared" ref="F6:F35" si="5">IF(K6="",C6,0)</f>
        <v>0.16666666666666666</v>
      </c>
      <c r="G6" s="4"/>
      <c r="H6" s="5"/>
      <c r="I6" s="5"/>
      <c r="J6" s="5" t="str">
        <f t="shared" ref="J6:J35" si="6">IF(C6=0,VLOOKUP(A6,Horaires,2,FALSE)," ")</f>
        <v xml:space="preserve"> </v>
      </c>
      <c r="K6" s="5"/>
      <c r="L6" s="5">
        <f t="shared" ref="L6:L35" si="7">IF(A6="dimanche","",IF(A6="samedi","",IF(F6&lt;=0,"",(IF(H6="",F6-C6,H6-C6))+(I6+K6+N6))))</f>
        <v>0</v>
      </c>
      <c r="M6" s="4" t="str">
        <f t="shared" si="4"/>
        <v/>
      </c>
      <c r="N6" s="4" t="str">
        <f t="shared" ref="N6:N35" si="8">IF(F6="","",IF((F6+I6+K6)&gt;=C6,"0:00",C6-F6))</f>
        <v>0:00</v>
      </c>
    </row>
    <row r="7" spans="1:14">
      <c r="A7" s="8" t="str">
        <f t="shared" si="0"/>
        <v>Samedi</v>
      </c>
      <c r="B7" s="10">
        <f t="shared" si="1"/>
        <v>41700</v>
      </c>
      <c r="C7" s="3">
        <f>IFERROR((VLOOKUP(B7,Fériés:Fériés,2,0)),VLOOKUP(A7,Année!$C$2:$C$8:'Année'!$D$2:$D$8,2,0))</f>
        <v>0</v>
      </c>
      <c r="D7" s="4"/>
      <c r="E7" s="4"/>
      <c r="F7" s="5">
        <f t="shared" si="5"/>
        <v>0</v>
      </c>
      <c r="G7" s="4"/>
      <c r="H7" s="5"/>
      <c r="I7" s="5"/>
      <c r="J7" s="5">
        <f t="shared" si="6"/>
        <v>0</v>
      </c>
      <c r="K7" s="5"/>
      <c r="L7" s="5" t="str">
        <f t="shared" si="7"/>
        <v/>
      </c>
      <c r="M7" s="4" t="str">
        <f t="shared" si="4"/>
        <v/>
      </c>
      <c r="N7" s="4" t="str">
        <f t="shared" si="8"/>
        <v>0:00</v>
      </c>
    </row>
    <row r="8" spans="1:14">
      <c r="A8" s="8" t="str">
        <f t="shared" si="0"/>
        <v>Dimanche</v>
      </c>
      <c r="B8" s="10">
        <f t="shared" si="1"/>
        <v>41701</v>
      </c>
      <c r="C8" s="3">
        <f>IFERROR((VLOOKUP(B8,Fériés:Fériés,2,0)),VLOOKUP(A8,Année!$C$2:$C$8:'Année'!$D$2:$D$8,2,0))</f>
        <v>0</v>
      </c>
      <c r="D8" s="4"/>
      <c r="E8" s="4"/>
      <c r="F8" s="5">
        <f t="shared" si="5"/>
        <v>0</v>
      </c>
      <c r="G8" s="4"/>
      <c r="H8" s="5"/>
      <c r="I8" s="5"/>
      <c r="J8" s="5">
        <f t="shared" si="6"/>
        <v>0</v>
      </c>
      <c r="K8" s="5"/>
      <c r="L8" s="5" t="str">
        <f t="shared" si="7"/>
        <v/>
      </c>
      <c r="M8" s="4" t="str">
        <f t="shared" si="4"/>
        <v/>
      </c>
      <c r="N8" s="4" t="str">
        <f t="shared" si="8"/>
        <v>0:00</v>
      </c>
    </row>
    <row r="9" spans="1:14">
      <c r="A9" s="8" t="str">
        <f>CHOOSE(WEEKDAY(B9),"Dimanche","Lundi","Mardi","Mercredi","Jeudi","Vendredi","Samedi")</f>
        <v>Lundi</v>
      </c>
      <c r="B9" s="10">
        <f t="shared" si="1"/>
        <v>41702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5"/>
        <v>0.32291666666666669</v>
      </c>
      <c r="G9" s="4"/>
      <c r="H9" s="5"/>
      <c r="I9" s="5"/>
      <c r="J9" s="5" t="str">
        <f t="shared" si="6"/>
        <v xml:space="preserve"> </v>
      </c>
      <c r="K9" s="5"/>
      <c r="L9" s="5">
        <f t="shared" si="7"/>
        <v>0</v>
      </c>
      <c r="M9" s="4" t="str">
        <f t="shared" si="4"/>
        <v/>
      </c>
      <c r="N9" s="4" t="str">
        <f t="shared" si="8"/>
        <v>0:00</v>
      </c>
    </row>
    <row r="10" spans="1:14">
      <c r="A10" s="8" t="str">
        <f t="shared" ref="A10:A35" si="9">CHOOSE(WEEKDAY(B10),"Dimanche","Lundi","Mardi","Mercredi","Jeudi","Vendredi","Samedi")</f>
        <v>Mardi</v>
      </c>
      <c r="B10" s="10">
        <f t="shared" si="1"/>
        <v>41703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5"/>
        <v>0.32291666666666669</v>
      </c>
      <c r="G10" s="4"/>
      <c r="H10" s="5"/>
      <c r="I10" s="5"/>
      <c r="J10" s="5" t="str">
        <f t="shared" si="6"/>
        <v xml:space="preserve"> </v>
      </c>
      <c r="K10" s="5"/>
      <c r="L10" s="5">
        <f t="shared" si="7"/>
        <v>0</v>
      </c>
      <c r="M10" s="4" t="str">
        <f t="shared" si="4"/>
        <v/>
      </c>
      <c r="N10" s="4" t="str">
        <f t="shared" si="8"/>
        <v>0:00</v>
      </c>
    </row>
    <row r="11" spans="1:14">
      <c r="A11" s="8" t="str">
        <f t="shared" si="9"/>
        <v>Mercredi</v>
      </c>
      <c r="B11" s="10">
        <f t="shared" si="1"/>
        <v>41704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5"/>
        <v>0.32291666666666669</v>
      </c>
      <c r="G11" s="4"/>
      <c r="H11" s="5"/>
      <c r="I11" s="5"/>
      <c r="J11" s="5" t="str">
        <f t="shared" si="6"/>
        <v xml:space="preserve"> </v>
      </c>
      <c r="K11" s="5"/>
      <c r="L11" s="5">
        <f t="shared" si="7"/>
        <v>0</v>
      </c>
      <c r="M11" s="4" t="str">
        <f t="shared" si="4"/>
        <v/>
      </c>
      <c r="N11" s="4" t="str">
        <f t="shared" si="8"/>
        <v>0:00</v>
      </c>
    </row>
    <row r="12" spans="1:14">
      <c r="A12" s="8" t="str">
        <f t="shared" si="9"/>
        <v>Jeudi</v>
      </c>
      <c r="B12" s="10">
        <f t="shared" si="1"/>
        <v>41705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5"/>
        <v>0.32291666666666669</v>
      </c>
      <c r="G12" s="4"/>
      <c r="H12" s="5"/>
      <c r="I12" s="5"/>
      <c r="J12" s="5" t="str">
        <f t="shared" si="6"/>
        <v xml:space="preserve"> </v>
      </c>
      <c r="K12" s="5"/>
      <c r="L12" s="5">
        <f t="shared" si="7"/>
        <v>0</v>
      </c>
      <c r="M12" s="4" t="str">
        <f t="shared" si="4"/>
        <v/>
      </c>
      <c r="N12" s="4" t="str">
        <f t="shared" si="8"/>
        <v>0:00</v>
      </c>
    </row>
    <row r="13" spans="1:14">
      <c r="A13" s="8" t="str">
        <f t="shared" si="9"/>
        <v>Vendredi</v>
      </c>
      <c r="B13" s="10">
        <f t="shared" si="1"/>
        <v>41706</v>
      </c>
      <c r="C13" s="3">
        <f>IFERROR((VLOOKUP(B13,Fériés:Fériés,2,0)),VLOOKUP(A13,Année!$C$2:$C$8:'Année'!$D$2:$D$8,2,0))</f>
        <v>0.16666666666666666</v>
      </c>
      <c r="D13" s="4"/>
      <c r="E13" s="4"/>
      <c r="F13" s="5">
        <f t="shared" si="5"/>
        <v>0.16666666666666666</v>
      </c>
      <c r="G13" s="4"/>
      <c r="H13" s="5"/>
      <c r="I13" s="5"/>
      <c r="J13" s="5" t="str">
        <f t="shared" si="6"/>
        <v xml:space="preserve"> </v>
      </c>
      <c r="K13" s="5"/>
      <c r="L13" s="5">
        <f t="shared" si="7"/>
        <v>0</v>
      </c>
      <c r="M13" s="4" t="str">
        <f t="shared" si="4"/>
        <v/>
      </c>
      <c r="N13" s="4" t="str">
        <f t="shared" si="8"/>
        <v>0:00</v>
      </c>
    </row>
    <row r="14" spans="1:14">
      <c r="A14" s="8" t="str">
        <f t="shared" si="9"/>
        <v>Samedi</v>
      </c>
      <c r="B14" s="10">
        <f t="shared" si="1"/>
        <v>41707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5"/>
        <v>0</v>
      </c>
      <c r="G14" s="4"/>
      <c r="H14" s="5"/>
      <c r="I14" s="5"/>
      <c r="J14" s="5">
        <f t="shared" si="6"/>
        <v>0</v>
      </c>
      <c r="K14" s="5"/>
      <c r="L14" s="5" t="str">
        <f t="shared" si="7"/>
        <v/>
      </c>
      <c r="M14" s="4" t="str">
        <f t="shared" si="4"/>
        <v/>
      </c>
      <c r="N14" s="4" t="str">
        <f t="shared" si="8"/>
        <v>0:00</v>
      </c>
    </row>
    <row r="15" spans="1:14">
      <c r="A15" s="8" t="str">
        <f t="shared" si="9"/>
        <v>Dimanche</v>
      </c>
      <c r="B15" s="10">
        <f t="shared" si="1"/>
        <v>41708</v>
      </c>
      <c r="C15" s="3">
        <f>IFERROR((VLOOKUP(B15,Fériés:Fériés,2,0)),VLOOKUP(A15,Année!$C$2:$C$8:'Année'!$D$2:$D$8,2,0))</f>
        <v>0</v>
      </c>
      <c r="D15" s="4"/>
      <c r="E15" s="4"/>
      <c r="F15" s="5">
        <f t="shared" si="5"/>
        <v>0</v>
      </c>
      <c r="G15" s="4"/>
      <c r="H15" s="5"/>
      <c r="I15" s="5"/>
      <c r="J15" s="5">
        <f t="shared" si="6"/>
        <v>0</v>
      </c>
      <c r="K15" s="5"/>
      <c r="L15" s="5" t="str">
        <f t="shared" si="7"/>
        <v/>
      </c>
      <c r="M15" s="4" t="str">
        <f t="shared" si="4"/>
        <v/>
      </c>
      <c r="N15" s="4" t="str">
        <f t="shared" si="8"/>
        <v>0:00</v>
      </c>
    </row>
    <row r="16" spans="1:14">
      <c r="A16" s="8" t="str">
        <f t="shared" si="9"/>
        <v>Lundi</v>
      </c>
      <c r="B16" s="10">
        <f t="shared" si="1"/>
        <v>41709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5"/>
        <v>0.32291666666666669</v>
      </c>
      <c r="G16" s="4"/>
      <c r="H16" s="5"/>
      <c r="I16" s="5"/>
      <c r="J16" s="5" t="str">
        <f t="shared" si="6"/>
        <v xml:space="preserve"> </v>
      </c>
      <c r="K16" s="5"/>
      <c r="L16" s="5">
        <f t="shared" si="7"/>
        <v>0</v>
      </c>
      <c r="M16" s="4" t="str">
        <f t="shared" si="4"/>
        <v/>
      </c>
      <c r="N16" s="4" t="str">
        <f t="shared" si="8"/>
        <v>0:00</v>
      </c>
    </row>
    <row r="17" spans="1:14">
      <c r="A17" s="8" t="str">
        <f t="shared" si="9"/>
        <v>Mardi</v>
      </c>
      <c r="B17" s="10">
        <f t="shared" si="1"/>
        <v>41710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5"/>
        <v>0.32291666666666669</v>
      </c>
      <c r="G17" s="4"/>
      <c r="H17" s="5"/>
      <c r="I17" s="5"/>
      <c r="J17" s="5" t="str">
        <f t="shared" si="6"/>
        <v xml:space="preserve"> </v>
      </c>
      <c r="K17" s="5"/>
      <c r="L17" s="5">
        <f t="shared" si="7"/>
        <v>0</v>
      </c>
      <c r="M17" s="4" t="str">
        <f t="shared" si="4"/>
        <v/>
      </c>
      <c r="N17" s="4" t="str">
        <f t="shared" si="8"/>
        <v>0:00</v>
      </c>
    </row>
    <row r="18" spans="1:14">
      <c r="A18" s="8" t="str">
        <f t="shared" si="9"/>
        <v>Mercredi</v>
      </c>
      <c r="B18" s="10">
        <f t="shared" si="1"/>
        <v>41711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5"/>
        <v>0.32291666666666669</v>
      </c>
      <c r="G18" s="4"/>
      <c r="H18" s="5"/>
      <c r="I18" s="5"/>
      <c r="J18" s="5" t="str">
        <f t="shared" si="6"/>
        <v xml:space="preserve"> </v>
      </c>
      <c r="K18" s="5"/>
      <c r="L18" s="5">
        <f t="shared" si="7"/>
        <v>0</v>
      </c>
      <c r="M18" s="4" t="str">
        <f t="shared" si="4"/>
        <v/>
      </c>
      <c r="N18" s="4" t="str">
        <f t="shared" si="8"/>
        <v>0:00</v>
      </c>
    </row>
    <row r="19" spans="1:14">
      <c r="A19" s="8" t="str">
        <f t="shared" si="9"/>
        <v>Jeudi</v>
      </c>
      <c r="B19" s="10">
        <f t="shared" si="1"/>
        <v>41712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5"/>
        <v>0.32291666666666669</v>
      </c>
      <c r="G19" s="4"/>
      <c r="H19" s="5"/>
      <c r="I19" s="5"/>
      <c r="J19" s="5" t="str">
        <f t="shared" si="6"/>
        <v xml:space="preserve"> </v>
      </c>
      <c r="K19" s="5"/>
      <c r="L19" s="5">
        <f t="shared" si="7"/>
        <v>0</v>
      </c>
      <c r="M19" s="4" t="str">
        <f t="shared" si="4"/>
        <v/>
      </c>
      <c r="N19" s="4" t="str">
        <f t="shared" si="8"/>
        <v>0:00</v>
      </c>
    </row>
    <row r="20" spans="1:14">
      <c r="A20" s="8" t="str">
        <f t="shared" si="9"/>
        <v>Vendredi</v>
      </c>
      <c r="B20" s="10">
        <f t="shared" si="1"/>
        <v>41713</v>
      </c>
      <c r="C20" s="3">
        <f>IFERROR((VLOOKUP(B20,Fériés:Fériés,2,0)),VLOOKUP(A20,Année!$C$2:$C$8:'Année'!$D$2:$D$8,2,0))</f>
        <v>0.16666666666666666</v>
      </c>
      <c r="D20" s="4"/>
      <c r="E20" s="4"/>
      <c r="F20" s="5">
        <f t="shared" si="5"/>
        <v>0.16666666666666666</v>
      </c>
      <c r="G20" s="4"/>
      <c r="H20" s="5"/>
      <c r="I20" s="5"/>
      <c r="J20" s="5" t="str">
        <f t="shared" si="6"/>
        <v xml:space="preserve"> </v>
      </c>
      <c r="K20" s="5"/>
      <c r="L20" s="5">
        <f t="shared" si="7"/>
        <v>0</v>
      </c>
      <c r="M20" s="4" t="str">
        <f t="shared" si="4"/>
        <v/>
      </c>
      <c r="N20" s="4" t="str">
        <f t="shared" si="8"/>
        <v>0:00</v>
      </c>
    </row>
    <row r="21" spans="1:14">
      <c r="A21" s="8" t="str">
        <f t="shared" si="9"/>
        <v>Samedi</v>
      </c>
      <c r="B21" s="10">
        <f t="shared" si="1"/>
        <v>41714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5"/>
        <v>0</v>
      </c>
      <c r="G21" s="4"/>
      <c r="H21" s="5"/>
      <c r="I21" s="5"/>
      <c r="J21" s="5">
        <f t="shared" si="6"/>
        <v>0</v>
      </c>
      <c r="K21" s="5"/>
      <c r="L21" s="5" t="str">
        <f t="shared" si="7"/>
        <v/>
      </c>
      <c r="M21" s="4" t="str">
        <f t="shared" si="4"/>
        <v/>
      </c>
      <c r="N21" s="4" t="str">
        <f t="shared" si="8"/>
        <v>0:00</v>
      </c>
    </row>
    <row r="22" spans="1:14">
      <c r="A22" s="8" t="str">
        <f t="shared" si="9"/>
        <v>Dimanche</v>
      </c>
      <c r="B22" s="10">
        <f t="shared" si="1"/>
        <v>41715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5"/>
        <v>0</v>
      </c>
      <c r="G22" s="4"/>
      <c r="H22" s="5"/>
      <c r="I22" s="5"/>
      <c r="J22" s="5">
        <f t="shared" si="6"/>
        <v>0</v>
      </c>
      <c r="K22" s="5"/>
      <c r="L22" s="5" t="str">
        <f t="shared" si="7"/>
        <v/>
      </c>
      <c r="M22" s="4" t="str">
        <f t="shared" si="4"/>
        <v/>
      </c>
      <c r="N22" s="4" t="str">
        <f t="shared" si="8"/>
        <v>0:00</v>
      </c>
    </row>
    <row r="23" spans="1:14">
      <c r="A23" s="8" t="str">
        <f t="shared" si="9"/>
        <v>Lundi</v>
      </c>
      <c r="B23" s="10">
        <f t="shared" si="1"/>
        <v>41716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5"/>
        <v>0.32291666666666669</v>
      </c>
      <c r="G23" s="4"/>
      <c r="H23" s="5"/>
      <c r="I23" s="5"/>
      <c r="J23" s="5" t="str">
        <f t="shared" si="6"/>
        <v xml:space="preserve"> </v>
      </c>
      <c r="K23" s="5"/>
      <c r="L23" s="5">
        <f t="shared" si="7"/>
        <v>0</v>
      </c>
      <c r="M23" s="4" t="str">
        <f t="shared" si="4"/>
        <v/>
      </c>
      <c r="N23" s="4" t="str">
        <f t="shared" si="8"/>
        <v>0:00</v>
      </c>
    </row>
    <row r="24" spans="1:14">
      <c r="A24" s="8" t="str">
        <f t="shared" si="9"/>
        <v>Mardi</v>
      </c>
      <c r="B24" s="10">
        <f t="shared" si="1"/>
        <v>41717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5"/>
        <v>0.32291666666666669</v>
      </c>
      <c r="G24" s="4"/>
      <c r="H24" s="5"/>
      <c r="I24" s="5"/>
      <c r="J24" s="5" t="str">
        <f t="shared" si="6"/>
        <v xml:space="preserve"> </v>
      </c>
      <c r="K24" s="5"/>
      <c r="L24" s="5">
        <f t="shared" si="7"/>
        <v>0</v>
      </c>
      <c r="M24" s="4" t="str">
        <f t="shared" si="4"/>
        <v/>
      </c>
      <c r="N24" s="4" t="str">
        <f t="shared" si="8"/>
        <v>0:00</v>
      </c>
    </row>
    <row r="25" spans="1:14">
      <c r="A25" s="8" t="str">
        <f t="shared" si="9"/>
        <v>Mercredi</v>
      </c>
      <c r="B25" s="10">
        <f t="shared" si="1"/>
        <v>41718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5"/>
        <v>0.32291666666666669</v>
      </c>
      <c r="G25" s="4"/>
      <c r="H25" s="5"/>
      <c r="I25" s="5"/>
      <c r="J25" s="5" t="str">
        <f t="shared" si="6"/>
        <v xml:space="preserve"> </v>
      </c>
      <c r="K25" s="5"/>
      <c r="L25" s="5">
        <f t="shared" si="7"/>
        <v>0</v>
      </c>
      <c r="M25" s="4" t="str">
        <f t="shared" si="4"/>
        <v/>
      </c>
      <c r="N25" s="4" t="str">
        <f t="shared" si="8"/>
        <v>0:00</v>
      </c>
    </row>
    <row r="26" spans="1:14">
      <c r="A26" s="8" t="str">
        <f t="shared" si="9"/>
        <v>Jeudi</v>
      </c>
      <c r="B26" s="10">
        <f t="shared" si="1"/>
        <v>41719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5"/>
        <v>0.32291666666666669</v>
      </c>
      <c r="G26" s="4"/>
      <c r="H26" s="5"/>
      <c r="I26" s="5"/>
      <c r="J26" s="5" t="str">
        <f t="shared" si="6"/>
        <v xml:space="preserve"> </v>
      </c>
      <c r="K26" s="5"/>
      <c r="L26" s="5">
        <f t="shared" si="7"/>
        <v>0</v>
      </c>
      <c r="M26" s="4" t="str">
        <f t="shared" si="4"/>
        <v/>
      </c>
      <c r="N26" s="4" t="str">
        <f t="shared" si="8"/>
        <v>0:00</v>
      </c>
    </row>
    <row r="27" spans="1:14">
      <c r="A27" s="8" t="str">
        <f t="shared" si="9"/>
        <v>Vendredi</v>
      </c>
      <c r="B27" s="10">
        <f t="shared" si="1"/>
        <v>41720</v>
      </c>
      <c r="C27" s="3">
        <f>IFERROR((VLOOKUP(B27,Fériés:Fériés,2,0)),VLOOKUP(A27,Année!$C$2:$C$8:'Année'!$D$2:$D$8,2,0))</f>
        <v>0.16666666666666666</v>
      </c>
      <c r="D27" s="4"/>
      <c r="E27" s="4"/>
      <c r="F27" s="5">
        <f t="shared" si="5"/>
        <v>0.16666666666666666</v>
      </c>
      <c r="G27" s="4"/>
      <c r="H27" s="5"/>
      <c r="I27" s="5"/>
      <c r="J27" s="5" t="str">
        <f t="shared" si="6"/>
        <v xml:space="preserve"> </v>
      </c>
      <c r="K27" s="5"/>
      <c r="L27" s="5">
        <f t="shared" si="7"/>
        <v>0</v>
      </c>
      <c r="M27" s="4" t="str">
        <f t="shared" si="4"/>
        <v/>
      </c>
      <c r="N27" s="4" t="str">
        <f t="shared" si="8"/>
        <v>0:00</v>
      </c>
    </row>
    <row r="28" spans="1:14">
      <c r="A28" s="8" t="str">
        <f t="shared" si="9"/>
        <v>Samedi</v>
      </c>
      <c r="B28" s="10">
        <f t="shared" si="1"/>
        <v>41721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5"/>
        <v>0</v>
      </c>
      <c r="G28" s="4"/>
      <c r="H28" s="5"/>
      <c r="I28" s="5"/>
      <c r="J28" s="5">
        <f t="shared" si="6"/>
        <v>0</v>
      </c>
      <c r="K28" s="5"/>
      <c r="L28" s="5" t="str">
        <f t="shared" si="7"/>
        <v/>
      </c>
      <c r="M28" s="4" t="str">
        <f t="shared" si="4"/>
        <v/>
      </c>
      <c r="N28" s="4" t="str">
        <f t="shared" si="8"/>
        <v>0:00</v>
      </c>
    </row>
    <row r="29" spans="1:14">
      <c r="A29" s="8" t="str">
        <f t="shared" si="9"/>
        <v>Dimanche</v>
      </c>
      <c r="B29" s="10">
        <f t="shared" si="1"/>
        <v>41722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5"/>
        <v>0</v>
      </c>
      <c r="G29" s="4"/>
      <c r="H29" s="5"/>
      <c r="I29" s="5"/>
      <c r="J29" s="5">
        <f t="shared" si="6"/>
        <v>0</v>
      </c>
      <c r="K29" s="5"/>
      <c r="L29" s="5" t="str">
        <f t="shared" si="7"/>
        <v/>
      </c>
      <c r="M29" s="4" t="str">
        <f t="shared" si="4"/>
        <v/>
      </c>
      <c r="N29" s="4" t="str">
        <f t="shared" si="8"/>
        <v>0:00</v>
      </c>
    </row>
    <row r="30" spans="1:14">
      <c r="A30" s="8" t="str">
        <f t="shared" si="9"/>
        <v>Lundi</v>
      </c>
      <c r="B30" s="10">
        <f t="shared" si="1"/>
        <v>41723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5"/>
        <v>0.32291666666666669</v>
      </c>
      <c r="G30" s="4"/>
      <c r="H30" s="5"/>
      <c r="I30" s="5"/>
      <c r="J30" s="5" t="str">
        <f t="shared" si="6"/>
        <v xml:space="preserve"> </v>
      </c>
      <c r="K30" s="5"/>
      <c r="L30" s="5">
        <f t="shared" si="7"/>
        <v>0</v>
      </c>
      <c r="M30" s="4" t="str">
        <f t="shared" si="4"/>
        <v/>
      </c>
      <c r="N30" s="4" t="str">
        <f t="shared" si="8"/>
        <v>0:00</v>
      </c>
    </row>
    <row r="31" spans="1:14">
      <c r="A31" s="8" t="str">
        <f t="shared" si="9"/>
        <v>Mardi</v>
      </c>
      <c r="B31" s="10">
        <f t="shared" si="1"/>
        <v>41724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5"/>
        <v>0.32291666666666669</v>
      </c>
      <c r="G31" s="4"/>
      <c r="H31" s="5"/>
      <c r="I31" s="5"/>
      <c r="J31" s="5" t="str">
        <f t="shared" si="6"/>
        <v xml:space="preserve"> </v>
      </c>
      <c r="K31" s="5"/>
      <c r="L31" s="5">
        <f t="shared" si="7"/>
        <v>0</v>
      </c>
      <c r="M31" s="4" t="str">
        <f t="shared" si="4"/>
        <v/>
      </c>
      <c r="N31" s="4" t="str">
        <f t="shared" si="8"/>
        <v>0:00</v>
      </c>
    </row>
    <row r="32" spans="1:14">
      <c r="A32" s="8" t="str">
        <f t="shared" si="9"/>
        <v>Mercredi</v>
      </c>
      <c r="B32" s="10">
        <f t="shared" si="1"/>
        <v>41725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5"/>
        <v>0.32291666666666669</v>
      </c>
      <c r="G32" s="4"/>
      <c r="H32" s="5"/>
      <c r="I32" s="5"/>
      <c r="J32" s="5" t="str">
        <f t="shared" si="6"/>
        <v xml:space="preserve"> </v>
      </c>
      <c r="K32" s="5"/>
      <c r="L32" s="5">
        <f t="shared" si="7"/>
        <v>0</v>
      </c>
      <c r="M32" s="4" t="str">
        <f t="shared" si="4"/>
        <v/>
      </c>
      <c r="N32" s="4" t="str">
        <f t="shared" si="8"/>
        <v>0:00</v>
      </c>
    </row>
    <row r="33" spans="1:14">
      <c r="A33" s="8" t="str">
        <f t="shared" si="9"/>
        <v>Jeudi</v>
      </c>
      <c r="B33" s="10">
        <f t="shared" si="1"/>
        <v>41726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5"/>
        <v>0.32291666666666669</v>
      </c>
      <c r="G33" s="4"/>
      <c r="H33" s="5"/>
      <c r="I33" s="5"/>
      <c r="J33" s="5" t="str">
        <f t="shared" si="6"/>
        <v xml:space="preserve"> </v>
      </c>
      <c r="K33" s="5"/>
      <c r="L33" s="5">
        <f t="shared" si="7"/>
        <v>0</v>
      </c>
      <c r="M33" s="4" t="str">
        <f t="shared" si="4"/>
        <v/>
      </c>
      <c r="N33" s="4" t="str">
        <f t="shared" si="8"/>
        <v>0:00</v>
      </c>
    </row>
    <row r="34" spans="1:14">
      <c r="A34" s="8" t="str">
        <f t="shared" si="9"/>
        <v>Vendredi</v>
      </c>
      <c r="B34" s="10">
        <f t="shared" si="1"/>
        <v>41727</v>
      </c>
      <c r="C34" s="3">
        <f>IFERROR((VLOOKUP(B34,Fériés:Fériés,2,0)),VLOOKUP(A34,Année!$C$2:$C$8:'Année'!$D$2:$D$8,2,0))</f>
        <v>0.16666666666666666</v>
      </c>
      <c r="D34" s="4"/>
      <c r="E34" s="4"/>
      <c r="F34" s="5">
        <v>0</v>
      </c>
      <c r="G34" s="4"/>
      <c r="H34" s="5"/>
      <c r="I34" s="5"/>
      <c r="J34" s="5" t="str">
        <f t="shared" si="6"/>
        <v xml:space="preserve"> </v>
      </c>
      <c r="K34" s="5">
        <v>0.16666666666666666</v>
      </c>
      <c r="L34" s="5" t="str">
        <f t="shared" si="7"/>
        <v/>
      </c>
      <c r="M34" s="4" t="str">
        <f t="shared" si="4"/>
        <v/>
      </c>
      <c r="N34" s="4" t="str">
        <f t="shared" si="8"/>
        <v>0:00</v>
      </c>
    </row>
    <row r="35" spans="1:14">
      <c r="A35" s="8" t="str">
        <f t="shared" si="9"/>
        <v>Samedi</v>
      </c>
      <c r="B35" s="10">
        <f t="shared" si="1"/>
        <v>41728</v>
      </c>
      <c r="C35" s="3">
        <f>IFERROR((VLOOKUP(B35,Fériés:Fériés,2,0)),VLOOKUP(A35,Année!$C$2:$C$8:'Année'!$D$2:$D$8,2,0))</f>
        <v>0</v>
      </c>
      <c r="D35" s="4"/>
      <c r="E35" s="4"/>
      <c r="F35" s="5">
        <f t="shared" si="5"/>
        <v>0</v>
      </c>
      <c r="G35" s="4"/>
      <c r="H35" s="5"/>
      <c r="I35" s="5"/>
      <c r="J35" s="5">
        <f t="shared" si="6"/>
        <v>0</v>
      </c>
      <c r="K35" s="5"/>
      <c r="L35" s="5" t="str">
        <f t="shared" si="7"/>
        <v/>
      </c>
      <c r="M35" s="4" t="str">
        <f t="shared" si="4"/>
        <v/>
      </c>
      <c r="N35" s="4" t="str">
        <f t="shared" si="8"/>
        <v>0:00</v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 t="str">
        <f t="shared" ref="L36" si="10">IF(A36="dimanche","",IF(A36="samedi","",IF(F36&lt;=0,"",(IF(H36="",F36-C36,H36-C36))+(I36+K36+N36))))</f>
        <v/>
      </c>
      <c r="M36" s="4" t="str">
        <f t="shared" si="4"/>
        <v/>
      </c>
      <c r="N36" s="4" t="str">
        <f t="shared" ref="N36" si="11">IF(F36="","",IF((F36+I36+K36)&gt;=C36,"0:00",C36-F36))</f>
        <v/>
      </c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6.3229166666666687</v>
      </c>
      <c r="D38" s="40">
        <f t="shared" ref="D38:N38" si="12">SUM(D5:D37)</f>
        <v>0</v>
      </c>
      <c r="E38" s="40">
        <f t="shared" si="12"/>
        <v>0</v>
      </c>
      <c r="F38" s="40">
        <f t="shared" si="12"/>
        <v>6.1562500000000018</v>
      </c>
      <c r="G38" s="40">
        <f t="shared" si="12"/>
        <v>0</v>
      </c>
      <c r="H38" s="40">
        <f t="shared" si="12"/>
        <v>0</v>
      </c>
      <c r="I38" s="40">
        <f t="shared" si="12"/>
        <v>0</v>
      </c>
      <c r="J38" s="40">
        <f t="shared" si="12"/>
        <v>0</v>
      </c>
      <c r="K38" s="40">
        <f t="shared" si="12"/>
        <v>0.16666666666666666</v>
      </c>
      <c r="L38" s="40">
        <f t="shared" si="12"/>
        <v>0</v>
      </c>
      <c r="M38" s="40">
        <f t="shared" si="12"/>
        <v>0</v>
      </c>
      <c r="N38" s="40">
        <f t="shared" si="12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7:N37 A36:K36 A5:C35">
    <cfRule type="expression" dxfId="156" priority="17">
      <formula>$A5="Dimanche"</formula>
    </cfRule>
    <cfRule type="expression" dxfId="155" priority="18">
      <formula>$A5="Samedi"</formula>
    </cfRule>
  </conditionalFormatting>
  <conditionalFormatting sqref="A5:A37">
    <cfRule type="expression" dxfId="154" priority="16">
      <formula>$M5&lt;&gt;""</formula>
    </cfRule>
  </conditionalFormatting>
  <conditionalFormatting sqref="A36:K36 A5:C35">
    <cfRule type="expression" dxfId="153" priority="19">
      <formula>COUNTIF(Jours_fériés,$B5)=1</formula>
    </cfRule>
  </conditionalFormatting>
  <conditionalFormatting sqref="L36 N36">
    <cfRule type="expression" dxfId="152" priority="10">
      <formula>COUNTIF(Jours_fériés,$B36)=1</formula>
    </cfRule>
    <cfRule type="expression" dxfId="151" priority="12">
      <formula>$A36="Samedi"</formula>
    </cfRule>
  </conditionalFormatting>
  <conditionalFormatting sqref="L36 N36">
    <cfRule type="expression" dxfId="150" priority="11">
      <formula>$A36="Dimanche"</formula>
    </cfRule>
  </conditionalFormatting>
  <conditionalFormatting sqref="D5:E35 G5:L35 N5:N35">
    <cfRule type="expression" dxfId="149" priority="7">
      <formula>COUNTIF(Jours_fériés,$B5)=1</formula>
    </cfRule>
    <cfRule type="expression" dxfId="148" priority="9">
      <formula>$A5="Samedi"</formula>
    </cfRule>
  </conditionalFormatting>
  <conditionalFormatting sqref="D5:E35 G5:L35 N5:N35">
    <cfRule type="expression" dxfId="147" priority="8">
      <formula>$A5="Dimanche"</formula>
    </cfRule>
  </conditionalFormatting>
  <conditionalFormatting sqref="F5:F35">
    <cfRule type="expression" dxfId="146" priority="4">
      <formula>$A5="Dimanche"</formula>
    </cfRule>
    <cfRule type="expression" dxfId="145" priority="5">
      <formula>$A5="Samedi"</formula>
    </cfRule>
  </conditionalFormatting>
  <conditionalFormatting sqref="F5:F35">
    <cfRule type="expression" dxfId="144" priority="6">
      <formula>COUNTIF(Jours_fériés,$B5)=1</formula>
    </cfRule>
  </conditionalFormatting>
  <conditionalFormatting sqref="M5:M36">
    <cfRule type="expression" dxfId="143" priority="1">
      <formula>COUNTIF(Jours_fériés,$B5)=1</formula>
    </cfRule>
    <cfRule type="expression" dxfId="142" priority="3">
      <formula>$A5="Samedi"</formula>
    </cfRule>
  </conditionalFormatting>
  <conditionalFormatting sqref="M5:M36">
    <cfRule type="expression" dxfId="141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:N39"/>
  <sheetViews>
    <sheetView workbookViewId="0">
      <pane ySplit="4" topLeftCell="A5" activePane="bottomLeft" state="frozen"/>
      <selection activeCell="B36" sqref="B36"/>
      <selection pane="bottomLeft" activeCell="M5" sqref="M5:M34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DATE(Année!B1,4,1)</f>
        <v>41729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Dimanche</v>
      </c>
      <c r="B5" s="10">
        <f t="shared" ref="B5:B34" si="1">DATE(An,4,ROW(1:31))</f>
        <v>41729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10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Lundi</v>
      </c>
      <c r="B6" s="10">
        <f t="shared" si="1"/>
        <v>41730</v>
      </c>
      <c r="C6" s="3">
        <f>IFERROR((VLOOKUP(B6,Fériés:Fériés,2,0)),VLOOKUP(A6,Année!$C$2:$C$8:'Année'!$D$2:$D$8,2,0))</f>
        <v>0</v>
      </c>
      <c r="D6" s="4"/>
      <c r="E6" s="4"/>
      <c r="F6" s="5">
        <f>IF(K6="",C6,0)</f>
        <v>0</v>
      </c>
      <c r="G6" s="4"/>
      <c r="H6" s="5"/>
      <c r="I6" s="5"/>
      <c r="J6" s="5">
        <f t="shared" si="2"/>
        <v>0.32291666666666669</v>
      </c>
      <c r="K6" s="5"/>
      <c r="L6" s="5" t="str">
        <f t="shared" ref="L6:L34" si="4">IF(A6="dimanche","",IF(A6="samedi","",IF(F6&lt;=0,"",(IF(H6="",F6-C6,H6-C6))+(I6+K6+N6))))</f>
        <v/>
      </c>
      <c r="M6" s="4" t="str">
        <f t="shared" si="3"/>
        <v/>
      </c>
      <c r="N6" s="4" t="str">
        <f t="shared" ref="N6:N34" si="5">IF(F6="","",IF((F6+I6+K6)&gt;=C6,"0:00",C6-F6))</f>
        <v>0:00</v>
      </c>
    </row>
    <row r="7" spans="1:14">
      <c r="A7" s="8" t="str">
        <f t="shared" si="0"/>
        <v>Mardi</v>
      </c>
      <c r="B7" s="10">
        <f t="shared" si="1"/>
        <v>41731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ref="F7:F34" si="6">IF(K7="",C7,0)</f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4"/>
        <v>0</v>
      </c>
      <c r="M7" s="4" t="str">
        <f t="shared" si="3"/>
        <v/>
      </c>
      <c r="N7" s="4" t="str">
        <f t="shared" si="5"/>
        <v>0:00</v>
      </c>
    </row>
    <row r="8" spans="1:14">
      <c r="A8" s="8" t="str">
        <f t="shared" si="0"/>
        <v>Mercredi</v>
      </c>
      <c r="B8" s="10">
        <f t="shared" si="1"/>
        <v>41732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6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4"/>
        <v>0</v>
      </c>
      <c r="M8" s="4" t="str">
        <f t="shared" si="3"/>
        <v/>
      </c>
      <c r="N8" s="4" t="str">
        <f t="shared" si="5"/>
        <v>0:00</v>
      </c>
    </row>
    <row r="9" spans="1:14">
      <c r="A9" s="8" t="str">
        <f>CHOOSE(WEEKDAY(B9),"Dimanche","Lundi","Mardi","Mercredi","Jeudi","Vendredi","Samedi")</f>
        <v>Jeudi</v>
      </c>
      <c r="B9" s="10">
        <f t="shared" si="1"/>
        <v>41733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6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4"/>
        <v>0</v>
      </c>
      <c r="M9" s="4" t="str">
        <f t="shared" si="3"/>
        <v/>
      </c>
      <c r="N9" s="4" t="str">
        <f t="shared" si="5"/>
        <v>0:00</v>
      </c>
    </row>
    <row r="10" spans="1:14">
      <c r="A10" s="8" t="str">
        <f t="shared" ref="A10:A34" si="7">CHOOSE(WEEKDAY(B10),"Dimanche","Lundi","Mardi","Mercredi","Jeudi","Vendredi","Samedi")</f>
        <v>Vendredi</v>
      </c>
      <c r="B10" s="10">
        <f t="shared" si="1"/>
        <v>41734</v>
      </c>
      <c r="C10" s="3">
        <f>IFERROR((VLOOKUP(B10,Fériés:Fériés,2,0)),VLOOKUP(A10,Année!$C$2:$C$8:'Année'!$D$2:$D$8,2,0))</f>
        <v>0.16666666666666666</v>
      </c>
      <c r="D10" s="4"/>
      <c r="E10" s="4"/>
      <c r="F10" s="5">
        <f t="shared" si="6"/>
        <v>0.16666666666666666</v>
      </c>
      <c r="G10" s="4"/>
      <c r="H10" s="5"/>
      <c r="I10" s="5"/>
      <c r="J10" s="5" t="str">
        <f t="shared" si="2"/>
        <v xml:space="preserve"> </v>
      </c>
      <c r="K10" s="5"/>
      <c r="L10" s="5">
        <f t="shared" si="4"/>
        <v>0</v>
      </c>
      <c r="M10" s="4" t="str">
        <f t="shared" si="3"/>
        <v/>
      </c>
      <c r="N10" s="4" t="str">
        <f t="shared" si="5"/>
        <v>0:00</v>
      </c>
    </row>
    <row r="11" spans="1:14">
      <c r="A11" s="8" t="str">
        <f t="shared" si="7"/>
        <v>Samedi</v>
      </c>
      <c r="B11" s="10">
        <f t="shared" si="1"/>
        <v>41735</v>
      </c>
      <c r="C11" s="3">
        <f>IFERROR((VLOOKUP(B11,Fériés:Fériés,2,0)),VLOOKUP(A11,Année!$C$2:$C$8:'Année'!$D$2:$D$8,2,0))</f>
        <v>0</v>
      </c>
      <c r="D11" s="4"/>
      <c r="E11" s="4"/>
      <c r="F11" s="5">
        <f t="shared" si="6"/>
        <v>0</v>
      </c>
      <c r="G11" s="4"/>
      <c r="H11" s="5"/>
      <c r="I11" s="5"/>
      <c r="J11" s="5">
        <f t="shared" ref="J11:J17" si="8">IF(C11=0,VLOOKUP(A11,Horaires,2,FALSE)," ")</f>
        <v>0</v>
      </c>
      <c r="K11" s="5"/>
      <c r="L11" s="5" t="str">
        <f t="shared" si="4"/>
        <v/>
      </c>
      <c r="M11" s="4" t="str">
        <f t="shared" si="3"/>
        <v/>
      </c>
      <c r="N11" s="4" t="str">
        <f t="shared" si="5"/>
        <v>0:00</v>
      </c>
    </row>
    <row r="12" spans="1:14">
      <c r="A12" s="8" t="str">
        <f t="shared" si="7"/>
        <v>Dimanche</v>
      </c>
      <c r="B12" s="10">
        <f t="shared" si="1"/>
        <v>41736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6"/>
        <v>0</v>
      </c>
      <c r="G12" s="4"/>
      <c r="H12" s="5"/>
      <c r="I12" s="5"/>
      <c r="J12" s="5">
        <f t="shared" si="8"/>
        <v>0</v>
      </c>
      <c r="K12" s="5"/>
      <c r="L12" s="5" t="str">
        <f t="shared" si="4"/>
        <v/>
      </c>
      <c r="M12" s="4" t="str">
        <f t="shared" si="3"/>
        <v/>
      </c>
      <c r="N12" s="4" t="str">
        <f t="shared" si="5"/>
        <v>0:00</v>
      </c>
    </row>
    <row r="13" spans="1:14">
      <c r="A13" s="8" t="str">
        <f t="shared" si="7"/>
        <v>Lundi</v>
      </c>
      <c r="B13" s="10">
        <f t="shared" si="1"/>
        <v>41737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6"/>
        <v>0.32291666666666669</v>
      </c>
      <c r="G13" s="4"/>
      <c r="H13" s="5"/>
      <c r="I13" s="5"/>
      <c r="J13" s="5" t="str">
        <f t="shared" si="8"/>
        <v xml:space="preserve"> </v>
      </c>
      <c r="K13" s="5"/>
      <c r="L13" s="5">
        <f t="shared" si="4"/>
        <v>0</v>
      </c>
      <c r="M13" s="4" t="str">
        <f t="shared" si="3"/>
        <v/>
      </c>
      <c r="N13" s="4" t="str">
        <f t="shared" si="5"/>
        <v>0:00</v>
      </c>
    </row>
    <row r="14" spans="1:14">
      <c r="A14" s="8" t="str">
        <f t="shared" si="7"/>
        <v>Mardi</v>
      </c>
      <c r="B14" s="10">
        <f t="shared" si="1"/>
        <v>41738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6"/>
        <v>0.32291666666666669</v>
      </c>
      <c r="G14" s="4"/>
      <c r="H14" s="5"/>
      <c r="I14" s="5"/>
      <c r="J14" s="5" t="str">
        <f t="shared" si="8"/>
        <v xml:space="preserve"> </v>
      </c>
      <c r="K14" s="5"/>
      <c r="L14" s="5">
        <f t="shared" si="4"/>
        <v>0</v>
      </c>
      <c r="M14" s="4" t="str">
        <f t="shared" si="3"/>
        <v/>
      </c>
      <c r="N14" s="4" t="str">
        <f t="shared" si="5"/>
        <v>0:00</v>
      </c>
    </row>
    <row r="15" spans="1:14">
      <c r="A15" s="8" t="str">
        <f t="shared" si="7"/>
        <v>Mercredi</v>
      </c>
      <c r="B15" s="10">
        <f t="shared" si="1"/>
        <v>41739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6"/>
        <v>0.32291666666666669</v>
      </c>
      <c r="G15" s="4"/>
      <c r="H15" s="5"/>
      <c r="I15" s="5"/>
      <c r="J15" s="5" t="str">
        <f t="shared" si="8"/>
        <v xml:space="preserve"> </v>
      </c>
      <c r="K15" s="5"/>
      <c r="L15" s="5">
        <f t="shared" si="4"/>
        <v>0</v>
      </c>
      <c r="M15" s="4" t="str">
        <f t="shared" si="3"/>
        <v/>
      </c>
      <c r="N15" s="4" t="str">
        <f t="shared" si="5"/>
        <v>0:00</v>
      </c>
    </row>
    <row r="16" spans="1:14">
      <c r="A16" s="8" t="str">
        <f t="shared" si="7"/>
        <v>Jeudi</v>
      </c>
      <c r="B16" s="10">
        <f t="shared" si="1"/>
        <v>41740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6"/>
        <v>0.32291666666666669</v>
      </c>
      <c r="G16" s="4"/>
      <c r="H16" s="5"/>
      <c r="I16" s="5"/>
      <c r="J16" s="5" t="str">
        <f t="shared" si="8"/>
        <v xml:space="preserve"> </v>
      </c>
      <c r="K16" s="5"/>
      <c r="L16" s="5">
        <f t="shared" si="4"/>
        <v>0</v>
      </c>
      <c r="M16" s="4" t="str">
        <f t="shared" si="3"/>
        <v/>
      </c>
      <c r="N16" s="4" t="str">
        <f t="shared" si="5"/>
        <v>0:00</v>
      </c>
    </row>
    <row r="17" spans="1:14">
      <c r="A17" s="8" t="str">
        <f t="shared" si="7"/>
        <v>Vendredi</v>
      </c>
      <c r="B17" s="10">
        <f t="shared" si="1"/>
        <v>41741</v>
      </c>
      <c r="C17" s="3">
        <f>IFERROR((VLOOKUP(B17,Fériés:Fériés,2,0)),VLOOKUP(A17,Année!$C$2:$C$8:'Année'!$D$2:$D$8,2,0))</f>
        <v>0.16666666666666666</v>
      </c>
      <c r="D17" s="4"/>
      <c r="E17" s="4"/>
      <c r="F17" s="5">
        <f t="shared" si="6"/>
        <v>0.16666666666666666</v>
      </c>
      <c r="G17" s="4"/>
      <c r="H17" s="5"/>
      <c r="I17" s="5"/>
      <c r="J17" s="5" t="str">
        <f t="shared" si="8"/>
        <v xml:space="preserve"> </v>
      </c>
      <c r="K17" s="5"/>
      <c r="L17" s="5">
        <f t="shared" si="4"/>
        <v>0</v>
      </c>
      <c r="M17" s="4" t="str">
        <f t="shared" si="3"/>
        <v/>
      </c>
      <c r="N17" s="4" t="str">
        <f t="shared" si="5"/>
        <v>0:00</v>
      </c>
    </row>
    <row r="18" spans="1:14">
      <c r="A18" s="8" t="str">
        <f t="shared" si="7"/>
        <v>Samedi</v>
      </c>
      <c r="B18" s="10">
        <f t="shared" si="1"/>
        <v>41742</v>
      </c>
      <c r="C18" s="3">
        <f>IFERROR((VLOOKUP(B18,Fériés:Fériés,2,0)),VLOOKUP(A18,Année!$C$2:$C$8:'Année'!$D$2:$D$8,2,0))</f>
        <v>0</v>
      </c>
      <c r="D18" s="4"/>
      <c r="E18" s="4"/>
      <c r="F18" s="5">
        <f t="shared" si="6"/>
        <v>0</v>
      </c>
      <c r="G18" s="4"/>
      <c r="H18" s="5"/>
      <c r="I18" s="5"/>
      <c r="J18" s="5">
        <f t="shared" ref="J18:J34" si="9">IF(C18=0,VLOOKUP(A18,Horaires,2,FALSE)," ")</f>
        <v>0</v>
      </c>
      <c r="K18" s="5"/>
      <c r="L18" s="5" t="str">
        <f t="shared" si="4"/>
        <v/>
      </c>
      <c r="M18" s="4" t="str">
        <f t="shared" si="3"/>
        <v/>
      </c>
      <c r="N18" s="4" t="str">
        <f t="shared" si="5"/>
        <v>0:00</v>
      </c>
    </row>
    <row r="19" spans="1:14">
      <c r="A19" s="8" t="str">
        <f t="shared" si="7"/>
        <v>Dimanche</v>
      </c>
      <c r="B19" s="10">
        <f t="shared" si="1"/>
        <v>41743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6"/>
        <v>0</v>
      </c>
      <c r="G19" s="4"/>
      <c r="H19" s="5"/>
      <c r="I19" s="5"/>
      <c r="J19" s="5">
        <f t="shared" si="9"/>
        <v>0</v>
      </c>
      <c r="K19" s="5"/>
      <c r="L19" s="5" t="str">
        <f t="shared" si="4"/>
        <v/>
      </c>
      <c r="M19" s="4" t="str">
        <f t="shared" si="3"/>
        <v/>
      </c>
      <c r="N19" s="4" t="str">
        <f t="shared" si="5"/>
        <v>0:00</v>
      </c>
    </row>
    <row r="20" spans="1:14">
      <c r="A20" s="8" t="str">
        <f t="shared" si="7"/>
        <v>Lundi</v>
      </c>
      <c r="B20" s="10">
        <f t="shared" si="1"/>
        <v>41744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6"/>
        <v>0.32291666666666669</v>
      </c>
      <c r="G20" s="4"/>
      <c r="H20" s="5"/>
      <c r="I20" s="5"/>
      <c r="J20" s="5" t="str">
        <f t="shared" si="9"/>
        <v xml:space="preserve"> </v>
      </c>
      <c r="K20" s="5"/>
      <c r="L20" s="5">
        <f t="shared" si="4"/>
        <v>0</v>
      </c>
      <c r="M20" s="4" t="str">
        <f t="shared" si="3"/>
        <v/>
      </c>
      <c r="N20" s="4" t="str">
        <f t="shared" si="5"/>
        <v>0:00</v>
      </c>
    </row>
    <row r="21" spans="1:14">
      <c r="A21" s="8" t="str">
        <f t="shared" si="7"/>
        <v>Mardi</v>
      </c>
      <c r="B21" s="10">
        <f t="shared" si="1"/>
        <v>41745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6"/>
        <v>0.32291666666666669</v>
      </c>
      <c r="G21" s="4"/>
      <c r="H21" s="5"/>
      <c r="I21" s="5"/>
      <c r="J21" s="5" t="str">
        <f t="shared" si="9"/>
        <v xml:space="preserve"> </v>
      </c>
      <c r="K21" s="5"/>
      <c r="L21" s="5">
        <f t="shared" si="4"/>
        <v>0</v>
      </c>
      <c r="M21" s="4" t="str">
        <f t="shared" si="3"/>
        <v/>
      </c>
      <c r="N21" s="4" t="str">
        <f t="shared" si="5"/>
        <v>0:00</v>
      </c>
    </row>
    <row r="22" spans="1:14">
      <c r="A22" s="8" t="str">
        <f t="shared" si="7"/>
        <v>Mercredi</v>
      </c>
      <c r="B22" s="10">
        <f t="shared" si="1"/>
        <v>41746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6"/>
        <v>0.32291666666666669</v>
      </c>
      <c r="G22" s="4"/>
      <c r="H22" s="5"/>
      <c r="I22" s="5"/>
      <c r="J22" s="5" t="str">
        <f t="shared" si="9"/>
        <v xml:space="preserve"> </v>
      </c>
      <c r="K22" s="5"/>
      <c r="L22" s="5">
        <f t="shared" si="4"/>
        <v>0</v>
      </c>
      <c r="M22" s="4" t="str">
        <f t="shared" si="3"/>
        <v/>
      </c>
      <c r="N22" s="4" t="str">
        <f t="shared" si="5"/>
        <v>0:00</v>
      </c>
    </row>
    <row r="23" spans="1:14">
      <c r="A23" s="8" t="str">
        <f t="shared" si="7"/>
        <v>Jeudi</v>
      </c>
      <c r="B23" s="10">
        <f t="shared" si="1"/>
        <v>41747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6"/>
        <v>0.32291666666666669</v>
      </c>
      <c r="G23" s="4"/>
      <c r="H23" s="5"/>
      <c r="I23" s="5"/>
      <c r="J23" s="5" t="str">
        <f t="shared" si="9"/>
        <v xml:space="preserve"> </v>
      </c>
      <c r="K23" s="5"/>
      <c r="L23" s="5">
        <f t="shared" si="4"/>
        <v>0</v>
      </c>
      <c r="M23" s="4" t="str">
        <f t="shared" si="3"/>
        <v/>
      </c>
      <c r="N23" s="4" t="str">
        <f t="shared" si="5"/>
        <v>0:00</v>
      </c>
    </row>
    <row r="24" spans="1:14">
      <c r="A24" s="8" t="str">
        <f t="shared" si="7"/>
        <v>Vendredi</v>
      </c>
      <c r="B24" s="10">
        <f t="shared" si="1"/>
        <v>41748</v>
      </c>
      <c r="C24" s="3">
        <f>IFERROR((VLOOKUP(B24,Fériés:Fériés,2,0)),VLOOKUP(A24,Année!$C$2:$C$8:'Année'!$D$2:$D$8,2,0))</f>
        <v>0.16666666666666666</v>
      </c>
      <c r="D24" s="4"/>
      <c r="E24" s="4"/>
      <c r="F24" s="5">
        <f t="shared" si="6"/>
        <v>0.16666666666666666</v>
      </c>
      <c r="G24" s="4"/>
      <c r="H24" s="5"/>
      <c r="I24" s="5"/>
      <c r="J24" s="5" t="str">
        <f t="shared" si="9"/>
        <v xml:space="preserve"> </v>
      </c>
      <c r="K24" s="5"/>
      <c r="L24" s="5">
        <f t="shared" si="4"/>
        <v>0</v>
      </c>
      <c r="M24" s="4" t="str">
        <f t="shared" si="3"/>
        <v/>
      </c>
      <c r="N24" s="4" t="str">
        <f t="shared" si="5"/>
        <v>0:00</v>
      </c>
    </row>
    <row r="25" spans="1:14">
      <c r="A25" s="8" t="str">
        <f t="shared" si="7"/>
        <v>Samedi</v>
      </c>
      <c r="B25" s="10">
        <f t="shared" si="1"/>
        <v>41749</v>
      </c>
      <c r="C25" s="3">
        <f>IFERROR((VLOOKUP(B25,Fériés:Fériés,2,0)),VLOOKUP(A25,Année!$C$2:$C$8:'Année'!$D$2:$D$8,2,0))</f>
        <v>0</v>
      </c>
      <c r="D25" s="4"/>
      <c r="E25" s="4"/>
      <c r="F25" s="5">
        <f t="shared" si="6"/>
        <v>0</v>
      </c>
      <c r="G25" s="4"/>
      <c r="H25" s="5"/>
      <c r="I25" s="5"/>
      <c r="J25" s="5">
        <f t="shared" si="9"/>
        <v>0</v>
      </c>
      <c r="K25" s="5"/>
      <c r="L25" s="5" t="str">
        <f t="shared" si="4"/>
        <v/>
      </c>
      <c r="M25" s="4" t="str">
        <f t="shared" si="3"/>
        <v/>
      </c>
      <c r="N25" s="4" t="str">
        <f t="shared" si="5"/>
        <v>0:00</v>
      </c>
    </row>
    <row r="26" spans="1:14">
      <c r="A26" s="8" t="str">
        <f t="shared" si="7"/>
        <v>Dimanche</v>
      </c>
      <c r="B26" s="10">
        <f t="shared" si="1"/>
        <v>41750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6"/>
        <v>0</v>
      </c>
      <c r="G26" s="4"/>
      <c r="H26" s="5"/>
      <c r="I26" s="5"/>
      <c r="J26" s="5">
        <f t="shared" si="9"/>
        <v>0</v>
      </c>
      <c r="K26" s="5"/>
      <c r="L26" s="5" t="str">
        <f t="shared" si="4"/>
        <v/>
      </c>
      <c r="M26" s="4" t="str">
        <f t="shared" si="3"/>
        <v/>
      </c>
      <c r="N26" s="4" t="str">
        <f t="shared" si="5"/>
        <v>0:00</v>
      </c>
    </row>
    <row r="27" spans="1:14">
      <c r="A27" s="8" t="str">
        <f t="shared" si="7"/>
        <v>Lundi</v>
      </c>
      <c r="B27" s="10">
        <f t="shared" si="1"/>
        <v>41751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6"/>
        <v>0.32291666666666669</v>
      </c>
      <c r="G27" s="4"/>
      <c r="H27" s="5"/>
      <c r="I27" s="5"/>
      <c r="J27" s="5" t="str">
        <f t="shared" si="9"/>
        <v xml:space="preserve"> </v>
      </c>
      <c r="K27" s="5"/>
      <c r="L27" s="5">
        <f t="shared" si="4"/>
        <v>0</v>
      </c>
      <c r="M27" s="4" t="str">
        <f t="shared" si="3"/>
        <v/>
      </c>
      <c r="N27" s="4" t="str">
        <f t="shared" si="5"/>
        <v>0:00</v>
      </c>
    </row>
    <row r="28" spans="1:14">
      <c r="A28" s="8" t="str">
        <f t="shared" si="7"/>
        <v>Mardi</v>
      </c>
      <c r="B28" s="10">
        <f t="shared" si="1"/>
        <v>41752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6"/>
        <v>0.32291666666666669</v>
      </c>
      <c r="G28" s="4"/>
      <c r="H28" s="5"/>
      <c r="I28" s="5"/>
      <c r="J28" s="5" t="str">
        <f t="shared" si="9"/>
        <v xml:space="preserve"> </v>
      </c>
      <c r="K28" s="5"/>
      <c r="L28" s="5">
        <f t="shared" si="4"/>
        <v>0</v>
      </c>
      <c r="M28" s="4" t="str">
        <f t="shared" si="3"/>
        <v/>
      </c>
      <c r="N28" s="4" t="str">
        <f t="shared" si="5"/>
        <v>0:00</v>
      </c>
    </row>
    <row r="29" spans="1:14">
      <c r="A29" s="8" t="str">
        <f t="shared" si="7"/>
        <v>Mercredi</v>
      </c>
      <c r="B29" s="10">
        <f t="shared" si="1"/>
        <v>41753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6"/>
        <v>0.32291666666666669</v>
      </c>
      <c r="G29" s="4"/>
      <c r="H29" s="5"/>
      <c r="I29" s="5"/>
      <c r="J29" s="5" t="str">
        <f t="shared" si="9"/>
        <v xml:space="preserve"> </v>
      </c>
      <c r="K29" s="5"/>
      <c r="L29" s="5">
        <f t="shared" si="4"/>
        <v>0</v>
      </c>
      <c r="M29" s="4" t="str">
        <f t="shared" si="3"/>
        <v/>
      </c>
      <c r="N29" s="4" t="str">
        <f t="shared" si="5"/>
        <v>0:00</v>
      </c>
    </row>
    <row r="30" spans="1:14">
      <c r="A30" s="8" t="str">
        <f t="shared" si="7"/>
        <v>Jeudi</v>
      </c>
      <c r="B30" s="10">
        <f t="shared" si="1"/>
        <v>41754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6"/>
        <v>0.32291666666666669</v>
      </c>
      <c r="G30" s="4"/>
      <c r="H30" s="5"/>
      <c r="I30" s="5"/>
      <c r="J30" s="5" t="str">
        <f t="shared" si="9"/>
        <v xml:space="preserve"> </v>
      </c>
      <c r="K30" s="5"/>
      <c r="L30" s="5">
        <f t="shared" si="4"/>
        <v>0</v>
      </c>
      <c r="M30" s="4" t="str">
        <f t="shared" si="3"/>
        <v/>
      </c>
      <c r="N30" s="4" t="str">
        <f t="shared" si="5"/>
        <v>0:00</v>
      </c>
    </row>
    <row r="31" spans="1:14">
      <c r="A31" s="8" t="str">
        <f t="shared" si="7"/>
        <v>Vendredi</v>
      </c>
      <c r="B31" s="10">
        <f t="shared" si="1"/>
        <v>41755</v>
      </c>
      <c r="C31" s="3">
        <f>IFERROR((VLOOKUP(B31,Fériés:Fériés,2,0)),VLOOKUP(A31,Année!$C$2:$C$8:'Année'!$D$2:$D$8,2,0))</f>
        <v>0.16666666666666666</v>
      </c>
      <c r="D31" s="4"/>
      <c r="E31" s="4"/>
      <c r="F31" s="5">
        <f t="shared" si="6"/>
        <v>0.16666666666666666</v>
      </c>
      <c r="G31" s="4"/>
      <c r="H31" s="5"/>
      <c r="I31" s="5"/>
      <c r="J31" s="5" t="str">
        <f t="shared" si="9"/>
        <v xml:space="preserve"> </v>
      </c>
      <c r="K31" s="5"/>
      <c r="L31" s="5">
        <f t="shared" si="4"/>
        <v>0</v>
      </c>
      <c r="M31" s="4" t="str">
        <f t="shared" si="3"/>
        <v/>
      </c>
      <c r="N31" s="4" t="str">
        <f t="shared" si="5"/>
        <v>0:00</v>
      </c>
    </row>
    <row r="32" spans="1:14">
      <c r="A32" s="8" t="str">
        <f t="shared" si="7"/>
        <v>Samedi</v>
      </c>
      <c r="B32" s="10">
        <f t="shared" si="1"/>
        <v>41756</v>
      </c>
      <c r="C32" s="3">
        <f>IFERROR((VLOOKUP(B32,Fériés:Fériés,2,0)),VLOOKUP(A32,Année!$C$2:$C$8:'Année'!$D$2:$D$8,2,0))</f>
        <v>0</v>
      </c>
      <c r="D32" s="4"/>
      <c r="E32" s="4"/>
      <c r="F32" s="5">
        <f t="shared" si="6"/>
        <v>0</v>
      </c>
      <c r="G32" s="4"/>
      <c r="H32" s="5"/>
      <c r="I32" s="5"/>
      <c r="J32" s="5">
        <f t="shared" si="9"/>
        <v>0</v>
      </c>
      <c r="K32" s="5"/>
      <c r="L32" s="5" t="str">
        <f t="shared" si="4"/>
        <v/>
      </c>
      <c r="M32" s="4" t="str">
        <f t="shared" si="3"/>
        <v/>
      </c>
      <c r="N32" s="4" t="str">
        <f t="shared" si="5"/>
        <v>0:00</v>
      </c>
    </row>
    <row r="33" spans="1:14">
      <c r="A33" s="8" t="str">
        <f t="shared" si="7"/>
        <v>Dimanche</v>
      </c>
      <c r="B33" s="10">
        <f t="shared" si="1"/>
        <v>41757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6"/>
        <v>0</v>
      </c>
      <c r="G33" s="4"/>
      <c r="H33" s="5"/>
      <c r="I33" s="5"/>
      <c r="J33" s="5">
        <f t="shared" si="9"/>
        <v>0</v>
      </c>
      <c r="K33" s="5"/>
      <c r="L33" s="5" t="str">
        <f t="shared" si="4"/>
        <v/>
      </c>
      <c r="M33" s="4" t="str">
        <f t="shared" si="3"/>
        <v/>
      </c>
      <c r="N33" s="4" t="str">
        <f t="shared" si="5"/>
        <v>0:00</v>
      </c>
    </row>
    <row r="34" spans="1:14">
      <c r="A34" s="8" t="str">
        <f t="shared" si="7"/>
        <v>Lundi</v>
      </c>
      <c r="B34" s="10">
        <f t="shared" si="1"/>
        <v>41758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6"/>
        <v>0.32291666666666669</v>
      </c>
      <c r="G34" s="4"/>
      <c r="H34" s="5"/>
      <c r="I34" s="5"/>
      <c r="J34" s="5" t="str">
        <f t="shared" si="9"/>
        <v xml:space="preserve"> </v>
      </c>
      <c r="K34" s="5"/>
      <c r="L34" s="5">
        <f t="shared" si="4"/>
        <v>0</v>
      </c>
      <c r="M34" s="4" t="str">
        <f t="shared" si="3"/>
        <v/>
      </c>
      <c r="N34" s="4" t="str">
        <f t="shared" si="5"/>
        <v>0:00</v>
      </c>
    </row>
    <row r="35" spans="1:14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ref="L35" si="10">IF(A35="dimanche","",IF(A35="samedi","",IF(F35&lt;=0,"",(IF(H35="",F35-C35,H35-C35))+(I35+J35+K35+N35))))</f>
        <v/>
      </c>
      <c r="M35" s="4" t="str">
        <f t="shared" ref="M35" si="11">IF(D35="","",IF(AND(A35="Dimanche",D35&gt;0),SUM(D35:G35)*2,IF(A35="samedi",SUM(D35*2.5,E35*1.25,G35*1.25,F35),SUM(D35*2.5,E35*1.25,G35*1.25,))))</f>
        <v/>
      </c>
      <c r="N35" s="4" t="str">
        <f t="shared" ref="N35" si="12">IF(F35="","",IF((F35+I35+J35+K35)&gt;=C35,"0:00",C35-F35))</f>
        <v/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5.8333333333333348</v>
      </c>
      <c r="D38" s="40">
        <f t="shared" ref="D38:N38" si="13">SUM(D5:D37)</f>
        <v>0</v>
      </c>
      <c r="E38" s="40">
        <f t="shared" si="13"/>
        <v>0</v>
      </c>
      <c r="F38" s="40">
        <f t="shared" si="13"/>
        <v>5.8333333333333348</v>
      </c>
      <c r="G38" s="40">
        <f t="shared" si="13"/>
        <v>0</v>
      </c>
      <c r="H38" s="40">
        <f t="shared" si="13"/>
        <v>0</v>
      </c>
      <c r="I38" s="40">
        <f t="shared" si="13"/>
        <v>0</v>
      </c>
      <c r="J38" s="40">
        <f t="shared" si="13"/>
        <v>0.32291666666666669</v>
      </c>
      <c r="K38" s="40">
        <f t="shared" si="13"/>
        <v>0</v>
      </c>
      <c r="L38" s="40">
        <f t="shared" si="13"/>
        <v>0</v>
      </c>
      <c r="M38" s="40">
        <f t="shared" si="13"/>
        <v>0</v>
      </c>
      <c r="N38" s="40">
        <f t="shared" si="13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5:N37 K5:K34 A5:E34 G5:I34">
    <cfRule type="expression" dxfId="140" priority="20">
      <formula>$A5="Dimanche"</formula>
    </cfRule>
    <cfRule type="expression" dxfId="139" priority="21">
      <formula>$A5="Samedi"</formula>
    </cfRule>
  </conditionalFormatting>
  <conditionalFormatting sqref="A5:A37">
    <cfRule type="expression" dxfId="138" priority="19">
      <formula>$M5&lt;&gt;""</formula>
    </cfRule>
  </conditionalFormatting>
  <conditionalFormatting sqref="A35:N36 K5:K34 A5:E34 G5:I34">
    <cfRule type="expression" dxfId="137" priority="22">
      <formula>COUNTIF(Jours_fériés,$B5)=1</formula>
    </cfRule>
  </conditionalFormatting>
  <conditionalFormatting sqref="J5:J34">
    <cfRule type="expression" dxfId="136" priority="10">
      <formula>$A5="Dimanche"</formula>
    </cfRule>
    <cfRule type="expression" dxfId="135" priority="11">
      <formula>$A5="Samedi"</formula>
    </cfRule>
  </conditionalFormatting>
  <conditionalFormatting sqref="J5:J34">
    <cfRule type="expression" dxfId="134" priority="12">
      <formula>COUNTIF(Jours_fériés,$B5)=1</formula>
    </cfRule>
  </conditionalFormatting>
  <conditionalFormatting sqref="L5:L34 N5:N34">
    <cfRule type="expression" dxfId="133" priority="7">
      <formula>COUNTIF(Jours_fériés,$B5)=1</formula>
    </cfRule>
    <cfRule type="expression" dxfId="132" priority="9">
      <formula>$A5="Samedi"</formula>
    </cfRule>
  </conditionalFormatting>
  <conditionalFormatting sqref="L5:L34 N5:N34">
    <cfRule type="expression" dxfId="131" priority="8">
      <formula>$A5="Dimanche"</formula>
    </cfRule>
  </conditionalFormatting>
  <conditionalFormatting sqref="F5:F34">
    <cfRule type="expression" dxfId="130" priority="4">
      <formula>$A5="Dimanche"</formula>
    </cfRule>
    <cfRule type="expression" dxfId="129" priority="5">
      <formula>$A5="Samedi"</formula>
    </cfRule>
  </conditionalFormatting>
  <conditionalFormatting sqref="F5:F34">
    <cfRule type="expression" dxfId="128" priority="6">
      <formula>COUNTIF(Jours_fériés,$B5)=1</formula>
    </cfRule>
  </conditionalFormatting>
  <conditionalFormatting sqref="M5:M34">
    <cfRule type="expression" dxfId="127" priority="1">
      <formula>COUNTIF(Jours_fériés,$B5)=1</formula>
    </cfRule>
    <cfRule type="expression" dxfId="126" priority="3">
      <formula>$A5="Samedi"</formula>
    </cfRule>
  </conditionalFormatting>
  <conditionalFormatting sqref="M5:M34">
    <cfRule type="expression" dxfId="125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N39"/>
  <sheetViews>
    <sheetView workbookViewId="0">
      <pane ySplit="4" topLeftCell="A21" activePane="bottomLeft" state="frozen"/>
      <selection activeCell="B36" sqref="B36"/>
      <selection pane="bottomLeft" activeCell="M5" sqref="M5:M3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DATE(Année!B1,5,1)</f>
        <v>41759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Mardi</v>
      </c>
      <c r="B5" s="10">
        <f t="shared" ref="B5:B35" si="1">DATE(An,5,ROW(1:31))</f>
        <v>41759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5" si="2">IF(C5=0,VLOOKUP(A5,Horaires,2,FALSE)," ")</f>
        <v>0.32291666666666669</v>
      </c>
      <c r="K5" s="5"/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Mercredi</v>
      </c>
      <c r="B6" s="10">
        <f t="shared" si="1"/>
        <v>41760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0.32291666666666669</v>
      </c>
      <c r="G6" s="4"/>
      <c r="H6" s="5"/>
      <c r="I6" s="5"/>
      <c r="J6" s="5" t="str">
        <f t="shared" si="2"/>
        <v xml:space="preserve"> </v>
      </c>
      <c r="K6" s="5"/>
      <c r="L6" s="5">
        <f t="shared" ref="L6:L35" si="5">IF(A6="dimanche","",IF(A6="samedi","",IF(F6&lt;=0,"",(IF(H6="",F6-C6,H6-C6))+(I6+K6+N6))))</f>
        <v>0</v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>
      <c r="A7" s="8" t="str">
        <f t="shared" si="0"/>
        <v>Jeudi</v>
      </c>
      <c r="B7" s="10">
        <f t="shared" si="1"/>
        <v>41761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Vendredi</v>
      </c>
      <c r="B8" s="10">
        <f t="shared" si="1"/>
        <v>41762</v>
      </c>
      <c r="C8" s="3">
        <f>IFERROR((VLOOKUP(B8,Fériés:Fériés,2,0)),VLOOKUP(A8,Année!$C$2:$C$8:'Année'!$D$2:$D$8,2,0))</f>
        <v>0.16666666666666666</v>
      </c>
      <c r="D8" s="4"/>
      <c r="E8" s="4"/>
      <c r="F8" s="5">
        <f t="shared" si="4"/>
        <v>0.16666666666666666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Samedi</v>
      </c>
      <c r="B9" s="10">
        <f t="shared" si="1"/>
        <v>41763</v>
      </c>
      <c r="C9" s="3">
        <f>IFERROR((VLOOKUP(B9,Fériés:Fériés,2,0)),VLOOKUP(A9,Année!$C$2:$C$8:'Année'!$D$2:$D$8,2,0))</f>
        <v>0</v>
      </c>
      <c r="D9" s="4"/>
      <c r="E9" s="4"/>
      <c r="F9" s="5">
        <f t="shared" si="4"/>
        <v>0</v>
      </c>
      <c r="G9" s="4"/>
      <c r="H9" s="5"/>
      <c r="I9" s="5"/>
      <c r="J9" s="5">
        <f t="shared" si="2"/>
        <v>0</v>
      </c>
      <c r="K9" s="5"/>
      <c r="L9" s="5" t="str">
        <f t="shared" si="5"/>
        <v/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5" si="7">CHOOSE(WEEKDAY(B10),"Dimanche","Lundi","Mardi","Mercredi","Jeudi","Vendredi","Samedi")</f>
        <v>Dimanche</v>
      </c>
      <c r="B10" s="10">
        <f t="shared" si="1"/>
        <v>41764</v>
      </c>
      <c r="C10" s="3">
        <f>IFERROR((VLOOKUP(B10,Fériés:Fériés,2,0)),VLOOKUP(A10,Année!$C$2:$C$8:'Année'!$D$2:$D$8,2,0))</f>
        <v>0</v>
      </c>
      <c r="D10" s="4"/>
      <c r="E10" s="4"/>
      <c r="F10" s="5">
        <f t="shared" si="4"/>
        <v>0</v>
      </c>
      <c r="G10" s="4"/>
      <c r="H10" s="5"/>
      <c r="I10" s="5"/>
      <c r="J10" s="5">
        <f t="shared" si="2"/>
        <v>0</v>
      </c>
      <c r="K10" s="5"/>
      <c r="L10" s="5" t="str">
        <f t="shared" si="5"/>
        <v/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Lundi</v>
      </c>
      <c r="B11" s="10">
        <f t="shared" si="1"/>
        <v>41765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0.32291666666666669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Mardi</v>
      </c>
      <c r="B12" s="10">
        <f t="shared" si="1"/>
        <v>41766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0.32291666666666669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Mercredi</v>
      </c>
      <c r="B13" s="10">
        <f t="shared" si="1"/>
        <v>41767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0.32291666666666669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Jeudi</v>
      </c>
      <c r="B14" s="10">
        <f t="shared" si="1"/>
        <v>41768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4"/>
        <v>0</v>
      </c>
      <c r="G14" s="4"/>
      <c r="H14" s="5"/>
      <c r="I14" s="5"/>
      <c r="J14" s="5">
        <f t="shared" si="2"/>
        <v>0.32291666666666669</v>
      </c>
      <c r="K14" s="5"/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Vendredi</v>
      </c>
      <c r="B15" s="10">
        <f t="shared" si="1"/>
        <v>41769</v>
      </c>
      <c r="C15" s="3">
        <f>IFERROR((VLOOKUP(B15,Fériés:Fériés,2,0)),VLOOKUP(A15,Année!$C$2:$C$8:'Année'!$D$2:$D$8,2,0))</f>
        <v>0.16666666666666666</v>
      </c>
      <c r="D15" s="4"/>
      <c r="E15" s="4"/>
      <c r="F15" s="5">
        <f t="shared" si="4"/>
        <v>0</v>
      </c>
      <c r="G15" s="4"/>
      <c r="H15" s="5"/>
      <c r="I15" s="5"/>
      <c r="J15" s="5" t="str">
        <f t="shared" si="2"/>
        <v xml:space="preserve"> </v>
      </c>
      <c r="K15" s="5">
        <v>0.16666666666666666</v>
      </c>
      <c r="L15" s="5" t="str">
        <f t="shared" si="5"/>
        <v/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Samedi</v>
      </c>
      <c r="B16" s="10">
        <f t="shared" si="1"/>
        <v>41770</v>
      </c>
      <c r="C16" s="3">
        <f>IFERROR((VLOOKUP(B16,Fériés:Fériés,2,0)),VLOOKUP(A16,Année!$C$2:$C$8:'Année'!$D$2:$D$8,2,0))</f>
        <v>0</v>
      </c>
      <c r="D16" s="4"/>
      <c r="E16" s="4"/>
      <c r="F16" s="5">
        <f t="shared" si="4"/>
        <v>0</v>
      </c>
      <c r="G16" s="4"/>
      <c r="H16" s="5"/>
      <c r="I16" s="5"/>
      <c r="J16" s="5">
        <f t="shared" si="2"/>
        <v>0</v>
      </c>
      <c r="K16" s="5"/>
      <c r="L16" s="5" t="str">
        <f t="shared" si="5"/>
        <v/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Dimanche</v>
      </c>
      <c r="B17" s="10">
        <f t="shared" si="1"/>
        <v>41771</v>
      </c>
      <c r="C17" s="3">
        <f>IFERROR((VLOOKUP(B17,Fériés:Fériés,2,0)),VLOOKUP(A17,Année!$C$2:$C$8:'Année'!$D$2:$D$8,2,0))</f>
        <v>0</v>
      </c>
      <c r="D17" s="4"/>
      <c r="E17" s="4"/>
      <c r="F17" s="5">
        <f t="shared" si="4"/>
        <v>0</v>
      </c>
      <c r="G17" s="4"/>
      <c r="H17" s="5"/>
      <c r="I17" s="5"/>
      <c r="J17" s="5">
        <f t="shared" si="2"/>
        <v>0</v>
      </c>
      <c r="K17" s="5"/>
      <c r="L17" s="5" t="str">
        <f t="shared" si="5"/>
        <v/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Lundi</v>
      </c>
      <c r="B18" s="10">
        <f t="shared" si="1"/>
        <v>41772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</v>
      </c>
      <c r="G18" s="4"/>
      <c r="H18" s="5"/>
      <c r="I18" s="5"/>
      <c r="J18" s="5" t="str">
        <f t="shared" si="2"/>
        <v xml:space="preserve"> </v>
      </c>
      <c r="K18" s="5">
        <v>0.32291666666666669</v>
      </c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Mardi</v>
      </c>
      <c r="B19" s="10">
        <f t="shared" si="1"/>
        <v>41773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4"/>
        <v>0.32291666666666669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Mercredi</v>
      </c>
      <c r="B20" s="10">
        <f t="shared" si="1"/>
        <v>41774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0.32291666666666669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Jeudi</v>
      </c>
      <c r="B21" s="10">
        <f t="shared" si="1"/>
        <v>41775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Vendredi</v>
      </c>
      <c r="B22" s="10">
        <f t="shared" si="1"/>
        <v>41776</v>
      </c>
      <c r="C22" s="3">
        <f>IFERROR((VLOOKUP(B22,Fériés:Fériés,2,0)),VLOOKUP(A22,Année!$C$2:$C$8:'Année'!$D$2:$D$8,2,0))</f>
        <v>0.16666666666666666</v>
      </c>
      <c r="D22" s="4"/>
      <c r="E22" s="4"/>
      <c r="F22" s="5">
        <f t="shared" si="4"/>
        <v>0.16666666666666666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Samedi</v>
      </c>
      <c r="B23" s="10">
        <f t="shared" si="1"/>
        <v>41777</v>
      </c>
      <c r="C23" s="3">
        <f>IFERROR((VLOOKUP(B23,Fériés:Fériés,2,0)),VLOOKUP(A23,Année!$C$2:$C$8:'Année'!$D$2:$D$8,2,0))</f>
        <v>0</v>
      </c>
      <c r="D23" s="4"/>
      <c r="E23" s="4"/>
      <c r="F23" s="5">
        <f t="shared" si="4"/>
        <v>0</v>
      </c>
      <c r="G23" s="4"/>
      <c r="H23" s="5"/>
      <c r="I23" s="5"/>
      <c r="J23" s="5">
        <f t="shared" si="2"/>
        <v>0</v>
      </c>
      <c r="K23" s="5"/>
      <c r="L23" s="5" t="str">
        <f t="shared" si="5"/>
        <v/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Dimanche</v>
      </c>
      <c r="B24" s="10">
        <f t="shared" si="1"/>
        <v>41778</v>
      </c>
      <c r="C24" s="3">
        <f>IFERROR((VLOOKUP(B24,Fériés:Fériés,2,0)),VLOOKUP(A24,Année!$C$2:$C$8:'Année'!$D$2:$D$8,2,0))</f>
        <v>0</v>
      </c>
      <c r="D24" s="4"/>
      <c r="E24" s="4"/>
      <c r="F24" s="5">
        <f t="shared" si="4"/>
        <v>0</v>
      </c>
      <c r="G24" s="4"/>
      <c r="H24" s="5"/>
      <c r="I24" s="5"/>
      <c r="J24" s="5">
        <f t="shared" si="2"/>
        <v>0</v>
      </c>
      <c r="K24" s="5"/>
      <c r="L24" s="5" t="str">
        <f t="shared" si="5"/>
        <v/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Lundi</v>
      </c>
      <c r="B25" s="10">
        <f t="shared" si="1"/>
        <v>41779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Mardi</v>
      </c>
      <c r="B26" s="10">
        <f t="shared" si="1"/>
        <v>41780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0.32291666666666669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Mercredi</v>
      </c>
      <c r="B27" s="10">
        <f t="shared" si="1"/>
        <v>41781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0.32291666666666669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Jeudi</v>
      </c>
      <c r="B28" s="10">
        <f t="shared" si="1"/>
        <v>41782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0.32291666666666669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Vendredi</v>
      </c>
      <c r="B29" s="10">
        <f t="shared" si="1"/>
        <v>41783</v>
      </c>
      <c r="C29" s="3">
        <f>IFERROR((VLOOKUP(B29,Fériés:Fériés,2,0)),VLOOKUP(A29,Année!$C$2:$C$8:'Année'!$D$2:$D$8,2,0))</f>
        <v>0.16666666666666666</v>
      </c>
      <c r="D29" s="4"/>
      <c r="E29" s="4"/>
      <c r="F29" s="5">
        <f t="shared" si="4"/>
        <v>0.16666666666666666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Samedi</v>
      </c>
      <c r="B30" s="10">
        <f t="shared" si="1"/>
        <v>41784</v>
      </c>
      <c r="C30" s="3">
        <f>IFERROR((VLOOKUP(B30,Fériés:Fériés,2,0)),VLOOKUP(A30,Année!$C$2:$C$8:'Année'!$D$2:$D$8,2,0))</f>
        <v>0</v>
      </c>
      <c r="D30" s="4"/>
      <c r="E30" s="4"/>
      <c r="F30" s="5">
        <f t="shared" si="4"/>
        <v>0</v>
      </c>
      <c r="G30" s="4"/>
      <c r="H30" s="5"/>
      <c r="I30" s="5"/>
      <c r="J30" s="5">
        <f t="shared" si="2"/>
        <v>0</v>
      </c>
      <c r="K30" s="5"/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Dimanche</v>
      </c>
      <c r="B31" s="10">
        <f t="shared" si="1"/>
        <v>41785</v>
      </c>
      <c r="C31" s="3">
        <f>IFERROR((VLOOKUP(B31,Fériés:Fériés,2,0)),VLOOKUP(A31,Année!$C$2:$C$8:'Année'!$D$2:$D$8,2,0))</f>
        <v>0</v>
      </c>
      <c r="D31" s="4"/>
      <c r="E31" s="4"/>
      <c r="F31" s="5">
        <f t="shared" si="4"/>
        <v>0</v>
      </c>
      <c r="G31" s="4"/>
      <c r="H31" s="5"/>
      <c r="I31" s="5"/>
      <c r="J31" s="5">
        <f t="shared" si="2"/>
        <v>0</v>
      </c>
      <c r="K31" s="5"/>
      <c r="L31" s="5" t="str">
        <f t="shared" si="5"/>
        <v/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Lundi</v>
      </c>
      <c r="B32" s="10">
        <f t="shared" si="1"/>
        <v>41786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Mardi</v>
      </c>
      <c r="B33" s="10">
        <f t="shared" si="1"/>
        <v>41787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Mercredi</v>
      </c>
      <c r="B34" s="10">
        <f t="shared" si="1"/>
        <v>41788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0.32291666666666669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>
      <c r="A35" s="8" t="str">
        <f t="shared" si="7"/>
        <v>Jeudi</v>
      </c>
      <c r="B35" s="10">
        <f t="shared" si="1"/>
        <v>41789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0.32291666666666669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5.8333333333333348</v>
      </c>
      <c r="D38" s="40">
        <f t="shared" ref="D38:N38" si="8">SUM(D5:D37)</f>
        <v>0</v>
      </c>
      <c r="E38" s="40">
        <f t="shared" si="8"/>
        <v>0</v>
      </c>
      <c r="F38" s="40">
        <f t="shared" si="8"/>
        <v>5.3437500000000009</v>
      </c>
      <c r="G38" s="40">
        <f t="shared" si="8"/>
        <v>0</v>
      </c>
      <c r="H38" s="40">
        <f t="shared" si="8"/>
        <v>0</v>
      </c>
      <c r="I38" s="40">
        <f t="shared" si="8"/>
        <v>0</v>
      </c>
      <c r="J38" s="40">
        <f t="shared" si="8"/>
        <v>0.96875</v>
      </c>
      <c r="K38" s="40">
        <f t="shared" si="8"/>
        <v>0.48958333333333337</v>
      </c>
      <c r="L38" s="40">
        <f t="shared" si="8"/>
        <v>0</v>
      </c>
      <c r="M38" s="40">
        <f t="shared" si="8"/>
        <v>0</v>
      </c>
      <c r="N38" s="40">
        <f t="shared" si="8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A5:E35 G5:K35">
    <cfRule type="expression" dxfId="124" priority="14">
      <formula>$A5="Dimanche"</formula>
    </cfRule>
    <cfRule type="expression" dxfId="123" priority="15">
      <formula>$A5="Samedi"</formula>
    </cfRule>
  </conditionalFormatting>
  <conditionalFormatting sqref="A5:A37">
    <cfRule type="expression" dxfId="122" priority="13">
      <formula>$M5&lt;&gt;""</formula>
    </cfRule>
  </conditionalFormatting>
  <conditionalFormatting sqref="A36:N36 A5:E35 G5:K35">
    <cfRule type="expression" dxfId="121" priority="16">
      <formula>COUNTIF(Jours_fériés,$B5)=1</formula>
    </cfRule>
  </conditionalFormatting>
  <conditionalFormatting sqref="L5:L35 N5:N35">
    <cfRule type="expression" dxfId="120" priority="7">
      <formula>COUNTIF(Jours_fériés,$B5)=1</formula>
    </cfRule>
    <cfRule type="expression" dxfId="119" priority="9">
      <formula>$A5="Samedi"</formula>
    </cfRule>
  </conditionalFormatting>
  <conditionalFormatting sqref="L5:L35 N5:N35">
    <cfRule type="expression" dxfId="118" priority="8">
      <formula>$A5="Dimanche"</formula>
    </cfRule>
  </conditionalFormatting>
  <conditionalFormatting sqref="F5:F35">
    <cfRule type="expression" dxfId="117" priority="4">
      <formula>$A5="Dimanche"</formula>
    </cfRule>
    <cfRule type="expression" dxfId="116" priority="5">
      <formula>$A5="Samedi"</formula>
    </cfRule>
  </conditionalFormatting>
  <conditionalFormatting sqref="F5:F35">
    <cfRule type="expression" dxfId="115" priority="6">
      <formula>COUNTIF(Jours_fériés,$B5)=1</formula>
    </cfRule>
  </conditionalFormatting>
  <conditionalFormatting sqref="M5:M35">
    <cfRule type="expression" dxfId="114" priority="1">
      <formula>COUNTIF(Jours_fériés,$B5)=1</formula>
    </cfRule>
    <cfRule type="expression" dxfId="113" priority="3">
      <formula>$A5="Samedi"</formula>
    </cfRule>
  </conditionalFormatting>
  <conditionalFormatting sqref="M5:M35">
    <cfRule type="expression" dxfId="112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N39"/>
  <sheetViews>
    <sheetView workbookViewId="0">
      <pane ySplit="4" topLeftCell="A18" activePane="bottomLeft" state="frozen"/>
      <selection activeCell="B36" sqref="B36"/>
      <selection pane="bottomLeft" activeCell="M5" sqref="M5:M34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DATE(Année!B1,6,1)</f>
        <v>41790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Vendredi</v>
      </c>
      <c r="B5" s="10">
        <f t="shared" ref="B5:B34" si="1">DATE(An,6,ROW(1:31))</f>
        <v>41790</v>
      </c>
      <c r="C5" s="3">
        <f>IFERROR((VLOOKUP(B5,Fériés:Fériés,2,0)),VLOOKUP(A5,Année!$C$2:$C$8:'Année'!$D$2:$D$8,2,0))</f>
        <v>0.16666666666666666</v>
      </c>
      <c r="D5" s="4"/>
      <c r="E5" s="4"/>
      <c r="F5" s="5">
        <f>IF(K5="",C5,0)</f>
        <v>0.16666666666666666</v>
      </c>
      <c r="G5" s="4"/>
      <c r="H5" s="5"/>
      <c r="I5" s="5"/>
      <c r="J5" s="5" t="str">
        <f t="shared" ref="J5:J34" si="2">IF(C5=0,VLOOKUP(A5,Horaires,2,FALSE)," ")</f>
        <v xml:space="preserve"> </v>
      </c>
      <c r="K5" s="5"/>
      <c r="L5" s="5">
        <f>IF(A5="dimanche","",IF(A5="samedi","",IF(F5&lt;=0,"",(IF(H5="",F5-C5,H5-C5))+(I5+K5+N5))))</f>
        <v>0</v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Samedi</v>
      </c>
      <c r="B6" s="10">
        <f t="shared" si="1"/>
        <v>41791</v>
      </c>
      <c r="C6" s="3">
        <f>IFERROR((VLOOKUP(B6,Fériés:Fériés,2,0)),VLOOKUP(A6,Année!$C$2:$C$8:'Année'!$D$2:$D$8,2,0))</f>
        <v>0</v>
      </c>
      <c r="D6" s="4"/>
      <c r="E6" s="4"/>
      <c r="F6" s="5">
        <f t="shared" ref="F6:F34" si="4">IF(K6="",C6,0)</f>
        <v>0</v>
      </c>
      <c r="G6" s="4"/>
      <c r="H6" s="5"/>
      <c r="I6" s="5"/>
      <c r="J6" s="5">
        <f t="shared" si="2"/>
        <v>0</v>
      </c>
      <c r="K6" s="5"/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>
      <c r="A7" s="8" t="str">
        <f t="shared" si="0"/>
        <v>Dimanche</v>
      </c>
      <c r="B7" s="10">
        <f t="shared" si="1"/>
        <v>41792</v>
      </c>
      <c r="C7" s="3">
        <f>IFERROR((VLOOKUP(B7,Fériés:Fériés,2,0)),VLOOKUP(A7,Année!$C$2:$C$8:'Année'!$D$2:$D$8,2,0))</f>
        <v>0</v>
      </c>
      <c r="D7" s="4"/>
      <c r="E7" s="4"/>
      <c r="F7" s="5">
        <f t="shared" si="4"/>
        <v>0</v>
      </c>
      <c r="G7" s="4"/>
      <c r="H7" s="5"/>
      <c r="I7" s="5"/>
      <c r="J7" s="5">
        <f t="shared" si="2"/>
        <v>0</v>
      </c>
      <c r="K7" s="5"/>
      <c r="L7" s="5" t="str">
        <f t="shared" si="5"/>
        <v/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Lundi</v>
      </c>
      <c r="B8" s="10">
        <f t="shared" si="1"/>
        <v>41793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Mardi</v>
      </c>
      <c r="B9" s="10">
        <f t="shared" si="1"/>
        <v>41794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4" si="7">CHOOSE(WEEKDAY(B10),"Dimanche","Lundi","Mardi","Mercredi","Jeudi","Vendredi","Samedi")</f>
        <v>Mercredi</v>
      </c>
      <c r="B10" s="10">
        <f t="shared" si="1"/>
        <v>41795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Jeudi</v>
      </c>
      <c r="B11" s="10">
        <f t="shared" si="1"/>
        <v>41796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0.32291666666666669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Vendredi</v>
      </c>
      <c r="B12" s="10">
        <f t="shared" si="1"/>
        <v>41797</v>
      </c>
      <c r="C12" s="3">
        <f>IFERROR((VLOOKUP(B12,Fériés:Fériés,2,0)),VLOOKUP(A12,Année!$C$2:$C$8:'Année'!$D$2:$D$8,2,0))</f>
        <v>0.16666666666666666</v>
      </c>
      <c r="D12" s="4"/>
      <c r="E12" s="4"/>
      <c r="F12" s="5">
        <f t="shared" si="4"/>
        <v>0.16666666666666666</v>
      </c>
      <c r="G12" s="4"/>
      <c r="H12" s="5"/>
      <c r="I12" s="5"/>
      <c r="J12" s="5" t="str">
        <f t="shared" si="2"/>
        <v xml:space="preserve"> </v>
      </c>
      <c r="K12" s="5"/>
      <c r="L12" s="5">
        <f t="shared" si="5"/>
        <v>0</v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Samedi</v>
      </c>
      <c r="B13" s="10">
        <f t="shared" si="1"/>
        <v>41798</v>
      </c>
      <c r="C13" s="3">
        <f>IFERROR((VLOOKUP(B13,Fériés:Fériés,2,0)),VLOOKUP(A13,Année!$C$2:$C$8:'Année'!$D$2:$D$8,2,0))</f>
        <v>0</v>
      </c>
      <c r="D13" s="4"/>
      <c r="E13" s="4"/>
      <c r="F13" s="5">
        <f t="shared" si="4"/>
        <v>0</v>
      </c>
      <c r="G13" s="4"/>
      <c r="H13" s="5"/>
      <c r="I13" s="5"/>
      <c r="J13" s="5">
        <f t="shared" si="2"/>
        <v>0</v>
      </c>
      <c r="K13" s="5"/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Dimanche</v>
      </c>
      <c r="B14" s="10">
        <f t="shared" si="1"/>
        <v>41799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4"/>
        <v>0</v>
      </c>
      <c r="G14" s="4"/>
      <c r="H14" s="5"/>
      <c r="I14" s="5"/>
      <c r="J14" s="5">
        <f t="shared" si="2"/>
        <v>0</v>
      </c>
      <c r="K14" s="5"/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Lundi</v>
      </c>
      <c r="B15" s="10">
        <f t="shared" si="1"/>
        <v>41800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Mardi</v>
      </c>
      <c r="B16" s="10">
        <f t="shared" si="1"/>
        <v>41801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Mercredi</v>
      </c>
      <c r="B17" s="10">
        <f t="shared" si="1"/>
        <v>41802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Jeudi</v>
      </c>
      <c r="B18" s="10">
        <f t="shared" si="1"/>
        <v>41803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0.32291666666666669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Vendredi</v>
      </c>
      <c r="B19" s="10">
        <f t="shared" si="1"/>
        <v>41804</v>
      </c>
      <c r="C19" s="3">
        <f>IFERROR((VLOOKUP(B19,Fériés:Fériés,2,0)),VLOOKUP(A19,Année!$C$2:$C$8:'Année'!$D$2:$D$8,2,0))</f>
        <v>0.16666666666666666</v>
      </c>
      <c r="D19" s="4"/>
      <c r="E19" s="4"/>
      <c r="F19" s="5">
        <f t="shared" si="4"/>
        <v>0.16666666666666666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Samedi</v>
      </c>
      <c r="B20" s="10">
        <f t="shared" si="1"/>
        <v>41805</v>
      </c>
      <c r="C20" s="3">
        <f>IFERROR((VLOOKUP(B20,Fériés:Fériés,2,0)),VLOOKUP(A20,Année!$C$2:$C$8:'Année'!$D$2:$D$8,2,0))</f>
        <v>0</v>
      </c>
      <c r="D20" s="4"/>
      <c r="E20" s="4"/>
      <c r="F20" s="5">
        <f t="shared" si="4"/>
        <v>0</v>
      </c>
      <c r="G20" s="4"/>
      <c r="H20" s="5"/>
      <c r="I20" s="5"/>
      <c r="J20" s="5">
        <f t="shared" si="2"/>
        <v>0</v>
      </c>
      <c r="K20" s="5"/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Dimanche</v>
      </c>
      <c r="B21" s="10">
        <f t="shared" si="1"/>
        <v>41806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4"/>
        <v>0</v>
      </c>
      <c r="G21" s="4"/>
      <c r="H21" s="5"/>
      <c r="I21" s="5"/>
      <c r="J21" s="5">
        <f t="shared" si="2"/>
        <v>0</v>
      </c>
      <c r="K21" s="5"/>
      <c r="L21" s="5" t="str">
        <f t="shared" si="5"/>
        <v/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Lundi</v>
      </c>
      <c r="B22" s="10">
        <f t="shared" si="1"/>
        <v>41807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Mardi</v>
      </c>
      <c r="B23" s="10">
        <f t="shared" si="1"/>
        <v>41808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Mercredi</v>
      </c>
      <c r="B24" s="10">
        <f t="shared" si="1"/>
        <v>41809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Jeudi</v>
      </c>
      <c r="B25" s="10">
        <f t="shared" si="1"/>
        <v>41810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Vendredi</v>
      </c>
      <c r="B26" s="10">
        <f t="shared" si="1"/>
        <v>41811</v>
      </c>
      <c r="C26" s="3">
        <f>IFERROR((VLOOKUP(B26,Fériés:Fériés,2,0)),VLOOKUP(A26,Année!$C$2:$C$8:'Année'!$D$2:$D$8,2,0))</f>
        <v>0.16666666666666666</v>
      </c>
      <c r="D26" s="4"/>
      <c r="E26" s="4"/>
      <c r="F26" s="5">
        <f t="shared" si="4"/>
        <v>0.16666666666666666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Samedi</v>
      </c>
      <c r="B27" s="10">
        <f t="shared" si="1"/>
        <v>41812</v>
      </c>
      <c r="C27" s="3">
        <f>IFERROR((VLOOKUP(B27,Fériés:Fériés,2,0)),VLOOKUP(A27,Année!$C$2:$C$8:'Année'!$D$2:$D$8,2,0))</f>
        <v>0</v>
      </c>
      <c r="D27" s="4"/>
      <c r="E27" s="4"/>
      <c r="F27" s="5">
        <f t="shared" si="4"/>
        <v>0</v>
      </c>
      <c r="G27" s="4"/>
      <c r="H27" s="5"/>
      <c r="I27" s="5"/>
      <c r="J27" s="5">
        <f t="shared" si="2"/>
        <v>0</v>
      </c>
      <c r="K27" s="5"/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Dimanche</v>
      </c>
      <c r="B28" s="10">
        <f t="shared" si="1"/>
        <v>41813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4"/>
        <v>0</v>
      </c>
      <c r="G28" s="4"/>
      <c r="H28" s="5"/>
      <c r="I28" s="5"/>
      <c r="J28" s="5">
        <f t="shared" si="2"/>
        <v>0</v>
      </c>
      <c r="K28" s="5"/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Lundi</v>
      </c>
      <c r="B29" s="10">
        <f t="shared" si="1"/>
        <v>41814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0.32291666666666669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Mardi</v>
      </c>
      <c r="B30" s="10">
        <f t="shared" si="1"/>
        <v>41815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Mercredi</v>
      </c>
      <c r="B31" s="10">
        <f t="shared" si="1"/>
        <v>41816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Jeudi</v>
      </c>
      <c r="B32" s="10">
        <f t="shared" si="1"/>
        <v>41817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Vendredi</v>
      </c>
      <c r="B33" s="10">
        <f t="shared" si="1"/>
        <v>41818</v>
      </c>
      <c r="C33" s="3">
        <f>IFERROR((VLOOKUP(B33,Fériés:Fériés,2,0)),VLOOKUP(A33,Année!$C$2:$C$8:'Année'!$D$2:$D$8,2,0))</f>
        <v>0.16666666666666666</v>
      </c>
      <c r="D33" s="4"/>
      <c r="E33" s="4"/>
      <c r="F33" s="5">
        <f t="shared" si="4"/>
        <v>0.16666666666666666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Samedi</v>
      </c>
      <c r="B34" s="10">
        <f t="shared" si="1"/>
        <v>41819</v>
      </c>
      <c r="C34" s="3">
        <f>IFERROR((VLOOKUP(B34,Fériés:Fériés,2,0)),VLOOKUP(A34,Année!$C$2:$C$8:'Année'!$D$2:$D$8,2,0))</f>
        <v>0</v>
      </c>
      <c r="D34" s="4"/>
      <c r="E34" s="4"/>
      <c r="F34" s="5">
        <f t="shared" si="4"/>
        <v>0</v>
      </c>
      <c r="G34" s="4"/>
      <c r="H34" s="5"/>
      <c r="I34" s="5"/>
      <c r="J34" s="5">
        <f t="shared" si="2"/>
        <v>0</v>
      </c>
      <c r="K34" s="5"/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si="5"/>
        <v/>
      </c>
      <c r="M35" s="4" t="str">
        <f t="shared" ref="M35" si="8">IF(D35="","",IF(AND(A35="Dimanche",D35&gt;0),SUM(D35:G35)*2,IF(A35="samedi",SUM(D35*2.5,E35*1.25,G35*1.25,F35),SUM(D35*2.5,E35*1.25,G35*1.25,))))</f>
        <v/>
      </c>
      <c r="N35" s="4" t="str">
        <f t="shared" si="6"/>
        <v/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6.0000000000000018</v>
      </c>
      <c r="D38" s="40">
        <f t="shared" ref="D38:N38" si="9">SUM(D5:D37)</f>
        <v>0</v>
      </c>
      <c r="E38" s="40">
        <f t="shared" si="9"/>
        <v>0</v>
      </c>
      <c r="F38" s="40">
        <f t="shared" si="9"/>
        <v>6.0000000000000018</v>
      </c>
      <c r="G38" s="40">
        <f t="shared" si="9"/>
        <v>0</v>
      </c>
      <c r="H38" s="40">
        <f t="shared" si="9"/>
        <v>0</v>
      </c>
      <c r="I38" s="40">
        <f t="shared" si="9"/>
        <v>0</v>
      </c>
      <c r="J38" s="40">
        <f t="shared" si="9"/>
        <v>0</v>
      </c>
      <c r="K38" s="40">
        <f t="shared" si="9"/>
        <v>0</v>
      </c>
      <c r="L38" s="40">
        <f t="shared" si="9"/>
        <v>0</v>
      </c>
      <c r="M38" s="40">
        <f t="shared" si="9"/>
        <v>0</v>
      </c>
      <c r="N38" s="40">
        <f t="shared" si="9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111" priority="17">
      <formula>$A5="Dimanche"</formula>
    </cfRule>
    <cfRule type="expression" dxfId="110" priority="18">
      <formula>$A5="Samedi"</formula>
    </cfRule>
  </conditionalFormatting>
  <conditionalFormatting sqref="A5:A37">
    <cfRule type="expression" dxfId="109" priority="16">
      <formula>$M5&lt;&gt;""</formula>
    </cfRule>
  </conditionalFormatting>
  <conditionalFormatting sqref="A36:N36 K5:K35 A5:E35 G5:I35">
    <cfRule type="expression" dxfId="108" priority="19">
      <formula>COUNTIF(Jours_fériés,$B5)=1</formula>
    </cfRule>
  </conditionalFormatting>
  <conditionalFormatting sqref="J5:J35">
    <cfRule type="expression" dxfId="107" priority="13">
      <formula>$A5="Dimanche"</formula>
    </cfRule>
    <cfRule type="expression" dxfId="106" priority="14">
      <formula>$A5="Samedi"</formula>
    </cfRule>
  </conditionalFormatting>
  <conditionalFormatting sqref="J5:J35">
    <cfRule type="expression" dxfId="105" priority="15">
      <formula>COUNTIF(Jours_fériés,$B5)=1</formula>
    </cfRule>
  </conditionalFormatting>
  <conditionalFormatting sqref="L35:N35 L5:L34 N5:N34">
    <cfRule type="expression" dxfId="104" priority="10">
      <formula>COUNTIF(Jours_fériés,$B5)=1</formula>
    </cfRule>
    <cfRule type="expression" dxfId="103" priority="12">
      <formula>$A5="Samedi"</formula>
    </cfRule>
  </conditionalFormatting>
  <conditionalFormatting sqref="L35:N35 L5:L34 N5:N34">
    <cfRule type="expression" dxfId="102" priority="11">
      <formula>$A5="Dimanche"</formula>
    </cfRule>
  </conditionalFormatting>
  <conditionalFormatting sqref="F5:F35">
    <cfRule type="expression" dxfId="101" priority="7">
      <formula>$A5="Dimanche"</formula>
    </cfRule>
    <cfRule type="expression" dxfId="100" priority="8">
      <formula>$A5="Samedi"</formula>
    </cfRule>
  </conditionalFormatting>
  <conditionalFormatting sqref="F5:F35">
    <cfRule type="expression" dxfId="99" priority="9">
      <formula>COUNTIF(Jours_fériés,$B5)=1</formula>
    </cfRule>
  </conditionalFormatting>
  <conditionalFormatting sqref="M5:M34">
    <cfRule type="expression" dxfId="98" priority="1">
      <formula>COUNTIF(Jours_fériés,$B5)=1</formula>
    </cfRule>
    <cfRule type="expression" dxfId="97" priority="3">
      <formula>$A5="Samedi"</formula>
    </cfRule>
  </conditionalFormatting>
  <conditionalFormatting sqref="M5:M34">
    <cfRule type="expression" dxfId="96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F0"/>
  </sheetPr>
  <dimension ref="A1:N39"/>
  <sheetViews>
    <sheetView workbookViewId="0">
      <pane ySplit="4" topLeftCell="A22" activePane="bottomLeft" state="frozen"/>
      <selection activeCell="B36" sqref="B36"/>
      <selection pane="bottomLeft" activeCell="M5" sqref="M5:M3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DATE(Année!B1,7,1)</f>
        <v>41820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Dimanche</v>
      </c>
      <c r="B5" s="10">
        <f t="shared" ref="B5:B35" si="1">DATE(An,7,ROW(1:31))</f>
        <v>41820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5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Lundi</v>
      </c>
      <c r="B6" s="10">
        <f t="shared" si="1"/>
        <v>41821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0.32291666666666669</v>
      </c>
      <c r="G6" s="4"/>
      <c r="H6" s="5"/>
      <c r="I6" s="5"/>
      <c r="J6" s="5" t="str">
        <f t="shared" si="2"/>
        <v xml:space="preserve"> </v>
      </c>
      <c r="K6" s="5"/>
      <c r="L6" s="5">
        <f t="shared" ref="L6:L35" si="5">IF(A6="dimanche","",IF(A6="samedi","",IF(F6&lt;=0,"",(IF(H6="",F6-C6,H6-C6))+(I6+K6+N6))))</f>
        <v>0</v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>
      <c r="A7" s="8" t="str">
        <f t="shared" si="0"/>
        <v>Mardi</v>
      </c>
      <c r="B7" s="10">
        <f t="shared" si="1"/>
        <v>41822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Mercredi</v>
      </c>
      <c r="B8" s="10">
        <f t="shared" si="1"/>
        <v>41823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Jeudi</v>
      </c>
      <c r="B9" s="10">
        <f t="shared" si="1"/>
        <v>41824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5" si="7">CHOOSE(WEEKDAY(B10),"Dimanche","Lundi","Mardi","Mercredi","Jeudi","Vendredi","Samedi")</f>
        <v>Vendredi</v>
      </c>
      <c r="B10" s="10">
        <f t="shared" si="1"/>
        <v>41825</v>
      </c>
      <c r="C10" s="3">
        <f>IFERROR((VLOOKUP(B10,Fériés:Fériés,2,0)),VLOOKUP(A10,Année!$C$2:$C$8:'Année'!$D$2:$D$8,2,0))</f>
        <v>0.16666666666666666</v>
      </c>
      <c r="D10" s="4"/>
      <c r="E10" s="4"/>
      <c r="F10" s="5">
        <f t="shared" si="4"/>
        <v>0.16666666666666666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Samedi</v>
      </c>
      <c r="B11" s="10">
        <f t="shared" si="1"/>
        <v>41826</v>
      </c>
      <c r="C11" s="3">
        <f>IFERROR((VLOOKUP(B11,Fériés:Fériés,2,0)),VLOOKUP(A11,Année!$C$2:$C$8:'Année'!$D$2:$D$8,2,0))</f>
        <v>0</v>
      </c>
      <c r="D11" s="4"/>
      <c r="E11" s="4"/>
      <c r="F11" s="5">
        <f t="shared" si="4"/>
        <v>0</v>
      </c>
      <c r="G11" s="4"/>
      <c r="H11" s="5"/>
      <c r="I11" s="5"/>
      <c r="J11" s="5">
        <f t="shared" si="2"/>
        <v>0</v>
      </c>
      <c r="K11" s="5"/>
      <c r="L11" s="5" t="str">
        <f t="shared" si="5"/>
        <v/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Dimanche</v>
      </c>
      <c r="B12" s="10">
        <f t="shared" si="1"/>
        <v>41827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Lundi</v>
      </c>
      <c r="B13" s="10">
        <f t="shared" si="1"/>
        <v>41828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0.32291666666666669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Mardi</v>
      </c>
      <c r="B14" s="10">
        <f t="shared" si="1"/>
        <v>41829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Mercredi</v>
      </c>
      <c r="B15" s="10">
        <f t="shared" si="1"/>
        <v>41830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Jeudi</v>
      </c>
      <c r="B16" s="10">
        <f t="shared" si="1"/>
        <v>41831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Vendredi</v>
      </c>
      <c r="B17" s="10">
        <f t="shared" si="1"/>
        <v>41832</v>
      </c>
      <c r="C17" s="3">
        <f>IFERROR((VLOOKUP(B17,Fériés:Fériés,2,0)),VLOOKUP(A17,Année!$C$2:$C$8:'Année'!$D$2:$D$8,2,0))</f>
        <v>0.16666666666666666</v>
      </c>
      <c r="D17" s="4"/>
      <c r="E17" s="4"/>
      <c r="F17" s="5">
        <f t="shared" si="4"/>
        <v>0.16666666666666666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Samedi</v>
      </c>
      <c r="B18" s="10">
        <f t="shared" si="1"/>
        <v>41833</v>
      </c>
      <c r="C18" s="3">
        <f>IFERROR((VLOOKUP(B18,Fériés:Fériés,2,0)),VLOOKUP(A18,Année!$C$2:$C$8:'Année'!$D$2:$D$8,2,0))</f>
        <v>0</v>
      </c>
      <c r="D18" s="4"/>
      <c r="E18" s="4"/>
      <c r="F18" s="5">
        <f t="shared" si="4"/>
        <v>0</v>
      </c>
      <c r="G18" s="4"/>
      <c r="H18" s="5"/>
      <c r="I18" s="5"/>
      <c r="J18" s="5">
        <f t="shared" si="2"/>
        <v>0</v>
      </c>
      <c r="K18" s="5"/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Dimanche</v>
      </c>
      <c r="B19" s="10">
        <f t="shared" si="1"/>
        <v>41834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Lundi</v>
      </c>
      <c r="B20" s="10">
        <f t="shared" si="1"/>
        <v>41835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0.32291666666666669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Mardi</v>
      </c>
      <c r="B21" s="10">
        <f t="shared" si="1"/>
        <v>41836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Mercredi</v>
      </c>
      <c r="B22" s="10">
        <f t="shared" si="1"/>
        <v>41837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Jeudi</v>
      </c>
      <c r="B23" s="10">
        <f t="shared" si="1"/>
        <v>41838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Vendredi</v>
      </c>
      <c r="B24" s="10">
        <f t="shared" si="1"/>
        <v>41839</v>
      </c>
      <c r="C24" s="3">
        <f>IFERROR((VLOOKUP(B24,Fériés:Fériés,2,0)),VLOOKUP(A24,Année!$C$2:$C$8:'Année'!$D$2:$D$8,2,0))</f>
        <v>0.16666666666666666</v>
      </c>
      <c r="D24" s="4"/>
      <c r="E24" s="4"/>
      <c r="F24" s="5">
        <f t="shared" si="4"/>
        <v>0.16666666666666666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Samedi</v>
      </c>
      <c r="B25" s="10">
        <f t="shared" si="1"/>
        <v>41840</v>
      </c>
      <c r="C25" s="3">
        <f>IFERROR((VLOOKUP(B25,Fériés:Fériés,2,0)),VLOOKUP(A25,Année!$C$2:$C$8:'Année'!$D$2:$D$8,2,0))</f>
        <v>0</v>
      </c>
      <c r="D25" s="4"/>
      <c r="E25" s="4"/>
      <c r="F25" s="5">
        <f t="shared" si="4"/>
        <v>0</v>
      </c>
      <c r="G25" s="4"/>
      <c r="H25" s="5"/>
      <c r="I25" s="5"/>
      <c r="J25" s="5">
        <f t="shared" si="2"/>
        <v>0</v>
      </c>
      <c r="K25" s="5"/>
      <c r="L25" s="5" t="str">
        <f t="shared" si="5"/>
        <v/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Dimanche</v>
      </c>
      <c r="B26" s="10">
        <f t="shared" si="1"/>
        <v>41841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4"/>
        <v>0</v>
      </c>
      <c r="G26" s="4"/>
      <c r="H26" s="5"/>
      <c r="I26" s="5"/>
      <c r="J26" s="5">
        <f t="shared" si="2"/>
        <v>0</v>
      </c>
      <c r="K26" s="5"/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Lundi</v>
      </c>
      <c r="B27" s="10">
        <f t="shared" si="1"/>
        <v>41842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0.32291666666666669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Mardi</v>
      </c>
      <c r="B28" s="10">
        <f t="shared" si="1"/>
        <v>41843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0.32291666666666669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Mercredi</v>
      </c>
      <c r="B29" s="10">
        <f t="shared" si="1"/>
        <v>41844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0.32291666666666669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Jeudi</v>
      </c>
      <c r="B30" s="10">
        <f t="shared" si="1"/>
        <v>41845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Vendredi</v>
      </c>
      <c r="B31" s="10">
        <f t="shared" si="1"/>
        <v>41846</v>
      </c>
      <c r="C31" s="3">
        <f>IFERROR((VLOOKUP(B31,Fériés:Fériés,2,0)),VLOOKUP(A31,Année!$C$2:$C$8:'Année'!$D$2:$D$8,2,0))</f>
        <v>0.16666666666666666</v>
      </c>
      <c r="D31" s="4"/>
      <c r="E31" s="4"/>
      <c r="F31" s="5">
        <f t="shared" si="4"/>
        <v>0.16666666666666666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Samedi</v>
      </c>
      <c r="B32" s="10">
        <f t="shared" si="1"/>
        <v>41847</v>
      </c>
      <c r="C32" s="3">
        <f>IFERROR((VLOOKUP(B32,Fériés:Fériés,2,0)),VLOOKUP(A32,Année!$C$2:$C$8:'Année'!$D$2:$D$8,2,0))</f>
        <v>0</v>
      </c>
      <c r="D32" s="4"/>
      <c r="E32" s="4"/>
      <c r="F32" s="5">
        <f t="shared" si="4"/>
        <v>0</v>
      </c>
      <c r="G32" s="4"/>
      <c r="H32" s="5"/>
      <c r="I32" s="5"/>
      <c r="J32" s="5">
        <f t="shared" si="2"/>
        <v>0</v>
      </c>
      <c r="K32" s="5"/>
      <c r="L32" s="5" t="str">
        <f t="shared" si="5"/>
        <v/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Dimanche</v>
      </c>
      <c r="B33" s="10">
        <f t="shared" si="1"/>
        <v>41848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4"/>
        <v>0</v>
      </c>
      <c r="G33" s="4"/>
      <c r="H33" s="5"/>
      <c r="I33" s="5"/>
      <c r="J33" s="5">
        <f t="shared" si="2"/>
        <v>0</v>
      </c>
      <c r="K33" s="5"/>
      <c r="L33" s="5" t="str">
        <f t="shared" si="5"/>
        <v/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Lundi</v>
      </c>
      <c r="B34" s="10">
        <f t="shared" si="1"/>
        <v>41849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</v>
      </c>
      <c r="G34" s="4"/>
      <c r="H34" s="5"/>
      <c r="I34" s="5"/>
      <c r="J34" s="5" t="str">
        <f t="shared" si="2"/>
        <v xml:space="preserve"> </v>
      </c>
      <c r="K34" s="5">
        <v>0.32291666666666669</v>
      </c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>
      <c r="A35" s="8" t="str">
        <f t="shared" si="7"/>
        <v>Mardi</v>
      </c>
      <c r="B35" s="10">
        <f t="shared" si="1"/>
        <v>41850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</v>
      </c>
      <c r="G35" s="4"/>
      <c r="H35" s="5"/>
      <c r="I35" s="5"/>
      <c r="J35" s="5" t="str">
        <f t="shared" si="2"/>
        <v xml:space="preserve"> </v>
      </c>
      <c r="K35" s="5">
        <v>0.32291666666666669</v>
      </c>
      <c r="L35" s="5" t="str">
        <f t="shared" si="5"/>
        <v/>
      </c>
      <c r="M35" s="4" t="str">
        <f t="shared" si="3"/>
        <v/>
      </c>
      <c r="N35" s="4" t="str">
        <f t="shared" si="6"/>
        <v>0:00</v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6.4791666666666687</v>
      </c>
      <c r="D38" s="40">
        <f t="shared" ref="D38:N38" si="8">SUM(D5:D37)</f>
        <v>0</v>
      </c>
      <c r="E38" s="40">
        <f t="shared" si="8"/>
        <v>0</v>
      </c>
      <c r="F38" s="40">
        <f t="shared" si="8"/>
        <v>5.8333333333333348</v>
      </c>
      <c r="G38" s="40">
        <f t="shared" si="8"/>
        <v>0</v>
      </c>
      <c r="H38" s="40">
        <f t="shared" si="8"/>
        <v>0</v>
      </c>
      <c r="I38" s="40">
        <f t="shared" si="8"/>
        <v>0</v>
      </c>
      <c r="J38" s="40">
        <f t="shared" si="8"/>
        <v>0</v>
      </c>
      <c r="K38" s="40">
        <f t="shared" si="8"/>
        <v>0.64583333333333337</v>
      </c>
      <c r="L38" s="40">
        <f t="shared" si="8"/>
        <v>0</v>
      </c>
      <c r="M38" s="40">
        <f t="shared" si="8"/>
        <v>0</v>
      </c>
      <c r="N38" s="40">
        <f t="shared" si="8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95" priority="14">
      <formula>$A5="Dimanche"</formula>
    </cfRule>
    <cfRule type="expression" dxfId="94" priority="15">
      <formula>$A5="Samedi"</formula>
    </cfRule>
  </conditionalFormatting>
  <conditionalFormatting sqref="A5:A37">
    <cfRule type="expression" dxfId="93" priority="13">
      <formula>$M5&lt;&gt;""</formula>
    </cfRule>
  </conditionalFormatting>
  <conditionalFormatting sqref="A36:N36 K5:K35 A5:E35 G5:I35">
    <cfRule type="expression" dxfId="92" priority="16">
      <formula>COUNTIF(Jours_fériés,$B5)=1</formula>
    </cfRule>
  </conditionalFormatting>
  <conditionalFormatting sqref="J5:J35">
    <cfRule type="expression" dxfId="91" priority="10">
      <formula>$A5="Dimanche"</formula>
    </cfRule>
    <cfRule type="expression" dxfId="90" priority="11">
      <formula>$A5="Samedi"</formula>
    </cfRule>
  </conditionalFormatting>
  <conditionalFormatting sqref="J5:J35">
    <cfRule type="expression" dxfId="89" priority="12">
      <formula>COUNTIF(Jours_fériés,$B5)=1</formula>
    </cfRule>
  </conditionalFormatting>
  <conditionalFormatting sqref="L5:L35 N5:N35">
    <cfRule type="expression" dxfId="88" priority="7">
      <formula>COUNTIF(Jours_fériés,$B5)=1</formula>
    </cfRule>
    <cfRule type="expression" dxfId="87" priority="9">
      <formula>$A5="Samedi"</formula>
    </cfRule>
  </conditionalFormatting>
  <conditionalFormatting sqref="L5:L35 N5:N35">
    <cfRule type="expression" dxfId="86" priority="8">
      <formula>$A5="Dimanche"</formula>
    </cfRule>
  </conditionalFormatting>
  <conditionalFormatting sqref="F5:F35">
    <cfRule type="expression" dxfId="85" priority="4">
      <formula>$A5="Dimanche"</formula>
    </cfRule>
    <cfRule type="expression" dxfId="84" priority="5">
      <formula>$A5="Samedi"</formula>
    </cfRule>
  </conditionalFormatting>
  <conditionalFormatting sqref="F5:F35">
    <cfRule type="expression" dxfId="83" priority="6">
      <formula>COUNTIF(Jours_fériés,$B5)=1</formula>
    </cfRule>
  </conditionalFormatting>
  <conditionalFormatting sqref="M5:M35">
    <cfRule type="expression" dxfId="82" priority="1">
      <formula>COUNTIF(Jours_fériés,$B5)=1</formula>
    </cfRule>
    <cfRule type="expression" dxfId="81" priority="3">
      <formula>$A5="Samedi"</formula>
    </cfRule>
  </conditionalFormatting>
  <conditionalFormatting sqref="M5:M35">
    <cfRule type="expression" dxfId="80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C000"/>
  </sheetPr>
  <dimension ref="A1:N39"/>
  <sheetViews>
    <sheetView workbookViewId="0">
      <pane ySplit="4" topLeftCell="A22" activePane="bottomLeft" state="frozen"/>
      <selection activeCell="B36" sqref="B36"/>
      <selection pane="bottomLeft" activeCell="M5" sqref="M5:M3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DATE(Année!B1,8,1)</f>
        <v>41851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Mercredi</v>
      </c>
      <c r="B5" s="10">
        <f t="shared" ref="B5:B35" si="1">DATE(An,8,ROW(1:31))</f>
        <v>41851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</v>
      </c>
      <c r="G5" s="4"/>
      <c r="H5" s="5"/>
      <c r="I5" s="5"/>
      <c r="J5" s="5" t="str">
        <f t="shared" ref="J5:J35" si="2">IF(C5=0,VLOOKUP(A5,Horaires,2,FALSE)," ")</f>
        <v xml:space="preserve"> </v>
      </c>
      <c r="K5" s="5">
        <v>0.32291666666666669</v>
      </c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Jeudi</v>
      </c>
      <c r="B6" s="10">
        <f t="shared" si="1"/>
        <v>41852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</v>
      </c>
      <c r="G6" s="4"/>
      <c r="H6" s="5"/>
      <c r="I6" s="5"/>
      <c r="J6" s="5" t="str">
        <f t="shared" si="2"/>
        <v xml:space="preserve"> </v>
      </c>
      <c r="K6" s="5">
        <v>0.32291666666666669</v>
      </c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>
      <c r="A7" s="8" t="str">
        <f t="shared" si="0"/>
        <v>Vendredi</v>
      </c>
      <c r="B7" s="10">
        <f t="shared" si="1"/>
        <v>41853</v>
      </c>
      <c r="C7" s="3">
        <f>IFERROR((VLOOKUP(B7,Fériés:Fériés,2,0)),VLOOKUP(A7,Année!$C$2:$C$8:'Année'!$D$2:$D$8,2,0))</f>
        <v>0.16666666666666666</v>
      </c>
      <c r="D7" s="4"/>
      <c r="E7" s="4"/>
      <c r="F7" s="5">
        <f t="shared" si="4"/>
        <v>0</v>
      </c>
      <c r="G7" s="4"/>
      <c r="H7" s="5"/>
      <c r="I7" s="5"/>
      <c r="J7" s="5" t="str">
        <f t="shared" si="2"/>
        <v xml:space="preserve"> </v>
      </c>
      <c r="K7" s="5">
        <v>0.16666666666666666</v>
      </c>
      <c r="L7" s="5" t="str">
        <f t="shared" si="5"/>
        <v/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Samedi</v>
      </c>
      <c r="B8" s="10">
        <f t="shared" si="1"/>
        <v>41854</v>
      </c>
      <c r="C8" s="3">
        <f>IFERROR((VLOOKUP(B8,Fériés:Fériés,2,0)),VLOOKUP(A8,Année!$C$2:$C$8:'Année'!$D$2:$D$8,2,0))</f>
        <v>0</v>
      </c>
      <c r="D8" s="4"/>
      <c r="E8" s="4"/>
      <c r="F8" s="5">
        <f t="shared" si="4"/>
        <v>0</v>
      </c>
      <c r="G8" s="4"/>
      <c r="H8" s="5"/>
      <c r="I8" s="5"/>
      <c r="J8" s="5">
        <f t="shared" si="2"/>
        <v>0</v>
      </c>
      <c r="K8" s="5"/>
      <c r="L8" s="5" t="str">
        <f t="shared" si="5"/>
        <v/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Dimanche</v>
      </c>
      <c r="B9" s="10">
        <f t="shared" si="1"/>
        <v>41855</v>
      </c>
      <c r="C9" s="3">
        <f>IFERROR((VLOOKUP(B9,Fériés:Fériés,2,0)),VLOOKUP(A9,Année!$C$2:$C$8:'Année'!$D$2:$D$8,2,0))</f>
        <v>0</v>
      </c>
      <c r="D9" s="4"/>
      <c r="E9" s="4"/>
      <c r="F9" s="5">
        <f t="shared" si="4"/>
        <v>0</v>
      </c>
      <c r="G9" s="4"/>
      <c r="H9" s="5"/>
      <c r="I9" s="5"/>
      <c r="J9" s="5">
        <f t="shared" si="2"/>
        <v>0</v>
      </c>
      <c r="K9" s="5"/>
      <c r="L9" s="5" t="str">
        <f t="shared" si="5"/>
        <v/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5" si="7">CHOOSE(WEEKDAY(B10),"Dimanche","Lundi","Mardi","Mercredi","Jeudi","Vendredi","Samedi")</f>
        <v>Lundi</v>
      </c>
      <c r="B10" s="10">
        <f t="shared" si="1"/>
        <v>41856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</v>
      </c>
      <c r="G10" s="4"/>
      <c r="H10" s="5"/>
      <c r="I10" s="5"/>
      <c r="J10" s="5" t="str">
        <f t="shared" si="2"/>
        <v xml:space="preserve"> </v>
      </c>
      <c r="K10" s="5">
        <v>0.32291666666666669</v>
      </c>
      <c r="L10" s="5" t="str">
        <f t="shared" si="5"/>
        <v/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Mardi</v>
      </c>
      <c r="B11" s="10">
        <f t="shared" si="1"/>
        <v>41857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</v>
      </c>
      <c r="G11" s="4"/>
      <c r="H11" s="5"/>
      <c r="I11" s="5"/>
      <c r="J11" s="5" t="str">
        <f t="shared" si="2"/>
        <v xml:space="preserve"> </v>
      </c>
      <c r="K11" s="5">
        <v>0.32291666666666669</v>
      </c>
      <c r="L11" s="5" t="str">
        <f t="shared" si="5"/>
        <v/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Mercredi</v>
      </c>
      <c r="B12" s="10">
        <f t="shared" si="1"/>
        <v>41858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4"/>
        <v>0</v>
      </c>
      <c r="G12" s="4"/>
      <c r="H12" s="5"/>
      <c r="I12" s="5"/>
      <c r="J12" s="5" t="str">
        <f t="shared" si="2"/>
        <v xml:space="preserve"> </v>
      </c>
      <c r="K12" s="5">
        <v>0.32291666666666669</v>
      </c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Jeudi</v>
      </c>
      <c r="B13" s="10">
        <f t="shared" si="1"/>
        <v>41859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</v>
      </c>
      <c r="G13" s="4"/>
      <c r="H13" s="5"/>
      <c r="I13" s="5"/>
      <c r="J13" s="5" t="str">
        <f t="shared" si="2"/>
        <v xml:space="preserve"> </v>
      </c>
      <c r="K13" s="5">
        <v>0.32291666666666669</v>
      </c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Vendredi</v>
      </c>
      <c r="B14" s="10">
        <f t="shared" si="1"/>
        <v>41860</v>
      </c>
      <c r="C14" s="3">
        <f>IFERROR((VLOOKUP(B14,Fériés:Fériés,2,0)),VLOOKUP(A14,Année!$C$2:$C$8:'Année'!$D$2:$D$8,2,0))</f>
        <v>0.16666666666666666</v>
      </c>
      <c r="D14" s="4"/>
      <c r="E14" s="4"/>
      <c r="F14" s="5">
        <f t="shared" si="4"/>
        <v>0</v>
      </c>
      <c r="G14" s="4"/>
      <c r="H14" s="5"/>
      <c r="I14" s="5"/>
      <c r="J14" s="5" t="str">
        <f t="shared" si="2"/>
        <v xml:space="preserve"> </v>
      </c>
      <c r="K14" s="5">
        <v>0.16666666666666666</v>
      </c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Samedi</v>
      </c>
      <c r="B15" s="10">
        <f t="shared" si="1"/>
        <v>41861</v>
      </c>
      <c r="C15" s="3">
        <f>IFERROR((VLOOKUP(B15,Fériés:Fériés,2,0)),VLOOKUP(A15,Année!$C$2:$C$8:'Année'!$D$2:$D$8,2,0))</f>
        <v>0</v>
      </c>
      <c r="D15" s="4"/>
      <c r="E15" s="4"/>
      <c r="F15" s="5">
        <f t="shared" si="4"/>
        <v>0</v>
      </c>
      <c r="G15" s="4"/>
      <c r="H15" s="5"/>
      <c r="I15" s="5"/>
      <c r="J15" s="5">
        <f t="shared" si="2"/>
        <v>0</v>
      </c>
      <c r="K15" s="5"/>
      <c r="L15" s="5" t="str">
        <f t="shared" si="5"/>
        <v/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Dimanche</v>
      </c>
      <c r="B16" s="10">
        <f t="shared" si="1"/>
        <v>41862</v>
      </c>
      <c r="C16" s="3">
        <f>IFERROR((VLOOKUP(B16,Fériés:Fériés,2,0)),VLOOKUP(A16,Année!$C$2:$C$8:'Année'!$D$2:$D$8,2,0))</f>
        <v>0</v>
      </c>
      <c r="D16" s="4"/>
      <c r="E16" s="4"/>
      <c r="F16" s="5">
        <f t="shared" si="4"/>
        <v>0</v>
      </c>
      <c r="G16" s="4"/>
      <c r="H16" s="5"/>
      <c r="I16" s="5"/>
      <c r="J16" s="5">
        <f t="shared" si="2"/>
        <v>0</v>
      </c>
      <c r="K16" s="5"/>
      <c r="L16" s="5" t="str">
        <f t="shared" si="5"/>
        <v/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Lundi</v>
      </c>
      <c r="B17" s="10">
        <f t="shared" si="1"/>
        <v>41863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</v>
      </c>
      <c r="G17" s="4"/>
      <c r="H17" s="5"/>
      <c r="I17" s="5"/>
      <c r="J17" s="5" t="str">
        <f t="shared" si="2"/>
        <v xml:space="preserve"> </v>
      </c>
      <c r="K17" s="5">
        <v>0.32291666666666669</v>
      </c>
      <c r="L17" s="5" t="str">
        <f t="shared" si="5"/>
        <v/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Mardi</v>
      </c>
      <c r="B18" s="10">
        <f t="shared" si="1"/>
        <v>41864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</v>
      </c>
      <c r="G18" s="4"/>
      <c r="H18" s="5"/>
      <c r="I18" s="5"/>
      <c r="J18" s="5" t="str">
        <f t="shared" si="2"/>
        <v xml:space="preserve"> </v>
      </c>
      <c r="K18" s="5">
        <v>0.32291666666666669</v>
      </c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Mercredi</v>
      </c>
      <c r="B19" s="10">
        <f t="shared" si="1"/>
        <v>41865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0.32291666666666669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Jeudi</v>
      </c>
      <c r="B20" s="10">
        <f t="shared" si="1"/>
        <v>41866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</v>
      </c>
      <c r="G20" s="4"/>
      <c r="H20" s="5"/>
      <c r="I20" s="5"/>
      <c r="J20" s="5" t="str">
        <f t="shared" si="2"/>
        <v xml:space="preserve"> </v>
      </c>
      <c r="K20" s="5">
        <v>0.32291666666666669</v>
      </c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Vendredi</v>
      </c>
      <c r="B21" s="10">
        <f t="shared" si="1"/>
        <v>41867</v>
      </c>
      <c r="C21" s="3">
        <f>IFERROR((VLOOKUP(B21,Fériés:Fériés,2,0)),VLOOKUP(A21,Année!$C$2:$C$8:'Année'!$D$2:$D$8,2,0))</f>
        <v>0.16666666666666666</v>
      </c>
      <c r="D21" s="4"/>
      <c r="E21" s="4"/>
      <c r="F21" s="5">
        <f t="shared" si="4"/>
        <v>0</v>
      </c>
      <c r="G21" s="4"/>
      <c r="H21" s="5"/>
      <c r="I21" s="5"/>
      <c r="J21" s="5" t="str">
        <f t="shared" si="2"/>
        <v xml:space="preserve"> </v>
      </c>
      <c r="K21" s="5">
        <v>0.16666666666666666</v>
      </c>
      <c r="L21" s="5" t="str">
        <f t="shared" si="5"/>
        <v/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Samedi</v>
      </c>
      <c r="B22" s="10">
        <f t="shared" si="1"/>
        <v>41868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4"/>
        <v>0</v>
      </c>
      <c r="G22" s="4"/>
      <c r="H22" s="5"/>
      <c r="I22" s="5"/>
      <c r="J22" s="5">
        <f t="shared" si="2"/>
        <v>0</v>
      </c>
      <c r="K22" s="5"/>
      <c r="L22" s="5" t="str">
        <f t="shared" si="5"/>
        <v/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Dimanche</v>
      </c>
      <c r="B23" s="10">
        <f t="shared" si="1"/>
        <v>41869</v>
      </c>
      <c r="C23" s="3">
        <f>IFERROR((VLOOKUP(B23,Fériés:Fériés,2,0)),VLOOKUP(A23,Année!$C$2:$C$8:'Année'!$D$2:$D$8,2,0))</f>
        <v>0</v>
      </c>
      <c r="D23" s="4"/>
      <c r="E23" s="4"/>
      <c r="F23" s="5">
        <f t="shared" si="4"/>
        <v>0</v>
      </c>
      <c r="G23" s="4"/>
      <c r="H23" s="5"/>
      <c r="I23" s="5"/>
      <c r="J23" s="5">
        <f t="shared" si="2"/>
        <v>0</v>
      </c>
      <c r="K23" s="5"/>
      <c r="L23" s="5" t="str">
        <f t="shared" si="5"/>
        <v/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Lundi</v>
      </c>
      <c r="B24" s="10">
        <f t="shared" si="1"/>
        <v>41870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Mardi</v>
      </c>
      <c r="B25" s="10">
        <f t="shared" si="1"/>
        <v>41871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Mercredi</v>
      </c>
      <c r="B26" s="10">
        <f t="shared" si="1"/>
        <v>41872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0.32291666666666669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Jeudi</v>
      </c>
      <c r="B27" s="10">
        <f t="shared" si="1"/>
        <v>41873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0.32291666666666669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Vendredi</v>
      </c>
      <c r="B28" s="10">
        <f t="shared" si="1"/>
        <v>41874</v>
      </c>
      <c r="C28" s="3">
        <f>IFERROR((VLOOKUP(B28,Fériés:Fériés,2,0)),VLOOKUP(A28,Année!$C$2:$C$8:'Année'!$D$2:$D$8,2,0))</f>
        <v>0.16666666666666666</v>
      </c>
      <c r="D28" s="4"/>
      <c r="E28" s="4"/>
      <c r="F28" s="5">
        <f t="shared" si="4"/>
        <v>0.16666666666666666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Samedi</v>
      </c>
      <c r="B29" s="10">
        <f t="shared" si="1"/>
        <v>41875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4"/>
        <v>0</v>
      </c>
      <c r="G29" s="4"/>
      <c r="H29" s="5"/>
      <c r="I29" s="5"/>
      <c r="J29" s="5">
        <f t="shared" si="2"/>
        <v>0</v>
      </c>
      <c r="K29" s="5"/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Dimanche</v>
      </c>
      <c r="B30" s="10">
        <f t="shared" si="1"/>
        <v>41876</v>
      </c>
      <c r="C30" s="3">
        <f>IFERROR((VLOOKUP(B30,Fériés:Fériés,2,0)),VLOOKUP(A30,Année!$C$2:$C$8:'Année'!$D$2:$D$8,2,0))</f>
        <v>0</v>
      </c>
      <c r="D30" s="4"/>
      <c r="E30" s="4"/>
      <c r="F30" s="5">
        <f t="shared" si="4"/>
        <v>0</v>
      </c>
      <c r="G30" s="4"/>
      <c r="H30" s="5"/>
      <c r="I30" s="5"/>
      <c r="J30" s="5">
        <f t="shared" si="2"/>
        <v>0</v>
      </c>
      <c r="K30" s="5"/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Lundi</v>
      </c>
      <c r="B31" s="10">
        <f t="shared" si="1"/>
        <v>41877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Mardi</v>
      </c>
      <c r="B32" s="10">
        <f t="shared" si="1"/>
        <v>41878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Mercredi</v>
      </c>
      <c r="B33" s="10">
        <f t="shared" si="1"/>
        <v>41879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Jeudi</v>
      </c>
      <c r="B34" s="10">
        <f t="shared" si="1"/>
        <v>41880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0.32291666666666669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>
      <c r="A35" s="8" t="str">
        <f t="shared" si="7"/>
        <v>Vendredi</v>
      </c>
      <c r="B35" s="10">
        <f t="shared" si="1"/>
        <v>41881</v>
      </c>
      <c r="C35" s="3">
        <f>IFERROR((VLOOKUP(B35,Fériés:Fériés,2,0)),VLOOKUP(A35,Année!$C$2:$C$8:'Année'!$D$2:$D$8,2,0))</f>
        <v>0.16666666666666666</v>
      </c>
      <c r="D35" s="4"/>
      <c r="E35" s="4"/>
      <c r="F35" s="5">
        <f t="shared" si="4"/>
        <v>0.16666666666666666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6.3229166666666687</v>
      </c>
      <c r="D38" s="40">
        <f t="shared" ref="D38:N38" si="8">SUM(D5:D37)</f>
        <v>0</v>
      </c>
      <c r="E38" s="40">
        <f t="shared" si="8"/>
        <v>0</v>
      </c>
      <c r="F38" s="40">
        <f t="shared" si="8"/>
        <v>2.9166666666666665</v>
      </c>
      <c r="G38" s="40">
        <f t="shared" si="8"/>
        <v>0</v>
      </c>
      <c r="H38" s="40">
        <f t="shared" si="8"/>
        <v>0</v>
      </c>
      <c r="I38" s="40">
        <f t="shared" si="8"/>
        <v>0</v>
      </c>
      <c r="J38" s="40">
        <f t="shared" si="8"/>
        <v>0.32291666666666669</v>
      </c>
      <c r="K38" s="40">
        <f t="shared" si="8"/>
        <v>3.4062499999999996</v>
      </c>
      <c r="L38" s="40">
        <f t="shared" si="8"/>
        <v>0</v>
      </c>
      <c r="M38" s="40">
        <f t="shared" si="8"/>
        <v>0</v>
      </c>
      <c r="N38" s="40">
        <f t="shared" si="8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79" priority="14">
      <formula>$A5="Dimanche"</formula>
    </cfRule>
    <cfRule type="expression" dxfId="78" priority="15">
      <formula>$A5="Samedi"</formula>
    </cfRule>
  </conditionalFormatting>
  <conditionalFormatting sqref="A5:A37">
    <cfRule type="expression" dxfId="77" priority="13">
      <formula>$M5&lt;&gt;""</formula>
    </cfRule>
  </conditionalFormatting>
  <conditionalFormatting sqref="A36:N36 K5:K35 A5:E35 G5:I35">
    <cfRule type="expression" dxfId="76" priority="16">
      <formula>COUNTIF(Jours_fériés,$B5)=1</formula>
    </cfRule>
  </conditionalFormatting>
  <conditionalFormatting sqref="J5:J35">
    <cfRule type="expression" dxfId="75" priority="10">
      <formula>$A5="Dimanche"</formula>
    </cfRule>
    <cfRule type="expression" dxfId="74" priority="11">
      <formula>$A5="Samedi"</formula>
    </cfRule>
  </conditionalFormatting>
  <conditionalFormatting sqref="J5:J35">
    <cfRule type="expression" dxfId="73" priority="12">
      <formula>COUNTIF(Jours_fériés,$B5)=1</formula>
    </cfRule>
  </conditionalFormatting>
  <conditionalFormatting sqref="L5:L35 N5:N35">
    <cfRule type="expression" dxfId="72" priority="7">
      <formula>COUNTIF(Jours_fériés,$B5)=1</formula>
    </cfRule>
    <cfRule type="expression" dxfId="71" priority="9">
      <formula>$A5="Samedi"</formula>
    </cfRule>
  </conditionalFormatting>
  <conditionalFormatting sqref="L5:L35 N5:N35">
    <cfRule type="expression" dxfId="70" priority="8">
      <formula>$A5="Dimanche"</formula>
    </cfRule>
  </conditionalFormatting>
  <conditionalFormatting sqref="F5:F35">
    <cfRule type="expression" dxfId="69" priority="4">
      <formula>$A5="Dimanche"</formula>
    </cfRule>
    <cfRule type="expression" dxfId="68" priority="5">
      <formula>$A5="Samedi"</formula>
    </cfRule>
  </conditionalFormatting>
  <conditionalFormatting sqref="F5:F35">
    <cfRule type="expression" dxfId="67" priority="6">
      <formula>COUNTIF(Jours_fériés,$B5)=1</formula>
    </cfRule>
  </conditionalFormatting>
  <conditionalFormatting sqref="M5:M35">
    <cfRule type="expression" dxfId="66" priority="1">
      <formula>COUNTIF(Jours_fériés,$B5)=1</formula>
    </cfRule>
    <cfRule type="expression" dxfId="65" priority="3">
      <formula>$A5="Samedi"</formula>
    </cfRule>
  </conditionalFormatting>
  <conditionalFormatting sqref="M5:M35">
    <cfRule type="expression" dxfId="64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2060"/>
  </sheetPr>
  <dimension ref="A1:N39"/>
  <sheetViews>
    <sheetView workbookViewId="0">
      <pane ySplit="4" topLeftCell="A18" activePane="bottomLeft" state="frozen"/>
      <selection activeCell="B36" sqref="B36"/>
      <selection pane="bottomLeft" activeCell="M5" sqref="M5:M34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DATE(Année!B1,9,1)</f>
        <v>41882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Samedi</v>
      </c>
      <c r="B5" s="10">
        <f t="shared" ref="B5:B34" si="1">DATE(An,9,ROW(1:31))</f>
        <v>41882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4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Dimanche</v>
      </c>
      <c r="B6" s="10">
        <f t="shared" si="1"/>
        <v>41883</v>
      </c>
      <c r="C6" s="3">
        <f>IFERROR((VLOOKUP(B6,Fériés:Fériés,2,0)),VLOOKUP(A6,Année!$C$2:$C$8:'Année'!$D$2:$D$8,2,0))</f>
        <v>0</v>
      </c>
      <c r="D6" s="4"/>
      <c r="E6" s="4"/>
      <c r="F6" s="5">
        <f t="shared" ref="F6:F34" si="4">IF(K6="",C6,0)</f>
        <v>0</v>
      </c>
      <c r="G6" s="4"/>
      <c r="H6" s="5"/>
      <c r="I6" s="5"/>
      <c r="J6" s="5">
        <f t="shared" si="2"/>
        <v>0</v>
      </c>
      <c r="K6" s="5"/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>
      <c r="A7" s="8" t="str">
        <f t="shared" si="0"/>
        <v>Lundi</v>
      </c>
      <c r="B7" s="10">
        <f t="shared" si="1"/>
        <v>41884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Mardi</v>
      </c>
      <c r="B8" s="10">
        <f t="shared" si="1"/>
        <v>41885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Mercredi</v>
      </c>
      <c r="B9" s="10">
        <f t="shared" si="1"/>
        <v>41886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4" si="7">CHOOSE(WEEKDAY(B10),"Dimanche","Lundi","Mardi","Mercredi","Jeudi","Vendredi","Samedi")</f>
        <v>Jeudi</v>
      </c>
      <c r="B10" s="10">
        <f t="shared" si="1"/>
        <v>41887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Vendredi</v>
      </c>
      <c r="B11" s="10">
        <f t="shared" si="1"/>
        <v>41888</v>
      </c>
      <c r="C11" s="3">
        <f>IFERROR((VLOOKUP(B11,Fériés:Fériés,2,0)),VLOOKUP(A11,Année!$C$2:$C$8:'Année'!$D$2:$D$8,2,0))</f>
        <v>0.16666666666666666</v>
      </c>
      <c r="D11" s="4"/>
      <c r="E11" s="4"/>
      <c r="F11" s="5">
        <f t="shared" si="4"/>
        <v>0.16666666666666666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Samedi</v>
      </c>
      <c r="B12" s="10">
        <f t="shared" si="1"/>
        <v>41889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Dimanche</v>
      </c>
      <c r="B13" s="10">
        <f t="shared" si="1"/>
        <v>41890</v>
      </c>
      <c r="C13" s="3">
        <f>IFERROR((VLOOKUP(B13,Fériés:Fériés,2,0)),VLOOKUP(A13,Année!$C$2:$C$8:'Année'!$D$2:$D$8,2,0))</f>
        <v>0</v>
      </c>
      <c r="D13" s="4"/>
      <c r="E13" s="4"/>
      <c r="F13" s="5">
        <f t="shared" si="4"/>
        <v>0</v>
      </c>
      <c r="G13" s="4"/>
      <c r="H13" s="5"/>
      <c r="I13" s="5"/>
      <c r="J13" s="5">
        <f t="shared" si="2"/>
        <v>0</v>
      </c>
      <c r="K13" s="5"/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Lundi</v>
      </c>
      <c r="B14" s="10">
        <f t="shared" si="1"/>
        <v>41891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Mardi</v>
      </c>
      <c r="B15" s="10">
        <f t="shared" si="1"/>
        <v>41892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Mercredi</v>
      </c>
      <c r="B16" s="10">
        <f t="shared" si="1"/>
        <v>41893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Jeudi</v>
      </c>
      <c r="B17" s="10">
        <f t="shared" si="1"/>
        <v>41894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Vendredi</v>
      </c>
      <c r="B18" s="10">
        <f t="shared" si="1"/>
        <v>41895</v>
      </c>
      <c r="C18" s="3">
        <f>IFERROR((VLOOKUP(B18,Fériés:Fériés,2,0)),VLOOKUP(A18,Année!$C$2:$C$8:'Année'!$D$2:$D$8,2,0))</f>
        <v>0.16666666666666666</v>
      </c>
      <c r="D18" s="4"/>
      <c r="E18" s="4"/>
      <c r="F18" s="5">
        <f t="shared" si="4"/>
        <v>0.16666666666666666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Samedi</v>
      </c>
      <c r="B19" s="10">
        <f t="shared" si="1"/>
        <v>41896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Dimanche</v>
      </c>
      <c r="B20" s="10">
        <f t="shared" si="1"/>
        <v>41897</v>
      </c>
      <c r="C20" s="3">
        <f>IFERROR((VLOOKUP(B20,Fériés:Fériés,2,0)),VLOOKUP(A20,Année!$C$2:$C$8:'Année'!$D$2:$D$8,2,0))</f>
        <v>0</v>
      </c>
      <c r="D20" s="4"/>
      <c r="E20" s="4"/>
      <c r="F20" s="5">
        <f t="shared" si="4"/>
        <v>0</v>
      </c>
      <c r="G20" s="4"/>
      <c r="H20" s="5"/>
      <c r="I20" s="5"/>
      <c r="J20" s="5">
        <f t="shared" si="2"/>
        <v>0</v>
      </c>
      <c r="K20" s="5"/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Lundi</v>
      </c>
      <c r="B21" s="10">
        <f t="shared" si="1"/>
        <v>41898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Mardi</v>
      </c>
      <c r="B22" s="10">
        <f t="shared" si="1"/>
        <v>41899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Mercredi</v>
      </c>
      <c r="B23" s="10">
        <f t="shared" si="1"/>
        <v>41900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Jeudi</v>
      </c>
      <c r="B24" s="10">
        <f t="shared" si="1"/>
        <v>41901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Vendredi</v>
      </c>
      <c r="B25" s="10">
        <f t="shared" si="1"/>
        <v>41902</v>
      </c>
      <c r="C25" s="3">
        <f>IFERROR((VLOOKUP(B25,Fériés:Fériés,2,0)),VLOOKUP(A25,Année!$C$2:$C$8:'Année'!$D$2:$D$8,2,0))</f>
        <v>0.16666666666666666</v>
      </c>
      <c r="D25" s="4"/>
      <c r="E25" s="4"/>
      <c r="F25" s="5">
        <f t="shared" si="4"/>
        <v>0.16666666666666666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Samedi</v>
      </c>
      <c r="B26" s="10">
        <f t="shared" si="1"/>
        <v>41903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4"/>
        <v>0</v>
      </c>
      <c r="G26" s="4"/>
      <c r="H26" s="5"/>
      <c r="I26" s="5"/>
      <c r="J26" s="5">
        <f t="shared" si="2"/>
        <v>0</v>
      </c>
      <c r="K26" s="5"/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Dimanche</v>
      </c>
      <c r="B27" s="10">
        <f t="shared" si="1"/>
        <v>41904</v>
      </c>
      <c r="C27" s="3">
        <f>IFERROR((VLOOKUP(B27,Fériés:Fériés,2,0)),VLOOKUP(A27,Année!$C$2:$C$8:'Année'!$D$2:$D$8,2,0))</f>
        <v>0</v>
      </c>
      <c r="D27" s="4"/>
      <c r="E27" s="4"/>
      <c r="F27" s="5">
        <f t="shared" si="4"/>
        <v>0</v>
      </c>
      <c r="G27" s="4"/>
      <c r="H27" s="5"/>
      <c r="I27" s="5"/>
      <c r="J27" s="5">
        <f t="shared" si="2"/>
        <v>0</v>
      </c>
      <c r="K27" s="5"/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Lundi</v>
      </c>
      <c r="B28" s="10">
        <f t="shared" si="1"/>
        <v>41905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0.32291666666666669</v>
      </c>
      <c r="G28" s="4"/>
      <c r="H28" s="5"/>
      <c r="I28" s="5"/>
      <c r="J28" s="5" t="str">
        <f t="shared" si="2"/>
        <v xml:space="preserve"> </v>
      </c>
      <c r="K28" s="5"/>
      <c r="L28" s="5">
        <f t="shared" si="5"/>
        <v>0</v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Mardi</v>
      </c>
      <c r="B29" s="10">
        <f t="shared" si="1"/>
        <v>41906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0.32291666666666669</v>
      </c>
      <c r="G29" s="4"/>
      <c r="H29" s="5"/>
      <c r="I29" s="5"/>
      <c r="J29" s="5" t="str">
        <f t="shared" si="2"/>
        <v xml:space="preserve"> </v>
      </c>
      <c r="K29" s="5"/>
      <c r="L29" s="5">
        <f t="shared" si="5"/>
        <v>0</v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Mercredi</v>
      </c>
      <c r="B30" s="10">
        <f t="shared" si="1"/>
        <v>41907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Jeudi</v>
      </c>
      <c r="B31" s="10">
        <f t="shared" si="1"/>
        <v>41908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Vendredi</v>
      </c>
      <c r="B32" s="10">
        <f t="shared" si="1"/>
        <v>41909</v>
      </c>
      <c r="C32" s="3">
        <f>IFERROR((VLOOKUP(B32,Fériés:Fériés,2,0)),VLOOKUP(A32,Année!$C$2:$C$8:'Année'!$D$2:$D$8,2,0))</f>
        <v>0.16666666666666666</v>
      </c>
      <c r="D32" s="4"/>
      <c r="E32" s="4"/>
      <c r="F32" s="5">
        <f t="shared" si="4"/>
        <v>0.16666666666666666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Samedi</v>
      </c>
      <c r="B33" s="10">
        <f t="shared" si="1"/>
        <v>41910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4"/>
        <v>0</v>
      </c>
      <c r="G33" s="4"/>
      <c r="H33" s="5"/>
      <c r="I33" s="5"/>
      <c r="J33" s="5">
        <f t="shared" si="2"/>
        <v>0</v>
      </c>
      <c r="K33" s="5"/>
      <c r="L33" s="5" t="str">
        <f t="shared" si="5"/>
        <v/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Dimanche</v>
      </c>
      <c r="B34" s="10">
        <f t="shared" si="1"/>
        <v>41911</v>
      </c>
      <c r="C34" s="3">
        <f>IFERROR((VLOOKUP(B34,Fériés:Fériés,2,0)),VLOOKUP(A34,Année!$C$2:$C$8:'Année'!$D$2:$D$8,2,0))</f>
        <v>0</v>
      </c>
      <c r="D34" s="4"/>
      <c r="E34" s="4"/>
      <c r="F34" s="5">
        <f t="shared" si="4"/>
        <v>0</v>
      </c>
      <c r="G34" s="4"/>
      <c r="H34" s="5"/>
      <c r="I34" s="5"/>
      <c r="J34" s="5">
        <f t="shared" si="2"/>
        <v>0</v>
      </c>
      <c r="K34" s="5"/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 t="str">
        <f t="shared" si="5"/>
        <v/>
      </c>
      <c r="M35" s="4" t="str">
        <f t="shared" ref="M35" si="8">IF(D35="","",IF(AND(A35="Dimanche",D35&gt;0),SUM(D35:G35)*2,IF(A35="samedi",SUM(D35*2.5,E35*1.25,G35*1.25,F35),SUM(D35*2.5,E35*1.25,G35*1.25,))))</f>
        <v/>
      </c>
      <c r="N35" s="4" t="str">
        <f t="shared" si="6"/>
        <v/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5.8333333333333348</v>
      </c>
      <c r="D38" s="40">
        <f t="shared" ref="D38:N38" si="9">SUM(D5:D37)</f>
        <v>0</v>
      </c>
      <c r="E38" s="40">
        <f t="shared" si="9"/>
        <v>0</v>
      </c>
      <c r="F38" s="40">
        <f t="shared" si="9"/>
        <v>5.8333333333333348</v>
      </c>
      <c r="G38" s="40">
        <f t="shared" si="9"/>
        <v>0</v>
      </c>
      <c r="H38" s="40">
        <f t="shared" si="9"/>
        <v>0</v>
      </c>
      <c r="I38" s="40">
        <f t="shared" si="9"/>
        <v>0</v>
      </c>
      <c r="J38" s="40">
        <f t="shared" si="9"/>
        <v>0</v>
      </c>
      <c r="K38" s="40">
        <f t="shared" si="9"/>
        <v>0</v>
      </c>
      <c r="L38" s="40">
        <f t="shared" si="9"/>
        <v>0</v>
      </c>
      <c r="M38" s="40">
        <f t="shared" si="9"/>
        <v>0</v>
      </c>
      <c r="N38" s="40">
        <f t="shared" si="9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63" priority="14">
      <formula>$A5="Dimanche"</formula>
    </cfRule>
    <cfRule type="expression" dxfId="62" priority="15">
      <formula>$A5="Samedi"</formula>
    </cfRule>
  </conditionalFormatting>
  <conditionalFormatting sqref="A5:A37">
    <cfRule type="expression" dxfId="61" priority="13">
      <formula>$M5&lt;&gt;""</formula>
    </cfRule>
  </conditionalFormatting>
  <conditionalFormatting sqref="A36:N36 K5:K35 A5:E35 G5:I35">
    <cfRule type="expression" dxfId="60" priority="16">
      <formula>COUNTIF(Jours_fériés,$B5)=1</formula>
    </cfRule>
  </conditionalFormatting>
  <conditionalFormatting sqref="J5:J35">
    <cfRule type="expression" dxfId="59" priority="10">
      <formula>$A5="Dimanche"</formula>
    </cfRule>
    <cfRule type="expression" dxfId="58" priority="11">
      <formula>$A5="Samedi"</formula>
    </cfRule>
  </conditionalFormatting>
  <conditionalFormatting sqref="J5:J35">
    <cfRule type="expression" dxfId="57" priority="12">
      <formula>COUNTIF(Jours_fériés,$B5)=1</formula>
    </cfRule>
  </conditionalFormatting>
  <conditionalFormatting sqref="L35:N35 L5:L34 N5:N34">
    <cfRule type="expression" dxfId="56" priority="7">
      <formula>COUNTIF(Jours_fériés,$B5)=1</formula>
    </cfRule>
    <cfRule type="expression" dxfId="55" priority="9">
      <formula>$A5="Samedi"</formula>
    </cfRule>
  </conditionalFormatting>
  <conditionalFormatting sqref="L35:N35 L5:L34 N5:N34">
    <cfRule type="expression" dxfId="54" priority="8">
      <formula>$A5="Dimanche"</formula>
    </cfRule>
  </conditionalFormatting>
  <conditionalFormatting sqref="F5:F35">
    <cfRule type="expression" dxfId="53" priority="4">
      <formula>$A5="Dimanche"</formula>
    </cfRule>
    <cfRule type="expression" dxfId="52" priority="5">
      <formula>$A5="Samedi"</formula>
    </cfRule>
  </conditionalFormatting>
  <conditionalFormatting sqref="F5:F35">
    <cfRule type="expression" dxfId="51" priority="6">
      <formula>COUNTIF(Jours_fériés,$B5)=1</formula>
    </cfRule>
  </conditionalFormatting>
  <conditionalFormatting sqref="M5:M34">
    <cfRule type="expression" dxfId="50" priority="1">
      <formula>COUNTIF(Jours_fériés,$B5)=1</formula>
    </cfRule>
    <cfRule type="expression" dxfId="49" priority="3">
      <formula>$A5="Samedi"</formula>
    </cfRule>
  </conditionalFormatting>
  <conditionalFormatting sqref="M5:M34">
    <cfRule type="expression" dxfId="48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7030A0"/>
  </sheetPr>
  <dimension ref="A1:N39"/>
  <sheetViews>
    <sheetView workbookViewId="0">
      <pane ySplit="4" topLeftCell="A22" activePane="bottomLeft" state="frozen"/>
      <selection activeCell="B36" sqref="B36"/>
      <selection pane="bottomLeft" activeCell="M5" sqref="M5:M3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DATE(Année!B1,10,1)</f>
        <v>41912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Lundi</v>
      </c>
      <c r="B5" s="10">
        <f t="shared" ref="B5:B35" si="1">DATE(An,10,ROW(1:31))</f>
        <v>41912</v>
      </c>
      <c r="C5" s="3">
        <f>IFERROR((VLOOKUP(B5,Fériés:Fériés,2,0)),VLOOKUP(A5,Année!$C$2:$C$8:'Année'!$D$2:$D$8,2,0))</f>
        <v>0.32291666666666669</v>
      </c>
      <c r="D5" s="4"/>
      <c r="E5" s="4"/>
      <c r="F5" s="5">
        <f>IF(K5="",C5,0)</f>
        <v>0.32291666666666669</v>
      </c>
      <c r="G5" s="4"/>
      <c r="H5" s="5"/>
      <c r="I5" s="5"/>
      <c r="J5" s="5" t="str">
        <f t="shared" ref="J5:J35" si="2">IF(C5=0,VLOOKUP(A5,Horaires,2,FALSE)," ")</f>
        <v xml:space="preserve"> </v>
      </c>
      <c r="K5" s="5"/>
      <c r="L5" s="5">
        <f>IF(A5="dimanche","",IF(A5="samedi","",IF(F5&lt;=0,"",(IF(H5="",F5-C5,H5-C5))+(I5+K5+N5))))</f>
        <v>0</v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Mardi</v>
      </c>
      <c r="B6" s="10">
        <f t="shared" si="1"/>
        <v>41913</v>
      </c>
      <c r="C6" s="3">
        <f>IFERROR((VLOOKUP(B6,Fériés:Fériés,2,0)),VLOOKUP(A6,Année!$C$2:$C$8:'Année'!$D$2:$D$8,2,0))</f>
        <v>0.32291666666666669</v>
      </c>
      <c r="D6" s="4"/>
      <c r="E6" s="4"/>
      <c r="F6" s="5">
        <f t="shared" ref="F6:F35" si="4">IF(K6="",C6,0)</f>
        <v>0.32291666666666669</v>
      </c>
      <c r="G6" s="4"/>
      <c r="H6" s="5"/>
      <c r="I6" s="5"/>
      <c r="J6" s="5" t="str">
        <f t="shared" si="2"/>
        <v xml:space="preserve"> </v>
      </c>
      <c r="K6" s="5"/>
      <c r="L6" s="5">
        <f t="shared" ref="L6:L35" si="5">IF(A6="dimanche","",IF(A6="samedi","",IF(F6&lt;=0,"",(IF(H6="",F6-C6,H6-C6))+(I6+K6+N6))))</f>
        <v>0</v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>
      <c r="A7" s="8" t="str">
        <f t="shared" si="0"/>
        <v>Mercredi</v>
      </c>
      <c r="B7" s="10">
        <f t="shared" si="1"/>
        <v>41914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Jeudi</v>
      </c>
      <c r="B8" s="10">
        <f t="shared" si="1"/>
        <v>41915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Vendredi</v>
      </c>
      <c r="B9" s="10">
        <f t="shared" si="1"/>
        <v>41916</v>
      </c>
      <c r="C9" s="3">
        <f>IFERROR((VLOOKUP(B9,Fériés:Fériés,2,0)),VLOOKUP(A9,Année!$C$2:$C$8:'Année'!$D$2:$D$8,2,0))</f>
        <v>0.16666666666666666</v>
      </c>
      <c r="D9" s="4"/>
      <c r="E9" s="4"/>
      <c r="F9" s="5">
        <f t="shared" si="4"/>
        <v>0.16666666666666666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5" si="7">CHOOSE(WEEKDAY(B10),"Dimanche","Lundi","Mardi","Mercredi","Jeudi","Vendredi","Samedi")</f>
        <v>Samedi</v>
      </c>
      <c r="B10" s="10">
        <f t="shared" si="1"/>
        <v>41917</v>
      </c>
      <c r="C10" s="3">
        <f>IFERROR((VLOOKUP(B10,Fériés:Fériés,2,0)),VLOOKUP(A10,Année!$C$2:$C$8:'Année'!$D$2:$D$8,2,0))</f>
        <v>0</v>
      </c>
      <c r="D10" s="4"/>
      <c r="E10" s="4"/>
      <c r="F10" s="5">
        <f t="shared" si="4"/>
        <v>0</v>
      </c>
      <c r="G10" s="4"/>
      <c r="H10" s="5"/>
      <c r="I10" s="5"/>
      <c r="J10" s="5">
        <f t="shared" si="2"/>
        <v>0</v>
      </c>
      <c r="K10" s="5"/>
      <c r="L10" s="5" t="str">
        <f t="shared" si="5"/>
        <v/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Dimanche</v>
      </c>
      <c r="B11" s="10">
        <f t="shared" si="1"/>
        <v>41918</v>
      </c>
      <c r="C11" s="3">
        <f>IFERROR((VLOOKUP(B11,Fériés:Fériés,2,0)),VLOOKUP(A11,Année!$C$2:$C$8:'Année'!$D$2:$D$8,2,0))</f>
        <v>0</v>
      </c>
      <c r="D11" s="4"/>
      <c r="E11" s="4"/>
      <c r="F11" s="5">
        <f t="shared" si="4"/>
        <v>0</v>
      </c>
      <c r="G11" s="4"/>
      <c r="H11" s="5"/>
      <c r="I11" s="5"/>
      <c r="J11" s="5">
        <f t="shared" si="2"/>
        <v>0</v>
      </c>
      <c r="K11" s="5"/>
      <c r="L11" s="5" t="str">
        <f t="shared" si="5"/>
        <v/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Lundi</v>
      </c>
      <c r="B12" s="10">
        <f t="shared" si="1"/>
        <v>41919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4"/>
        <v>0.32291666666666669</v>
      </c>
      <c r="G12" s="4"/>
      <c r="H12" s="5"/>
      <c r="I12" s="5"/>
      <c r="J12" s="5" t="str">
        <f t="shared" si="2"/>
        <v xml:space="preserve"> </v>
      </c>
      <c r="K12" s="5"/>
      <c r="L12" s="5">
        <f t="shared" si="5"/>
        <v>0</v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Mardi</v>
      </c>
      <c r="B13" s="10">
        <f t="shared" si="1"/>
        <v>41920</v>
      </c>
      <c r="C13" s="3">
        <f>IFERROR((VLOOKUP(B13,Fériés:Fériés,2,0)),VLOOKUP(A13,Année!$C$2:$C$8:'Année'!$D$2:$D$8,2,0))</f>
        <v>0.32291666666666669</v>
      </c>
      <c r="D13" s="4"/>
      <c r="E13" s="4"/>
      <c r="F13" s="5">
        <f t="shared" si="4"/>
        <v>0.32291666666666669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Mercredi</v>
      </c>
      <c r="B14" s="10">
        <f t="shared" si="1"/>
        <v>41921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Jeudi</v>
      </c>
      <c r="B15" s="10">
        <f t="shared" si="1"/>
        <v>41922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Vendredi</v>
      </c>
      <c r="B16" s="10">
        <f t="shared" si="1"/>
        <v>41923</v>
      </c>
      <c r="C16" s="3">
        <f>IFERROR((VLOOKUP(B16,Fériés:Fériés,2,0)),VLOOKUP(A16,Année!$C$2:$C$8:'Année'!$D$2:$D$8,2,0))</f>
        <v>0.16666666666666666</v>
      </c>
      <c r="D16" s="4"/>
      <c r="E16" s="4"/>
      <c r="F16" s="5">
        <f t="shared" si="4"/>
        <v>0.16666666666666666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Samedi</v>
      </c>
      <c r="B17" s="10">
        <f t="shared" si="1"/>
        <v>41924</v>
      </c>
      <c r="C17" s="3">
        <f>IFERROR((VLOOKUP(B17,Fériés:Fériés,2,0)),VLOOKUP(A17,Année!$C$2:$C$8:'Année'!$D$2:$D$8,2,0))</f>
        <v>0</v>
      </c>
      <c r="D17" s="4"/>
      <c r="E17" s="4"/>
      <c r="F17" s="5">
        <f t="shared" si="4"/>
        <v>0</v>
      </c>
      <c r="G17" s="4"/>
      <c r="H17" s="5"/>
      <c r="I17" s="5"/>
      <c r="J17" s="5">
        <f t="shared" si="2"/>
        <v>0</v>
      </c>
      <c r="K17" s="5"/>
      <c r="L17" s="5" t="str">
        <f t="shared" si="5"/>
        <v/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Dimanche</v>
      </c>
      <c r="B18" s="10">
        <f t="shared" si="1"/>
        <v>41925</v>
      </c>
      <c r="C18" s="3">
        <f>IFERROR((VLOOKUP(B18,Fériés:Fériés,2,0)),VLOOKUP(A18,Année!$C$2:$C$8:'Année'!$D$2:$D$8,2,0))</f>
        <v>0</v>
      </c>
      <c r="D18" s="4"/>
      <c r="E18" s="4"/>
      <c r="F18" s="5">
        <f t="shared" si="4"/>
        <v>0</v>
      </c>
      <c r="G18" s="4"/>
      <c r="H18" s="5"/>
      <c r="I18" s="5"/>
      <c r="J18" s="5">
        <f t="shared" si="2"/>
        <v>0</v>
      </c>
      <c r="K18" s="5"/>
      <c r="L18" s="5" t="str">
        <f t="shared" si="5"/>
        <v/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Lundi</v>
      </c>
      <c r="B19" s="10">
        <f t="shared" si="1"/>
        <v>41926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4"/>
        <v>0.32291666666666669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Mardi</v>
      </c>
      <c r="B20" s="10">
        <f t="shared" si="1"/>
        <v>41927</v>
      </c>
      <c r="C20" s="3">
        <f>IFERROR((VLOOKUP(B20,Fériés:Fériés,2,0)),VLOOKUP(A20,Année!$C$2:$C$8:'Année'!$D$2:$D$8,2,0))</f>
        <v>0.32291666666666669</v>
      </c>
      <c r="D20" s="4"/>
      <c r="E20" s="4"/>
      <c r="F20" s="5">
        <f t="shared" si="4"/>
        <v>0.32291666666666669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Mercredi</v>
      </c>
      <c r="B21" s="10">
        <f t="shared" si="1"/>
        <v>41928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Jeudi</v>
      </c>
      <c r="B22" s="10">
        <f t="shared" si="1"/>
        <v>41929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Vendredi</v>
      </c>
      <c r="B23" s="10">
        <f t="shared" si="1"/>
        <v>41930</v>
      </c>
      <c r="C23" s="3">
        <f>IFERROR((VLOOKUP(B23,Fériés:Fériés,2,0)),VLOOKUP(A23,Année!$C$2:$C$8:'Année'!$D$2:$D$8,2,0))</f>
        <v>0.16666666666666666</v>
      </c>
      <c r="D23" s="4"/>
      <c r="E23" s="4"/>
      <c r="F23" s="5">
        <f t="shared" si="4"/>
        <v>0.16666666666666666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Samedi</v>
      </c>
      <c r="B24" s="10">
        <f t="shared" si="1"/>
        <v>41931</v>
      </c>
      <c r="C24" s="3">
        <f>IFERROR((VLOOKUP(B24,Fériés:Fériés,2,0)),VLOOKUP(A24,Année!$C$2:$C$8:'Année'!$D$2:$D$8,2,0))</f>
        <v>0</v>
      </c>
      <c r="D24" s="4"/>
      <c r="E24" s="4"/>
      <c r="F24" s="5">
        <f t="shared" si="4"/>
        <v>0</v>
      </c>
      <c r="G24" s="4"/>
      <c r="H24" s="5"/>
      <c r="I24" s="5"/>
      <c r="J24" s="5">
        <f t="shared" si="2"/>
        <v>0</v>
      </c>
      <c r="K24" s="5"/>
      <c r="L24" s="5" t="str">
        <f t="shared" si="5"/>
        <v/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Dimanche</v>
      </c>
      <c r="B25" s="10">
        <f t="shared" si="1"/>
        <v>41932</v>
      </c>
      <c r="C25" s="3">
        <f>IFERROR((VLOOKUP(B25,Fériés:Fériés,2,0)),VLOOKUP(A25,Année!$C$2:$C$8:'Année'!$D$2:$D$8,2,0))</f>
        <v>0</v>
      </c>
      <c r="D25" s="4"/>
      <c r="E25" s="4"/>
      <c r="F25" s="5">
        <f t="shared" si="4"/>
        <v>0</v>
      </c>
      <c r="G25" s="4"/>
      <c r="H25" s="5"/>
      <c r="I25" s="5"/>
      <c r="J25" s="5">
        <f t="shared" si="2"/>
        <v>0</v>
      </c>
      <c r="K25" s="5"/>
      <c r="L25" s="5" t="str">
        <f t="shared" si="5"/>
        <v/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Lundi</v>
      </c>
      <c r="B26" s="10">
        <f t="shared" si="1"/>
        <v>41933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</v>
      </c>
      <c r="G26" s="4"/>
      <c r="H26" s="5"/>
      <c r="I26" s="5"/>
      <c r="J26" s="5" t="str">
        <f t="shared" si="2"/>
        <v xml:space="preserve"> </v>
      </c>
      <c r="K26" s="5">
        <v>0.32291666666666669</v>
      </c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Mardi</v>
      </c>
      <c r="B27" s="10">
        <f t="shared" si="1"/>
        <v>41934</v>
      </c>
      <c r="C27" s="3">
        <f>IFERROR((VLOOKUP(B27,Fériés:Fériés,2,0)),VLOOKUP(A27,Année!$C$2:$C$8:'Année'!$D$2:$D$8,2,0))</f>
        <v>0.32291666666666669</v>
      </c>
      <c r="D27" s="4"/>
      <c r="E27" s="4"/>
      <c r="F27" s="5">
        <f t="shared" si="4"/>
        <v>0</v>
      </c>
      <c r="G27" s="4"/>
      <c r="H27" s="5"/>
      <c r="I27" s="5"/>
      <c r="J27" s="5" t="str">
        <f t="shared" si="2"/>
        <v xml:space="preserve"> </v>
      </c>
      <c r="K27" s="5">
        <v>0.32291666666666669</v>
      </c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Mercredi</v>
      </c>
      <c r="B28" s="10">
        <f t="shared" si="1"/>
        <v>41935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</v>
      </c>
      <c r="G28" s="4"/>
      <c r="H28" s="5"/>
      <c r="I28" s="5"/>
      <c r="J28" s="5" t="str">
        <f t="shared" si="2"/>
        <v xml:space="preserve"> </v>
      </c>
      <c r="K28" s="5">
        <v>0.32291666666666669</v>
      </c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Jeudi</v>
      </c>
      <c r="B29" s="10">
        <f t="shared" si="1"/>
        <v>41936</v>
      </c>
      <c r="C29" s="3">
        <f>IFERROR((VLOOKUP(B29,Fériés:Fériés,2,0)),VLOOKUP(A29,Année!$C$2:$C$8:'Année'!$D$2:$D$8,2,0))</f>
        <v>0.32291666666666669</v>
      </c>
      <c r="D29" s="4"/>
      <c r="E29" s="4"/>
      <c r="F29" s="5">
        <f t="shared" si="4"/>
        <v>0</v>
      </c>
      <c r="G29" s="4"/>
      <c r="H29" s="5"/>
      <c r="I29" s="5"/>
      <c r="J29" s="5" t="str">
        <f t="shared" si="2"/>
        <v xml:space="preserve"> </v>
      </c>
      <c r="K29" s="5">
        <v>0.32291666666666669</v>
      </c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Vendredi</v>
      </c>
      <c r="B30" s="10">
        <f t="shared" si="1"/>
        <v>41937</v>
      </c>
      <c r="C30" s="3">
        <f>IFERROR((VLOOKUP(B30,Fériés:Fériés,2,0)),VLOOKUP(A30,Année!$C$2:$C$8:'Année'!$D$2:$D$8,2,0))</f>
        <v>0.16666666666666666</v>
      </c>
      <c r="D30" s="4"/>
      <c r="E30" s="4"/>
      <c r="F30" s="5">
        <f t="shared" si="4"/>
        <v>0</v>
      </c>
      <c r="G30" s="4"/>
      <c r="H30" s="5"/>
      <c r="I30" s="5"/>
      <c r="J30" s="5" t="str">
        <f t="shared" si="2"/>
        <v xml:space="preserve"> </v>
      </c>
      <c r="K30" s="5">
        <v>0.16666666666666666</v>
      </c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Samedi</v>
      </c>
      <c r="B31" s="10">
        <f t="shared" si="1"/>
        <v>41938</v>
      </c>
      <c r="C31" s="3">
        <f>IFERROR((VLOOKUP(B31,Fériés:Fériés,2,0)),VLOOKUP(A31,Année!$C$2:$C$8:'Année'!$D$2:$D$8,2,0))</f>
        <v>0</v>
      </c>
      <c r="D31" s="4"/>
      <c r="E31" s="4"/>
      <c r="F31" s="5">
        <f t="shared" si="4"/>
        <v>0</v>
      </c>
      <c r="G31" s="4"/>
      <c r="H31" s="5"/>
      <c r="I31" s="5"/>
      <c r="J31" s="5">
        <f t="shared" si="2"/>
        <v>0</v>
      </c>
      <c r="K31" s="5"/>
      <c r="L31" s="5" t="str">
        <f t="shared" si="5"/>
        <v/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Dimanche</v>
      </c>
      <c r="B32" s="10">
        <f t="shared" si="1"/>
        <v>41939</v>
      </c>
      <c r="C32" s="3">
        <f>IFERROR((VLOOKUP(B32,Fériés:Fériés,2,0)),VLOOKUP(A32,Année!$C$2:$C$8:'Année'!$D$2:$D$8,2,0))</f>
        <v>0</v>
      </c>
      <c r="D32" s="4"/>
      <c r="E32" s="4"/>
      <c r="F32" s="5">
        <f t="shared" si="4"/>
        <v>0</v>
      </c>
      <c r="G32" s="4"/>
      <c r="H32" s="5"/>
      <c r="I32" s="5"/>
      <c r="J32" s="5">
        <f t="shared" si="2"/>
        <v>0</v>
      </c>
      <c r="K32" s="5"/>
      <c r="L32" s="5" t="str">
        <f t="shared" si="5"/>
        <v/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Lundi</v>
      </c>
      <c r="B33" s="10">
        <f t="shared" si="1"/>
        <v>41940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Mardi</v>
      </c>
      <c r="B34" s="10">
        <f t="shared" si="1"/>
        <v>41941</v>
      </c>
      <c r="C34" s="3">
        <f>IFERROR((VLOOKUP(B34,Fériés:Fériés,2,0)),VLOOKUP(A34,Année!$C$2:$C$8:'Année'!$D$2:$D$8,2,0))</f>
        <v>0.32291666666666669</v>
      </c>
      <c r="D34" s="4"/>
      <c r="E34" s="4"/>
      <c r="F34" s="5">
        <f t="shared" si="4"/>
        <v>0.32291666666666669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>
      <c r="A35" s="8" t="str">
        <f t="shared" si="7"/>
        <v>Mercredi</v>
      </c>
      <c r="B35" s="10">
        <f t="shared" si="1"/>
        <v>41942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0.32291666666666669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6.8020833333333357</v>
      </c>
      <c r="D38" s="40">
        <f t="shared" ref="D38:N38" si="8">SUM(D5:D37)</f>
        <v>0</v>
      </c>
      <c r="E38" s="40">
        <f t="shared" si="8"/>
        <v>0</v>
      </c>
      <c r="F38" s="40">
        <f t="shared" si="8"/>
        <v>5.3437500000000009</v>
      </c>
      <c r="G38" s="40">
        <f t="shared" si="8"/>
        <v>0</v>
      </c>
      <c r="H38" s="40">
        <f t="shared" si="8"/>
        <v>0</v>
      </c>
      <c r="I38" s="40">
        <f t="shared" si="8"/>
        <v>0</v>
      </c>
      <c r="J38" s="40">
        <f t="shared" si="8"/>
        <v>0</v>
      </c>
      <c r="K38" s="40">
        <f t="shared" si="8"/>
        <v>1.4583333333333335</v>
      </c>
      <c r="L38" s="40">
        <f t="shared" si="8"/>
        <v>0</v>
      </c>
      <c r="M38" s="40">
        <f t="shared" si="8"/>
        <v>0</v>
      </c>
      <c r="N38" s="40">
        <f t="shared" si="8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47" priority="14">
      <formula>$A5="Dimanche"</formula>
    </cfRule>
    <cfRule type="expression" dxfId="46" priority="15">
      <formula>$A5="Samedi"</formula>
    </cfRule>
  </conditionalFormatting>
  <conditionalFormatting sqref="A5:A37">
    <cfRule type="expression" dxfId="45" priority="13">
      <formula>$M5&lt;&gt;""</formula>
    </cfRule>
  </conditionalFormatting>
  <conditionalFormatting sqref="A36:N36 K5:K35 A5:E35 G5:I35">
    <cfRule type="expression" dxfId="44" priority="16">
      <formula>COUNTIF(Jours_fériés,$B5)=1</formula>
    </cfRule>
  </conditionalFormatting>
  <conditionalFormatting sqref="J5:J35">
    <cfRule type="expression" dxfId="43" priority="10">
      <formula>$A5="Dimanche"</formula>
    </cfRule>
    <cfRule type="expression" dxfId="42" priority="11">
      <formula>$A5="Samedi"</formula>
    </cfRule>
  </conditionalFormatting>
  <conditionalFormatting sqref="J5:J35">
    <cfRule type="expression" dxfId="41" priority="12">
      <formula>COUNTIF(Jours_fériés,$B5)=1</formula>
    </cfRule>
  </conditionalFormatting>
  <conditionalFormatting sqref="L5:L35 N5:N35">
    <cfRule type="expression" dxfId="40" priority="7">
      <formula>COUNTIF(Jours_fériés,$B5)=1</formula>
    </cfRule>
    <cfRule type="expression" dxfId="39" priority="9">
      <formula>$A5="Samedi"</formula>
    </cfRule>
  </conditionalFormatting>
  <conditionalFormatting sqref="L5:L35 N5:N35">
    <cfRule type="expression" dxfId="38" priority="8">
      <formula>$A5="Dimanche"</formula>
    </cfRule>
  </conditionalFormatting>
  <conditionalFormatting sqref="F5:F35">
    <cfRule type="expression" dxfId="37" priority="4">
      <formula>$A5="Dimanche"</formula>
    </cfRule>
    <cfRule type="expression" dxfId="36" priority="5">
      <formula>$A5="Samedi"</formula>
    </cfRule>
  </conditionalFormatting>
  <conditionalFormatting sqref="F5:F35">
    <cfRule type="expression" dxfId="35" priority="6">
      <formula>COUNTIF(Jours_fériés,$B5)=1</formula>
    </cfRule>
  </conditionalFormatting>
  <conditionalFormatting sqref="M5:M35">
    <cfRule type="expression" dxfId="34" priority="1">
      <formula>COUNTIF(Jours_fériés,$B5)=1</formula>
    </cfRule>
    <cfRule type="expression" dxfId="33" priority="3">
      <formula>$A5="Samedi"</formula>
    </cfRule>
  </conditionalFormatting>
  <conditionalFormatting sqref="M5:M35">
    <cfRule type="expression" dxfId="32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N39"/>
  <sheetViews>
    <sheetView workbookViewId="0">
      <pane ySplit="4" topLeftCell="A22" activePane="bottomLeft" state="frozen"/>
      <selection activeCell="B36" sqref="B36"/>
      <selection pane="bottomLeft" activeCell="F35" sqref="F35:N3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DATE(Année!B1,11,1)</f>
        <v>41943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Jeudi</v>
      </c>
      <c r="B5" s="10">
        <f t="shared" ref="B5:B34" si="1">DATE(An,11,ROW(1:31))</f>
        <v>41943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4" si="2">IF(C5=0,VLOOKUP(A5,Horaires,2,FALSE)," ")</f>
        <v>0.32291666666666669</v>
      </c>
      <c r="K5" s="5"/>
      <c r="L5" s="5" t="str">
        <f>IF(A5="dimanche","",IF(A5="samedi","",IF(F5&lt;=0,"",(IF(H5="",F5-C5,H5-C5))+(I5+K5+N5))))</f>
        <v/>
      </c>
      <c r="M5" s="4" t="str">
        <f t="shared" ref="M5:M34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Vendredi</v>
      </c>
      <c r="B6" s="10">
        <f t="shared" si="1"/>
        <v>41944</v>
      </c>
      <c r="C6" s="3">
        <f>IFERROR((VLOOKUP(B6,Fériés:Fériés,2,0)),VLOOKUP(A6,Année!$C$2:$C$8:'Année'!$D$2:$D$8,2,0))</f>
        <v>0.16666666666666666</v>
      </c>
      <c r="D6" s="4"/>
      <c r="E6" s="4"/>
      <c r="F6" s="5">
        <f t="shared" ref="F6:F34" si="4">IF(K6="",C6,0)</f>
        <v>0</v>
      </c>
      <c r="G6" s="4"/>
      <c r="H6" s="5"/>
      <c r="I6" s="5"/>
      <c r="J6" s="5" t="str">
        <f t="shared" si="2"/>
        <v xml:space="preserve"> </v>
      </c>
      <c r="K6" s="5">
        <v>0.16666666666666666</v>
      </c>
      <c r="L6" s="5" t="str">
        <f t="shared" ref="L6:L34" si="5">IF(A6="dimanche","",IF(A6="samedi","",IF(F6&lt;=0,"",(IF(H6="",F6-C6,H6-C6))+(I6+K6+N6))))</f>
        <v/>
      </c>
      <c r="M6" s="4" t="str">
        <f t="shared" si="3"/>
        <v/>
      </c>
      <c r="N6" s="4" t="str">
        <f t="shared" ref="N6:N34" si="6">IF(F6="","",IF((F6+I6+K6)&gt;=C6,"0:00",C6-F6))</f>
        <v>0:00</v>
      </c>
    </row>
    <row r="7" spans="1:14">
      <c r="A7" s="8" t="str">
        <f t="shared" si="0"/>
        <v>Samedi</v>
      </c>
      <c r="B7" s="10">
        <f t="shared" si="1"/>
        <v>41945</v>
      </c>
      <c r="C7" s="3">
        <f>IFERROR((VLOOKUP(B7,Fériés:Fériés,2,0)),VLOOKUP(A7,Année!$C$2:$C$8:'Année'!$D$2:$D$8,2,0))</f>
        <v>0</v>
      </c>
      <c r="D7" s="4"/>
      <c r="E7" s="4"/>
      <c r="F7" s="5">
        <f t="shared" si="4"/>
        <v>0</v>
      </c>
      <c r="G7" s="4"/>
      <c r="H7" s="5"/>
      <c r="I7" s="5"/>
      <c r="J7" s="5">
        <f t="shared" si="2"/>
        <v>0</v>
      </c>
      <c r="K7" s="5"/>
      <c r="L7" s="5" t="str">
        <f t="shared" si="5"/>
        <v/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Dimanche</v>
      </c>
      <c r="B8" s="10">
        <f t="shared" si="1"/>
        <v>41946</v>
      </c>
      <c r="C8" s="3">
        <f>IFERROR((VLOOKUP(B8,Fériés:Fériés,2,0)),VLOOKUP(A8,Année!$C$2:$C$8:'Année'!$D$2:$D$8,2,0))</f>
        <v>0</v>
      </c>
      <c r="D8" s="4"/>
      <c r="E8" s="4"/>
      <c r="F8" s="5">
        <f t="shared" si="4"/>
        <v>0</v>
      </c>
      <c r="G8" s="4"/>
      <c r="H8" s="5"/>
      <c r="I8" s="5"/>
      <c r="J8" s="5">
        <f t="shared" si="2"/>
        <v>0</v>
      </c>
      <c r="K8" s="5"/>
      <c r="L8" s="5" t="str">
        <f t="shared" si="5"/>
        <v/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Lundi</v>
      </c>
      <c r="B9" s="10">
        <f t="shared" si="1"/>
        <v>41947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4" si="7">CHOOSE(WEEKDAY(B10),"Dimanche","Lundi","Mardi","Mercredi","Jeudi","Vendredi","Samedi")</f>
        <v>Mardi</v>
      </c>
      <c r="B10" s="10">
        <f t="shared" si="1"/>
        <v>41948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Mercredi</v>
      </c>
      <c r="B11" s="10">
        <f t="shared" si="1"/>
        <v>41949</v>
      </c>
      <c r="C11" s="3">
        <f>IFERROR((VLOOKUP(B11,Fériés:Fériés,2,0)),VLOOKUP(A11,Année!$C$2:$C$8:'Année'!$D$2:$D$8,2,0))</f>
        <v>0.32291666666666669</v>
      </c>
      <c r="D11" s="4"/>
      <c r="E11" s="4"/>
      <c r="F11" s="5">
        <f t="shared" si="4"/>
        <v>0.32291666666666669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Jeudi</v>
      </c>
      <c r="B12" s="10">
        <f t="shared" si="1"/>
        <v>41950</v>
      </c>
      <c r="C12" s="3">
        <f>IFERROR((VLOOKUP(B12,Fériés:Fériés,2,0)),VLOOKUP(A12,Année!$C$2:$C$8:'Année'!$D$2:$D$8,2,0))</f>
        <v>0.32291666666666669</v>
      </c>
      <c r="D12" s="4"/>
      <c r="E12" s="4"/>
      <c r="F12" s="5">
        <f t="shared" si="4"/>
        <v>0.32291666666666669</v>
      </c>
      <c r="G12" s="4"/>
      <c r="H12" s="5"/>
      <c r="I12" s="5"/>
      <c r="J12" s="5" t="str">
        <f t="shared" si="2"/>
        <v xml:space="preserve"> </v>
      </c>
      <c r="K12" s="5"/>
      <c r="L12" s="5">
        <f t="shared" si="5"/>
        <v>0</v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Vendredi</v>
      </c>
      <c r="B13" s="10">
        <f t="shared" si="1"/>
        <v>41951</v>
      </c>
      <c r="C13" s="3">
        <f>IFERROR((VLOOKUP(B13,Fériés:Fériés,2,0)),VLOOKUP(A13,Année!$C$2:$C$8:'Année'!$D$2:$D$8,2,0))</f>
        <v>0.16666666666666666</v>
      </c>
      <c r="D13" s="4"/>
      <c r="E13" s="4"/>
      <c r="F13" s="5">
        <f t="shared" si="4"/>
        <v>0.16666666666666666</v>
      </c>
      <c r="G13" s="4"/>
      <c r="H13" s="5"/>
      <c r="I13" s="5"/>
      <c r="J13" s="5" t="str">
        <f t="shared" si="2"/>
        <v xml:space="preserve"> </v>
      </c>
      <c r="K13" s="5"/>
      <c r="L13" s="5">
        <f t="shared" si="5"/>
        <v>0</v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Samedi</v>
      </c>
      <c r="B14" s="10">
        <f t="shared" si="1"/>
        <v>41952</v>
      </c>
      <c r="C14" s="3">
        <f>IFERROR((VLOOKUP(B14,Fériés:Fériés,2,0)),VLOOKUP(A14,Année!$C$2:$C$8:'Année'!$D$2:$D$8,2,0))</f>
        <v>0</v>
      </c>
      <c r="D14" s="4"/>
      <c r="E14" s="4"/>
      <c r="F14" s="5">
        <f t="shared" si="4"/>
        <v>0</v>
      </c>
      <c r="G14" s="4"/>
      <c r="H14" s="5"/>
      <c r="I14" s="5"/>
      <c r="J14" s="5">
        <f t="shared" si="2"/>
        <v>0</v>
      </c>
      <c r="K14" s="5"/>
      <c r="L14" s="5" t="str">
        <f t="shared" si="5"/>
        <v/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Dimanche</v>
      </c>
      <c r="B15" s="10">
        <f t="shared" si="1"/>
        <v>41953</v>
      </c>
      <c r="C15" s="3">
        <f>IFERROR((VLOOKUP(B15,Fériés:Fériés,2,0)),VLOOKUP(A15,Année!$C$2:$C$8:'Année'!$D$2:$D$8,2,0))</f>
        <v>0</v>
      </c>
      <c r="D15" s="4"/>
      <c r="E15" s="4"/>
      <c r="F15" s="5">
        <f t="shared" si="4"/>
        <v>0</v>
      </c>
      <c r="G15" s="4"/>
      <c r="H15" s="5"/>
      <c r="I15" s="5"/>
      <c r="J15" s="5">
        <f t="shared" si="2"/>
        <v>0</v>
      </c>
      <c r="K15" s="5"/>
      <c r="L15" s="5" t="str">
        <f t="shared" si="5"/>
        <v/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Lundi</v>
      </c>
      <c r="B16" s="10">
        <f t="shared" si="1"/>
        <v>41954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Mardi</v>
      </c>
      <c r="B17" s="10">
        <f t="shared" si="1"/>
        <v>41955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Mercredi</v>
      </c>
      <c r="B18" s="10">
        <f t="shared" si="1"/>
        <v>41956</v>
      </c>
      <c r="C18" s="3">
        <f>IFERROR((VLOOKUP(B18,Fériés:Fériés,2,0)),VLOOKUP(A18,Année!$C$2:$C$8:'Année'!$D$2:$D$8,2,0))</f>
        <v>0.32291666666666669</v>
      </c>
      <c r="D18" s="4"/>
      <c r="E18" s="4"/>
      <c r="F18" s="5">
        <f t="shared" si="4"/>
        <v>0.32291666666666669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Jeudi</v>
      </c>
      <c r="B19" s="10">
        <f t="shared" si="1"/>
        <v>41957</v>
      </c>
      <c r="C19" s="3">
        <f>IFERROR((VLOOKUP(B19,Fériés:Fériés,2,0)),VLOOKUP(A19,Année!$C$2:$C$8:'Année'!$D$2:$D$8,2,0))</f>
        <v>0.32291666666666669</v>
      </c>
      <c r="D19" s="4"/>
      <c r="E19" s="4"/>
      <c r="F19" s="5">
        <f t="shared" si="4"/>
        <v>0.32291666666666669</v>
      </c>
      <c r="G19" s="4"/>
      <c r="H19" s="5"/>
      <c r="I19" s="5"/>
      <c r="J19" s="5" t="str">
        <f t="shared" si="2"/>
        <v xml:space="preserve"> </v>
      </c>
      <c r="K19" s="5"/>
      <c r="L19" s="5">
        <f t="shared" si="5"/>
        <v>0</v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Vendredi</v>
      </c>
      <c r="B20" s="10">
        <f t="shared" si="1"/>
        <v>41958</v>
      </c>
      <c r="C20" s="3">
        <f>IFERROR((VLOOKUP(B20,Fériés:Fériés,2,0)),VLOOKUP(A20,Année!$C$2:$C$8:'Année'!$D$2:$D$8,2,0))</f>
        <v>0.16666666666666666</v>
      </c>
      <c r="D20" s="4"/>
      <c r="E20" s="4"/>
      <c r="F20" s="5">
        <f t="shared" si="4"/>
        <v>0.16666666666666666</v>
      </c>
      <c r="G20" s="4"/>
      <c r="H20" s="5"/>
      <c r="I20" s="5"/>
      <c r="J20" s="5" t="str">
        <f t="shared" si="2"/>
        <v xml:space="preserve"> </v>
      </c>
      <c r="K20" s="5"/>
      <c r="L20" s="5">
        <f t="shared" si="5"/>
        <v>0</v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Samedi</v>
      </c>
      <c r="B21" s="10">
        <f t="shared" si="1"/>
        <v>41959</v>
      </c>
      <c r="C21" s="3">
        <f>IFERROR((VLOOKUP(B21,Fériés:Fériés,2,0)),VLOOKUP(A21,Année!$C$2:$C$8:'Année'!$D$2:$D$8,2,0))</f>
        <v>0</v>
      </c>
      <c r="D21" s="4"/>
      <c r="E21" s="4"/>
      <c r="F21" s="5">
        <f t="shared" si="4"/>
        <v>0</v>
      </c>
      <c r="G21" s="4"/>
      <c r="H21" s="5"/>
      <c r="I21" s="5"/>
      <c r="J21" s="5">
        <f t="shared" si="2"/>
        <v>0</v>
      </c>
      <c r="K21" s="5"/>
      <c r="L21" s="5" t="str">
        <f t="shared" si="5"/>
        <v/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Dimanche</v>
      </c>
      <c r="B22" s="10">
        <f t="shared" si="1"/>
        <v>41960</v>
      </c>
      <c r="C22" s="3">
        <f>IFERROR((VLOOKUP(B22,Fériés:Fériés,2,0)),VLOOKUP(A22,Année!$C$2:$C$8:'Année'!$D$2:$D$8,2,0))</f>
        <v>0</v>
      </c>
      <c r="D22" s="4"/>
      <c r="E22" s="4"/>
      <c r="F22" s="5">
        <f t="shared" si="4"/>
        <v>0</v>
      </c>
      <c r="G22" s="4"/>
      <c r="H22" s="5"/>
      <c r="I22" s="5"/>
      <c r="J22" s="5">
        <f t="shared" si="2"/>
        <v>0</v>
      </c>
      <c r="K22" s="5"/>
      <c r="L22" s="5" t="str">
        <f t="shared" si="5"/>
        <v/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Lundi</v>
      </c>
      <c r="B23" s="10">
        <f t="shared" si="1"/>
        <v>41961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Mardi</v>
      </c>
      <c r="B24" s="10">
        <f t="shared" si="1"/>
        <v>41962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Mercredi</v>
      </c>
      <c r="B25" s="10">
        <f t="shared" si="1"/>
        <v>41963</v>
      </c>
      <c r="C25" s="3">
        <f>IFERROR((VLOOKUP(B25,Fériés:Fériés,2,0)),VLOOKUP(A25,Année!$C$2:$C$8:'Année'!$D$2:$D$8,2,0))</f>
        <v>0.32291666666666669</v>
      </c>
      <c r="D25" s="4"/>
      <c r="E25" s="4"/>
      <c r="F25" s="5">
        <f t="shared" si="4"/>
        <v>0.32291666666666669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Jeudi</v>
      </c>
      <c r="B26" s="10">
        <f t="shared" si="1"/>
        <v>41964</v>
      </c>
      <c r="C26" s="3">
        <f>IFERROR((VLOOKUP(B26,Fériés:Fériés,2,0)),VLOOKUP(A26,Année!$C$2:$C$8:'Année'!$D$2:$D$8,2,0))</f>
        <v>0.32291666666666669</v>
      </c>
      <c r="D26" s="4"/>
      <c r="E26" s="4"/>
      <c r="F26" s="5">
        <f t="shared" si="4"/>
        <v>0.32291666666666669</v>
      </c>
      <c r="G26" s="4"/>
      <c r="H26" s="5"/>
      <c r="I26" s="5"/>
      <c r="J26" s="5" t="str">
        <f t="shared" si="2"/>
        <v xml:space="preserve"> </v>
      </c>
      <c r="K26" s="5"/>
      <c r="L26" s="5">
        <f t="shared" si="5"/>
        <v>0</v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Vendredi</v>
      </c>
      <c r="B27" s="10">
        <f t="shared" si="1"/>
        <v>41965</v>
      </c>
      <c r="C27" s="3">
        <f>IFERROR((VLOOKUP(B27,Fériés:Fériés,2,0)),VLOOKUP(A27,Année!$C$2:$C$8:'Année'!$D$2:$D$8,2,0))</f>
        <v>0.16666666666666666</v>
      </c>
      <c r="D27" s="4"/>
      <c r="E27" s="4"/>
      <c r="F27" s="5">
        <f t="shared" si="4"/>
        <v>0.16666666666666666</v>
      </c>
      <c r="G27" s="4"/>
      <c r="H27" s="5"/>
      <c r="I27" s="5"/>
      <c r="J27" s="5" t="str">
        <f t="shared" si="2"/>
        <v xml:space="preserve"> </v>
      </c>
      <c r="K27" s="5"/>
      <c r="L27" s="5">
        <f t="shared" si="5"/>
        <v>0</v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Samedi</v>
      </c>
      <c r="B28" s="10">
        <f t="shared" si="1"/>
        <v>41966</v>
      </c>
      <c r="C28" s="3">
        <f>IFERROR((VLOOKUP(B28,Fériés:Fériés,2,0)),VLOOKUP(A28,Année!$C$2:$C$8:'Année'!$D$2:$D$8,2,0))</f>
        <v>0</v>
      </c>
      <c r="D28" s="4"/>
      <c r="E28" s="4"/>
      <c r="F28" s="5">
        <f t="shared" si="4"/>
        <v>0</v>
      </c>
      <c r="G28" s="4"/>
      <c r="H28" s="5"/>
      <c r="I28" s="5"/>
      <c r="J28" s="5">
        <f t="shared" si="2"/>
        <v>0</v>
      </c>
      <c r="K28" s="5"/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Dimanche</v>
      </c>
      <c r="B29" s="10">
        <f t="shared" si="1"/>
        <v>41967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4"/>
        <v>0</v>
      </c>
      <c r="G29" s="4"/>
      <c r="H29" s="5"/>
      <c r="I29" s="5"/>
      <c r="J29" s="5">
        <f t="shared" si="2"/>
        <v>0</v>
      </c>
      <c r="K29" s="5"/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Lundi</v>
      </c>
      <c r="B30" s="10">
        <f t="shared" si="1"/>
        <v>41968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0.32291666666666669</v>
      </c>
      <c r="G30" s="4"/>
      <c r="H30" s="5"/>
      <c r="I30" s="5"/>
      <c r="J30" s="5" t="str">
        <f t="shared" si="2"/>
        <v xml:space="preserve"> </v>
      </c>
      <c r="K30" s="5"/>
      <c r="L30" s="5">
        <f t="shared" si="5"/>
        <v>0</v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Mardi</v>
      </c>
      <c r="B31" s="10">
        <f t="shared" si="1"/>
        <v>41969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0.32291666666666669</v>
      </c>
      <c r="G31" s="4"/>
      <c r="H31" s="5"/>
      <c r="I31" s="5"/>
      <c r="J31" s="5" t="str">
        <f t="shared" si="2"/>
        <v xml:space="preserve"> </v>
      </c>
      <c r="K31" s="5"/>
      <c r="L31" s="5">
        <f t="shared" si="5"/>
        <v>0</v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Mercredi</v>
      </c>
      <c r="B32" s="10">
        <f t="shared" si="1"/>
        <v>41970</v>
      </c>
      <c r="C32" s="3">
        <f>IFERROR((VLOOKUP(B32,Fériés:Fériés,2,0)),VLOOKUP(A32,Année!$C$2:$C$8:'Année'!$D$2:$D$8,2,0))</f>
        <v>0.32291666666666669</v>
      </c>
      <c r="D32" s="4"/>
      <c r="E32" s="4"/>
      <c r="F32" s="5">
        <f t="shared" si="4"/>
        <v>0.32291666666666669</v>
      </c>
      <c r="G32" s="4"/>
      <c r="H32" s="5"/>
      <c r="I32" s="5"/>
      <c r="J32" s="5" t="str">
        <f t="shared" si="2"/>
        <v xml:space="preserve"> </v>
      </c>
      <c r="K32" s="5"/>
      <c r="L32" s="5">
        <f t="shared" si="5"/>
        <v>0</v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Jeudi</v>
      </c>
      <c r="B33" s="10">
        <f t="shared" si="1"/>
        <v>41971</v>
      </c>
      <c r="C33" s="3">
        <f>IFERROR((VLOOKUP(B33,Fériés:Fériés,2,0)),VLOOKUP(A33,Année!$C$2:$C$8:'Année'!$D$2:$D$8,2,0))</f>
        <v>0.32291666666666669</v>
      </c>
      <c r="D33" s="4"/>
      <c r="E33" s="4"/>
      <c r="F33" s="5">
        <f t="shared" si="4"/>
        <v>0.32291666666666669</v>
      </c>
      <c r="G33" s="4"/>
      <c r="H33" s="5"/>
      <c r="I33" s="5"/>
      <c r="J33" s="5" t="str">
        <f t="shared" si="2"/>
        <v xml:space="preserve"> </v>
      </c>
      <c r="K33" s="5"/>
      <c r="L33" s="5">
        <f t="shared" si="5"/>
        <v>0</v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Vendredi</v>
      </c>
      <c r="B34" s="10">
        <f t="shared" si="1"/>
        <v>41972</v>
      </c>
      <c r="C34" s="3">
        <f>IFERROR((VLOOKUP(B34,Fériés:Fériés,2,0)),VLOOKUP(A34,Année!$C$2:$C$8:'Année'!$D$2:$D$8,2,0))</f>
        <v>0.16666666666666666</v>
      </c>
      <c r="D34" s="4"/>
      <c r="E34" s="4"/>
      <c r="F34" s="5">
        <f t="shared" si="4"/>
        <v>0.16666666666666666</v>
      </c>
      <c r="G34" s="4"/>
      <c r="H34" s="5"/>
      <c r="I34" s="5"/>
      <c r="J34" s="5" t="str">
        <f t="shared" si="2"/>
        <v xml:space="preserve"> </v>
      </c>
      <c r="K34" s="5"/>
      <c r="L34" s="5">
        <f t="shared" si="5"/>
        <v>0</v>
      </c>
      <c r="M34" s="4" t="str">
        <f t="shared" si="3"/>
        <v/>
      </c>
      <c r="N34" s="4" t="str">
        <f t="shared" si="6"/>
        <v>0:00</v>
      </c>
    </row>
    <row r="35" spans="1:14">
      <c r="A35" s="8"/>
      <c r="B35" s="10"/>
      <c r="C35" s="3"/>
      <c r="D35" s="4"/>
      <c r="E35" s="4"/>
      <c r="F35" s="5"/>
      <c r="G35" s="4"/>
      <c r="H35" s="5"/>
      <c r="I35" s="5"/>
      <c r="J35" s="5"/>
      <c r="K35" s="5"/>
      <c r="L35" s="5"/>
      <c r="M35" s="4"/>
      <c r="N35" s="4"/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6.0000000000000018</v>
      </c>
      <c r="D38" s="40">
        <f t="shared" ref="D38:N38" si="8">SUM(D5:D37)</f>
        <v>0</v>
      </c>
      <c r="E38" s="40">
        <f t="shared" si="8"/>
        <v>0</v>
      </c>
      <c r="F38" s="40">
        <f t="shared" si="8"/>
        <v>5.8333333333333348</v>
      </c>
      <c r="G38" s="40">
        <f t="shared" si="8"/>
        <v>0</v>
      </c>
      <c r="H38" s="40">
        <f t="shared" si="8"/>
        <v>0</v>
      </c>
      <c r="I38" s="40">
        <f t="shared" si="8"/>
        <v>0</v>
      </c>
      <c r="J38" s="40">
        <f t="shared" si="8"/>
        <v>0.32291666666666669</v>
      </c>
      <c r="K38" s="40">
        <f t="shared" si="8"/>
        <v>0.16666666666666666</v>
      </c>
      <c r="L38" s="40">
        <f t="shared" si="8"/>
        <v>0</v>
      </c>
      <c r="M38" s="40">
        <f t="shared" si="8"/>
        <v>0</v>
      </c>
      <c r="N38" s="40">
        <f t="shared" si="8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31" priority="14">
      <formula>$A5="Dimanche"</formula>
    </cfRule>
    <cfRule type="expression" dxfId="30" priority="15">
      <formula>$A5="Samedi"</formula>
    </cfRule>
  </conditionalFormatting>
  <conditionalFormatting sqref="A5:A37">
    <cfRule type="expression" dxfId="29" priority="13">
      <formula>$M5&lt;&gt;""</formula>
    </cfRule>
  </conditionalFormatting>
  <conditionalFormatting sqref="A36:N36 K5:K35 A5:E35 G5:I35">
    <cfRule type="expression" dxfId="28" priority="16">
      <formula>COUNTIF(Jours_fériés,$B5)=1</formula>
    </cfRule>
  </conditionalFormatting>
  <conditionalFormatting sqref="J5:J35">
    <cfRule type="expression" dxfId="27" priority="10">
      <formula>$A5="Dimanche"</formula>
    </cfRule>
    <cfRule type="expression" dxfId="26" priority="11">
      <formula>$A5="Samedi"</formula>
    </cfRule>
  </conditionalFormatting>
  <conditionalFormatting sqref="J5:J35">
    <cfRule type="expression" dxfId="25" priority="12">
      <formula>COUNTIF(Jours_fériés,$B5)=1</formula>
    </cfRule>
  </conditionalFormatting>
  <conditionalFormatting sqref="L5:L35 N5:N35">
    <cfRule type="expression" dxfId="24" priority="7">
      <formula>COUNTIF(Jours_fériés,$B5)=1</formula>
    </cfRule>
    <cfRule type="expression" dxfId="23" priority="9">
      <formula>$A5="Samedi"</formula>
    </cfRule>
  </conditionalFormatting>
  <conditionalFormatting sqref="L5:L35 N5:N35">
    <cfRule type="expression" dxfId="22" priority="8">
      <formula>$A5="Dimanche"</formula>
    </cfRule>
  </conditionalFormatting>
  <conditionalFormatting sqref="F5:F35">
    <cfRule type="expression" dxfId="21" priority="4">
      <formula>$A5="Dimanche"</formula>
    </cfRule>
    <cfRule type="expression" dxfId="20" priority="5">
      <formula>$A5="Samedi"</formula>
    </cfRule>
  </conditionalFormatting>
  <conditionalFormatting sqref="F5:F35">
    <cfRule type="expression" dxfId="19" priority="6">
      <formula>COUNTIF(Jours_fériés,$B5)=1</formula>
    </cfRule>
  </conditionalFormatting>
  <conditionalFormatting sqref="M5:M35">
    <cfRule type="expression" dxfId="18" priority="1">
      <formula>COUNTIF(Jours_fériés,$B5)=1</formula>
    </cfRule>
    <cfRule type="expression" dxfId="17" priority="3">
      <formula>$A5="Samedi"</formula>
    </cfRule>
  </conditionalFormatting>
  <conditionalFormatting sqref="M5:M35">
    <cfRule type="expression" dxfId="16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</sheetPr>
  <dimension ref="A1:N39"/>
  <sheetViews>
    <sheetView workbookViewId="0">
      <pane ySplit="4" topLeftCell="A21" activePane="bottomLeft" state="frozen"/>
      <selection activeCell="B36" sqref="B36"/>
      <selection pane="bottomLeft" activeCell="M5" sqref="M5:M35"/>
    </sheetView>
  </sheetViews>
  <sheetFormatPr baseColWidth="10" defaultColWidth="9.109375" defaultRowHeight="14.4"/>
  <cols>
    <col min="1" max="1" width="10.44140625" bestFit="1" customWidth="1"/>
    <col min="2" max="2" width="21.6640625" bestFit="1" customWidth="1"/>
    <col min="3" max="8" width="14.5546875" customWidth="1"/>
    <col min="9" max="11" width="10.88671875" customWidth="1"/>
    <col min="12" max="12" width="14.33203125" customWidth="1"/>
    <col min="13" max="14" width="10.88671875" customWidth="1"/>
  </cols>
  <sheetData>
    <row r="1" spans="1:14" ht="15" customHeight="1">
      <c r="A1" s="58">
        <f>DATE(Année!B1,12,1)</f>
        <v>41973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15.75" customHeight="1" thickBo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/>
    </row>
    <row r="3" spans="1:14" ht="30" customHeight="1">
      <c r="A3" s="73" t="s">
        <v>29</v>
      </c>
      <c r="B3" s="74"/>
      <c r="C3" s="69" t="s">
        <v>0</v>
      </c>
      <c r="D3" s="60" t="s">
        <v>7</v>
      </c>
      <c r="E3" s="61"/>
      <c r="F3" s="61"/>
      <c r="G3" s="61"/>
      <c r="H3" s="62"/>
      <c r="I3" s="50" t="s">
        <v>1</v>
      </c>
      <c r="J3" s="48" t="s">
        <v>17</v>
      </c>
      <c r="K3" s="50" t="s">
        <v>5</v>
      </c>
      <c r="L3" s="48" t="s">
        <v>18</v>
      </c>
      <c r="M3" s="52" t="s">
        <v>6</v>
      </c>
      <c r="N3" s="46" t="s">
        <v>14</v>
      </c>
    </row>
    <row r="4" spans="1:14" ht="30.75" customHeight="1" thickBot="1">
      <c r="A4" s="73"/>
      <c r="B4" s="74"/>
      <c r="C4" s="70"/>
      <c r="D4" s="6" t="s">
        <v>2</v>
      </c>
      <c r="E4" s="6" t="s">
        <v>20</v>
      </c>
      <c r="F4" s="7" t="s">
        <v>19</v>
      </c>
      <c r="G4" s="6" t="s">
        <v>3</v>
      </c>
      <c r="H4" s="7" t="s">
        <v>4</v>
      </c>
      <c r="I4" s="51"/>
      <c r="J4" s="49"/>
      <c r="K4" s="51"/>
      <c r="L4" s="49"/>
      <c r="M4" s="53"/>
      <c r="N4" s="47"/>
    </row>
    <row r="5" spans="1:14">
      <c r="A5" s="8" t="str">
        <f t="shared" ref="A5:A8" si="0">CHOOSE(WEEKDAY(B5),"Dimanche","Lundi","Mardi","Mercredi","Jeudi","Vendredi","Samedi")</f>
        <v>Samedi</v>
      </c>
      <c r="B5" s="10">
        <f t="shared" ref="B5:B35" si="1">DATE(An,12,ROW(1:31))</f>
        <v>41973</v>
      </c>
      <c r="C5" s="3">
        <f>IFERROR((VLOOKUP(B5,Fériés:Fériés,2,0)),VLOOKUP(A5,Année!$C$2:$C$8:'Année'!$D$2:$D$8,2,0))</f>
        <v>0</v>
      </c>
      <c r="D5" s="4"/>
      <c r="E5" s="4"/>
      <c r="F5" s="5">
        <f>IF(K5="",C5,0)</f>
        <v>0</v>
      </c>
      <c r="G5" s="4"/>
      <c r="H5" s="5"/>
      <c r="I5" s="5"/>
      <c r="J5" s="5">
        <f t="shared" ref="J5:J35" si="2">IF(C5=0,VLOOKUP(A5,Horaires,2,FALSE)," ")</f>
        <v>0</v>
      </c>
      <c r="K5" s="5"/>
      <c r="L5" s="5" t="str">
        <f>IF(A5="dimanche","",IF(A5="samedi","",IF(F5&lt;=0,"",(IF(H5="",F5-C5,H5-C5))+(I5+K5+N5))))</f>
        <v/>
      </c>
      <c r="M5" s="4" t="str">
        <f t="shared" ref="M5:M35" si="3">IF(D5="","",IF(AND(A5="Dimanche",D5&gt;0),SUM(D5*2.5+(E5+F5+G5)*2),IF(A5="samedi",SUM(D5*2.5,E5*1.25,G5*1.25,F5*1.25),SUM(D5*2.5,E5*1.25,G5*1.25,))))</f>
        <v/>
      </c>
      <c r="N5" s="4" t="str">
        <f>IF(F5="","",IF((F5+I5+K5)&gt;=C5,"0:00",C5-F5))</f>
        <v>0:00</v>
      </c>
    </row>
    <row r="6" spans="1:14">
      <c r="A6" s="8" t="str">
        <f t="shared" si="0"/>
        <v>Dimanche</v>
      </c>
      <c r="B6" s="10">
        <f t="shared" si="1"/>
        <v>41974</v>
      </c>
      <c r="C6" s="3">
        <f>IFERROR((VLOOKUP(B6,Fériés:Fériés,2,0)),VLOOKUP(A6,Année!$C$2:$C$8:'Année'!$D$2:$D$8,2,0))</f>
        <v>0</v>
      </c>
      <c r="D6" s="4"/>
      <c r="E6" s="4"/>
      <c r="F6" s="5">
        <f t="shared" ref="F6:F35" si="4">IF(K6="",C6,0)</f>
        <v>0</v>
      </c>
      <c r="G6" s="4"/>
      <c r="H6" s="5"/>
      <c r="I6" s="5"/>
      <c r="J6" s="5">
        <f t="shared" si="2"/>
        <v>0</v>
      </c>
      <c r="K6" s="5"/>
      <c r="L6" s="5" t="str">
        <f t="shared" ref="L6:L35" si="5">IF(A6="dimanche","",IF(A6="samedi","",IF(F6&lt;=0,"",(IF(H6="",F6-C6,H6-C6))+(I6+K6+N6))))</f>
        <v/>
      </c>
      <c r="M6" s="4" t="str">
        <f t="shared" si="3"/>
        <v/>
      </c>
      <c r="N6" s="4" t="str">
        <f t="shared" ref="N6:N35" si="6">IF(F6="","",IF((F6+I6+K6)&gt;=C6,"0:00",C6-F6))</f>
        <v>0:00</v>
      </c>
    </row>
    <row r="7" spans="1:14">
      <c r="A7" s="8" t="str">
        <f t="shared" si="0"/>
        <v>Lundi</v>
      </c>
      <c r="B7" s="10">
        <f t="shared" si="1"/>
        <v>41975</v>
      </c>
      <c r="C7" s="3">
        <f>IFERROR((VLOOKUP(B7,Fériés:Fériés,2,0)),VLOOKUP(A7,Année!$C$2:$C$8:'Année'!$D$2:$D$8,2,0))</f>
        <v>0.32291666666666669</v>
      </c>
      <c r="D7" s="4"/>
      <c r="E7" s="4"/>
      <c r="F7" s="5">
        <f t="shared" si="4"/>
        <v>0.32291666666666669</v>
      </c>
      <c r="G7" s="4"/>
      <c r="H7" s="5"/>
      <c r="I7" s="5"/>
      <c r="J7" s="5" t="str">
        <f t="shared" si="2"/>
        <v xml:space="preserve"> </v>
      </c>
      <c r="K7" s="5"/>
      <c r="L7" s="5">
        <f t="shared" si="5"/>
        <v>0</v>
      </c>
      <c r="M7" s="4" t="str">
        <f t="shared" si="3"/>
        <v/>
      </c>
      <c r="N7" s="4" t="str">
        <f t="shared" si="6"/>
        <v>0:00</v>
      </c>
    </row>
    <row r="8" spans="1:14">
      <c r="A8" s="8" t="str">
        <f t="shared" si="0"/>
        <v>Mardi</v>
      </c>
      <c r="B8" s="10">
        <f t="shared" si="1"/>
        <v>41976</v>
      </c>
      <c r="C8" s="3">
        <f>IFERROR((VLOOKUP(B8,Fériés:Fériés,2,0)),VLOOKUP(A8,Année!$C$2:$C$8:'Année'!$D$2:$D$8,2,0))</f>
        <v>0.32291666666666669</v>
      </c>
      <c r="D8" s="4"/>
      <c r="E8" s="4"/>
      <c r="F8" s="5">
        <f t="shared" si="4"/>
        <v>0.32291666666666669</v>
      </c>
      <c r="G8" s="4"/>
      <c r="H8" s="5"/>
      <c r="I8" s="5"/>
      <c r="J8" s="5" t="str">
        <f t="shared" si="2"/>
        <v xml:space="preserve"> </v>
      </c>
      <c r="K8" s="5"/>
      <c r="L8" s="5">
        <f t="shared" si="5"/>
        <v>0</v>
      </c>
      <c r="M8" s="4" t="str">
        <f t="shared" si="3"/>
        <v/>
      </c>
      <c r="N8" s="4" t="str">
        <f t="shared" si="6"/>
        <v>0:00</v>
      </c>
    </row>
    <row r="9" spans="1:14">
      <c r="A9" s="8" t="str">
        <f>CHOOSE(WEEKDAY(B9),"Dimanche","Lundi","Mardi","Mercredi","Jeudi","Vendredi","Samedi")</f>
        <v>Mercredi</v>
      </c>
      <c r="B9" s="10">
        <f t="shared" si="1"/>
        <v>41977</v>
      </c>
      <c r="C9" s="3">
        <f>IFERROR((VLOOKUP(B9,Fériés:Fériés,2,0)),VLOOKUP(A9,Année!$C$2:$C$8:'Année'!$D$2:$D$8,2,0))</f>
        <v>0.32291666666666669</v>
      </c>
      <c r="D9" s="4"/>
      <c r="E9" s="4"/>
      <c r="F9" s="5">
        <f t="shared" si="4"/>
        <v>0.32291666666666669</v>
      </c>
      <c r="G9" s="4"/>
      <c r="H9" s="5"/>
      <c r="I9" s="5"/>
      <c r="J9" s="5" t="str">
        <f t="shared" si="2"/>
        <v xml:space="preserve"> </v>
      </c>
      <c r="K9" s="5"/>
      <c r="L9" s="5">
        <f t="shared" si="5"/>
        <v>0</v>
      </c>
      <c r="M9" s="4" t="str">
        <f t="shared" si="3"/>
        <v/>
      </c>
      <c r="N9" s="4" t="str">
        <f t="shared" si="6"/>
        <v>0:00</v>
      </c>
    </row>
    <row r="10" spans="1:14">
      <c r="A10" s="8" t="str">
        <f t="shared" ref="A10:A35" si="7">CHOOSE(WEEKDAY(B10),"Dimanche","Lundi","Mardi","Mercredi","Jeudi","Vendredi","Samedi")</f>
        <v>Jeudi</v>
      </c>
      <c r="B10" s="10">
        <f t="shared" si="1"/>
        <v>41978</v>
      </c>
      <c r="C10" s="3">
        <f>IFERROR((VLOOKUP(B10,Fériés:Fériés,2,0)),VLOOKUP(A10,Année!$C$2:$C$8:'Année'!$D$2:$D$8,2,0))</f>
        <v>0.32291666666666669</v>
      </c>
      <c r="D10" s="4"/>
      <c r="E10" s="4"/>
      <c r="F10" s="5">
        <f t="shared" si="4"/>
        <v>0.32291666666666669</v>
      </c>
      <c r="G10" s="4"/>
      <c r="H10" s="5"/>
      <c r="I10" s="5"/>
      <c r="J10" s="5" t="str">
        <f t="shared" si="2"/>
        <v xml:space="preserve"> </v>
      </c>
      <c r="K10" s="5"/>
      <c r="L10" s="5">
        <f t="shared" si="5"/>
        <v>0</v>
      </c>
      <c r="M10" s="4" t="str">
        <f t="shared" si="3"/>
        <v/>
      </c>
      <c r="N10" s="4" t="str">
        <f t="shared" si="6"/>
        <v>0:00</v>
      </c>
    </row>
    <row r="11" spans="1:14">
      <c r="A11" s="8" t="str">
        <f t="shared" si="7"/>
        <v>Vendredi</v>
      </c>
      <c r="B11" s="10">
        <f t="shared" si="1"/>
        <v>41979</v>
      </c>
      <c r="C11" s="3">
        <f>IFERROR((VLOOKUP(B11,Fériés:Fériés,2,0)),VLOOKUP(A11,Année!$C$2:$C$8:'Année'!$D$2:$D$8,2,0))</f>
        <v>0.16666666666666666</v>
      </c>
      <c r="D11" s="4"/>
      <c r="E11" s="4"/>
      <c r="F11" s="5">
        <f t="shared" si="4"/>
        <v>0.16666666666666666</v>
      </c>
      <c r="G11" s="4"/>
      <c r="H11" s="5"/>
      <c r="I11" s="5"/>
      <c r="J11" s="5" t="str">
        <f t="shared" si="2"/>
        <v xml:space="preserve"> </v>
      </c>
      <c r="K11" s="5"/>
      <c r="L11" s="5">
        <f t="shared" si="5"/>
        <v>0</v>
      </c>
      <c r="M11" s="4" t="str">
        <f t="shared" si="3"/>
        <v/>
      </c>
      <c r="N11" s="4" t="str">
        <f t="shared" si="6"/>
        <v>0:00</v>
      </c>
    </row>
    <row r="12" spans="1:14">
      <c r="A12" s="8" t="str">
        <f t="shared" si="7"/>
        <v>Samedi</v>
      </c>
      <c r="B12" s="10">
        <f t="shared" si="1"/>
        <v>41980</v>
      </c>
      <c r="C12" s="3">
        <f>IFERROR((VLOOKUP(B12,Fériés:Fériés,2,0)),VLOOKUP(A12,Année!$C$2:$C$8:'Année'!$D$2:$D$8,2,0))</f>
        <v>0</v>
      </c>
      <c r="D12" s="4"/>
      <c r="E12" s="4"/>
      <c r="F12" s="5">
        <f t="shared" si="4"/>
        <v>0</v>
      </c>
      <c r="G12" s="4"/>
      <c r="H12" s="5"/>
      <c r="I12" s="5"/>
      <c r="J12" s="5">
        <f t="shared" si="2"/>
        <v>0</v>
      </c>
      <c r="K12" s="5"/>
      <c r="L12" s="5" t="str">
        <f t="shared" si="5"/>
        <v/>
      </c>
      <c r="M12" s="4" t="str">
        <f t="shared" si="3"/>
        <v/>
      </c>
      <c r="N12" s="4" t="str">
        <f t="shared" si="6"/>
        <v>0:00</v>
      </c>
    </row>
    <row r="13" spans="1:14">
      <c r="A13" s="8" t="str">
        <f t="shared" si="7"/>
        <v>Dimanche</v>
      </c>
      <c r="B13" s="10">
        <f t="shared" si="1"/>
        <v>41981</v>
      </c>
      <c r="C13" s="3">
        <f>IFERROR((VLOOKUP(B13,Fériés:Fériés,2,0)),VLOOKUP(A13,Année!$C$2:$C$8:'Année'!$D$2:$D$8,2,0))</f>
        <v>0</v>
      </c>
      <c r="D13" s="4"/>
      <c r="E13" s="4"/>
      <c r="F13" s="5">
        <f t="shared" si="4"/>
        <v>0</v>
      </c>
      <c r="G13" s="4"/>
      <c r="H13" s="5"/>
      <c r="I13" s="5"/>
      <c r="J13" s="5">
        <f t="shared" si="2"/>
        <v>0</v>
      </c>
      <c r="K13" s="5"/>
      <c r="L13" s="5" t="str">
        <f t="shared" si="5"/>
        <v/>
      </c>
      <c r="M13" s="4" t="str">
        <f t="shared" si="3"/>
        <v/>
      </c>
      <c r="N13" s="4" t="str">
        <f t="shared" si="6"/>
        <v>0:00</v>
      </c>
    </row>
    <row r="14" spans="1:14">
      <c r="A14" s="8" t="str">
        <f t="shared" si="7"/>
        <v>Lundi</v>
      </c>
      <c r="B14" s="10">
        <f t="shared" si="1"/>
        <v>41982</v>
      </c>
      <c r="C14" s="3">
        <f>IFERROR((VLOOKUP(B14,Fériés:Fériés,2,0)),VLOOKUP(A14,Année!$C$2:$C$8:'Année'!$D$2:$D$8,2,0))</f>
        <v>0.32291666666666669</v>
      </c>
      <c r="D14" s="4"/>
      <c r="E14" s="4"/>
      <c r="F14" s="5">
        <f t="shared" si="4"/>
        <v>0.32291666666666669</v>
      </c>
      <c r="G14" s="4"/>
      <c r="H14" s="5"/>
      <c r="I14" s="5"/>
      <c r="J14" s="5" t="str">
        <f t="shared" si="2"/>
        <v xml:space="preserve"> </v>
      </c>
      <c r="K14" s="5"/>
      <c r="L14" s="5">
        <f t="shared" si="5"/>
        <v>0</v>
      </c>
      <c r="M14" s="4" t="str">
        <f t="shared" si="3"/>
        <v/>
      </c>
      <c r="N14" s="4" t="str">
        <f t="shared" si="6"/>
        <v>0:00</v>
      </c>
    </row>
    <row r="15" spans="1:14">
      <c r="A15" s="8" t="str">
        <f t="shared" si="7"/>
        <v>Mardi</v>
      </c>
      <c r="B15" s="10">
        <f t="shared" si="1"/>
        <v>41983</v>
      </c>
      <c r="C15" s="3">
        <f>IFERROR((VLOOKUP(B15,Fériés:Fériés,2,0)),VLOOKUP(A15,Année!$C$2:$C$8:'Année'!$D$2:$D$8,2,0))</f>
        <v>0.32291666666666669</v>
      </c>
      <c r="D15" s="4"/>
      <c r="E15" s="4"/>
      <c r="F15" s="5">
        <f t="shared" si="4"/>
        <v>0.32291666666666669</v>
      </c>
      <c r="G15" s="4"/>
      <c r="H15" s="5"/>
      <c r="I15" s="5"/>
      <c r="J15" s="5" t="str">
        <f t="shared" si="2"/>
        <v xml:space="preserve"> </v>
      </c>
      <c r="K15" s="5"/>
      <c r="L15" s="5">
        <f t="shared" si="5"/>
        <v>0</v>
      </c>
      <c r="M15" s="4" t="str">
        <f t="shared" si="3"/>
        <v/>
      </c>
      <c r="N15" s="4" t="str">
        <f t="shared" si="6"/>
        <v>0:00</v>
      </c>
    </row>
    <row r="16" spans="1:14">
      <c r="A16" s="8" t="str">
        <f t="shared" si="7"/>
        <v>Mercredi</v>
      </c>
      <c r="B16" s="10">
        <f t="shared" si="1"/>
        <v>41984</v>
      </c>
      <c r="C16" s="3">
        <f>IFERROR((VLOOKUP(B16,Fériés:Fériés,2,0)),VLOOKUP(A16,Année!$C$2:$C$8:'Année'!$D$2:$D$8,2,0))</f>
        <v>0.32291666666666669</v>
      </c>
      <c r="D16" s="4"/>
      <c r="E16" s="4"/>
      <c r="F16" s="5">
        <f t="shared" si="4"/>
        <v>0.32291666666666669</v>
      </c>
      <c r="G16" s="4"/>
      <c r="H16" s="5"/>
      <c r="I16" s="5"/>
      <c r="J16" s="5" t="str">
        <f t="shared" si="2"/>
        <v xml:space="preserve"> </v>
      </c>
      <c r="K16" s="5"/>
      <c r="L16" s="5">
        <f t="shared" si="5"/>
        <v>0</v>
      </c>
      <c r="M16" s="4" t="str">
        <f t="shared" si="3"/>
        <v/>
      </c>
      <c r="N16" s="4" t="str">
        <f t="shared" si="6"/>
        <v>0:00</v>
      </c>
    </row>
    <row r="17" spans="1:14">
      <c r="A17" s="8" t="str">
        <f t="shared" si="7"/>
        <v>Jeudi</v>
      </c>
      <c r="B17" s="10">
        <f t="shared" si="1"/>
        <v>41985</v>
      </c>
      <c r="C17" s="3">
        <f>IFERROR((VLOOKUP(B17,Fériés:Fériés,2,0)),VLOOKUP(A17,Année!$C$2:$C$8:'Année'!$D$2:$D$8,2,0))</f>
        <v>0.32291666666666669</v>
      </c>
      <c r="D17" s="4"/>
      <c r="E17" s="4"/>
      <c r="F17" s="5">
        <f t="shared" si="4"/>
        <v>0.32291666666666669</v>
      </c>
      <c r="G17" s="4"/>
      <c r="H17" s="5"/>
      <c r="I17" s="5"/>
      <c r="J17" s="5" t="str">
        <f t="shared" si="2"/>
        <v xml:space="preserve"> </v>
      </c>
      <c r="K17" s="5"/>
      <c r="L17" s="5">
        <f t="shared" si="5"/>
        <v>0</v>
      </c>
      <c r="M17" s="4" t="str">
        <f t="shared" si="3"/>
        <v/>
      </c>
      <c r="N17" s="4" t="str">
        <f t="shared" si="6"/>
        <v>0:00</v>
      </c>
    </row>
    <row r="18" spans="1:14">
      <c r="A18" s="8" t="str">
        <f t="shared" si="7"/>
        <v>Vendredi</v>
      </c>
      <c r="B18" s="10">
        <f t="shared" si="1"/>
        <v>41986</v>
      </c>
      <c r="C18" s="3">
        <f>IFERROR((VLOOKUP(B18,Fériés:Fériés,2,0)),VLOOKUP(A18,Année!$C$2:$C$8:'Année'!$D$2:$D$8,2,0))</f>
        <v>0.16666666666666666</v>
      </c>
      <c r="D18" s="4"/>
      <c r="E18" s="4"/>
      <c r="F18" s="5">
        <f t="shared" si="4"/>
        <v>0.16666666666666666</v>
      </c>
      <c r="G18" s="4"/>
      <c r="H18" s="5"/>
      <c r="I18" s="5"/>
      <c r="J18" s="5" t="str">
        <f t="shared" si="2"/>
        <v xml:space="preserve"> </v>
      </c>
      <c r="K18" s="5"/>
      <c r="L18" s="5">
        <f t="shared" si="5"/>
        <v>0</v>
      </c>
      <c r="M18" s="4" t="str">
        <f t="shared" si="3"/>
        <v/>
      </c>
      <c r="N18" s="4" t="str">
        <f t="shared" si="6"/>
        <v>0:00</v>
      </c>
    </row>
    <row r="19" spans="1:14">
      <c r="A19" s="8" t="str">
        <f t="shared" si="7"/>
        <v>Samedi</v>
      </c>
      <c r="B19" s="10">
        <f t="shared" si="1"/>
        <v>41987</v>
      </c>
      <c r="C19" s="3">
        <f>IFERROR((VLOOKUP(B19,Fériés:Fériés,2,0)),VLOOKUP(A19,Année!$C$2:$C$8:'Année'!$D$2:$D$8,2,0))</f>
        <v>0</v>
      </c>
      <c r="D19" s="4"/>
      <c r="E19" s="4"/>
      <c r="F19" s="5">
        <f t="shared" si="4"/>
        <v>0</v>
      </c>
      <c r="G19" s="4"/>
      <c r="H19" s="5"/>
      <c r="I19" s="5"/>
      <c r="J19" s="5">
        <f t="shared" si="2"/>
        <v>0</v>
      </c>
      <c r="K19" s="5"/>
      <c r="L19" s="5" t="str">
        <f t="shared" si="5"/>
        <v/>
      </c>
      <c r="M19" s="4" t="str">
        <f t="shared" si="3"/>
        <v/>
      </c>
      <c r="N19" s="4" t="str">
        <f t="shared" si="6"/>
        <v>0:00</v>
      </c>
    </row>
    <row r="20" spans="1:14">
      <c r="A20" s="8" t="str">
        <f t="shared" si="7"/>
        <v>Dimanche</v>
      </c>
      <c r="B20" s="10">
        <f t="shared" si="1"/>
        <v>41988</v>
      </c>
      <c r="C20" s="3">
        <f>IFERROR((VLOOKUP(B20,Fériés:Fériés,2,0)),VLOOKUP(A20,Année!$C$2:$C$8:'Année'!$D$2:$D$8,2,0))</f>
        <v>0</v>
      </c>
      <c r="D20" s="4"/>
      <c r="E20" s="4"/>
      <c r="F20" s="5">
        <f t="shared" si="4"/>
        <v>0</v>
      </c>
      <c r="G20" s="4"/>
      <c r="H20" s="5"/>
      <c r="I20" s="5"/>
      <c r="J20" s="5">
        <f t="shared" si="2"/>
        <v>0</v>
      </c>
      <c r="K20" s="5"/>
      <c r="L20" s="5" t="str">
        <f t="shared" si="5"/>
        <v/>
      </c>
      <c r="M20" s="4" t="str">
        <f t="shared" si="3"/>
        <v/>
      </c>
      <c r="N20" s="4" t="str">
        <f t="shared" si="6"/>
        <v>0:00</v>
      </c>
    </row>
    <row r="21" spans="1:14">
      <c r="A21" s="8" t="str">
        <f t="shared" si="7"/>
        <v>Lundi</v>
      </c>
      <c r="B21" s="10">
        <f t="shared" si="1"/>
        <v>41989</v>
      </c>
      <c r="C21" s="3">
        <f>IFERROR((VLOOKUP(B21,Fériés:Fériés,2,0)),VLOOKUP(A21,Année!$C$2:$C$8:'Année'!$D$2:$D$8,2,0))</f>
        <v>0.32291666666666669</v>
      </c>
      <c r="D21" s="4"/>
      <c r="E21" s="4"/>
      <c r="F21" s="5">
        <f t="shared" si="4"/>
        <v>0.32291666666666669</v>
      </c>
      <c r="G21" s="4"/>
      <c r="H21" s="5"/>
      <c r="I21" s="5"/>
      <c r="J21" s="5" t="str">
        <f t="shared" si="2"/>
        <v xml:space="preserve"> </v>
      </c>
      <c r="K21" s="5"/>
      <c r="L21" s="5">
        <f t="shared" si="5"/>
        <v>0</v>
      </c>
      <c r="M21" s="4" t="str">
        <f t="shared" si="3"/>
        <v/>
      </c>
      <c r="N21" s="4" t="str">
        <f t="shared" si="6"/>
        <v>0:00</v>
      </c>
    </row>
    <row r="22" spans="1:14">
      <c r="A22" s="8" t="str">
        <f t="shared" si="7"/>
        <v>Mardi</v>
      </c>
      <c r="B22" s="10">
        <f t="shared" si="1"/>
        <v>41990</v>
      </c>
      <c r="C22" s="3">
        <f>IFERROR((VLOOKUP(B22,Fériés:Fériés,2,0)),VLOOKUP(A22,Année!$C$2:$C$8:'Année'!$D$2:$D$8,2,0))</f>
        <v>0.32291666666666669</v>
      </c>
      <c r="D22" s="4"/>
      <c r="E22" s="4"/>
      <c r="F22" s="5">
        <f t="shared" si="4"/>
        <v>0.32291666666666669</v>
      </c>
      <c r="G22" s="4"/>
      <c r="H22" s="5"/>
      <c r="I22" s="5"/>
      <c r="J22" s="5" t="str">
        <f t="shared" si="2"/>
        <v xml:space="preserve"> </v>
      </c>
      <c r="K22" s="5"/>
      <c r="L22" s="5">
        <f t="shared" si="5"/>
        <v>0</v>
      </c>
      <c r="M22" s="4" t="str">
        <f t="shared" si="3"/>
        <v/>
      </c>
      <c r="N22" s="4" t="str">
        <f t="shared" si="6"/>
        <v>0:00</v>
      </c>
    </row>
    <row r="23" spans="1:14">
      <c r="A23" s="8" t="str">
        <f t="shared" si="7"/>
        <v>Mercredi</v>
      </c>
      <c r="B23" s="10">
        <f t="shared" si="1"/>
        <v>41991</v>
      </c>
      <c r="C23" s="3">
        <f>IFERROR((VLOOKUP(B23,Fériés:Fériés,2,0)),VLOOKUP(A23,Année!$C$2:$C$8:'Année'!$D$2:$D$8,2,0))</f>
        <v>0.32291666666666669</v>
      </c>
      <c r="D23" s="4"/>
      <c r="E23" s="4"/>
      <c r="F23" s="5">
        <f t="shared" si="4"/>
        <v>0.32291666666666669</v>
      </c>
      <c r="G23" s="4"/>
      <c r="H23" s="5"/>
      <c r="I23" s="5"/>
      <c r="J23" s="5" t="str">
        <f t="shared" si="2"/>
        <v xml:space="preserve"> </v>
      </c>
      <c r="K23" s="5"/>
      <c r="L23" s="5">
        <f t="shared" si="5"/>
        <v>0</v>
      </c>
      <c r="M23" s="4" t="str">
        <f t="shared" si="3"/>
        <v/>
      </c>
      <c r="N23" s="4" t="str">
        <f t="shared" si="6"/>
        <v>0:00</v>
      </c>
    </row>
    <row r="24" spans="1:14">
      <c r="A24" s="8" t="str">
        <f t="shared" si="7"/>
        <v>Jeudi</v>
      </c>
      <c r="B24" s="10">
        <f t="shared" si="1"/>
        <v>41992</v>
      </c>
      <c r="C24" s="3">
        <f>IFERROR((VLOOKUP(B24,Fériés:Fériés,2,0)),VLOOKUP(A24,Année!$C$2:$C$8:'Année'!$D$2:$D$8,2,0))</f>
        <v>0.32291666666666669</v>
      </c>
      <c r="D24" s="4"/>
      <c r="E24" s="4"/>
      <c r="F24" s="5">
        <f t="shared" si="4"/>
        <v>0.32291666666666669</v>
      </c>
      <c r="G24" s="4"/>
      <c r="H24" s="5"/>
      <c r="I24" s="5"/>
      <c r="J24" s="5" t="str">
        <f t="shared" si="2"/>
        <v xml:space="preserve"> </v>
      </c>
      <c r="K24" s="5"/>
      <c r="L24" s="5">
        <f t="shared" si="5"/>
        <v>0</v>
      </c>
      <c r="M24" s="4" t="str">
        <f t="shared" si="3"/>
        <v/>
      </c>
      <c r="N24" s="4" t="str">
        <f t="shared" si="6"/>
        <v>0:00</v>
      </c>
    </row>
    <row r="25" spans="1:14">
      <c r="A25" s="8" t="str">
        <f t="shared" si="7"/>
        <v>Vendredi</v>
      </c>
      <c r="B25" s="10">
        <f t="shared" si="1"/>
        <v>41993</v>
      </c>
      <c r="C25" s="3">
        <f>IFERROR((VLOOKUP(B25,Fériés:Fériés,2,0)),VLOOKUP(A25,Année!$C$2:$C$8:'Année'!$D$2:$D$8,2,0))</f>
        <v>0.16666666666666666</v>
      </c>
      <c r="D25" s="4"/>
      <c r="E25" s="4"/>
      <c r="F25" s="5">
        <f t="shared" si="4"/>
        <v>0.16666666666666666</v>
      </c>
      <c r="G25" s="4"/>
      <c r="H25" s="5"/>
      <c r="I25" s="5"/>
      <c r="J25" s="5" t="str">
        <f t="shared" si="2"/>
        <v xml:space="preserve"> </v>
      </c>
      <c r="K25" s="5"/>
      <c r="L25" s="5">
        <f t="shared" si="5"/>
        <v>0</v>
      </c>
      <c r="M25" s="4" t="str">
        <f t="shared" si="3"/>
        <v/>
      </c>
      <c r="N25" s="4" t="str">
        <f t="shared" si="6"/>
        <v>0:00</v>
      </c>
    </row>
    <row r="26" spans="1:14">
      <c r="A26" s="8" t="str">
        <f t="shared" si="7"/>
        <v>Samedi</v>
      </c>
      <c r="B26" s="10">
        <f t="shared" si="1"/>
        <v>41994</v>
      </c>
      <c r="C26" s="3">
        <f>IFERROR((VLOOKUP(B26,Fériés:Fériés,2,0)),VLOOKUP(A26,Année!$C$2:$C$8:'Année'!$D$2:$D$8,2,0))</f>
        <v>0</v>
      </c>
      <c r="D26" s="4"/>
      <c r="E26" s="4"/>
      <c r="F26" s="5">
        <f t="shared" si="4"/>
        <v>0</v>
      </c>
      <c r="G26" s="4"/>
      <c r="H26" s="5"/>
      <c r="I26" s="5"/>
      <c r="J26" s="5">
        <f t="shared" si="2"/>
        <v>0</v>
      </c>
      <c r="K26" s="5"/>
      <c r="L26" s="5" t="str">
        <f t="shared" si="5"/>
        <v/>
      </c>
      <c r="M26" s="4" t="str">
        <f t="shared" si="3"/>
        <v/>
      </c>
      <c r="N26" s="4" t="str">
        <f t="shared" si="6"/>
        <v>0:00</v>
      </c>
    </row>
    <row r="27" spans="1:14">
      <c r="A27" s="8" t="str">
        <f t="shared" si="7"/>
        <v>Dimanche</v>
      </c>
      <c r="B27" s="10">
        <f t="shared" si="1"/>
        <v>41995</v>
      </c>
      <c r="C27" s="3">
        <f>IFERROR((VLOOKUP(B27,Fériés:Fériés,2,0)),VLOOKUP(A27,Année!$C$2:$C$8:'Année'!$D$2:$D$8,2,0))</f>
        <v>0</v>
      </c>
      <c r="D27" s="4"/>
      <c r="E27" s="4"/>
      <c r="F27" s="5">
        <f t="shared" si="4"/>
        <v>0</v>
      </c>
      <c r="G27" s="4"/>
      <c r="H27" s="5"/>
      <c r="I27" s="5"/>
      <c r="J27" s="5">
        <f t="shared" si="2"/>
        <v>0</v>
      </c>
      <c r="K27" s="5"/>
      <c r="L27" s="5" t="str">
        <f t="shared" si="5"/>
        <v/>
      </c>
      <c r="M27" s="4" t="str">
        <f t="shared" si="3"/>
        <v/>
      </c>
      <c r="N27" s="4" t="str">
        <f t="shared" si="6"/>
        <v>0:00</v>
      </c>
    </row>
    <row r="28" spans="1:14">
      <c r="A28" s="8" t="str">
        <f t="shared" si="7"/>
        <v>Lundi</v>
      </c>
      <c r="B28" s="10">
        <f t="shared" si="1"/>
        <v>41996</v>
      </c>
      <c r="C28" s="3">
        <f>IFERROR((VLOOKUP(B28,Fériés:Fériés,2,0)),VLOOKUP(A28,Année!$C$2:$C$8:'Année'!$D$2:$D$8,2,0))</f>
        <v>0.32291666666666669</v>
      </c>
      <c r="D28" s="4"/>
      <c r="E28" s="4"/>
      <c r="F28" s="5">
        <f t="shared" si="4"/>
        <v>0</v>
      </c>
      <c r="G28" s="4"/>
      <c r="H28" s="5"/>
      <c r="I28" s="5"/>
      <c r="J28" s="5" t="str">
        <f t="shared" si="2"/>
        <v xml:space="preserve"> </v>
      </c>
      <c r="K28" s="5">
        <v>0.32291666666666669</v>
      </c>
      <c r="L28" s="5" t="str">
        <f t="shared" si="5"/>
        <v/>
      </c>
      <c r="M28" s="4" t="str">
        <f t="shared" si="3"/>
        <v/>
      </c>
      <c r="N28" s="4" t="str">
        <f t="shared" si="6"/>
        <v>0:00</v>
      </c>
    </row>
    <row r="29" spans="1:14">
      <c r="A29" s="8" t="str">
        <f t="shared" si="7"/>
        <v>Mardi</v>
      </c>
      <c r="B29" s="10">
        <f t="shared" si="1"/>
        <v>41997</v>
      </c>
      <c r="C29" s="3">
        <f>IFERROR((VLOOKUP(B29,Fériés:Fériés,2,0)),VLOOKUP(A29,Année!$C$2:$C$8:'Année'!$D$2:$D$8,2,0))</f>
        <v>0</v>
      </c>
      <c r="D29" s="4"/>
      <c r="E29" s="4"/>
      <c r="F29" s="5">
        <f t="shared" si="4"/>
        <v>0</v>
      </c>
      <c r="G29" s="4"/>
      <c r="H29" s="5"/>
      <c r="I29" s="5"/>
      <c r="J29" s="5">
        <f t="shared" si="2"/>
        <v>0.32291666666666669</v>
      </c>
      <c r="K29" s="5">
        <v>0</v>
      </c>
      <c r="L29" s="5" t="str">
        <f t="shared" si="5"/>
        <v/>
      </c>
      <c r="M29" s="4" t="str">
        <f t="shared" si="3"/>
        <v/>
      </c>
      <c r="N29" s="4" t="str">
        <f t="shared" si="6"/>
        <v>0:00</v>
      </c>
    </row>
    <row r="30" spans="1:14">
      <c r="A30" s="8" t="str">
        <f t="shared" si="7"/>
        <v>Mercredi</v>
      </c>
      <c r="B30" s="10">
        <f t="shared" si="1"/>
        <v>41998</v>
      </c>
      <c r="C30" s="3">
        <f>IFERROR((VLOOKUP(B30,Fériés:Fériés,2,0)),VLOOKUP(A30,Année!$C$2:$C$8:'Année'!$D$2:$D$8,2,0))</f>
        <v>0.32291666666666669</v>
      </c>
      <c r="D30" s="4"/>
      <c r="E30" s="4"/>
      <c r="F30" s="5">
        <f t="shared" si="4"/>
        <v>0</v>
      </c>
      <c r="G30" s="4"/>
      <c r="H30" s="5"/>
      <c r="I30" s="5"/>
      <c r="J30" s="5" t="str">
        <f t="shared" si="2"/>
        <v xml:space="preserve"> </v>
      </c>
      <c r="K30" s="5">
        <v>0.32291666666666669</v>
      </c>
      <c r="L30" s="5" t="str">
        <f t="shared" si="5"/>
        <v/>
      </c>
      <c r="M30" s="4" t="str">
        <f t="shared" si="3"/>
        <v/>
      </c>
      <c r="N30" s="4" t="str">
        <f t="shared" si="6"/>
        <v>0:00</v>
      </c>
    </row>
    <row r="31" spans="1:14">
      <c r="A31" s="8" t="str">
        <f t="shared" si="7"/>
        <v>Jeudi</v>
      </c>
      <c r="B31" s="10">
        <f t="shared" si="1"/>
        <v>41999</v>
      </c>
      <c r="C31" s="3">
        <f>IFERROR((VLOOKUP(B31,Fériés:Fériés,2,0)),VLOOKUP(A31,Année!$C$2:$C$8:'Année'!$D$2:$D$8,2,0))</f>
        <v>0.32291666666666669</v>
      </c>
      <c r="D31" s="4"/>
      <c r="E31" s="4"/>
      <c r="F31" s="5">
        <f t="shared" si="4"/>
        <v>0</v>
      </c>
      <c r="G31" s="4"/>
      <c r="H31" s="5"/>
      <c r="I31" s="5"/>
      <c r="J31" s="5" t="str">
        <f t="shared" si="2"/>
        <v xml:space="preserve"> </v>
      </c>
      <c r="K31" s="5">
        <v>0.32291666666666669</v>
      </c>
      <c r="L31" s="5" t="str">
        <f t="shared" si="5"/>
        <v/>
      </c>
      <c r="M31" s="4" t="str">
        <f t="shared" si="3"/>
        <v/>
      </c>
      <c r="N31" s="4" t="str">
        <f t="shared" si="6"/>
        <v>0:00</v>
      </c>
    </row>
    <row r="32" spans="1:14">
      <c r="A32" s="8" t="str">
        <f t="shared" si="7"/>
        <v>Vendredi</v>
      </c>
      <c r="B32" s="10">
        <f t="shared" si="1"/>
        <v>42000</v>
      </c>
      <c r="C32" s="3">
        <f>IFERROR((VLOOKUP(B32,Fériés:Fériés,2,0)),VLOOKUP(A32,Année!$C$2:$C$8:'Année'!$D$2:$D$8,2,0))</f>
        <v>0.16666666666666666</v>
      </c>
      <c r="D32" s="4"/>
      <c r="E32" s="4"/>
      <c r="F32" s="5">
        <f t="shared" si="4"/>
        <v>0</v>
      </c>
      <c r="G32" s="4"/>
      <c r="H32" s="5"/>
      <c r="I32" s="5"/>
      <c r="J32" s="5" t="str">
        <f t="shared" si="2"/>
        <v xml:space="preserve"> </v>
      </c>
      <c r="K32" s="5">
        <v>0.16666666666666666</v>
      </c>
      <c r="L32" s="5" t="str">
        <f t="shared" si="5"/>
        <v/>
      </c>
      <c r="M32" s="4" t="str">
        <f t="shared" si="3"/>
        <v/>
      </c>
      <c r="N32" s="4" t="str">
        <f t="shared" si="6"/>
        <v>0:00</v>
      </c>
    </row>
    <row r="33" spans="1:14">
      <c r="A33" s="8" t="str">
        <f t="shared" si="7"/>
        <v>Samedi</v>
      </c>
      <c r="B33" s="10">
        <f t="shared" si="1"/>
        <v>42001</v>
      </c>
      <c r="C33" s="3">
        <f>IFERROR((VLOOKUP(B33,Fériés:Fériés,2,0)),VLOOKUP(A33,Année!$C$2:$C$8:'Année'!$D$2:$D$8,2,0))</f>
        <v>0</v>
      </c>
      <c r="D33" s="4"/>
      <c r="E33" s="4"/>
      <c r="F33" s="5">
        <f t="shared" si="4"/>
        <v>0</v>
      </c>
      <c r="G33" s="4"/>
      <c r="H33" s="5"/>
      <c r="I33" s="5"/>
      <c r="J33" s="5">
        <f t="shared" si="2"/>
        <v>0</v>
      </c>
      <c r="K33" s="5"/>
      <c r="L33" s="5" t="str">
        <f t="shared" si="5"/>
        <v/>
      </c>
      <c r="M33" s="4" t="str">
        <f t="shared" si="3"/>
        <v/>
      </c>
      <c r="N33" s="4" t="str">
        <f t="shared" si="6"/>
        <v>0:00</v>
      </c>
    </row>
    <row r="34" spans="1:14">
      <c r="A34" s="8" t="str">
        <f t="shared" si="7"/>
        <v>Dimanche</v>
      </c>
      <c r="B34" s="10">
        <f t="shared" si="1"/>
        <v>42002</v>
      </c>
      <c r="C34" s="3">
        <f>IFERROR((VLOOKUP(B34,Fériés:Fériés,2,0)),VLOOKUP(A34,Année!$C$2:$C$8:'Année'!$D$2:$D$8,2,0))</f>
        <v>0</v>
      </c>
      <c r="D34" s="4"/>
      <c r="E34" s="4"/>
      <c r="F34" s="5">
        <f t="shared" si="4"/>
        <v>0</v>
      </c>
      <c r="G34" s="4"/>
      <c r="H34" s="5"/>
      <c r="I34" s="5"/>
      <c r="J34" s="5">
        <f t="shared" si="2"/>
        <v>0</v>
      </c>
      <c r="K34" s="5"/>
      <c r="L34" s="5" t="str">
        <f t="shared" si="5"/>
        <v/>
      </c>
      <c r="M34" s="4" t="str">
        <f t="shared" si="3"/>
        <v/>
      </c>
      <c r="N34" s="4" t="str">
        <f t="shared" si="6"/>
        <v>0:00</v>
      </c>
    </row>
    <row r="35" spans="1:14">
      <c r="A35" s="8" t="str">
        <f t="shared" si="7"/>
        <v>Lundi</v>
      </c>
      <c r="B35" s="10">
        <f t="shared" si="1"/>
        <v>42003</v>
      </c>
      <c r="C35" s="3">
        <f>IFERROR((VLOOKUP(B35,Fériés:Fériés,2,0)),VLOOKUP(A35,Année!$C$2:$C$8:'Année'!$D$2:$D$8,2,0))</f>
        <v>0.32291666666666669</v>
      </c>
      <c r="D35" s="4"/>
      <c r="E35" s="4"/>
      <c r="F35" s="5">
        <f t="shared" si="4"/>
        <v>0.32291666666666669</v>
      </c>
      <c r="G35" s="4"/>
      <c r="H35" s="5"/>
      <c r="I35" s="5"/>
      <c r="J35" s="5" t="str">
        <f t="shared" si="2"/>
        <v xml:space="preserve"> </v>
      </c>
      <c r="K35" s="5"/>
      <c r="L35" s="5">
        <f t="shared" si="5"/>
        <v>0</v>
      </c>
      <c r="M35" s="4" t="str">
        <f t="shared" si="3"/>
        <v/>
      </c>
      <c r="N35" s="4" t="str">
        <f t="shared" si="6"/>
        <v>0:00</v>
      </c>
    </row>
    <row r="36" spans="1:14">
      <c r="A36" s="8"/>
      <c r="B36" s="11"/>
      <c r="C36" s="3"/>
      <c r="D36" s="4"/>
      <c r="E36" s="4"/>
      <c r="F36" s="5"/>
      <c r="G36" s="4"/>
      <c r="H36" s="5"/>
      <c r="I36" s="5"/>
      <c r="J36" s="5"/>
      <c r="K36" s="5"/>
      <c r="L36" s="5"/>
      <c r="M36" s="4"/>
      <c r="N36" s="4"/>
    </row>
    <row r="37" spans="1:14" ht="15" thickBot="1">
      <c r="A37" s="9"/>
      <c r="B37" s="12"/>
      <c r="C37" s="3"/>
      <c r="D37" s="4"/>
      <c r="E37" s="4"/>
      <c r="F37" s="5"/>
      <c r="G37" s="4"/>
      <c r="H37" s="5"/>
      <c r="I37" s="5"/>
      <c r="J37" s="5"/>
      <c r="K37" s="5"/>
      <c r="L37" s="5"/>
      <c r="M37" s="4"/>
      <c r="N37" s="4"/>
    </row>
    <row r="38" spans="1:14">
      <c r="A38" s="65" t="s">
        <v>16</v>
      </c>
      <c r="B38" s="71"/>
      <c r="C38" s="40">
        <f>SUM(C5:C37)</f>
        <v>5.8333333333333348</v>
      </c>
      <c r="D38" s="40">
        <f t="shared" ref="D38:N38" si="8">SUM(D5:D37)</f>
        <v>0</v>
      </c>
      <c r="E38" s="40">
        <f t="shared" si="8"/>
        <v>0</v>
      </c>
      <c r="F38" s="40">
        <f t="shared" si="8"/>
        <v>4.697916666666667</v>
      </c>
      <c r="G38" s="40">
        <f t="shared" si="8"/>
        <v>0</v>
      </c>
      <c r="H38" s="40">
        <f t="shared" si="8"/>
        <v>0</v>
      </c>
      <c r="I38" s="40">
        <f t="shared" si="8"/>
        <v>0</v>
      </c>
      <c r="J38" s="40">
        <f t="shared" si="8"/>
        <v>0.32291666666666669</v>
      </c>
      <c r="K38" s="40">
        <f t="shared" si="8"/>
        <v>1.1354166666666667</v>
      </c>
      <c r="L38" s="40">
        <f t="shared" si="8"/>
        <v>0</v>
      </c>
      <c r="M38" s="40">
        <f t="shared" si="8"/>
        <v>0</v>
      </c>
      <c r="N38" s="40">
        <f t="shared" si="8"/>
        <v>0</v>
      </c>
    </row>
    <row r="39" spans="1:14" ht="15" thickBot="1">
      <c r="A39" s="67"/>
      <c r="B39" s="72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</row>
  </sheetData>
  <mergeCells count="23">
    <mergeCell ref="N38:N39"/>
    <mergeCell ref="A1:N2"/>
    <mergeCell ref="D3:H3"/>
    <mergeCell ref="H38:H39"/>
    <mergeCell ref="I38:I39"/>
    <mergeCell ref="J38:J39"/>
    <mergeCell ref="K38:K39"/>
    <mergeCell ref="L38:L39"/>
    <mergeCell ref="M38:M39"/>
    <mergeCell ref="A38:B39"/>
    <mergeCell ref="C38:C39"/>
    <mergeCell ref="D38:D39"/>
    <mergeCell ref="E38:E39"/>
    <mergeCell ref="F38:F39"/>
    <mergeCell ref="G38:G39"/>
    <mergeCell ref="A3:B4"/>
    <mergeCell ref="M3:M4"/>
    <mergeCell ref="N3:N4"/>
    <mergeCell ref="C3:C4"/>
    <mergeCell ref="I3:I4"/>
    <mergeCell ref="J3:J4"/>
    <mergeCell ref="K3:K4"/>
    <mergeCell ref="L3:L4"/>
  </mergeCells>
  <conditionalFormatting sqref="A36:N37 K5:K35 A5:E35 G5:I35">
    <cfRule type="expression" dxfId="15" priority="14">
      <formula>$A5="Dimanche"</formula>
    </cfRule>
    <cfRule type="expression" dxfId="14" priority="15">
      <formula>$A5="Samedi"</formula>
    </cfRule>
  </conditionalFormatting>
  <conditionalFormatting sqref="A5:A37">
    <cfRule type="expression" dxfId="13" priority="13">
      <formula>$M5&lt;&gt;""</formula>
    </cfRule>
  </conditionalFormatting>
  <conditionalFormatting sqref="A36:N36 K5:K35 A5:E35 G5:I35">
    <cfRule type="expression" dxfId="12" priority="16">
      <formula>COUNTIF(Jours_fériés,$B5)=1</formula>
    </cfRule>
  </conditionalFormatting>
  <conditionalFormatting sqref="J5:J35">
    <cfRule type="expression" dxfId="11" priority="10">
      <formula>$A5="Dimanche"</formula>
    </cfRule>
    <cfRule type="expression" dxfId="10" priority="11">
      <formula>$A5="Samedi"</formula>
    </cfRule>
  </conditionalFormatting>
  <conditionalFormatting sqref="J5:J35">
    <cfRule type="expression" dxfId="9" priority="12">
      <formula>COUNTIF(Jours_fériés,$B5)=1</formula>
    </cfRule>
  </conditionalFormatting>
  <conditionalFormatting sqref="L5:L35 N5:N35">
    <cfRule type="expression" dxfId="8" priority="7">
      <formula>COUNTIF(Jours_fériés,$B5)=1</formula>
    </cfRule>
    <cfRule type="expression" dxfId="7" priority="9">
      <formula>$A5="Samedi"</formula>
    </cfRule>
  </conditionalFormatting>
  <conditionalFormatting sqref="L5:L35 N5:N35">
    <cfRule type="expression" dxfId="6" priority="8">
      <formula>$A5="Dimanche"</formula>
    </cfRule>
  </conditionalFormatting>
  <conditionalFormatting sqref="F5:F35">
    <cfRule type="expression" dxfId="5" priority="4">
      <formula>$A5="Dimanche"</formula>
    </cfRule>
    <cfRule type="expression" dxfId="4" priority="5">
      <formula>$A5="Samedi"</formula>
    </cfRule>
  </conditionalFormatting>
  <conditionalFormatting sqref="F5:F35">
    <cfRule type="expression" dxfId="3" priority="6">
      <formula>COUNTIF(Jours_fériés,$B5)=1</formula>
    </cfRule>
  </conditionalFormatting>
  <conditionalFormatting sqref="M5:M35">
    <cfRule type="expression" dxfId="2" priority="1">
      <formula>COUNTIF(Jours_fériés,$B5)=1</formula>
    </cfRule>
    <cfRule type="expression" dxfId="1" priority="3">
      <formula>$A5="Samedi"</formula>
    </cfRule>
  </conditionalFormatting>
  <conditionalFormatting sqref="M5:M35">
    <cfRule type="expression" dxfId="0" priority="2">
      <formula>$A5="Dimanche"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</vt:i4>
      </vt:variant>
    </vt:vector>
  </HeadingPairs>
  <TitlesOfParts>
    <vt:vector size="19" baseType="lpstr">
      <vt:lpstr>Année</vt:lpstr>
      <vt:lpstr>Janvier 2018</vt:lpstr>
      <vt:lpstr>Février</vt:lpstr>
      <vt:lpstr>Mars</vt:lpstr>
      <vt:lpstr>Avril 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</vt:lpstr>
      <vt:lpstr>Année</vt:lpstr>
      <vt:lpstr>Fériés</vt:lpstr>
      <vt:lpstr>Horaires</vt:lpstr>
      <vt:lpstr>Jours_fériés</vt:lpstr>
      <vt:lpstr>Paques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2018-05-01T12:16:53Z</dcterms:modified>
</cp:coreProperties>
</file>