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-468" windowWidth="23040" windowHeight="10920"/>
  </bookViews>
  <sheets>
    <sheet name="SALAIRES" sheetId="42" r:id="rId1"/>
    <sheet name="Tax Table" sheetId="21" state="hidden" r:id="rId2"/>
  </sheets>
  <calcPr calcId="125725"/>
</workbook>
</file>

<file path=xl/calcChain.xml><?xml version="1.0" encoding="utf-8"?>
<calcChain xmlns="http://schemas.openxmlformats.org/spreadsheetml/2006/main">
  <c r="Y17" i="42"/>
  <c r="B6" l="1"/>
  <c r="Z7"/>
  <c r="Z8" s="1"/>
  <c r="Z9" s="1"/>
  <c r="Z10" s="1"/>
  <c r="Z11" s="1"/>
  <c r="Z12" s="1"/>
  <c r="Z13" s="1"/>
  <c r="Z14" s="1"/>
  <c r="Z15" s="1"/>
  <c r="Z16" s="1"/>
  <c r="U18" l="1"/>
  <c r="T18"/>
  <c r="S18"/>
  <c r="R18"/>
  <c r="V13" l="1"/>
  <c r="W13" s="1"/>
  <c r="AD18" l="1"/>
  <c r="AT18" l="1"/>
  <c r="AT21" s="1"/>
  <c r="V11"/>
  <c r="W11" s="1"/>
  <c r="V6"/>
  <c r="W6" s="1"/>
  <c r="V7"/>
  <c r="W7" s="1"/>
  <c r="V8"/>
  <c r="W8" s="1"/>
  <c r="V9"/>
  <c r="W9" s="1"/>
  <c r="V10"/>
  <c r="W10" s="1"/>
  <c r="V12"/>
  <c r="W12" s="1"/>
  <c r="V14"/>
  <c r="W14" s="1"/>
  <c r="V15"/>
  <c r="W15" s="1"/>
  <c r="V16"/>
  <c r="W16" s="1"/>
  <c r="AP18"/>
  <c r="AU18"/>
  <c r="AU21" s="1"/>
  <c r="AS18"/>
  <c r="AS21" s="1"/>
  <c r="A7"/>
  <c r="F10" i="21"/>
  <c r="F9"/>
  <c r="F8"/>
  <c r="F7"/>
  <c r="F6"/>
  <c r="I6"/>
  <c r="F11"/>
  <c r="N9"/>
  <c r="M6"/>
  <c r="A8"/>
  <c r="A7"/>
  <c r="D6"/>
  <c r="A9"/>
  <c r="A10"/>
  <c r="A11"/>
  <c r="O9"/>
  <c r="D7"/>
  <c r="D8"/>
  <c r="O8"/>
  <c r="O11"/>
  <c r="I7"/>
  <c r="O7"/>
  <c r="D9"/>
  <c r="D10"/>
  <c r="N10"/>
  <c r="O10"/>
  <c r="I8"/>
  <c r="I9"/>
  <c r="O6"/>
  <c r="I10"/>
  <c r="A8" i="42" l="1"/>
  <c r="B7"/>
  <c r="W18"/>
  <c r="V18"/>
  <c r="A9" l="1"/>
  <c r="B8"/>
  <c r="O6"/>
  <c r="A10" l="1"/>
  <c r="B9"/>
  <c r="P6"/>
  <c r="Q6" s="1"/>
  <c r="A11" l="1"/>
  <c r="B10"/>
  <c r="A12" l="1"/>
  <c r="B11"/>
  <c r="X6"/>
  <c r="Y6" l="1"/>
  <c r="A13"/>
  <c r="B12"/>
  <c r="O15"/>
  <c r="P15" s="1"/>
  <c r="O12"/>
  <c r="P12" s="1"/>
  <c r="Q12" s="1"/>
  <c r="O14"/>
  <c r="P14" s="1"/>
  <c r="O7"/>
  <c r="P7" s="1"/>
  <c r="Q7" s="1"/>
  <c r="Q15" l="1"/>
  <c r="X15" s="1"/>
  <c r="Y15" s="1"/>
  <c r="Q14"/>
  <c r="X14" s="1"/>
  <c r="Y14" s="1"/>
  <c r="A14"/>
  <c r="B13"/>
  <c r="O8"/>
  <c r="O10"/>
  <c r="P10" s="1"/>
  <c r="O9"/>
  <c r="P9" s="1"/>
  <c r="O16"/>
  <c r="P16" s="1"/>
  <c r="O13"/>
  <c r="P13" s="1"/>
  <c r="N18"/>
  <c r="O11"/>
  <c r="P11" s="1"/>
  <c r="X12"/>
  <c r="Y12" s="1"/>
  <c r="Q16" l="1"/>
  <c r="X16" s="1"/>
  <c r="Y16" s="1"/>
  <c r="Q13"/>
  <c r="X13" s="1"/>
  <c r="Y13" s="1"/>
  <c r="Q11"/>
  <c r="X11" s="1"/>
  <c r="Y11" s="1"/>
  <c r="Q10"/>
  <c r="X10" s="1"/>
  <c r="Y10" s="1"/>
  <c r="Q9"/>
  <c r="X9" s="1"/>
  <c r="Y9" s="1"/>
  <c r="A15"/>
  <c r="B14"/>
  <c r="AE18"/>
  <c r="P8"/>
  <c r="Q8" s="1"/>
  <c r="O18"/>
  <c r="X7"/>
  <c r="Y7" l="1"/>
  <c r="A16"/>
  <c r="B16" s="1"/>
  <c r="B15"/>
  <c r="P18"/>
  <c r="X8" l="1"/>
  <c r="Q18"/>
  <c r="Z2" l="1"/>
  <c r="Y8"/>
  <c r="X18"/>
  <c r="AC18"/>
</calcChain>
</file>

<file path=xl/sharedStrings.xml><?xml version="1.0" encoding="utf-8"?>
<sst xmlns="http://schemas.openxmlformats.org/spreadsheetml/2006/main" count="48" uniqueCount="48">
  <si>
    <t>Date d'embauche</t>
  </si>
  <si>
    <t>Salaire Brut</t>
  </si>
  <si>
    <t>No.</t>
  </si>
  <si>
    <t>TAX TABLE</t>
  </si>
  <si>
    <t>Yearly Tax Table</t>
  </si>
  <si>
    <t>Monthly Tax Table</t>
  </si>
  <si>
    <t>Basic</t>
  </si>
  <si>
    <t>Less Deduction</t>
  </si>
  <si>
    <t>Taxable Income</t>
  </si>
  <si>
    <t>Construction sites</t>
  </si>
  <si>
    <t>Services manages</t>
  </si>
  <si>
    <t>Fibre Optique</t>
  </si>
  <si>
    <t>Energie</t>
  </si>
  <si>
    <t>Installation</t>
  </si>
  <si>
    <t>General Management</t>
  </si>
  <si>
    <t>Noms</t>
  </si>
  <si>
    <t xml:space="preserve">Prénom </t>
  </si>
  <si>
    <t>FONCTION</t>
  </si>
  <si>
    <t>ID 2è quinzaine</t>
  </si>
  <si>
    <t>Heures supplémentaires</t>
  </si>
  <si>
    <t>ID 1ère quinzaine</t>
  </si>
  <si>
    <t>DECOMPTE</t>
  </si>
  <si>
    <t>AVANCE</t>
  </si>
  <si>
    <t>Solde</t>
  </si>
  <si>
    <t>Cumul Rbst</t>
  </si>
  <si>
    <t>Accordée (+)</t>
  </si>
  <si>
    <t>Retenue Quinzaine 
(-)</t>
  </si>
  <si>
    <t>Retenue Spéciale 
(-)</t>
  </si>
  <si>
    <t>Total Rbst antérieur</t>
  </si>
  <si>
    <t>Net à payer</t>
  </si>
  <si>
    <t>EQUILIBRE</t>
  </si>
  <si>
    <t>Montant NET</t>
  </si>
  <si>
    <t>1ère ligne</t>
  </si>
  <si>
    <t>Dernière ligne</t>
  </si>
  <si>
    <t>N° cells</t>
  </si>
  <si>
    <t>Cotisation</t>
  </si>
  <si>
    <t>A</t>
  </si>
  <si>
    <t>B</t>
  </si>
  <si>
    <t>Impôt</t>
  </si>
  <si>
    <t>LIEU</t>
  </si>
  <si>
    <t>CENTRE D'ANALYSE</t>
  </si>
  <si>
    <t>NOTES</t>
  </si>
  <si>
    <t>Salaire non taxable</t>
  </si>
  <si>
    <t>Base imposable</t>
  </si>
  <si>
    <t>C</t>
  </si>
  <si>
    <t>Salaire en numéraire</t>
  </si>
  <si>
    <t>Avantage en nature</t>
  </si>
  <si>
    <t>REFERENCE</t>
  </si>
</sst>
</file>

<file path=xl/styles.xml><?xml version="1.0" encoding="utf-8"?>
<styleSheet xmlns="http://schemas.openxmlformats.org/spreadsheetml/2006/main">
  <numFmts count="10">
    <numFmt numFmtId="43" formatCode="_-* #,##0.00\ _€_-;\-* #,##0.00\ _€_-;_-* &quot;-&quot;??\ _€_-;_-@_-"/>
    <numFmt numFmtId="164" formatCode="_(* #,##0.00_);_(* \(#,##0.00\);_(* &quot;-&quot;??_);_(@_)"/>
    <numFmt numFmtId="165" formatCode="_-* #,##0.00_-;_-* #,##0.00\-;_-* &quot;-&quot;??_-;_-@_-"/>
    <numFmt numFmtId="166" formatCode="_-* #,##0_-;_-* #,##0\-;_-* &quot;-&quot;??_-;_-@_-"/>
    <numFmt numFmtId="167" formatCode="_-* #,##0\ _€_-;\-* #,##0\ _€_-;_-* &quot;-&quot;??\ _€_-;_-@_-"/>
    <numFmt numFmtId="168" formatCode="_-* #,##0\ _F_-;\-* #,##0\ _F_-;_-* &quot;-&quot;??\ _F_-;_-@_-"/>
    <numFmt numFmtId="169" formatCode="#,##0.00_ ;\-#,##0.00\ "/>
    <numFmt numFmtId="170" formatCode="#,##0.00;[Red]#,##0.00"/>
    <numFmt numFmtId="171" formatCode="0_ ;\-0\ "/>
    <numFmt numFmtId="172" formatCode="#,##0;;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theme="1"/>
      <name val="Calibri Light"/>
      <family val="2"/>
    </font>
    <font>
      <sz val="10"/>
      <color theme="1"/>
      <name val="Calibri Light"/>
      <family val="2"/>
    </font>
    <font>
      <b/>
      <sz val="15"/>
      <color theme="1"/>
      <name val="Calibri Light"/>
      <family val="2"/>
    </font>
    <font>
      <b/>
      <sz val="10"/>
      <name val="Calibri Light"/>
      <family val="2"/>
    </font>
    <font>
      <sz val="10"/>
      <name val="Calibri Light"/>
      <family val="2"/>
    </font>
    <font>
      <b/>
      <sz val="10"/>
      <color indexed="8"/>
      <name val="Calibri Light"/>
      <family val="2"/>
    </font>
    <font>
      <b/>
      <sz val="10"/>
      <color theme="0"/>
      <name val="Calibri Light"/>
      <family val="2"/>
    </font>
    <font>
      <b/>
      <sz val="10"/>
      <color rgb="FFFF0000"/>
      <name val="Calibri Light"/>
      <family val="2"/>
    </font>
    <font>
      <sz val="10"/>
      <color rgb="FFFF0000"/>
      <name val="Calibri Light"/>
      <family val="2"/>
    </font>
    <font>
      <sz val="11"/>
      <color theme="1"/>
      <name val="Calibri Light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1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2" borderId="1" applyNumberFormat="0" applyFont="0" applyAlignment="0" applyProtection="0"/>
    <xf numFmtId="43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0" fontId="2" fillId="0" borderId="0"/>
  </cellStyleXfs>
  <cellXfs count="96">
    <xf numFmtId="0" fontId="0" fillId="0" borderId="0" xfId="0"/>
    <xf numFmtId="0" fontId="3" fillId="0" borderId="0" xfId="0" applyFont="1"/>
    <xf numFmtId="9" fontId="4" fillId="0" borderId="0" xfId="0" applyNumberFormat="1" applyFont="1" applyAlignment="1">
      <alignment horizontal="center"/>
    </xf>
    <xf numFmtId="167" fontId="2" fillId="0" borderId="0" xfId="2" applyNumberFormat="1" applyFont="1"/>
    <xf numFmtId="164" fontId="2" fillId="0" borderId="0" xfId="2" applyNumberFormat="1" applyFont="1"/>
    <xf numFmtId="167" fontId="2" fillId="3" borderId="0" xfId="2" applyNumberFormat="1" applyFont="1" applyFill="1"/>
    <xf numFmtId="9" fontId="2" fillId="3" borderId="0" xfId="4" applyFont="1" applyFill="1"/>
    <xf numFmtId="167" fontId="2" fillId="4" borderId="0" xfId="2" applyNumberFormat="1" applyFont="1" applyFill="1"/>
    <xf numFmtId="9" fontId="2" fillId="4" borderId="0" xfId="4" applyFont="1" applyFill="1"/>
    <xf numFmtId="0" fontId="5" fillId="5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/>
    <xf numFmtId="15" fontId="8" fillId="0" borderId="0" xfId="0" applyNumberFormat="1" applyFont="1" applyFill="1" applyAlignment="1">
      <alignment horizontal="center"/>
    </xf>
    <xf numFmtId="15" fontId="6" fillId="0" borderId="0" xfId="0" applyNumberFormat="1" applyFont="1" applyFill="1" applyAlignment="1">
      <alignment horizontal="center"/>
    </xf>
    <xf numFmtId="4" fontId="9" fillId="0" borderId="0" xfId="0" applyNumberFormat="1" applyFont="1" applyFill="1" applyAlignment="1">
      <alignment horizontal="center"/>
    </xf>
    <xf numFmtId="4" fontId="6" fillId="0" borderId="0" xfId="0" applyNumberFormat="1" applyFont="1" applyFill="1" applyAlignment="1">
      <alignment horizontal="center"/>
    </xf>
    <xf numFmtId="3" fontId="9" fillId="10" borderId="0" xfId="2" applyNumberFormat="1" applyFont="1" applyFill="1" applyBorder="1" applyAlignment="1">
      <alignment horizontal="right"/>
    </xf>
    <xf numFmtId="43" fontId="7" fillId="0" borderId="0" xfId="2" applyFont="1" applyFill="1"/>
    <xf numFmtId="0" fontId="11" fillId="0" borderId="0" xfId="0" applyFont="1" applyFill="1"/>
    <xf numFmtId="9" fontId="12" fillId="0" borderId="0" xfId="0" applyNumberFormat="1" applyFont="1" applyFill="1" applyAlignment="1">
      <alignment horizontal="center"/>
    </xf>
    <xf numFmtId="0" fontId="12" fillId="0" borderId="0" xfId="0" applyNumberFormat="1" applyFont="1" applyFill="1" applyAlignment="1">
      <alignment horizontal="center"/>
    </xf>
    <xf numFmtId="4" fontId="12" fillId="0" borderId="0" xfId="0" applyNumberFormat="1" applyFont="1" applyFill="1" applyAlignment="1">
      <alignment horizontal="center"/>
    </xf>
    <xf numFmtId="0" fontId="6" fillId="0" borderId="0" xfId="0" applyNumberFormat="1" applyFont="1" applyFill="1" applyAlignment="1">
      <alignment horizontal="center"/>
    </xf>
    <xf numFmtId="168" fontId="9" fillId="12" borderId="5" xfId="2" applyNumberFormat="1" applyFont="1" applyFill="1" applyBorder="1" applyAlignment="1">
      <alignment vertical="center" wrapText="1"/>
    </xf>
    <xf numFmtId="168" fontId="9" fillId="12" borderId="6" xfId="2" applyNumberFormat="1" applyFont="1" applyFill="1" applyBorder="1" applyAlignment="1">
      <alignment vertical="center" wrapText="1"/>
    </xf>
    <xf numFmtId="4" fontId="9" fillId="12" borderId="6" xfId="2" applyNumberFormat="1" applyFont="1" applyFill="1" applyBorder="1" applyAlignment="1">
      <alignment horizontal="right" vertical="center" wrapText="1"/>
    </xf>
    <xf numFmtId="168" fontId="9" fillId="12" borderId="7" xfId="2" applyNumberFormat="1" applyFont="1" applyFill="1" applyBorder="1" applyAlignment="1">
      <alignment vertical="center" wrapText="1"/>
    </xf>
    <xf numFmtId="0" fontId="10" fillId="11" borderId="2" xfId="0" applyFont="1" applyFill="1" applyBorder="1" applyAlignment="1">
      <alignment horizontal="center" vertical="center" shrinkToFit="1"/>
    </xf>
    <xf numFmtId="0" fontId="10" fillId="11" borderId="2" xfId="0" applyFont="1" applyFill="1" applyBorder="1" applyAlignment="1">
      <alignment horizontal="center" vertical="center" wrapText="1" shrinkToFit="1"/>
    </xf>
    <xf numFmtId="0" fontId="10" fillId="11" borderId="2" xfId="0" applyFont="1" applyFill="1" applyBorder="1" applyAlignment="1">
      <alignment horizontal="center" vertical="center" wrapText="1"/>
    </xf>
    <xf numFmtId="168" fontId="10" fillId="11" borderId="2" xfId="2" applyNumberFormat="1" applyFont="1" applyFill="1" applyBorder="1" applyAlignment="1">
      <alignment horizontal="center" vertical="center" wrapText="1"/>
    </xf>
    <xf numFmtId="168" fontId="9" fillId="11" borderId="2" xfId="2" applyNumberFormat="1" applyFont="1" applyFill="1" applyBorder="1" applyAlignment="1">
      <alignment horizontal="center" vertical="center" wrapText="1"/>
    </xf>
    <xf numFmtId="4" fontId="10" fillId="11" borderId="2" xfId="2" applyNumberFormat="1" applyFont="1" applyFill="1" applyBorder="1" applyAlignment="1">
      <alignment horizontal="center" vertical="center" wrapText="1"/>
    </xf>
    <xf numFmtId="168" fontId="10" fillId="10" borderId="2" xfId="2" applyNumberFormat="1" applyFont="1" applyFill="1" applyBorder="1" applyAlignment="1">
      <alignment horizontal="center" vertical="center" wrapText="1"/>
    </xf>
    <xf numFmtId="43" fontId="10" fillId="11" borderId="4" xfId="2" applyFont="1" applyFill="1" applyBorder="1" applyAlignment="1">
      <alignment horizontal="center" vertical="center"/>
    </xf>
    <xf numFmtId="43" fontId="13" fillId="0" borderId="0" xfId="2" applyFont="1" applyFill="1"/>
    <xf numFmtId="43" fontId="13" fillId="0" borderId="0" xfId="2" applyFont="1" applyFill="1" applyBorder="1"/>
    <xf numFmtId="49" fontId="7" fillId="7" borderId="2" xfId="0" applyNumberFormat="1" applyFont="1" applyFill="1" applyBorder="1" applyAlignment="1">
      <alignment horizontal="center"/>
    </xf>
    <xf numFmtId="0" fontId="7" fillId="7" borderId="2" xfId="5" applyFont="1" applyFill="1" applyBorder="1"/>
    <xf numFmtId="0" fontId="9" fillId="7" borderId="2" xfId="0" applyFont="1" applyFill="1" applyBorder="1"/>
    <xf numFmtId="0" fontId="9" fillId="7" borderId="2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left" vertical="center" wrapText="1"/>
    </xf>
    <xf numFmtId="15" fontId="10" fillId="7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vertical="center"/>
    </xf>
    <xf numFmtId="3" fontId="10" fillId="0" borderId="2" xfId="2" applyNumberFormat="1" applyFont="1" applyFill="1" applyBorder="1" applyAlignment="1">
      <alignment horizontal="center"/>
    </xf>
    <xf numFmtId="3" fontId="7" fillId="0" borderId="2" xfId="1" applyNumberFormat="1" applyFont="1" applyFill="1" applyBorder="1"/>
    <xf numFmtId="3" fontId="7" fillId="8" borderId="2" xfId="1" applyNumberFormat="1" applyFont="1" applyFill="1" applyBorder="1"/>
    <xf numFmtId="3" fontId="10" fillId="10" borderId="2" xfId="2" applyNumberFormat="1" applyFont="1" applyFill="1" applyBorder="1" applyAlignment="1">
      <alignment horizontal="center"/>
    </xf>
    <xf numFmtId="165" fontId="10" fillId="0" borderId="2" xfId="1" applyNumberFormat="1" applyFont="1" applyFill="1" applyBorder="1" applyAlignment="1">
      <alignment horizontal="center"/>
    </xf>
    <xf numFmtId="43" fontId="7" fillId="0" borderId="2" xfId="2" applyFont="1" applyFill="1" applyBorder="1"/>
    <xf numFmtId="43" fontId="7" fillId="0" borderId="0" xfId="0" applyNumberFormat="1" applyFont="1" applyFill="1"/>
    <xf numFmtId="0" fontId="14" fillId="0" borderId="0" xfId="0" applyFont="1" applyFill="1"/>
    <xf numFmtId="0" fontId="7" fillId="6" borderId="0" xfId="0" applyFont="1" applyFill="1"/>
    <xf numFmtId="4" fontId="7" fillId="0" borderId="0" xfId="0" applyNumberFormat="1" applyFont="1" applyBorder="1"/>
    <xf numFmtId="2" fontId="10" fillId="0" borderId="0" xfId="0" applyNumberFormat="1" applyFont="1" applyFill="1" applyBorder="1" applyAlignment="1">
      <alignment vertical="center"/>
    </xf>
    <xf numFmtId="4" fontId="7" fillId="0" borderId="0" xfId="0" applyNumberFormat="1" applyFont="1" applyFill="1"/>
    <xf numFmtId="43" fontId="10" fillId="0" borderId="0" xfId="2" applyFont="1" applyFill="1" applyAlignment="1">
      <alignment horizontal="center"/>
    </xf>
    <xf numFmtId="43" fontId="7" fillId="0" borderId="0" xfId="0" applyNumberFormat="1" applyFont="1" applyFill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0" fontId="9" fillId="0" borderId="0" xfId="0" applyFont="1" applyFill="1" applyBorder="1"/>
    <xf numFmtId="0" fontId="10" fillId="0" borderId="0" xfId="0" applyFont="1" applyFill="1" applyBorder="1" applyAlignment="1">
      <alignment horizontal="left" vertical="center" wrapText="1"/>
    </xf>
    <xf numFmtId="15" fontId="10" fillId="0" borderId="0" xfId="0" applyNumberFormat="1" applyFont="1" applyFill="1" applyBorder="1" applyAlignment="1">
      <alignment vertical="center"/>
    </xf>
    <xf numFmtId="166" fontId="10" fillId="0" borderId="0" xfId="0" applyNumberFormat="1" applyFont="1" applyFill="1" applyBorder="1" applyAlignment="1">
      <alignment horizontal="center"/>
    </xf>
    <xf numFmtId="43" fontId="10" fillId="0" borderId="0" xfId="0" applyNumberFormat="1" applyFont="1" applyFill="1" applyBorder="1" applyAlignment="1">
      <alignment horizontal="center"/>
    </xf>
    <xf numFmtId="43" fontId="7" fillId="0" borderId="0" xfId="2" applyFont="1" applyFill="1" applyAlignment="1">
      <alignment horizontal="center"/>
    </xf>
    <xf numFmtId="4" fontId="7" fillId="0" borderId="0" xfId="0" applyNumberFormat="1" applyFont="1" applyFill="1" applyAlignment="1">
      <alignment horizontal="center"/>
    </xf>
    <xf numFmtId="0" fontId="15" fillId="0" borderId="0" xfId="0" applyFont="1"/>
    <xf numFmtId="169" fontId="7" fillId="0" borderId="0" xfId="0" applyNumberFormat="1" applyFont="1" applyFill="1"/>
    <xf numFmtId="43" fontId="10" fillId="0" borderId="0" xfId="2" applyFont="1" applyFill="1"/>
    <xf numFmtId="14" fontId="10" fillId="0" borderId="0" xfId="0" applyNumberFormat="1" applyFont="1" applyFill="1" applyBorder="1" applyAlignment="1" applyProtection="1">
      <alignment horizontal="left" vertical="top" wrapText="1"/>
    </xf>
    <xf numFmtId="0" fontId="10" fillId="0" borderId="0" xfId="0" applyNumberFormat="1" applyFont="1" applyFill="1" applyBorder="1" applyAlignment="1" applyProtection="1">
      <alignment horizontal="left" vertical="top" wrapText="1"/>
    </xf>
    <xf numFmtId="43" fontId="10" fillId="0" borderId="0" xfId="2" applyFont="1" applyFill="1" applyBorder="1" applyAlignment="1" applyProtection="1">
      <alignment horizontal="right" vertical="top" wrapText="1"/>
    </xf>
    <xf numFmtId="0" fontId="10" fillId="0" borderId="0" xfId="0" applyNumberFormat="1" applyFont="1" applyFill="1" applyBorder="1" applyAlignment="1" applyProtection="1">
      <alignment horizontal="center" vertical="top" wrapText="1"/>
    </xf>
    <xf numFmtId="4" fontId="10" fillId="0" borderId="0" xfId="0" applyNumberFormat="1" applyFont="1" applyFill="1" applyBorder="1" applyAlignment="1" applyProtection="1">
      <alignment horizontal="left" vertical="top" wrapText="1"/>
    </xf>
    <xf numFmtId="170" fontId="7" fillId="0" borderId="0" xfId="0" applyNumberFormat="1" applyFont="1" applyFill="1"/>
    <xf numFmtId="171" fontId="7" fillId="0" borderId="0" xfId="0" applyNumberFormat="1" applyFont="1" applyFill="1"/>
    <xf numFmtId="4" fontId="6" fillId="10" borderId="0" xfId="0" applyNumberFormat="1" applyFont="1" applyFill="1" applyAlignment="1">
      <alignment horizontal="right" vertical="center"/>
    </xf>
    <xf numFmtId="172" fontId="7" fillId="0" borderId="2" xfId="1" applyNumberFormat="1" applyFont="1" applyFill="1" applyBorder="1"/>
    <xf numFmtId="3" fontId="10" fillId="10" borderId="0" xfId="2" applyNumberFormat="1" applyFont="1" applyFill="1" applyBorder="1" applyAlignment="1">
      <alignment horizontal="right" indent="3"/>
    </xf>
    <xf numFmtId="3" fontId="7" fillId="10" borderId="0" xfId="0" applyNumberFormat="1" applyFont="1" applyFill="1" applyAlignment="1">
      <alignment horizontal="right" vertical="center" indent="3"/>
    </xf>
    <xf numFmtId="3" fontId="10" fillId="0" borderId="2" xfId="2" applyNumberFormat="1" applyFont="1" applyFill="1" applyBorder="1" applyAlignment="1">
      <alignment horizontal="right" indent="3"/>
    </xf>
    <xf numFmtId="172" fontId="10" fillId="0" borderId="2" xfId="2" applyNumberFormat="1" applyFont="1" applyFill="1" applyBorder="1" applyAlignment="1">
      <alignment horizontal="right" indent="1"/>
    </xf>
    <xf numFmtId="172" fontId="7" fillId="0" borderId="2" xfId="1" applyNumberFormat="1" applyFont="1" applyFill="1" applyBorder="1" applyAlignment="1">
      <alignment horizontal="right" indent="1"/>
    </xf>
    <xf numFmtId="172" fontId="10" fillId="0" borderId="2" xfId="1" applyNumberFormat="1" applyFont="1" applyFill="1" applyBorder="1" applyAlignment="1">
      <alignment horizontal="right" indent="1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3" fontId="10" fillId="7" borderId="2" xfId="2" applyNumberFormat="1" applyFont="1" applyFill="1" applyBorder="1" applyAlignment="1">
      <alignment horizontal="right" indent="2"/>
    </xf>
    <xf numFmtId="3" fontId="10" fillId="7" borderId="2" xfId="1" applyNumberFormat="1" applyFont="1" applyFill="1" applyBorder="1" applyAlignment="1">
      <alignment horizontal="right" indent="2"/>
    </xf>
    <xf numFmtId="3" fontId="7" fillId="10" borderId="2" xfId="2" applyNumberFormat="1" applyFont="1" applyFill="1" applyBorder="1" applyAlignment="1">
      <alignment horizontal="right" indent="2"/>
    </xf>
    <xf numFmtId="3" fontId="7" fillId="10" borderId="3" xfId="2" applyNumberFormat="1" applyFont="1" applyFill="1" applyBorder="1" applyAlignment="1">
      <alignment horizontal="right" indent="2"/>
    </xf>
    <xf numFmtId="3" fontId="7" fillId="10" borderId="0" xfId="0" applyNumberFormat="1" applyFont="1" applyFill="1" applyAlignment="1">
      <alignment horizontal="right" indent="2"/>
    </xf>
    <xf numFmtId="172" fontId="10" fillId="0" borderId="0" xfId="0" applyNumberFormat="1" applyFont="1" applyFill="1" applyBorder="1" applyAlignment="1">
      <alignment horizontal="center" vertical="center"/>
    </xf>
    <xf numFmtId="172" fontId="10" fillId="0" borderId="0" xfId="0" applyNumberFormat="1" applyFont="1" applyFill="1" applyBorder="1" applyAlignment="1">
      <alignment horizontal="right" vertical="center" indent="2"/>
    </xf>
    <xf numFmtId="172" fontId="10" fillId="0" borderId="0" xfId="0" applyNumberFormat="1" applyFont="1" applyFill="1" applyBorder="1" applyAlignment="1">
      <alignment horizontal="right" vertical="center" indent="1"/>
    </xf>
    <xf numFmtId="3" fontId="10" fillId="9" borderId="2" xfId="2" applyNumberFormat="1" applyFont="1" applyFill="1" applyBorder="1" applyAlignment="1">
      <alignment horizontal="right" indent="2"/>
    </xf>
  </cellXfs>
  <cellStyles count="6">
    <cellStyle name="Commentaire" xfId="1" builtinId="10"/>
    <cellStyle name="Milliers" xfId="2" builtinId="3"/>
    <cellStyle name="Normal" xfId="0" builtinId="0"/>
    <cellStyle name="Normal 2" xfId="3"/>
    <cellStyle name="Normal 22" xfId="5"/>
    <cellStyle name="Pourcentage" xfId="4" builtinId="5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right" vertical="center" textRotation="0" wrapText="0" indent="2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right" vertical="center" textRotation="0" wrapText="0" indent="2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72" formatCode="#,##0;;"/>
      <fill>
        <patternFill patternType="none">
          <fgColor indexed="64"/>
          <bgColor indexed="65"/>
        </patternFill>
      </fill>
      <alignment horizontal="right" vertical="center" textRotation="0" wrapText="0" indent="2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Calibri Light"/>
        <scheme val="none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0" formatCode="dd\-mmm\-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 Light"/>
        <scheme val="none"/>
      </font>
      <numFmt numFmtId="30" formatCode="@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 Light"/>
        <scheme val="none"/>
      </font>
      <fill>
        <patternFill patternType="none">
          <fgColor rgb="FF000000"/>
          <bgColor auto="1"/>
        </patternFill>
      </fill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alibri Light"/>
        <scheme val="none"/>
      </font>
      <fill>
        <patternFill patternType="none">
          <fgColor rgb="FF000000"/>
          <bgColor auto="1"/>
        </patternFill>
      </fill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32342452" displayName="Table132342452" ref="A5:AE18" totalsRowCount="1" headerRowDxfId="49" dataDxfId="47" totalsRowDxfId="45" headerRowBorderDxfId="48" tableBorderDxfId="46">
  <autoFilter ref="A5:AE17"/>
  <sortState ref="A6:AB36">
    <sortCondition ref="F6:F36"/>
  </sortState>
  <tableColumns count="31">
    <tableColumn id="1" name="No." dataDxfId="44" totalsRowDxfId="30"/>
    <tableColumn id="29" name="REFERENCE" dataDxfId="43" totalsRowDxfId="29" dataCellStyle="Normal 22"/>
    <tableColumn id="2" name="Noms" dataDxfId="42" totalsRowDxfId="28"/>
    <tableColumn id="16" name="Prénom " dataDxfId="41" totalsRowDxfId="27"/>
    <tableColumn id="3" name="DECOMPTE" dataDxfId="40" totalsRowDxfId="26"/>
    <tableColumn id="17" name="LIEU" dataDxfId="39" totalsRowDxfId="25"/>
    <tableColumn id="12" name="FONCTION" dataDxfId="38" totalsRowDxfId="24"/>
    <tableColumn id="31" name="CENTRE D'ANALYSE" dataDxfId="37" totalsRowDxfId="23"/>
    <tableColumn id="4" name="NOTES" dataDxfId="36" totalsRowDxfId="22"/>
    <tableColumn id="5" name="Date d'embauche" dataDxfId="35" totalsRowDxfId="21"/>
    <tableColumn id="25" name="Salaire en numéraire" dataDxfId="34" totalsRowDxfId="20"/>
    <tableColumn id="26" name="Avantage en nature" dataDxfId="33" totalsRowDxfId="19"/>
    <tableColumn id="30" name="Heures supplémentaires" dataDxfId="32" totalsRowDxfId="18"/>
    <tableColumn id="6" name="Salaire Brut" totalsRowFunction="sum" totalsRowDxfId="17" dataCellStyle="Commentaire"/>
    <tableColumn id="13" name="Salaire non taxable" totalsRowFunction="sum" totalsRowDxfId="16" dataCellStyle="Commentaire">
      <calculatedColumnFormula>N6*$N$3</calculatedColumnFormula>
    </tableColumn>
    <tableColumn id="8" name="Base imposable" totalsRowFunction="sum" totalsRowDxfId="15" dataCellStyle="Commentaire">
      <calculatedColumnFormula>N6-O6</calculatedColumnFormula>
    </tableColumn>
    <tableColumn id="9" name="Impôt" totalsRowFunction="sum" totalsRowDxfId="14" dataCellStyle="Commentaire">
      <calculatedColumnFormula>IF(P6&lt;='Tax Table'!$G$6,'Tax Table'!$I$6,IF(P6&lt;='Tax Table'!$G$7,'Tax Table'!$I$7,IF(P6&lt;='Tax Table'!$G$8,'Tax Table'!$I$8,IF(P6&lt;'Tax Table'!$G$9,'Tax Table'!$I$9,IF(P6&lt;='Tax Table'!$G$10,'Tax Table'!$I$10,IF(P6&gt;'Tax Table'!$F$11,(P6-'Tax Table'!$F$11)*30%)+('Tax Table'!$I$10))))))</calculatedColumnFormula>
    </tableColumn>
    <tableColumn id="19" name="Accordée (+)" totalsRowFunction="sum" totalsRowDxfId="13" dataCellStyle="Commentaire"/>
    <tableColumn id="22" name="Total Rbst antérieur" totalsRowFunction="sum" totalsRowDxfId="12" dataCellStyle="Commentaire"/>
    <tableColumn id="15" name="Retenue Quinzaine _x000a_(-)" totalsRowFunction="sum" totalsRowDxfId="11" dataCellStyle="Commentaire">
      <calculatedColumnFormula>15744*16</calculatedColumnFormula>
    </tableColumn>
    <tableColumn id="18" name="Retenue Spéciale _x000a_(-)" totalsRowFunction="sum" totalsRowDxfId="10" dataCellStyle="Commentaire">
      <calculatedColumnFormula>Table132342452[[#This Row],[Retenue Quinzaine 
(-)]]*2</calculatedColumnFormula>
    </tableColumn>
    <tableColumn id="21" name="Cumul Rbst" totalsRowFunction="sum" totalsRowDxfId="9" dataCellStyle="Commentaire">
      <calculatedColumnFormula>SUM(Table132342452[[#This Row],[Total Rbst antérieur]:[Retenue Spéciale 
(-)]])</calculatedColumnFormula>
    </tableColumn>
    <tableColumn id="20" name="Solde" totalsRowFunction="sum" totalsRowDxfId="8" dataCellStyle="Commentaire">
      <calculatedColumnFormula>Table132342452[[#This Row],[Accordée (+)]]-Table132342452[[#This Row],[Cumul Rbst]]</calculatedColumnFormula>
    </tableColumn>
    <tableColumn id="10" name="Montant NET" totalsRowFunction="sum" totalsRowDxfId="7" dataCellStyle="Milliers">
      <calculatedColumnFormula>ROUND(N6-Q6-Table132342452[[#This Row],[Retenue Quinzaine 
(-)]]-Table132342452[[#This Row],[Retenue Spéciale 
(-)]],0)</calculatedColumnFormula>
    </tableColumn>
    <tableColumn id="23" name="EQUILIBRE" totalsRowDxfId="6" dataCellStyle="Milliers">
      <calculatedColumnFormula>IF(AD6="","",ROUND(AD6-X6,0))</calculatedColumnFormula>
    </tableColumn>
    <tableColumn id="24" name="N° cells" totalsRowDxfId="5" dataCellStyle="Milliers"/>
    <tableColumn id="27" name="A" totalsRowDxfId="4" dataCellStyle="Milliers">
      <calculatedColumnFormula>Y6 + Z6</calculatedColumnFormula>
    </tableColumn>
    <tableColumn id="28" name="B" totalsRowDxfId="3" dataCellStyle="Milliers"/>
    <tableColumn id="14" name="C" totalsRowFunction="sum" totalsRowDxfId="2" dataCellStyle="Commentaire">
      <calculatedColumnFormula>X6/$Q$3</calculatedColumnFormula>
    </tableColumn>
    <tableColumn id="7" name="Net à payer" totalsRowFunction="sum" totalsRowDxfId="1" dataCellStyle="Milliers"/>
    <tableColumn id="11" name="Cotisation" totalsRowFunction="sum" dataDxfId="31" totalsRowDxfId="0" dataCellStyle="Milliers">
      <calculatedColumnFormula>10000*5%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M76"/>
  <sheetViews>
    <sheetView showGridLines="0" tabSelected="1" zoomScale="80" zoomScaleNormal="80" workbookViewId="0">
      <pane xSplit="3" ySplit="5" topLeftCell="M6" activePane="bottomRight" state="frozen"/>
      <selection pane="topRight" activeCell="D1" sqref="D1"/>
      <selection pane="bottomLeft" activeCell="A6" sqref="A6"/>
      <selection pane="bottomRight" activeCell="AD6" sqref="AD6"/>
    </sheetView>
  </sheetViews>
  <sheetFormatPr baseColWidth="10" defaultColWidth="9.109375" defaultRowHeight="14.4" outlineLevelCol="1"/>
  <cols>
    <col min="1" max="1" width="4.44140625" style="11" customWidth="1"/>
    <col min="2" max="2" width="14.6640625" style="11" bestFit="1" customWidth="1"/>
    <col min="3" max="3" width="8" style="11" customWidth="1"/>
    <col min="4" max="4" width="18.88671875" style="11" bestFit="1" customWidth="1"/>
    <col min="5" max="5" width="18.88671875" style="11" customWidth="1"/>
    <col min="6" max="6" width="12" style="11" customWidth="1"/>
    <col min="7" max="7" width="27.5546875" style="11" customWidth="1"/>
    <col min="8" max="8" width="21.109375" style="11" customWidth="1"/>
    <col min="9" max="9" width="28.109375" style="11" customWidth="1"/>
    <col min="10" max="10" width="12.88671875" style="11" customWidth="1"/>
    <col min="11" max="11" width="14.88671875" style="11" customWidth="1" outlineLevel="1"/>
    <col min="12" max="12" width="18.5546875" style="11" customWidth="1" outlineLevel="1"/>
    <col min="13" max="13" width="0.109375" style="11" customWidth="1" outlineLevel="1"/>
    <col min="14" max="15" width="15.77734375" style="11" customWidth="1"/>
    <col min="16" max="16" width="14.77734375" style="11" customWidth="1"/>
    <col min="17" max="17" width="12.77734375" style="11" customWidth="1"/>
    <col min="18" max="18" width="12.33203125" style="11" customWidth="1"/>
    <col min="19" max="19" width="11.6640625" style="11" customWidth="1"/>
    <col min="20" max="20" width="14.33203125" style="11" bestFit="1" customWidth="1"/>
    <col min="21" max="21" width="11.44140625" style="11" customWidth="1"/>
    <col min="22" max="22" width="10.5546875" style="67" customWidth="1"/>
    <col min="23" max="23" width="11.109375" style="11" bestFit="1" customWidth="1"/>
    <col min="24" max="24" width="15.77734375" style="11" customWidth="1"/>
    <col min="25" max="25" width="14.6640625" style="11" bestFit="1" customWidth="1"/>
    <col min="26" max="26" width="12.44140625" style="11" bestFit="1" customWidth="1"/>
    <col min="27" max="28" width="11.44140625" style="11" customWidth="1"/>
    <col min="29" max="29" width="13.6640625" style="11" customWidth="1"/>
    <col min="30" max="30" width="15.77734375" style="11" customWidth="1"/>
    <col min="31" max="31" width="17.88671875" style="11" customWidth="1"/>
    <col min="32" max="32" width="15.5546875" style="11" customWidth="1"/>
    <col min="33" max="33" width="14.109375" style="11" customWidth="1"/>
    <col min="34" max="34" width="15.5546875" style="11" customWidth="1"/>
    <col min="35" max="35" width="16.109375" style="11" customWidth="1"/>
    <col min="36" max="36" width="15.33203125" style="11" customWidth="1"/>
    <col min="37" max="37" width="16.5546875" style="17" customWidth="1"/>
    <col min="38" max="38" width="16.88671875" style="17" customWidth="1"/>
    <col min="39" max="39" width="5.6640625" style="11" customWidth="1"/>
    <col min="40" max="40" width="15.88671875" style="17" customWidth="1"/>
    <col min="41" max="42" width="15.33203125" style="17" customWidth="1"/>
    <col min="43" max="43" width="17" style="17" customWidth="1"/>
    <col min="44" max="44" width="14.88671875" style="11" customWidth="1"/>
    <col min="45" max="45" width="18.5546875" style="11" customWidth="1"/>
    <col min="46" max="46" width="14" style="11" customWidth="1"/>
    <col min="47" max="47" width="15.6640625" style="11" customWidth="1"/>
    <col min="48" max="16384" width="9.109375" style="11"/>
  </cols>
  <sheetData>
    <row r="1" spans="1:117" ht="19.8">
      <c r="A1" s="10"/>
      <c r="B1" s="10"/>
      <c r="C1" s="10"/>
      <c r="G1" s="12"/>
      <c r="H1" s="13"/>
      <c r="I1" s="13"/>
      <c r="J1" s="13"/>
      <c r="K1" s="13"/>
      <c r="L1" s="13"/>
      <c r="M1" s="13"/>
      <c r="N1" s="13"/>
      <c r="O1" s="14"/>
      <c r="P1" s="14"/>
      <c r="Q1" s="13"/>
      <c r="R1" s="13"/>
      <c r="S1" s="13"/>
      <c r="T1" s="15"/>
      <c r="U1" s="13"/>
      <c r="V1" s="13"/>
      <c r="W1" s="13"/>
      <c r="X1" s="13"/>
      <c r="Y1" s="16" t="s">
        <v>32</v>
      </c>
      <c r="Z1" s="79">
        <v>8</v>
      </c>
      <c r="AJ1" s="17"/>
      <c r="AL1" s="11"/>
      <c r="AM1" s="17"/>
      <c r="AQ1" s="11"/>
    </row>
    <row r="2" spans="1:117" ht="13.8">
      <c r="A2" s="10"/>
      <c r="B2" s="10"/>
      <c r="C2" s="10"/>
      <c r="H2" s="13"/>
      <c r="I2" s="13"/>
      <c r="J2" s="13"/>
      <c r="K2" s="13"/>
      <c r="L2" s="13"/>
      <c r="M2" s="13"/>
      <c r="N2" s="13"/>
      <c r="O2" s="14"/>
      <c r="P2" s="14"/>
      <c r="Q2" s="13"/>
      <c r="R2" s="13"/>
      <c r="S2" s="13"/>
      <c r="T2" s="15"/>
      <c r="U2" s="13"/>
      <c r="V2" s="13"/>
      <c r="W2" s="13"/>
      <c r="X2" s="13"/>
      <c r="Y2" s="77" t="s">
        <v>33</v>
      </c>
      <c r="Z2" s="80">
        <f>Z1+COUNTA(X7:$X$17)</f>
        <v>18</v>
      </c>
      <c r="AJ2" s="17"/>
      <c r="AL2" s="11"/>
      <c r="AM2" s="17"/>
      <c r="AQ2" s="11"/>
    </row>
    <row r="3" spans="1:117" ht="13.8">
      <c r="A3" s="18"/>
      <c r="B3" s="18"/>
      <c r="C3" s="18"/>
      <c r="D3" s="13"/>
      <c r="E3" s="13"/>
      <c r="F3" s="13"/>
      <c r="G3" s="13"/>
      <c r="H3" s="13"/>
      <c r="I3" s="13"/>
      <c r="J3" s="13"/>
      <c r="K3" s="13"/>
      <c r="L3" s="13"/>
      <c r="N3" s="19">
        <v>0.3</v>
      </c>
      <c r="O3" s="14"/>
      <c r="P3" s="14"/>
      <c r="Q3" s="20">
        <v>492</v>
      </c>
      <c r="R3" s="20"/>
      <c r="S3" s="20"/>
      <c r="T3" s="21"/>
      <c r="U3" s="20"/>
      <c r="V3" s="20"/>
      <c r="W3" s="20"/>
      <c r="X3" s="22"/>
      <c r="Y3" s="22"/>
      <c r="Z3" s="22"/>
      <c r="AA3" s="22"/>
      <c r="AB3" s="22"/>
      <c r="AC3" s="22"/>
      <c r="AD3" s="22"/>
      <c r="AJ3" s="17"/>
      <c r="AL3" s="11"/>
      <c r="AM3" s="17"/>
      <c r="AQ3" s="11"/>
    </row>
    <row r="4" spans="1:117" ht="15" customHeight="1">
      <c r="A4" s="18"/>
      <c r="B4" s="18"/>
      <c r="C4" s="18"/>
      <c r="D4" s="13"/>
      <c r="E4" s="13"/>
      <c r="F4" s="13"/>
      <c r="G4" s="13"/>
      <c r="H4" s="13"/>
      <c r="I4" s="13"/>
      <c r="J4" s="13"/>
      <c r="K4" s="13"/>
      <c r="L4" s="13"/>
      <c r="N4" s="19"/>
      <c r="O4" s="13"/>
      <c r="P4" s="13"/>
      <c r="Q4" s="20"/>
      <c r="R4" s="23"/>
      <c r="S4" s="24"/>
      <c r="T4" s="25" t="s">
        <v>22</v>
      </c>
      <c r="U4" s="24"/>
      <c r="V4" s="24"/>
      <c r="W4" s="26"/>
      <c r="X4" s="22"/>
      <c r="Y4" s="22"/>
      <c r="Z4" s="22"/>
      <c r="AA4" s="22"/>
      <c r="AB4" s="22"/>
      <c r="AC4" s="22"/>
      <c r="AD4" s="22"/>
      <c r="AJ4" s="17"/>
      <c r="AL4" s="11"/>
      <c r="AM4" s="17"/>
      <c r="AQ4" s="11"/>
    </row>
    <row r="5" spans="1:117" ht="24.9" customHeight="1">
      <c r="A5" s="27" t="s">
        <v>2</v>
      </c>
      <c r="B5" s="27" t="s">
        <v>47</v>
      </c>
      <c r="C5" s="27" t="s">
        <v>15</v>
      </c>
      <c r="D5" s="27" t="s">
        <v>16</v>
      </c>
      <c r="E5" s="27" t="s">
        <v>21</v>
      </c>
      <c r="F5" s="28" t="s">
        <v>39</v>
      </c>
      <c r="G5" s="27" t="s">
        <v>17</v>
      </c>
      <c r="H5" s="27" t="s">
        <v>40</v>
      </c>
      <c r="I5" s="27" t="s">
        <v>41</v>
      </c>
      <c r="J5" s="29" t="s">
        <v>0</v>
      </c>
      <c r="K5" s="29" t="s">
        <v>45</v>
      </c>
      <c r="L5" s="29" t="s">
        <v>46</v>
      </c>
      <c r="M5" s="29" t="s">
        <v>19</v>
      </c>
      <c r="N5" s="30" t="s">
        <v>1</v>
      </c>
      <c r="O5" s="31" t="s">
        <v>42</v>
      </c>
      <c r="P5" s="30" t="s">
        <v>43</v>
      </c>
      <c r="Q5" s="30" t="s">
        <v>38</v>
      </c>
      <c r="R5" s="30" t="s">
        <v>25</v>
      </c>
      <c r="S5" s="30" t="s">
        <v>28</v>
      </c>
      <c r="T5" s="32" t="s">
        <v>26</v>
      </c>
      <c r="U5" s="30" t="s">
        <v>27</v>
      </c>
      <c r="V5" s="30" t="s">
        <v>24</v>
      </c>
      <c r="W5" s="30" t="s">
        <v>23</v>
      </c>
      <c r="X5" s="30" t="s">
        <v>31</v>
      </c>
      <c r="Y5" s="33" t="s">
        <v>30</v>
      </c>
      <c r="Z5" s="33" t="s">
        <v>34</v>
      </c>
      <c r="AA5" s="33" t="s">
        <v>36</v>
      </c>
      <c r="AB5" s="33" t="s">
        <v>37</v>
      </c>
      <c r="AC5" s="33" t="s">
        <v>44</v>
      </c>
      <c r="AD5" s="33" t="s">
        <v>29</v>
      </c>
      <c r="AE5" s="34" t="s">
        <v>35</v>
      </c>
      <c r="AF5" s="35"/>
      <c r="AG5" s="35"/>
      <c r="AH5" s="35"/>
      <c r="AI5" s="35"/>
      <c r="AJ5" s="36"/>
      <c r="AK5" s="11"/>
      <c r="AL5" s="11"/>
      <c r="AN5" s="11"/>
      <c r="AO5" s="11"/>
      <c r="AP5" s="11"/>
      <c r="AQ5" s="11"/>
    </row>
    <row r="6" spans="1:117" ht="20.100000000000001" customHeight="1">
      <c r="A6" s="37">
        <v>1</v>
      </c>
      <c r="B6" s="38" t="str">
        <f>CONCATENATE("Emp",A6)</f>
        <v>Emp1</v>
      </c>
      <c r="C6" s="39"/>
      <c r="D6" s="39"/>
      <c r="E6" s="40"/>
      <c r="F6" s="39"/>
      <c r="G6" s="39"/>
      <c r="H6" s="39"/>
      <c r="I6" s="41"/>
      <c r="J6" s="42"/>
      <c r="K6" s="43"/>
      <c r="L6" s="43"/>
      <c r="M6" s="43"/>
      <c r="N6" s="87"/>
      <c r="O6" s="82">
        <f t="shared" ref="O6:O15" si="0">N6*$N$3</f>
        <v>0</v>
      </c>
      <c r="P6" s="82">
        <f t="shared" ref="P6:P16" si="1">N6-O6</f>
        <v>0</v>
      </c>
      <c r="Q6" s="83">
        <f>IF(P6&lt;='Tax Table'!$G$6,'Tax Table'!$I$6,IF(P6&lt;='Tax Table'!$G$7,'Tax Table'!$I$7,IF(P6&lt;='Tax Table'!$G$8,'Tax Table'!$I$8,IF(P6&lt;'Tax Table'!$G$9,'Tax Table'!$I$9,IF(P6&lt;='Tax Table'!$G$10,'Tax Table'!$I$10,IF(P6&gt;'Tax Table'!$F$11,(P6-'Tax Table'!$F$11)*30%)+('Tax Table'!$I$10))))))</f>
        <v>1458.3958333333333</v>
      </c>
      <c r="R6" s="46"/>
      <c r="S6" s="45"/>
      <c r="T6" s="45"/>
      <c r="U6" s="45"/>
      <c r="V6" s="78">
        <f>SUM(Table132342452[[#This Row],[Total Rbst antérieur]:[Retenue Spéciale 
(-)]])</f>
        <v>0</v>
      </c>
      <c r="W6" s="78">
        <f>Table132342452[[#This Row],[Accordée (+)]]-Table132342452[[#This Row],[Cumul Rbst]]</f>
        <v>0</v>
      </c>
      <c r="X6" s="95">
        <f>ROUND(N6-Q6-Table132342452[[#This Row],[Retenue Quinzaine 
(-)]]-Table132342452[[#This Row],[Retenue Spéciale 
(-)]],0)</f>
        <v>-1458</v>
      </c>
      <c r="Y6" s="47" t="str">
        <f t="shared" ref="Y6:Y17" si="2">IF(AD6="","",ROUND(AD6-X6,0))</f>
        <v/>
      </c>
      <c r="Z6" s="81">
        <v>8</v>
      </c>
      <c r="AA6" s="44"/>
      <c r="AB6" s="44"/>
      <c r="AC6" s="48"/>
      <c r="AD6" s="89"/>
      <c r="AE6" s="49"/>
      <c r="AF6" s="17"/>
      <c r="AG6" s="17"/>
      <c r="AH6" s="17"/>
      <c r="AI6" s="17"/>
      <c r="AJ6" s="50"/>
      <c r="AK6" s="11"/>
      <c r="AL6" s="11"/>
      <c r="AN6" s="11"/>
      <c r="AO6" s="11"/>
      <c r="AP6" s="11"/>
      <c r="AQ6" s="11"/>
    </row>
    <row r="7" spans="1:117" ht="20.100000000000001" customHeight="1">
      <c r="A7" s="37">
        <f t="shared" ref="A7:A16" si="3">A6+1</f>
        <v>2</v>
      </c>
      <c r="B7" s="38" t="str">
        <f t="shared" ref="B7:B16" si="4">CONCATENATE("Emp",A7)</f>
        <v>Emp2</v>
      </c>
      <c r="C7" s="39"/>
      <c r="D7" s="39"/>
      <c r="E7" s="40"/>
      <c r="F7" s="39"/>
      <c r="G7" s="39"/>
      <c r="H7" s="39"/>
      <c r="I7" s="41"/>
      <c r="J7" s="42"/>
      <c r="K7" s="43"/>
      <c r="L7" s="43"/>
      <c r="M7" s="43"/>
      <c r="N7" s="88"/>
      <c r="O7" s="84">
        <f t="shared" si="0"/>
        <v>0</v>
      </c>
      <c r="P7" s="82">
        <f t="shared" si="1"/>
        <v>0</v>
      </c>
      <c r="Q7" s="83">
        <f>IF(P7&lt;='Tax Table'!$G$6,'Tax Table'!$I$6,IF(P7&lt;='Tax Table'!$G$7,'Tax Table'!$I$7,IF(P7&lt;='Tax Table'!$G$8,'Tax Table'!$I$8,IF(P7&lt;'Tax Table'!$G$9,'Tax Table'!$I$9,IF(P7&lt;='Tax Table'!$G$10,'Tax Table'!$I$10,IF(P7&gt;'Tax Table'!$F$11,(P7-'Tax Table'!$F$11)*30%)+('Tax Table'!$I$10))))))</f>
        <v>1458.3958333333333</v>
      </c>
      <c r="R7" s="46"/>
      <c r="S7" s="45"/>
      <c r="T7" s="45"/>
      <c r="U7" s="45"/>
      <c r="V7" s="78">
        <f>SUM(Table132342452[[#This Row],[Total Rbst antérieur]:[Retenue Spéciale 
(-)]])</f>
        <v>0</v>
      </c>
      <c r="W7" s="78">
        <f>Table132342452[[#This Row],[Accordée (+)]]-Table132342452[[#This Row],[Cumul Rbst]]</f>
        <v>0</v>
      </c>
      <c r="X7" s="95">
        <f>ROUND(N7-Q7-Table132342452[[#This Row],[Retenue Quinzaine 
(-)]]-Table132342452[[#This Row],[Retenue Spéciale 
(-)]],0)</f>
        <v>-1458</v>
      </c>
      <c r="Y7" s="47" t="str">
        <f t="shared" si="2"/>
        <v/>
      </c>
      <c r="Z7" s="81">
        <f>Z6+1</f>
        <v>9</v>
      </c>
      <c r="AA7" s="44"/>
      <c r="AB7" s="44"/>
      <c r="AC7" s="48"/>
      <c r="AD7" s="89"/>
      <c r="AE7" s="49"/>
      <c r="AF7" s="17"/>
      <c r="AG7" s="17"/>
      <c r="AH7" s="17"/>
      <c r="AI7" s="17"/>
      <c r="AJ7" s="50"/>
      <c r="AK7" s="11"/>
      <c r="AL7" s="51"/>
      <c r="AM7" s="51"/>
      <c r="AN7" s="11"/>
      <c r="AO7" s="11"/>
      <c r="AP7" s="11"/>
      <c r="AQ7" s="11"/>
    </row>
    <row r="8" spans="1:117" s="52" customFormat="1" ht="20.100000000000001" customHeight="1">
      <c r="A8" s="37">
        <f t="shared" si="3"/>
        <v>3</v>
      </c>
      <c r="B8" s="38" t="str">
        <f t="shared" si="4"/>
        <v>Emp3</v>
      </c>
      <c r="C8" s="39"/>
      <c r="D8" s="39"/>
      <c r="E8" s="40"/>
      <c r="F8" s="39"/>
      <c r="G8" s="39"/>
      <c r="H8" s="39"/>
      <c r="I8" s="41"/>
      <c r="J8" s="42"/>
      <c r="K8" s="43"/>
      <c r="L8" s="43"/>
      <c r="M8" s="43"/>
      <c r="N8" s="87"/>
      <c r="O8" s="82">
        <f t="shared" si="0"/>
        <v>0</v>
      </c>
      <c r="P8" s="82">
        <f t="shared" si="1"/>
        <v>0</v>
      </c>
      <c r="Q8" s="83">
        <f>IF(P8&lt;='Tax Table'!$G$6,'Tax Table'!$I$6,IF(P8&lt;='Tax Table'!$G$7,'Tax Table'!$I$7,IF(P8&lt;='Tax Table'!$G$8,'Tax Table'!$I$8,IF(P8&lt;'Tax Table'!$G$9,'Tax Table'!$I$9,IF(P8&lt;='Tax Table'!$G$10,'Tax Table'!$I$10,IF(P8&gt;'Tax Table'!$F$11,(P8-'Tax Table'!$F$11)*30%)+('Tax Table'!$I$10))))))</f>
        <v>1458.3958333333333</v>
      </c>
      <c r="R8" s="46"/>
      <c r="S8" s="45"/>
      <c r="T8" s="45"/>
      <c r="U8" s="45"/>
      <c r="V8" s="78">
        <f>SUM(Table132342452[[#This Row],[Total Rbst antérieur]:[Retenue Spéciale 
(-)]])</f>
        <v>0</v>
      </c>
      <c r="W8" s="78">
        <f>Table132342452[[#This Row],[Accordée (+)]]-Table132342452[[#This Row],[Cumul Rbst]]</f>
        <v>0</v>
      </c>
      <c r="X8" s="95">
        <f>ROUND(N8-Q8-Table132342452[[#This Row],[Retenue Quinzaine 
(-)]]-Table132342452[[#This Row],[Retenue Spéciale 
(-)]],0)</f>
        <v>-1458</v>
      </c>
      <c r="Y8" s="47" t="str">
        <f t="shared" si="2"/>
        <v/>
      </c>
      <c r="Z8" s="81">
        <f t="shared" ref="Z8:Z16" si="5">Z7+1</f>
        <v>10</v>
      </c>
      <c r="AA8" s="44"/>
      <c r="AB8" s="44"/>
      <c r="AC8" s="48"/>
      <c r="AD8" s="89"/>
      <c r="AE8" s="49"/>
      <c r="AF8" s="17"/>
      <c r="AG8" s="17"/>
      <c r="AH8" s="17"/>
      <c r="AI8" s="17"/>
      <c r="AJ8" s="50"/>
      <c r="AK8" s="11"/>
      <c r="AL8" s="51"/>
      <c r="AM8" s="5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</row>
    <row r="9" spans="1:117" s="52" customFormat="1" ht="20.100000000000001" customHeight="1">
      <c r="A9" s="37">
        <f t="shared" si="3"/>
        <v>4</v>
      </c>
      <c r="B9" s="38" t="str">
        <f t="shared" si="4"/>
        <v>Emp4</v>
      </c>
      <c r="C9" s="39"/>
      <c r="D9" s="39"/>
      <c r="E9" s="40"/>
      <c r="F9" s="39"/>
      <c r="G9" s="39"/>
      <c r="H9" s="39"/>
      <c r="I9" s="41"/>
      <c r="J9" s="42"/>
      <c r="K9" s="43"/>
      <c r="L9" s="43"/>
      <c r="M9" s="43"/>
      <c r="N9" s="87"/>
      <c r="O9" s="84">
        <f t="shared" si="0"/>
        <v>0</v>
      </c>
      <c r="P9" s="82">
        <f t="shared" si="1"/>
        <v>0</v>
      </c>
      <c r="Q9" s="83">
        <f>IF(P9&lt;='Tax Table'!$G$6,'Tax Table'!$I$6,IF(P9&lt;='Tax Table'!$G$7,'Tax Table'!$I$7,IF(P9&lt;='Tax Table'!$G$8,'Tax Table'!$I$8,IF(P9&lt;'Tax Table'!$G$9,'Tax Table'!$I$9,IF(P9&lt;='Tax Table'!$G$10,'Tax Table'!$I$10,IF(P9&gt;'Tax Table'!$F$11,(P9-'Tax Table'!$F$11)*30%)+('Tax Table'!$I$10))))))</f>
        <v>1458.3958333333333</v>
      </c>
      <c r="R9" s="46"/>
      <c r="S9" s="45"/>
      <c r="T9" s="45"/>
      <c r="U9" s="45"/>
      <c r="V9" s="78">
        <f>SUM(Table132342452[[#This Row],[Total Rbst antérieur]:[Retenue Spéciale 
(-)]])</f>
        <v>0</v>
      </c>
      <c r="W9" s="78">
        <f>Table132342452[[#This Row],[Accordée (+)]]-Table132342452[[#This Row],[Cumul Rbst]]</f>
        <v>0</v>
      </c>
      <c r="X9" s="95">
        <f>ROUND(N9-Q9-Table132342452[[#This Row],[Retenue Quinzaine 
(-)]]-Table132342452[[#This Row],[Retenue Spéciale 
(-)]],0)</f>
        <v>-1458</v>
      </c>
      <c r="Y9" s="47" t="str">
        <f t="shared" si="2"/>
        <v/>
      </c>
      <c r="Z9" s="81">
        <f t="shared" si="5"/>
        <v>11</v>
      </c>
      <c r="AA9" s="44"/>
      <c r="AB9" s="44"/>
      <c r="AC9" s="48"/>
      <c r="AD9" s="89"/>
      <c r="AE9" s="49"/>
      <c r="AF9" s="17"/>
      <c r="AG9" s="17"/>
      <c r="AH9" s="17"/>
      <c r="AI9" s="17"/>
      <c r="AJ9" s="50"/>
      <c r="AK9" s="11"/>
      <c r="AL9" s="51"/>
      <c r="AM9" s="5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</row>
    <row r="10" spans="1:117" ht="20.100000000000001" customHeight="1">
      <c r="A10" s="37">
        <f t="shared" si="3"/>
        <v>5</v>
      </c>
      <c r="B10" s="38" t="str">
        <f t="shared" si="4"/>
        <v>Emp5</v>
      </c>
      <c r="C10" s="39"/>
      <c r="D10" s="39"/>
      <c r="E10" s="40"/>
      <c r="F10" s="39"/>
      <c r="G10" s="39"/>
      <c r="H10" s="39"/>
      <c r="I10" s="41"/>
      <c r="J10" s="42"/>
      <c r="K10" s="43"/>
      <c r="L10" s="43"/>
      <c r="M10" s="43"/>
      <c r="N10" s="87"/>
      <c r="O10" s="82">
        <f t="shared" si="0"/>
        <v>0</v>
      </c>
      <c r="P10" s="82">
        <f t="shared" si="1"/>
        <v>0</v>
      </c>
      <c r="Q10" s="83">
        <f>IF(P10&lt;='Tax Table'!$G$6,'Tax Table'!$I$6,IF(P10&lt;='Tax Table'!$G$7,'Tax Table'!$I$7,IF(P10&lt;='Tax Table'!$G$8,'Tax Table'!$I$8,IF(P10&lt;'Tax Table'!$G$9,'Tax Table'!$I$9,IF(P10&lt;='Tax Table'!$G$10,'Tax Table'!$I$10,IF(P10&gt;'Tax Table'!$F$11,(P10-'Tax Table'!$F$11)*30%)+('Tax Table'!$I$10))))))</f>
        <v>1458.3958333333333</v>
      </c>
      <c r="R10" s="46"/>
      <c r="S10" s="45"/>
      <c r="T10" s="45"/>
      <c r="U10" s="45"/>
      <c r="V10" s="78">
        <f>SUM(Table132342452[[#This Row],[Total Rbst antérieur]:[Retenue Spéciale 
(-)]])</f>
        <v>0</v>
      </c>
      <c r="W10" s="78">
        <f>Table132342452[[#This Row],[Accordée (+)]]-Table132342452[[#This Row],[Cumul Rbst]]</f>
        <v>0</v>
      </c>
      <c r="X10" s="95">
        <f>ROUND(N10-Q10-Table132342452[[#This Row],[Retenue Quinzaine 
(-)]]-Table132342452[[#This Row],[Retenue Spéciale 
(-)]],0)</f>
        <v>-1458</v>
      </c>
      <c r="Y10" s="47" t="str">
        <f t="shared" si="2"/>
        <v/>
      </c>
      <c r="Z10" s="81">
        <f t="shared" si="5"/>
        <v>12</v>
      </c>
      <c r="AA10" s="44"/>
      <c r="AB10" s="44"/>
      <c r="AC10" s="48"/>
      <c r="AD10" s="89"/>
      <c r="AE10" s="49"/>
      <c r="AF10" s="17"/>
      <c r="AG10" s="17"/>
      <c r="AH10" s="17"/>
      <c r="AI10" s="17"/>
      <c r="AJ10" s="50"/>
      <c r="AK10" s="11"/>
      <c r="AL10" s="11"/>
      <c r="AN10" s="11"/>
      <c r="AO10" s="11"/>
      <c r="AP10" s="11"/>
      <c r="AQ10" s="11"/>
    </row>
    <row r="11" spans="1:117" ht="20.100000000000001" customHeight="1">
      <c r="A11" s="37">
        <f t="shared" si="3"/>
        <v>6</v>
      </c>
      <c r="B11" s="38" t="str">
        <f t="shared" si="4"/>
        <v>Emp6</v>
      </c>
      <c r="C11" s="39"/>
      <c r="D11" s="39"/>
      <c r="E11" s="40"/>
      <c r="F11" s="39"/>
      <c r="G11" s="39"/>
      <c r="H11" s="39"/>
      <c r="I11" s="41"/>
      <c r="J11" s="42"/>
      <c r="K11" s="43"/>
      <c r="L11" s="43"/>
      <c r="M11" s="43"/>
      <c r="N11" s="88"/>
      <c r="O11" s="84">
        <f t="shared" si="0"/>
        <v>0</v>
      </c>
      <c r="P11" s="82">
        <f t="shared" si="1"/>
        <v>0</v>
      </c>
      <c r="Q11" s="83">
        <f>IF(P11&lt;='Tax Table'!$G$6,'Tax Table'!$I$6,IF(P11&lt;='Tax Table'!$G$7,'Tax Table'!$I$7,IF(P11&lt;='Tax Table'!$G$8,'Tax Table'!$I$8,IF(P11&lt;'Tax Table'!$G$9,'Tax Table'!$I$9,IF(P11&lt;='Tax Table'!$G$10,'Tax Table'!$I$10,IF(P11&gt;'Tax Table'!$F$11,(P11-'Tax Table'!$F$11)*30%)+('Tax Table'!$I$10))))))</f>
        <v>1458.3958333333333</v>
      </c>
      <c r="R11" s="46"/>
      <c r="S11" s="45"/>
      <c r="T11" s="45"/>
      <c r="U11" s="45"/>
      <c r="V11" s="78">
        <f>SUM(Table132342452[[#This Row],[Total Rbst antérieur]:[Retenue Spéciale 
(-)]])</f>
        <v>0</v>
      </c>
      <c r="W11" s="78">
        <f>Table132342452[[#This Row],[Accordée (+)]]-Table132342452[[#This Row],[Cumul Rbst]]</f>
        <v>0</v>
      </c>
      <c r="X11" s="95">
        <f>ROUND(N11-Q11-Table132342452[[#This Row],[Retenue Quinzaine 
(-)]]-Table132342452[[#This Row],[Retenue Spéciale 
(-)]],0)</f>
        <v>-1458</v>
      </c>
      <c r="Y11" s="47" t="str">
        <f t="shared" si="2"/>
        <v/>
      </c>
      <c r="Z11" s="81">
        <f t="shared" si="5"/>
        <v>13</v>
      </c>
      <c r="AA11" s="44"/>
      <c r="AB11" s="44"/>
      <c r="AC11" s="48"/>
      <c r="AD11" s="90"/>
      <c r="AE11" s="49"/>
      <c r="AF11" s="17"/>
      <c r="AG11" s="17"/>
      <c r="AH11" s="17"/>
      <c r="AI11" s="17"/>
      <c r="AJ11" s="50"/>
      <c r="AK11" s="11"/>
      <c r="AL11" s="11"/>
      <c r="AN11" s="11"/>
      <c r="AO11" s="11"/>
      <c r="AP11" s="11"/>
      <c r="AQ11" s="11"/>
    </row>
    <row r="12" spans="1:117" ht="20.100000000000001" customHeight="1">
      <c r="A12" s="37">
        <f t="shared" si="3"/>
        <v>7</v>
      </c>
      <c r="B12" s="38" t="str">
        <f t="shared" si="4"/>
        <v>Emp7</v>
      </c>
      <c r="C12" s="39"/>
      <c r="D12" s="39"/>
      <c r="E12" s="40"/>
      <c r="F12" s="39"/>
      <c r="G12" s="39"/>
      <c r="H12" s="39"/>
      <c r="I12" s="41"/>
      <c r="J12" s="42"/>
      <c r="K12" s="43"/>
      <c r="L12" s="43"/>
      <c r="M12" s="43"/>
      <c r="N12" s="88"/>
      <c r="O12" s="84">
        <f t="shared" si="0"/>
        <v>0</v>
      </c>
      <c r="P12" s="84">
        <f t="shared" si="1"/>
        <v>0</v>
      </c>
      <c r="Q12" s="83">
        <f>IF(P12&lt;='Tax Table'!$G$6,'Tax Table'!$I$6,IF(P12&lt;='Tax Table'!$G$7,'Tax Table'!$I$7,IF(P12&lt;='Tax Table'!$G$8,'Tax Table'!$I$8,IF(P12&lt;'Tax Table'!$G$9,'Tax Table'!$I$9,IF(P12&lt;='Tax Table'!$G$10,'Tax Table'!$I$10,IF(P12&gt;'Tax Table'!$F$11,(P12-'Tax Table'!$F$11)*30%)+('Tax Table'!$I$10))))))</f>
        <v>1458.3958333333333</v>
      </c>
      <c r="R12" s="46"/>
      <c r="S12" s="45"/>
      <c r="T12" s="45"/>
      <c r="U12" s="45"/>
      <c r="V12" s="78">
        <f>SUM(Table132342452[[#This Row],[Total Rbst antérieur]:[Retenue Spéciale 
(-)]])</f>
        <v>0</v>
      </c>
      <c r="W12" s="78">
        <f>Table132342452[[#This Row],[Accordée (+)]]-Table132342452[[#This Row],[Cumul Rbst]]</f>
        <v>0</v>
      </c>
      <c r="X12" s="95">
        <f>ROUND(N12-Q12-Table132342452[[#This Row],[Retenue Quinzaine 
(-)]]-Table132342452[[#This Row],[Retenue Spéciale 
(-)]],0)</f>
        <v>-1458</v>
      </c>
      <c r="Y12" s="47" t="str">
        <f t="shared" si="2"/>
        <v/>
      </c>
      <c r="Z12" s="81">
        <f t="shared" si="5"/>
        <v>14</v>
      </c>
      <c r="AA12" s="44"/>
      <c r="AB12" s="44"/>
      <c r="AC12" s="48"/>
      <c r="AD12" s="89"/>
      <c r="AE12" s="49"/>
      <c r="AF12" s="17"/>
      <c r="AG12" s="17"/>
      <c r="AH12" s="17"/>
      <c r="AI12" s="17"/>
      <c r="AJ12" s="50"/>
      <c r="AK12" s="11"/>
      <c r="AL12" s="11"/>
      <c r="AN12" s="11"/>
      <c r="AO12" s="11"/>
      <c r="AP12" s="11"/>
      <c r="AQ12" s="11"/>
    </row>
    <row r="13" spans="1:117" ht="20.100000000000001" customHeight="1">
      <c r="A13" s="37">
        <f t="shared" si="3"/>
        <v>8</v>
      </c>
      <c r="B13" s="38" t="str">
        <f t="shared" si="4"/>
        <v>Emp8</v>
      </c>
      <c r="C13" s="39"/>
      <c r="D13" s="39"/>
      <c r="E13" s="40"/>
      <c r="F13" s="39"/>
      <c r="G13" s="39"/>
      <c r="H13" s="39"/>
      <c r="I13" s="41"/>
      <c r="J13" s="42"/>
      <c r="K13" s="43"/>
      <c r="L13" s="43"/>
      <c r="M13" s="43"/>
      <c r="N13" s="88"/>
      <c r="O13" s="84">
        <f t="shared" si="0"/>
        <v>0</v>
      </c>
      <c r="P13" s="84">
        <f t="shared" si="1"/>
        <v>0</v>
      </c>
      <c r="Q13" s="83">
        <f>IF(P13&lt;='Tax Table'!$G$6,'Tax Table'!$I$6,IF(P13&lt;='Tax Table'!$G$7,'Tax Table'!$I$7,IF(P13&lt;='Tax Table'!$G$8,'Tax Table'!$I$8,IF(P13&lt;'Tax Table'!$G$9,'Tax Table'!$I$9,IF(P13&lt;='Tax Table'!$G$10,'Tax Table'!$I$10,IF(P13&gt;'Tax Table'!$F$11,(P13-'Tax Table'!$F$11)*30%)+('Tax Table'!$I$10))))))</f>
        <v>1458.3958333333333</v>
      </c>
      <c r="R13" s="46"/>
      <c r="S13" s="45"/>
      <c r="T13" s="45"/>
      <c r="U13" s="45"/>
      <c r="V13" s="78">
        <f>SUM(Table132342452[[#This Row],[Total Rbst antérieur]:[Retenue Spéciale 
(-)]])</f>
        <v>0</v>
      </c>
      <c r="W13" s="78">
        <f>Table132342452[[#This Row],[Accordée (+)]]-Table132342452[[#This Row],[Cumul Rbst]]</f>
        <v>0</v>
      </c>
      <c r="X13" s="95">
        <f>ROUND(N13-Q13-Table132342452[[#This Row],[Retenue Quinzaine 
(-)]]-Table132342452[[#This Row],[Retenue Spéciale 
(-)]],0)</f>
        <v>-1458</v>
      </c>
      <c r="Y13" s="47" t="str">
        <f t="shared" si="2"/>
        <v/>
      </c>
      <c r="Z13" s="81">
        <f t="shared" si="5"/>
        <v>15</v>
      </c>
      <c r="AA13" s="44"/>
      <c r="AB13" s="44"/>
      <c r="AC13" s="48"/>
      <c r="AD13" s="91"/>
      <c r="AE13" s="49"/>
      <c r="AF13" s="17"/>
      <c r="AG13" s="17"/>
      <c r="AH13" s="17"/>
      <c r="AI13" s="17"/>
      <c r="AJ13" s="50"/>
      <c r="AK13" s="11"/>
      <c r="AL13" s="53"/>
      <c r="AN13" s="11"/>
      <c r="AO13" s="11"/>
      <c r="AP13" s="11"/>
      <c r="AQ13" s="11"/>
    </row>
    <row r="14" spans="1:117" ht="20.100000000000001" customHeight="1">
      <c r="A14" s="37">
        <f t="shared" si="3"/>
        <v>9</v>
      </c>
      <c r="B14" s="38" t="str">
        <f t="shared" si="4"/>
        <v>Emp9</v>
      </c>
      <c r="C14" s="39"/>
      <c r="D14" s="39"/>
      <c r="E14" s="40"/>
      <c r="F14" s="39"/>
      <c r="G14" s="39"/>
      <c r="H14" s="39"/>
      <c r="I14" s="41"/>
      <c r="J14" s="42"/>
      <c r="K14" s="43"/>
      <c r="L14" s="43"/>
      <c r="M14" s="43"/>
      <c r="N14" s="88"/>
      <c r="O14" s="84">
        <f t="shared" si="0"/>
        <v>0</v>
      </c>
      <c r="P14" s="84">
        <f t="shared" si="1"/>
        <v>0</v>
      </c>
      <c r="Q14" s="83">
        <f>IF(P14&lt;='Tax Table'!$G$6,'Tax Table'!$I$6,IF(P14&lt;='Tax Table'!$G$7,'Tax Table'!$I$7,IF(P14&lt;='Tax Table'!$G$8,'Tax Table'!$I$8,IF(P14&lt;'Tax Table'!$G$9,'Tax Table'!$I$9,IF(P14&lt;='Tax Table'!$G$10,'Tax Table'!$I$10,IF(P14&gt;'Tax Table'!$F$11,(P14-'Tax Table'!$F$11)*30%)+('Tax Table'!$I$10))))))</f>
        <v>1458.3958333333333</v>
      </c>
      <c r="R14" s="46"/>
      <c r="S14" s="45"/>
      <c r="T14" s="45"/>
      <c r="U14" s="45"/>
      <c r="V14" s="78">
        <f>SUM(Table132342452[[#This Row],[Total Rbst antérieur]:[Retenue Spéciale 
(-)]])</f>
        <v>0</v>
      </c>
      <c r="W14" s="78">
        <f>Table132342452[[#This Row],[Accordée (+)]]-Table132342452[[#This Row],[Cumul Rbst]]</f>
        <v>0</v>
      </c>
      <c r="X14" s="95">
        <f>ROUND(N14-Q14-Table132342452[[#This Row],[Retenue Quinzaine 
(-)]]-Table132342452[[#This Row],[Retenue Spéciale 
(-)]],0)</f>
        <v>-1458</v>
      </c>
      <c r="Y14" s="47" t="str">
        <f t="shared" si="2"/>
        <v/>
      </c>
      <c r="Z14" s="81">
        <f t="shared" si="5"/>
        <v>16</v>
      </c>
      <c r="AA14" s="44"/>
      <c r="AB14" s="44"/>
      <c r="AC14" s="48"/>
      <c r="AD14" s="89"/>
      <c r="AE14" s="49"/>
      <c r="AF14" s="17"/>
      <c r="AG14" s="17"/>
      <c r="AH14" s="17"/>
      <c r="AI14" s="17"/>
      <c r="AJ14" s="50"/>
      <c r="AK14" s="11"/>
      <c r="AL14" s="11"/>
      <c r="AN14" s="11"/>
      <c r="AO14" s="11"/>
      <c r="AP14" s="11"/>
      <c r="AQ14" s="11"/>
    </row>
    <row r="15" spans="1:117" ht="20.100000000000001" customHeight="1">
      <c r="A15" s="37">
        <f t="shared" si="3"/>
        <v>10</v>
      </c>
      <c r="B15" s="38" t="str">
        <f t="shared" si="4"/>
        <v>Emp10</v>
      </c>
      <c r="C15" s="39"/>
      <c r="D15" s="39"/>
      <c r="E15" s="40"/>
      <c r="F15" s="39"/>
      <c r="G15" s="39"/>
      <c r="H15" s="39"/>
      <c r="I15" s="41"/>
      <c r="J15" s="42"/>
      <c r="K15" s="43"/>
      <c r="L15" s="43"/>
      <c r="M15" s="43"/>
      <c r="N15" s="88"/>
      <c r="O15" s="84">
        <f t="shared" si="0"/>
        <v>0</v>
      </c>
      <c r="P15" s="84">
        <f t="shared" si="1"/>
        <v>0</v>
      </c>
      <c r="Q15" s="83">
        <f>IF(P15&lt;='Tax Table'!$G$6,'Tax Table'!$I$6,IF(P15&lt;='Tax Table'!$G$7,'Tax Table'!$I$7,IF(P15&lt;='Tax Table'!$G$8,'Tax Table'!$I$8,IF(P15&lt;'Tax Table'!$G$9,'Tax Table'!$I$9,IF(P15&lt;='Tax Table'!$G$10,'Tax Table'!$I$10,IF(P15&gt;'Tax Table'!$F$11,(P15-'Tax Table'!$F$11)*30%)+('Tax Table'!$I$10))))))</f>
        <v>1458.3958333333333</v>
      </c>
      <c r="R15" s="46"/>
      <c r="S15" s="45"/>
      <c r="T15" s="45"/>
      <c r="U15" s="45"/>
      <c r="V15" s="78">
        <f>SUM(Table132342452[[#This Row],[Total Rbst antérieur]:[Retenue Spéciale 
(-)]])</f>
        <v>0</v>
      </c>
      <c r="W15" s="78">
        <f>Table132342452[[#This Row],[Accordée (+)]]-Table132342452[[#This Row],[Cumul Rbst]]</f>
        <v>0</v>
      </c>
      <c r="X15" s="95">
        <f>ROUND(N15-Q15-Table132342452[[#This Row],[Retenue Quinzaine 
(-)]]-Table132342452[[#This Row],[Retenue Spéciale 
(-)]],0)</f>
        <v>-1458</v>
      </c>
      <c r="Y15" s="47" t="str">
        <f t="shared" si="2"/>
        <v/>
      </c>
      <c r="Z15" s="81">
        <f t="shared" si="5"/>
        <v>17</v>
      </c>
      <c r="AA15" s="44"/>
      <c r="AB15" s="44"/>
      <c r="AC15" s="48"/>
      <c r="AD15" s="89"/>
      <c r="AE15" s="49"/>
      <c r="AF15" s="17"/>
      <c r="AG15" s="17"/>
      <c r="AH15" s="17"/>
      <c r="AI15" s="17"/>
      <c r="AJ15" s="50"/>
      <c r="AK15" s="11"/>
      <c r="AL15" s="11"/>
      <c r="AN15" s="11"/>
      <c r="AO15" s="11"/>
      <c r="AP15" s="11"/>
      <c r="AQ15" s="11"/>
    </row>
    <row r="16" spans="1:117" ht="20.100000000000001" customHeight="1">
      <c r="A16" s="37">
        <f t="shared" si="3"/>
        <v>11</v>
      </c>
      <c r="B16" s="38" t="str">
        <f t="shared" si="4"/>
        <v>Emp11</v>
      </c>
      <c r="C16" s="39"/>
      <c r="D16" s="39"/>
      <c r="E16" s="40"/>
      <c r="F16" s="39"/>
      <c r="G16" s="39"/>
      <c r="H16" s="39"/>
      <c r="I16" s="41"/>
      <c r="J16" s="42"/>
      <c r="K16" s="43"/>
      <c r="L16" s="43"/>
      <c r="M16" s="43"/>
      <c r="N16" s="88"/>
      <c r="O16" s="84">
        <f>N16*$N$3</f>
        <v>0</v>
      </c>
      <c r="P16" s="84">
        <f t="shared" si="1"/>
        <v>0</v>
      </c>
      <c r="Q16" s="83">
        <f>IF(P16&lt;='Tax Table'!$G$6,'Tax Table'!$I$6,IF(P16&lt;='Tax Table'!$G$7,'Tax Table'!$I$7,IF(P16&lt;='Tax Table'!$G$8,'Tax Table'!$I$8,IF(P16&lt;'Tax Table'!$G$9,'Tax Table'!$I$9,IF(P16&lt;='Tax Table'!$G$10,'Tax Table'!$I$10,IF(P16&gt;'Tax Table'!$F$11,(P16-'Tax Table'!$F$11)*30%)+('Tax Table'!$I$10))))))</f>
        <v>1458.3958333333333</v>
      </c>
      <c r="R16" s="46"/>
      <c r="S16" s="45"/>
      <c r="T16" s="45"/>
      <c r="U16" s="45"/>
      <c r="V16" s="78">
        <f>SUM(Table132342452[[#This Row],[Total Rbst antérieur]:[Retenue Spéciale 
(-)]])</f>
        <v>0</v>
      </c>
      <c r="W16" s="78">
        <f>Table132342452[[#This Row],[Accordée (+)]]-Table132342452[[#This Row],[Cumul Rbst]]</f>
        <v>0</v>
      </c>
      <c r="X16" s="95">
        <f>ROUND(N16-Q16-Table132342452[[#This Row],[Retenue Quinzaine 
(-)]]-Table132342452[[#This Row],[Retenue Spéciale 
(-)]],0)</f>
        <v>-1458</v>
      </c>
      <c r="Y16" s="47" t="str">
        <f t="shared" si="2"/>
        <v/>
      </c>
      <c r="Z16" s="81">
        <f t="shared" si="5"/>
        <v>18</v>
      </c>
      <c r="AA16" s="44"/>
      <c r="AB16" s="44"/>
      <c r="AC16" s="48"/>
      <c r="AD16" s="89"/>
      <c r="AE16" s="49"/>
      <c r="AF16" s="17"/>
      <c r="AG16" s="17"/>
      <c r="AH16" s="17"/>
      <c r="AI16" s="17"/>
      <c r="AJ16" s="50"/>
      <c r="AK16" s="11"/>
      <c r="AL16" s="11"/>
      <c r="AN16" s="11"/>
      <c r="AO16" s="11"/>
      <c r="AP16" s="11"/>
      <c r="AQ16" s="11"/>
    </row>
    <row r="17" spans="1:48" ht="20.100000000000001" customHeight="1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 t="str">
        <f t="shared" si="2"/>
        <v/>
      </c>
      <c r="Z17" s="54"/>
      <c r="AA17" s="54"/>
      <c r="AB17" s="54"/>
      <c r="AC17" s="54"/>
      <c r="AD17" s="54"/>
      <c r="AE17" s="54"/>
      <c r="AF17" s="54"/>
      <c r="AG17" s="55"/>
      <c r="AH17" s="56"/>
      <c r="AI17" s="56"/>
      <c r="AJ17" s="57"/>
      <c r="AR17" s="17"/>
      <c r="AS17" s="17"/>
      <c r="AT17" s="17"/>
      <c r="AU17" s="17"/>
      <c r="AV17" s="50"/>
    </row>
    <row r="18" spans="1:48" ht="20.100000000000001" customHeight="1">
      <c r="A18" s="58"/>
      <c r="B18" s="59"/>
      <c r="C18" s="60"/>
      <c r="D18" s="60"/>
      <c r="E18" s="60"/>
      <c r="F18" s="60"/>
      <c r="G18" s="60"/>
      <c r="H18" s="60"/>
      <c r="I18" s="61"/>
      <c r="J18" s="62"/>
      <c r="K18" s="62"/>
      <c r="L18" s="62"/>
      <c r="M18" s="62"/>
      <c r="N18" s="93">
        <f>SUBTOTAL(109,[Salaire Brut])</f>
        <v>0</v>
      </c>
      <c r="O18" s="94">
        <f>SUBTOTAL(109,[Salaire non taxable])</f>
        <v>0</v>
      </c>
      <c r="P18" s="94">
        <f>SUBTOTAL(109,[Base imposable])</f>
        <v>0</v>
      </c>
      <c r="Q18" s="94">
        <f>SUBTOTAL(109,[Impôt])</f>
        <v>16042.35416666667</v>
      </c>
      <c r="R18" s="92">
        <f>SUBTOTAL(109,[Accordée (+)])</f>
        <v>0</v>
      </c>
      <c r="S18" s="92">
        <f>SUBTOTAL(109,[Total Rbst antérieur])</f>
        <v>0</v>
      </c>
      <c r="T18" s="92">
        <f>SUBTOTAL(109,[Retenue Quinzaine 
(-)])</f>
        <v>0</v>
      </c>
      <c r="U18" s="92">
        <f>SUBTOTAL(109,[Retenue Spéciale 
(-)])</f>
        <v>0</v>
      </c>
      <c r="V18" s="92">
        <f>SUBTOTAL(109,[Cumul Rbst])</f>
        <v>0</v>
      </c>
      <c r="W18" s="92">
        <f>SUBTOTAL(109,[Solde])</f>
        <v>0</v>
      </c>
      <c r="X18" s="93">
        <f>SUBTOTAL(109,[Montant NET])</f>
        <v>-16038</v>
      </c>
      <c r="Y18" s="92"/>
      <c r="Z18" s="92"/>
      <c r="AA18" s="92"/>
      <c r="AB18" s="92"/>
      <c r="AC18" s="92">
        <f>SUBTOTAL(109,[C])</f>
        <v>0</v>
      </c>
      <c r="AD18" s="93">
        <f>SUBTOTAL(109,[Net à payer])</f>
        <v>0</v>
      </c>
      <c r="AE18" s="64">
        <f>SUBTOTAL(109,[Cotisation])</f>
        <v>0</v>
      </c>
      <c r="AH18" s="65"/>
      <c r="AI18" s="65"/>
      <c r="AJ18" s="66"/>
      <c r="AM18" s="50"/>
      <c r="AP18" s="17">
        <f>SUM(AP6:AP16)</f>
        <v>0</v>
      </c>
      <c r="AR18" s="17"/>
      <c r="AS18" s="17">
        <f>SUM(AG6:AG16)</f>
        <v>0</v>
      </c>
      <c r="AT18" s="17">
        <f>SUM(AH6:AH16)</f>
        <v>0</v>
      </c>
      <c r="AU18" s="17">
        <f>SUM(AI6:AI16)</f>
        <v>0</v>
      </c>
    </row>
    <row r="19" spans="1:48" ht="20.100000000000001" customHeight="1">
      <c r="A19" s="59"/>
      <c r="B19" s="59"/>
      <c r="C19" s="60"/>
      <c r="D19" s="60"/>
      <c r="E19" s="60"/>
      <c r="F19" s="60"/>
      <c r="G19" s="60"/>
      <c r="H19" s="61"/>
      <c r="I19" s="61"/>
      <c r="J19" s="62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W19" s="63"/>
      <c r="X19" s="63"/>
      <c r="Y19" s="63"/>
      <c r="Z19" s="63"/>
      <c r="AA19" s="63"/>
      <c r="AB19" s="63"/>
      <c r="AC19" s="63"/>
      <c r="AD19" s="63"/>
      <c r="AE19" s="63"/>
      <c r="AF19" s="50"/>
      <c r="AG19" s="68"/>
      <c r="AH19" s="50"/>
      <c r="AI19" s="50"/>
      <c r="AJ19" s="50"/>
      <c r="AR19" s="69"/>
      <c r="AS19" s="69">
        <v>356424.6639358449</v>
      </c>
      <c r="AT19" s="69">
        <v>375567.61668493622</v>
      </c>
      <c r="AU19" s="50">
        <v>242283.43045058558</v>
      </c>
      <c r="AV19" s="50" t="s">
        <v>20</v>
      </c>
    </row>
    <row r="20" spans="1:48" ht="20.100000000000001" customHeight="1">
      <c r="B20" s="70"/>
      <c r="C20" s="71"/>
      <c r="D20" s="72"/>
      <c r="E20" s="72"/>
      <c r="F20" s="72"/>
      <c r="G20" s="71"/>
      <c r="H20" s="71"/>
      <c r="I20" s="71"/>
      <c r="J20" s="71"/>
      <c r="K20" s="71"/>
      <c r="L20" s="73"/>
      <c r="AG20" s="55"/>
      <c r="AH20" s="55"/>
      <c r="AI20" s="55"/>
      <c r="AR20" s="17"/>
      <c r="AS20" s="17">
        <v>787200</v>
      </c>
      <c r="AT20" s="17">
        <v>196800</v>
      </c>
      <c r="AU20" s="66">
        <v>228160</v>
      </c>
      <c r="AV20" s="11" t="s">
        <v>18</v>
      </c>
    </row>
    <row r="21" spans="1:48" ht="20.100000000000001" customHeight="1">
      <c r="B21" s="70"/>
      <c r="C21" s="71"/>
      <c r="D21" s="72"/>
      <c r="E21" s="72"/>
      <c r="F21" s="72"/>
      <c r="G21" s="74"/>
      <c r="H21" s="74"/>
      <c r="I21" s="71"/>
      <c r="J21" s="71"/>
      <c r="K21" s="71"/>
      <c r="L21" s="73"/>
      <c r="AG21" s="75"/>
      <c r="AH21" s="55"/>
      <c r="AI21" s="55"/>
      <c r="AR21" s="17"/>
      <c r="AS21" s="17">
        <f>AS18-AS19-AS20</f>
        <v>-1143624.6639358448</v>
      </c>
      <c r="AT21" s="17">
        <f>AT18-AT19-AT20</f>
        <v>-572367.61668493622</v>
      </c>
      <c r="AU21" s="17">
        <f>AU18-AU19-AU20</f>
        <v>-470443.43045058555</v>
      </c>
    </row>
    <row r="22" spans="1:48" ht="20.100000000000001" customHeight="1">
      <c r="B22" s="69"/>
      <c r="C22" s="69"/>
      <c r="D22" s="50"/>
      <c r="E22" s="72"/>
      <c r="F22" s="72"/>
      <c r="G22" s="71"/>
      <c r="H22" s="71"/>
      <c r="I22" s="71"/>
      <c r="J22" s="71"/>
      <c r="K22" s="71"/>
      <c r="L22" s="73"/>
      <c r="AG22" s="76"/>
      <c r="AH22" s="76"/>
      <c r="AI22" s="76"/>
      <c r="AR22" s="17"/>
      <c r="AS22" s="17"/>
      <c r="AT22" s="17"/>
    </row>
    <row r="23" spans="1:48" ht="20.100000000000001" customHeight="1">
      <c r="B23" s="17"/>
      <c r="C23" s="17"/>
      <c r="D23" s="66"/>
      <c r="E23" s="72"/>
      <c r="F23" s="72"/>
      <c r="G23" s="71"/>
      <c r="H23" s="71"/>
      <c r="I23" s="71"/>
      <c r="J23" s="71"/>
      <c r="K23" s="71"/>
      <c r="L23" s="73"/>
      <c r="AR23" s="17"/>
      <c r="AS23" s="17"/>
      <c r="AT23" s="17"/>
      <c r="AU23" s="50"/>
    </row>
    <row r="24" spans="1:48" ht="20.100000000000001" customHeight="1">
      <c r="B24" s="70"/>
      <c r="C24" s="71"/>
      <c r="D24" s="72"/>
      <c r="E24" s="72"/>
      <c r="F24" s="72"/>
      <c r="G24" s="71"/>
      <c r="H24" s="71"/>
      <c r="I24" s="71"/>
      <c r="J24" s="71"/>
      <c r="K24" s="71"/>
      <c r="L24" s="73"/>
    </row>
    <row r="25" spans="1:48" ht="20.100000000000001" customHeight="1">
      <c r="B25" s="70"/>
      <c r="C25" s="71"/>
      <c r="D25" s="72"/>
      <c r="E25" s="72"/>
      <c r="F25" s="72"/>
      <c r="G25" s="71"/>
      <c r="H25" s="71"/>
      <c r="I25" s="71"/>
      <c r="J25" s="71"/>
      <c r="K25" s="71"/>
      <c r="L25" s="73"/>
    </row>
    <row r="26" spans="1:48" ht="20.100000000000001" customHeight="1">
      <c r="B26" s="70"/>
      <c r="C26" s="71"/>
      <c r="D26" s="72"/>
      <c r="E26" s="72"/>
      <c r="F26" s="72"/>
      <c r="G26" s="71"/>
      <c r="H26" s="71"/>
      <c r="I26" s="71"/>
      <c r="J26" s="71"/>
      <c r="K26" s="71"/>
      <c r="L26" s="73"/>
    </row>
    <row r="27" spans="1:48" s="17" customFormat="1" ht="20.100000000000001" customHeight="1">
      <c r="A27" s="11"/>
      <c r="B27" s="70"/>
      <c r="C27" s="71"/>
      <c r="D27" s="72"/>
      <c r="E27" s="72"/>
      <c r="F27" s="72"/>
      <c r="G27" s="71"/>
      <c r="H27" s="71"/>
      <c r="I27" s="71"/>
      <c r="J27" s="71"/>
      <c r="K27" s="71"/>
      <c r="L27" s="73"/>
      <c r="M27" s="11"/>
      <c r="N27" s="11"/>
      <c r="O27" s="11"/>
      <c r="P27" s="11"/>
      <c r="Q27" s="11"/>
      <c r="R27" s="11"/>
      <c r="S27" s="11"/>
      <c r="T27" s="11"/>
      <c r="U27" s="11"/>
      <c r="V27" s="67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M27" s="11"/>
      <c r="AR27" s="11"/>
      <c r="AS27" s="11"/>
      <c r="AT27" s="11"/>
      <c r="AU27" s="11"/>
    </row>
    <row r="28" spans="1:48" s="17" customFormat="1" ht="20.100000000000001" customHeight="1">
      <c r="A28" s="11"/>
      <c r="B28" s="70"/>
      <c r="C28" s="71"/>
      <c r="D28" s="72"/>
      <c r="E28" s="72"/>
      <c r="F28" s="72"/>
      <c r="G28" s="71"/>
      <c r="H28" s="71"/>
      <c r="I28" s="71"/>
      <c r="J28" s="71"/>
      <c r="K28" s="71"/>
      <c r="L28" s="73"/>
      <c r="M28" s="11"/>
      <c r="N28" s="11"/>
      <c r="O28" s="11"/>
      <c r="P28" s="11"/>
      <c r="Q28" s="11"/>
      <c r="R28" s="11"/>
      <c r="S28" s="11"/>
      <c r="T28" s="11"/>
      <c r="U28" s="11"/>
      <c r="V28" s="67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M28" s="11"/>
      <c r="AR28" s="11"/>
      <c r="AS28" s="11"/>
      <c r="AT28" s="11"/>
      <c r="AU28" s="11"/>
    </row>
    <row r="29" spans="1:48" s="17" customFormat="1" ht="20.100000000000001" customHeight="1">
      <c r="A29" s="11"/>
      <c r="B29" s="70"/>
      <c r="C29" s="71"/>
      <c r="D29" s="72"/>
      <c r="E29" s="72"/>
      <c r="F29" s="72"/>
      <c r="G29" s="71"/>
      <c r="H29" s="71"/>
      <c r="I29" s="71"/>
      <c r="J29" s="71"/>
      <c r="K29" s="71"/>
      <c r="L29" s="73"/>
      <c r="M29" s="11"/>
      <c r="N29" s="11"/>
      <c r="O29" s="11"/>
      <c r="P29" s="11"/>
      <c r="Q29" s="11"/>
      <c r="R29" s="11"/>
      <c r="S29" s="11"/>
      <c r="T29" s="11"/>
      <c r="U29" s="11"/>
      <c r="V29" s="67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M29" s="11"/>
      <c r="AR29" s="11"/>
      <c r="AS29" s="11"/>
      <c r="AT29" s="11"/>
      <c r="AU29" s="11"/>
    </row>
    <row r="30" spans="1:48" s="17" customFormat="1" ht="20.100000000000001" customHeight="1">
      <c r="A30" s="11"/>
      <c r="B30" s="70"/>
      <c r="C30" s="71"/>
      <c r="D30" s="72"/>
      <c r="E30" s="72"/>
      <c r="F30" s="72"/>
      <c r="G30" s="71"/>
      <c r="H30" s="71"/>
      <c r="I30" s="71"/>
      <c r="J30" s="71"/>
      <c r="K30" s="71"/>
      <c r="L30" s="73"/>
      <c r="M30" s="11"/>
      <c r="N30" s="11"/>
      <c r="O30" s="11"/>
      <c r="P30" s="11"/>
      <c r="Q30" s="11"/>
      <c r="R30" s="11"/>
      <c r="S30" s="11"/>
      <c r="T30" s="11"/>
      <c r="U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M30" s="11"/>
      <c r="AR30" s="11"/>
      <c r="AS30" s="11"/>
      <c r="AT30" s="11"/>
      <c r="AU30" s="11"/>
    </row>
    <row r="31" spans="1:48" s="17" customFormat="1" ht="20.100000000000001" customHeight="1">
      <c r="A31" s="11"/>
      <c r="B31" s="70"/>
      <c r="C31" s="71"/>
      <c r="D31" s="72"/>
      <c r="E31" s="72"/>
      <c r="F31" s="72"/>
      <c r="G31" s="71"/>
      <c r="H31" s="71"/>
      <c r="I31" s="71"/>
      <c r="J31" s="71"/>
      <c r="K31" s="71"/>
      <c r="L31" s="73"/>
      <c r="M31" s="11"/>
      <c r="N31" s="11"/>
      <c r="O31" s="11"/>
      <c r="P31" s="11"/>
      <c r="Q31" s="11"/>
      <c r="R31" s="11"/>
      <c r="S31" s="11"/>
      <c r="T31" s="11"/>
      <c r="U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M31" s="11"/>
      <c r="AR31" s="11"/>
      <c r="AS31" s="11"/>
      <c r="AT31" s="11"/>
      <c r="AU31" s="11"/>
    </row>
    <row r="32" spans="1:48" s="17" customFormat="1" ht="20.100000000000001" customHeight="1">
      <c r="A32" s="11"/>
      <c r="B32" s="70"/>
      <c r="C32" s="71"/>
      <c r="D32" s="72"/>
      <c r="E32" s="72"/>
      <c r="F32" s="72"/>
      <c r="G32" s="71"/>
      <c r="H32" s="71"/>
      <c r="I32" s="71"/>
      <c r="J32" s="71"/>
      <c r="K32" s="71"/>
      <c r="L32" s="73"/>
      <c r="M32" s="11"/>
      <c r="N32" s="11"/>
      <c r="O32" s="11"/>
      <c r="P32" s="11"/>
      <c r="Q32" s="11"/>
      <c r="R32" s="11"/>
      <c r="S32" s="11"/>
      <c r="T32" s="11"/>
      <c r="U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M32" s="11"/>
      <c r="AR32" s="11"/>
      <c r="AS32" s="11"/>
      <c r="AT32" s="11"/>
      <c r="AU32" s="11"/>
    </row>
    <row r="33" spans="1:47" s="17" customFormat="1" ht="20.100000000000001" customHeight="1">
      <c r="A33" s="11"/>
      <c r="B33" s="70"/>
      <c r="C33" s="71"/>
      <c r="D33" s="72"/>
      <c r="E33" s="72"/>
      <c r="F33" s="72"/>
      <c r="G33" s="71"/>
      <c r="H33" s="71"/>
      <c r="I33" s="71"/>
      <c r="J33" s="71"/>
      <c r="K33" s="71"/>
      <c r="L33" s="73"/>
      <c r="M33" s="11"/>
      <c r="N33" s="11"/>
      <c r="O33" s="11"/>
      <c r="P33" s="11"/>
      <c r="Q33" s="11"/>
      <c r="R33" s="11"/>
      <c r="S33" s="11"/>
      <c r="T33" s="11"/>
      <c r="U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M33" s="11"/>
      <c r="AR33" s="11"/>
      <c r="AS33" s="11"/>
      <c r="AT33" s="11"/>
      <c r="AU33" s="11"/>
    </row>
    <row r="34" spans="1:47" s="17" customFormat="1" ht="20.100000000000001" customHeight="1">
      <c r="A34" s="11"/>
      <c r="B34" s="70"/>
      <c r="C34" s="71"/>
      <c r="D34" s="72"/>
      <c r="E34" s="72"/>
      <c r="F34" s="72"/>
      <c r="G34" s="71"/>
      <c r="H34" s="71"/>
      <c r="I34" s="71"/>
      <c r="J34" s="71"/>
      <c r="K34" s="71"/>
      <c r="L34" s="73"/>
      <c r="M34" s="11"/>
      <c r="N34" s="11"/>
      <c r="O34" s="11"/>
      <c r="P34" s="11"/>
      <c r="Q34" s="11"/>
      <c r="R34" s="11"/>
      <c r="S34" s="11"/>
      <c r="T34" s="11"/>
      <c r="U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M34" s="11"/>
      <c r="AR34" s="11"/>
      <c r="AS34" s="11"/>
      <c r="AT34" s="11"/>
      <c r="AU34" s="11"/>
    </row>
    <row r="35" spans="1:47" s="17" customFormat="1" ht="20.100000000000001" customHeight="1">
      <c r="A35" s="11"/>
      <c r="B35" s="70"/>
      <c r="C35" s="71"/>
      <c r="D35" s="72"/>
      <c r="E35" s="72"/>
      <c r="F35" s="72"/>
      <c r="G35" s="71"/>
      <c r="H35" s="71"/>
      <c r="I35" s="71"/>
      <c r="J35" s="71"/>
      <c r="K35" s="71"/>
      <c r="L35" s="73"/>
      <c r="M35" s="11"/>
      <c r="N35" s="11"/>
      <c r="O35" s="11"/>
      <c r="P35" s="11"/>
      <c r="Q35" s="11"/>
      <c r="R35" s="11"/>
      <c r="S35" s="11"/>
      <c r="T35" s="11"/>
      <c r="U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M35" s="11"/>
      <c r="AR35" s="11"/>
      <c r="AS35" s="11"/>
      <c r="AT35" s="11"/>
      <c r="AU35" s="11"/>
    </row>
    <row r="36" spans="1:47" s="17" customFormat="1" ht="20.100000000000001" customHeight="1">
      <c r="A36" s="11"/>
      <c r="B36" s="70"/>
      <c r="C36" s="71"/>
      <c r="D36" s="72"/>
      <c r="E36" s="72"/>
      <c r="F36" s="72"/>
      <c r="G36" s="71"/>
      <c r="H36" s="71"/>
      <c r="I36" s="71"/>
      <c r="J36" s="71"/>
      <c r="K36" s="71"/>
      <c r="L36" s="73"/>
      <c r="M36" s="11"/>
      <c r="N36" s="11"/>
      <c r="O36" s="11"/>
      <c r="P36" s="11"/>
      <c r="Q36" s="11"/>
      <c r="R36" s="11"/>
      <c r="S36" s="11"/>
      <c r="T36" s="11"/>
      <c r="U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M36" s="11"/>
      <c r="AR36" s="11"/>
      <c r="AS36" s="11"/>
      <c r="AT36" s="11"/>
      <c r="AU36" s="11"/>
    </row>
    <row r="37" spans="1:47" s="17" customFormat="1" ht="20.100000000000001" customHeight="1">
      <c r="A37" s="11"/>
      <c r="B37" s="70"/>
      <c r="C37" s="71"/>
      <c r="D37" s="72"/>
      <c r="E37" s="72"/>
      <c r="F37" s="72"/>
      <c r="G37" s="71"/>
      <c r="H37" s="71"/>
      <c r="I37" s="71"/>
      <c r="J37" s="71"/>
      <c r="K37" s="71"/>
      <c r="L37" s="73"/>
      <c r="M37" s="11"/>
      <c r="N37" s="11"/>
      <c r="O37" s="11"/>
      <c r="P37" s="11"/>
      <c r="Q37" s="11"/>
      <c r="R37" s="11"/>
      <c r="S37" s="11"/>
      <c r="T37" s="11"/>
      <c r="U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M37" s="11"/>
      <c r="AR37" s="11"/>
      <c r="AS37" s="11"/>
      <c r="AT37" s="11"/>
      <c r="AU37" s="11"/>
    </row>
    <row r="38" spans="1:47" s="17" customFormat="1" ht="20.100000000000001" customHeight="1">
      <c r="A38" s="11"/>
      <c r="B38" s="70"/>
      <c r="C38" s="71"/>
      <c r="D38" s="72"/>
      <c r="E38" s="72"/>
      <c r="F38" s="72"/>
      <c r="G38" s="71"/>
      <c r="H38" s="71"/>
      <c r="I38" s="71"/>
      <c r="J38" s="71"/>
      <c r="K38" s="71"/>
      <c r="L38" s="73"/>
      <c r="M38" s="11"/>
      <c r="N38" s="11"/>
      <c r="O38" s="11"/>
      <c r="P38" s="11"/>
      <c r="Q38" s="11"/>
      <c r="R38" s="11"/>
      <c r="S38" s="11"/>
      <c r="T38" s="11"/>
      <c r="U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M38" s="11"/>
      <c r="AR38" s="11"/>
      <c r="AS38" s="11"/>
      <c r="AT38" s="11"/>
      <c r="AU38" s="11"/>
    </row>
    <row r="39" spans="1:47" s="17" customFormat="1" ht="20.100000000000001" customHeight="1">
      <c r="A39" s="11"/>
      <c r="B39" s="70"/>
      <c r="C39" s="71"/>
      <c r="D39" s="72"/>
      <c r="E39" s="72"/>
      <c r="F39" s="72"/>
      <c r="G39" s="71"/>
      <c r="H39" s="71"/>
      <c r="I39" s="71"/>
      <c r="J39" s="71"/>
      <c r="K39" s="71"/>
      <c r="L39" s="73"/>
      <c r="M39" s="11"/>
      <c r="N39" s="11"/>
      <c r="O39" s="11"/>
      <c r="P39" s="11"/>
      <c r="Q39" s="11"/>
      <c r="R39" s="11"/>
      <c r="S39" s="11"/>
      <c r="T39" s="11"/>
      <c r="U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M39" s="11"/>
      <c r="AR39" s="11"/>
      <c r="AS39" s="11"/>
      <c r="AT39" s="11"/>
      <c r="AU39" s="11"/>
    </row>
    <row r="40" spans="1:47" s="17" customFormat="1" ht="20.100000000000001" customHeight="1">
      <c r="A40" s="11"/>
      <c r="B40" s="70"/>
      <c r="C40" s="71"/>
      <c r="D40" s="72"/>
      <c r="E40" s="72"/>
      <c r="F40" s="72"/>
      <c r="G40" s="71"/>
      <c r="H40" s="71"/>
      <c r="I40" s="71"/>
      <c r="J40" s="71"/>
      <c r="K40" s="71"/>
      <c r="L40" s="73"/>
      <c r="M40" s="11"/>
      <c r="N40" s="11"/>
      <c r="O40" s="11"/>
      <c r="P40" s="11"/>
      <c r="Q40" s="11"/>
      <c r="R40" s="11"/>
      <c r="S40" s="11"/>
      <c r="T40" s="11"/>
      <c r="U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M40" s="11"/>
      <c r="AR40" s="11"/>
      <c r="AS40" s="11"/>
      <c r="AT40" s="11"/>
      <c r="AU40" s="11"/>
    </row>
    <row r="41" spans="1:47" s="17" customFormat="1" ht="20.100000000000001" customHeight="1">
      <c r="A41" s="11"/>
      <c r="B41" s="70"/>
      <c r="C41" s="71"/>
      <c r="D41" s="72"/>
      <c r="E41" s="72"/>
      <c r="F41" s="72"/>
      <c r="G41" s="71"/>
      <c r="H41" s="71"/>
      <c r="I41" s="71"/>
      <c r="J41" s="71"/>
      <c r="K41" s="71"/>
      <c r="L41" s="73"/>
      <c r="M41" s="11"/>
      <c r="N41" s="11"/>
      <c r="O41" s="11"/>
      <c r="P41" s="11"/>
      <c r="Q41" s="11"/>
      <c r="R41" s="11"/>
      <c r="S41" s="11"/>
      <c r="T41" s="11"/>
      <c r="U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M41" s="11"/>
      <c r="AR41" s="11"/>
      <c r="AS41" s="11"/>
      <c r="AT41" s="11"/>
      <c r="AU41" s="11"/>
    </row>
    <row r="42" spans="1:47" s="17" customFormat="1" ht="20.100000000000001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M42" s="11"/>
      <c r="AR42" s="11"/>
      <c r="AS42" s="11"/>
      <c r="AT42" s="11"/>
      <c r="AU42" s="11"/>
    </row>
    <row r="43" spans="1:47" s="17" customFormat="1" ht="20.100000000000001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M43" s="11"/>
      <c r="AR43" s="11"/>
      <c r="AS43" s="11"/>
      <c r="AT43" s="11"/>
      <c r="AU43" s="11"/>
    </row>
    <row r="44" spans="1:47" s="17" customFormat="1" ht="20.100000000000001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M44" s="11"/>
      <c r="AR44" s="11"/>
      <c r="AS44" s="11"/>
      <c r="AT44" s="11"/>
      <c r="AU44" s="11"/>
    </row>
    <row r="45" spans="1:47" s="17" customFormat="1" ht="20.100000000000001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M45" s="11"/>
      <c r="AR45" s="11"/>
      <c r="AS45" s="11"/>
      <c r="AT45" s="11"/>
      <c r="AU45" s="11"/>
    </row>
    <row r="46" spans="1:47" s="17" customFormat="1" ht="20.100000000000001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M46" s="11"/>
      <c r="AR46" s="11"/>
      <c r="AS46" s="11"/>
      <c r="AT46" s="11"/>
      <c r="AU46" s="11"/>
    </row>
    <row r="47" spans="1:47" s="17" customFormat="1" ht="20.100000000000001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M47" s="11"/>
      <c r="AR47" s="11"/>
      <c r="AS47" s="11"/>
      <c r="AT47" s="11"/>
      <c r="AU47" s="11"/>
    </row>
    <row r="48" spans="1:47" s="17" customFormat="1" ht="20.100000000000001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M48" s="11"/>
      <c r="AR48" s="11"/>
      <c r="AS48" s="11"/>
      <c r="AT48" s="11"/>
      <c r="AU48" s="11"/>
    </row>
    <row r="49" spans="1:47" s="17" customFormat="1" ht="20.100000000000001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M49" s="11"/>
      <c r="AR49" s="11"/>
      <c r="AS49" s="11"/>
      <c r="AT49" s="11"/>
      <c r="AU49" s="11"/>
    </row>
    <row r="50" spans="1:47" s="17" customFormat="1" ht="20.100000000000001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M50" s="11"/>
      <c r="AR50" s="11"/>
      <c r="AS50" s="11"/>
      <c r="AT50" s="11"/>
      <c r="AU50" s="11"/>
    </row>
    <row r="51" spans="1:47" s="17" customFormat="1" ht="20.100000000000001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M51" s="11"/>
      <c r="AR51" s="11"/>
      <c r="AS51" s="11"/>
      <c r="AT51" s="11"/>
      <c r="AU51" s="11"/>
    </row>
    <row r="52" spans="1:47" s="17" customFormat="1" ht="20.100000000000001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M52" s="11"/>
      <c r="AR52" s="11"/>
      <c r="AS52" s="11"/>
      <c r="AT52" s="11"/>
      <c r="AU52" s="11"/>
    </row>
    <row r="53" spans="1:47" s="17" customFormat="1" ht="20.100000000000001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M53" s="11"/>
      <c r="AR53" s="11"/>
      <c r="AS53" s="11"/>
      <c r="AT53" s="11"/>
      <c r="AU53" s="11"/>
    </row>
    <row r="54" spans="1:47" s="17" customFormat="1" ht="20.100000000000001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M54" s="11"/>
      <c r="AR54" s="11"/>
      <c r="AS54" s="11"/>
      <c r="AT54" s="11"/>
      <c r="AU54" s="11"/>
    </row>
    <row r="55" spans="1:47" s="17" customFormat="1" ht="20.100000000000001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M55" s="11"/>
      <c r="AR55" s="11"/>
      <c r="AS55" s="11"/>
      <c r="AT55" s="11"/>
      <c r="AU55" s="11"/>
    </row>
    <row r="56" spans="1:47" s="17" customFormat="1" ht="20.100000000000001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M56" s="11"/>
      <c r="AR56" s="11"/>
      <c r="AS56" s="11"/>
      <c r="AT56" s="11"/>
      <c r="AU56" s="11"/>
    </row>
    <row r="57" spans="1:47" s="17" customFormat="1" ht="20.100000000000001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M57" s="11"/>
      <c r="AR57" s="11"/>
      <c r="AS57" s="11"/>
      <c r="AT57" s="11"/>
      <c r="AU57" s="11"/>
    </row>
    <row r="58" spans="1:47" s="17" customFormat="1" ht="20.100000000000001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M58" s="11"/>
      <c r="AR58" s="11"/>
      <c r="AS58" s="11"/>
      <c r="AT58" s="11"/>
      <c r="AU58" s="11"/>
    </row>
    <row r="59" spans="1:47" s="17" customFormat="1" ht="20.100000000000001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M59" s="11"/>
      <c r="AR59" s="11"/>
      <c r="AS59" s="11"/>
      <c r="AT59" s="11"/>
      <c r="AU59" s="11"/>
    </row>
    <row r="60" spans="1:47" s="17" customFormat="1" ht="20.100000000000001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M60" s="11"/>
      <c r="AR60" s="11"/>
      <c r="AS60" s="11"/>
      <c r="AT60" s="11"/>
      <c r="AU60" s="11"/>
    </row>
    <row r="61" spans="1:47" s="17" customFormat="1" ht="20.100000000000001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M61" s="11"/>
      <c r="AR61" s="11"/>
      <c r="AS61" s="11"/>
      <c r="AT61" s="11"/>
      <c r="AU61" s="11"/>
    </row>
    <row r="62" spans="1:47" s="17" customFormat="1" ht="20.100000000000001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M62" s="11"/>
      <c r="AP62" s="17">
        <v>170075</v>
      </c>
      <c r="AR62" s="11"/>
      <c r="AS62" s="11"/>
      <c r="AT62" s="11"/>
      <c r="AU62" s="11"/>
    </row>
    <row r="63" spans="1:47" s="17" customFormat="1" ht="20.100000000000001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M63" s="11"/>
      <c r="AR63" s="11"/>
      <c r="AS63" s="11"/>
      <c r="AT63" s="11"/>
      <c r="AU63" s="11"/>
    </row>
    <row r="64" spans="1:47" s="17" customFormat="1" ht="13.8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M64" s="11"/>
      <c r="AR64" s="11"/>
      <c r="AS64" s="11"/>
      <c r="AT64" s="11"/>
      <c r="AU64" s="11"/>
    </row>
    <row r="65" spans="1:47" ht="13.8">
      <c r="V65" s="17"/>
    </row>
    <row r="66" spans="1:47" ht="13.8">
      <c r="V66" s="17"/>
    </row>
    <row r="67" spans="1:47" ht="13.8">
      <c r="V67" s="17"/>
    </row>
    <row r="72" spans="1:47" s="17" customForma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67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M72" s="11"/>
      <c r="AR72" s="11"/>
      <c r="AS72" s="11"/>
      <c r="AT72" s="11"/>
      <c r="AU72" s="11"/>
    </row>
    <row r="73" spans="1:47" s="17" customForma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67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M73" s="11"/>
      <c r="AR73" s="11"/>
      <c r="AS73" s="11"/>
      <c r="AT73" s="11"/>
      <c r="AU73" s="11"/>
    </row>
    <row r="75" spans="1:47" ht="13.8">
      <c r="V75" s="17"/>
    </row>
    <row r="76" spans="1:47" ht="13.8">
      <c r="V76" s="17"/>
    </row>
  </sheetData>
  <conditionalFormatting sqref="B6:B16">
    <cfRule type="duplicateValues" dxfId="50" priority="6"/>
  </conditionalFormatting>
  <dataValidations count="1">
    <dataValidation type="list" allowBlank="1" showInputMessage="1" showErrorMessage="1" sqref="E6:E16">
      <formula1>"journalier,mensuel"</formula1>
    </dataValidation>
  </dataValidations>
  <pageMargins left="0.7" right="0.7" top="0.75" bottom="0.75" header="0.3" footer="0.3"/>
  <pageSetup paperSize="9" scale="20" orientation="portrait" r:id="rId1"/>
  <colBreaks count="1" manualBreakCount="1">
    <brk id="36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25"/>
  <sheetViews>
    <sheetView showGridLines="0" zoomScale="80" zoomScaleNormal="80" workbookViewId="0"/>
  </sheetViews>
  <sheetFormatPr baseColWidth="10" defaultColWidth="9.109375" defaultRowHeight="14.4"/>
  <cols>
    <col min="1" max="1" width="18.6640625" customWidth="1"/>
    <col min="2" max="2" width="14.33203125" bestFit="1" customWidth="1"/>
    <col min="3" max="3" width="9.109375" customWidth="1"/>
    <col min="4" max="4" width="11.6640625" bestFit="1" customWidth="1"/>
    <col min="5" max="5" width="9.109375" customWidth="1"/>
    <col min="6" max="7" width="12.6640625" bestFit="1" customWidth="1"/>
    <col min="8" max="8" width="9.109375" customWidth="1"/>
    <col min="9" max="9" width="10.109375" bestFit="1" customWidth="1"/>
    <col min="10" max="11" width="9.109375" customWidth="1"/>
    <col min="12" max="14" width="21.33203125" hidden="1" customWidth="1"/>
    <col min="15" max="15" width="10.33203125" hidden="1" customWidth="1"/>
    <col min="16" max="16" width="10.33203125" bestFit="1" customWidth="1"/>
  </cols>
  <sheetData>
    <row r="1" spans="1:20">
      <c r="A1" s="1" t="s">
        <v>3</v>
      </c>
    </row>
    <row r="4" spans="1:20">
      <c r="M4" s="2">
        <v>0.3</v>
      </c>
    </row>
    <row r="5" spans="1:20">
      <c r="A5" s="85" t="s">
        <v>4</v>
      </c>
      <c r="B5" s="85"/>
      <c r="C5" s="85"/>
      <c r="D5" s="85"/>
      <c r="F5" s="86" t="s">
        <v>5</v>
      </c>
      <c r="G5" s="86"/>
      <c r="H5" s="86"/>
      <c r="I5" s="86"/>
      <c r="L5" s="9" t="s">
        <v>6</v>
      </c>
      <c r="M5" s="9" t="s">
        <v>7</v>
      </c>
      <c r="N5" s="9" t="s">
        <v>8</v>
      </c>
    </row>
    <row r="6" spans="1:20">
      <c r="A6" s="5">
        <v>150001</v>
      </c>
      <c r="B6" s="5">
        <v>500000</v>
      </c>
      <c r="C6" s="6">
        <v>0.05</v>
      </c>
      <c r="D6" s="5">
        <f>(B6-A6)*C6</f>
        <v>17499.95</v>
      </c>
      <c r="F6" s="7">
        <f>A6/12</f>
        <v>12500.083333333334</v>
      </c>
      <c r="G6" s="7">
        <v>41668</v>
      </c>
      <c r="H6" s="8">
        <v>0.05</v>
      </c>
      <c r="I6" s="7">
        <f>(G6-F6)*H6</f>
        <v>1458.3958333333333</v>
      </c>
      <c r="L6" s="3">
        <v>1000000</v>
      </c>
      <c r="M6" s="3">
        <f>L6*M4</f>
        <v>300000</v>
      </c>
      <c r="N6" s="3">
        <v>58000</v>
      </c>
      <c r="O6" s="3">
        <f t="shared" ref="O6:O11" si="0">IF(N6&lt;=$G$6,$I$6,IF(N6&lt;=$G$7,$I$7,IF(N6&lt;=$G$8,$I$8,IF(N6&lt;$G$9,$I$9,IF(N6&lt;=$G$10,$I$10,IF(N6&gt;$F$11,(N6-$F$11)*30%)+($I$10))))))</f>
        <v>5624.895833333333</v>
      </c>
      <c r="P6" s="3"/>
      <c r="Q6" s="3"/>
      <c r="R6" s="3"/>
      <c r="S6" s="3"/>
      <c r="T6" s="3"/>
    </row>
    <row r="7" spans="1:20">
      <c r="A7" s="5">
        <f>B6+1</f>
        <v>500001</v>
      </c>
      <c r="B7" s="5">
        <v>1000000</v>
      </c>
      <c r="C7" s="6">
        <v>0.1</v>
      </c>
      <c r="D7" s="5">
        <f>((B7-A7)*C7)+D6</f>
        <v>67499.850000000006</v>
      </c>
      <c r="F7" s="7">
        <f>G6+1</f>
        <v>41669</v>
      </c>
      <c r="G7" s="7">
        <v>83334</v>
      </c>
      <c r="H7" s="8">
        <v>0.1</v>
      </c>
      <c r="I7" s="7">
        <f>((G7-F7)*H7)+I6</f>
        <v>5624.895833333333</v>
      </c>
      <c r="L7" s="3"/>
      <c r="M7" s="3"/>
      <c r="N7" s="3">
        <v>58000</v>
      </c>
      <c r="O7" s="3">
        <f t="shared" si="0"/>
        <v>5624.895833333333</v>
      </c>
      <c r="P7" s="3"/>
      <c r="Q7" s="3"/>
      <c r="R7" s="3"/>
      <c r="S7" s="3"/>
      <c r="T7" s="3"/>
    </row>
    <row r="8" spans="1:20">
      <c r="A8" s="5">
        <f>B7+1</f>
        <v>1000001</v>
      </c>
      <c r="B8" s="5">
        <v>1500000</v>
      </c>
      <c r="C8" s="6">
        <v>0.15</v>
      </c>
      <c r="D8" s="5">
        <f>((B8-A8)*C8)+D7</f>
        <v>142499.70000000001</v>
      </c>
      <c r="F8" s="7">
        <f>G7+1</f>
        <v>83335</v>
      </c>
      <c r="G8" s="7">
        <v>125000</v>
      </c>
      <c r="H8" s="8">
        <v>0.15</v>
      </c>
      <c r="I8" s="7">
        <f>((G8-F8)*H8)+I7</f>
        <v>11874.645833333332</v>
      </c>
      <c r="L8" s="3"/>
      <c r="M8" s="3"/>
      <c r="N8" s="3"/>
      <c r="O8" s="3">
        <f t="shared" si="0"/>
        <v>1458.3958333333333</v>
      </c>
      <c r="P8" s="3"/>
      <c r="Q8" s="3"/>
      <c r="R8" s="3"/>
      <c r="S8" s="3"/>
      <c r="T8" s="3"/>
    </row>
    <row r="9" spans="1:20">
      <c r="A9" s="5">
        <f>B8+1</f>
        <v>1500001</v>
      </c>
      <c r="B9" s="5">
        <v>2500000</v>
      </c>
      <c r="C9" s="6">
        <v>0.2</v>
      </c>
      <c r="D9" s="5">
        <f>((B9-A9)*C9)+D8</f>
        <v>342499.5</v>
      </c>
      <c r="F9" s="7">
        <f>G8+1</f>
        <v>125001</v>
      </c>
      <c r="G9" s="7">
        <v>208334</v>
      </c>
      <c r="H9" s="8">
        <v>0.2</v>
      </c>
      <c r="I9" s="7">
        <f>((G9-F9)*H9)+I8</f>
        <v>28541.245833333334</v>
      </c>
      <c r="L9" s="3"/>
      <c r="M9" s="3"/>
      <c r="N9" s="3">
        <f>G6</f>
        <v>41668</v>
      </c>
      <c r="O9" s="3">
        <f t="shared" si="0"/>
        <v>1458.3958333333333</v>
      </c>
      <c r="P9" s="3"/>
      <c r="Q9" s="3"/>
      <c r="R9" s="3"/>
      <c r="S9" s="3"/>
      <c r="T9" s="3"/>
    </row>
    <row r="10" spans="1:20">
      <c r="A10" s="5">
        <f>B9+1</f>
        <v>2500001</v>
      </c>
      <c r="B10" s="5">
        <v>3500000</v>
      </c>
      <c r="C10" s="6">
        <v>0.25</v>
      </c>
      <c r="D10" s="5">
        <f>((B10-A10)*C10)+D9</f>
        <v>592499.25</v>
      </c>
      <c r="F10" s="7">
        <f>G9+1</f>
        <v>208335</v>
      </c>
      <c r="G10" s="7">
        <v>291668</v>
      </c>
      <c r="H10" s="8">
        <v>0.25</v>
      </c>
      <c r="I10" s="7">
        <f>((G10-F10)*H10)+I9</f>
        <v>49374.495833333334</v>
      </c>
      <c r="L10" s="3"/>
      <c r="M10" s="3"/>
      <c r="N10" s="3">
        <f>I6</f>
        <v>1458.3958333333333</v>
      </c>
      <c r="O10" s="3">
        <f t="shared" si="0"/>
        <v>1458.3958333333333</v>
      </c>
      <c r="P10" s="3"/>
      <c r="Q10" s="3"/>
      <c r="R10" s="3"/>
      <c r="S10" s="3"/>
      <c r="T10" s="3"/>
    </row>
    <row r="11" spans="1:20">
      <c r="A11" s="5">
        <f>B10+1</f>
        <v>3500001</v>
      </c>
      <c r="B11" s="5">
        <v>0</v>
      </c>
      <c r="C11" s="6">
        <v>0.3</v>
      </c>
      <c r="D11" s="5"/>
      <c r="F11" s="7">
        <f>G10+1</f>
        <v>291669</v>
      </c>
      <c r="G11" s="7">
        <v>0</v>
      </c>
      <c r="H11" s="8">
        <v>0.3</v>
      </c>
      <c r="I11" s="7"/>
      <c r="L11" s="3"/>
      <c r="M11" s="3"/>
      <c r="N11" s="3"/>
      <c r="O11" s="3">
        <f t="shared" si="0"/>
        <v>1458.3958333333333</v>
      </c>
      <c r="P11" s="3"/>
      <c r="Q11" s="3"/>
      <c r="R11" s="3"/>
      <c r="S11" s="3"/>
      <c r="T11" s="3"/>
    </row>
    <row r="12" spans="1:20">
      <c r="L12" s="3"/>
      <c r="M12" s="3"/>
      <c r="N12" s="4"/>
      <c r="O12" s="3"/>
      <c r="P12" s="3"/>
      <c r="Q12" s="3"/>
      <c r="R12" s="3"/>
      <c r="S12" s="3"/>
      <c r="T12" s="3"/>
    </row>
    <row r="13" spans="1:20">
      <c r="L13" s="3"/>
      <c r="M13" s="3"/>
      <c r="N13" s="3"/>
      <c r="O13" s="3"/>
      <c r="P13" s="3"/>
      <c r="Q13" s="3"/>
      <c r="R13" s="3"/>
      <c r="S13" s="3"/>
      <c r="T13" s="3"/>
    </row>
    <row r="14" spans="1:20">
      <c r="A14" s="3"/>
      <c r="L14" s="3"/>
      <c r="M14" s="3"/>
      <c r="N14" s="3"/>
      <c r="O14" s="3"/>
      <c r="P14" s="3"/>
      <c r="Q14" s="3"/>
      <c r="R14" s="3"/>
      <c r="S14" s="3"/>
      <c r="T14" s="3"/>
    </row>
    <row r="15" spans="1:20">
      <c r="L15" s="3"/>
      <c r="M15" s="3"/>
      <c r="N15" s="3"/>
      <c r="O15" s="3"/>
      <c r="P15" s="3"/>
      <c r="Q15" s="3"/>
      <c r="R15" s="3"/>
      <c r="S15" s="3"/>
      <c r="T15" s="3"/>
    </row>
    <row r="16" spans="1:20">
      <c r="L16" s="3"/>
      <c r="M16" s="3"/>
      <c r="N16" s="3"/>
      <c r="O16" s="3"/>
      <c r="P16" s="3"/>
      <c r="Q16" s="3"/>
      <c r="R16" s="3"/>
      <c r="S16" s="3"/>
      <c r="T16" s="3"/>
    </row>
    <row r="17" spans="1:20">
      <c r="L17" s="3"/>
      <c r="M17" s="3"/>
      <c r="N17" s="3"/>
      <c r="O17" s="3"/>
      <c r="P17" s="3"/>
      <c r="Q17" s="3"/>
      <c r="R17" s="3"/>
      <c r="S17" s="3"/>
      <c r="T17" s="3"/>
    </row>
    <row r="18" spans="1:20">
      <c r="L18" s="3"/>
      <c r="M18" s="3"/>
      <c r="N18" s="3"/>
      <c r="O18" s="3"/>
      <c r="P18" s="3"/>
      <c r="Q18" s="3"/>
      <c r="R18" s="3"/>
      <c r="S18" s="3"/>
      <c r="T18" s="3"/>
    </row>
    <row r="19" spans="1:20">
      <c r="A19" s="5" t="s">
        <v>9</v>
      </c>
      <c r="L19" s="3"/>
      <c r="M19" s="3"/>
      <c r="N19" s="3"/>
      <c r="O19" s="3"/>
      <c r="P19" s="3"/>
      <c r="Q19" s="3"/>
      <c r="R19" s="3"/>
      <c r="S19" s="3"/>
      <c r="T19" s="3"/>
    </row>
    <row r="20" spans="1:20">
      <c r="A20" s="5" t="s">
        <v>10</v>
      </c>
      <c r="L20" s="3"/>
      <c r="M20" s="3"/>
      <c r="N20" s="3"/>
      <c r="O20" s="3"/>
      <c r="P20" s="3"/>
      <c r="Q20" s="3"/>
      <c r="R20" s="3"/>
      <c r="S20" s="3"/>
      <c r="T20" s="3"/>
    </row>
    <row r="21" spans="1:20">
      <c r="A21" s="5" t="s">
        <v>11</v>
      </c>
      <c r="L21" s="3"/>
      <c r="M21" s="3"/>
      <c r="N21" s="3"/>
      <c r="O21" s="3"/>
      <c r="P21" s="3"/>
      <c r="Q21" s="3"/>
      <c r="R21" s="3"/>
      <c r="S21" s="3"/>
      <c r="T21" s="3"/>
    </row>
    <row r="22" spans="1:20">
      <c r="A22" s="5" t="s">
        <v>12</v>
      </c>
      <c r="L22" s="3"/>
      <c r="M22" s="3"/>
      <c r="N22" s="3"/>
      <c r="O22" s="3"/>
      <c r="P22" s="3"/>
      <c r="Q22" s="3"/>
      <c r="R22" s="3"/>
      <c r="S22" s="3"/>
      <c r="T22" s="3"/>
    </row>
    <row r="23" spans="1:20">
      <c r="A23" s="5" t="s">
        <v>13</v>
      </c>
      <c r="L23" s="3"/>
      <c r="M23" s="3"/>
      <c r="N23" s="3"/>
      <c r="O23" s="3"/>
      <c r="P23" s="3"/>
      <c r="Q23" s="3"/>
      <c r="R23" s="3"/>
      <c r="S23" s="3"/>
      <c r="T23" s="3"/>
    </row>
    <row r="24" spans="1:20">
      <c r="A24" s="5" t="s">
        <v>14</v>
      </c>
      <c r="L24" s="3"/>
      <c r="M24" s="3"/>
      <c r="N24" s="3"/>
      <c r="O24" s="3"/>
      <c r="P24" s="3"/>
      <c r="Q24" s="3"/>
      <c r="R24" s="3"/>
      <c r="S24" s="3"/>
      <c r="T24" s="3"/>
    </row>
    <row r="25" spans="1:20">
      <c r="L25" s="3"/>
      <c r="M25" s="3"/>
      <c r="N25" s="3"/>
      <c r="O25" s="3"/>
      <c r="P25" s="3"/>
      <c r="Q25" s="3"/>
      <c r="R25" s="3"/>
      <c r="S25" s="3"/>
      <c r="T25" s="3"/>
    </row>
  </sheetData>
  <mergeCells count="2">
    <mergeCell ref="A5:D5"/>
    <mergeCell ref="F5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SALAIRES</vt:lpstr>
      <vt:lpstr>Tax Table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Abdillah Kaou</dc:creator>
  <cp:lastModifiedBy>anonyme</cp:lastModifiedBy>
  <cp:lastPrinted>2017-07-04T07:31:05Z</cp:lastPrinted>
  <dcterms:created xsi:type="dcterms:W3CDTF">2012-06-25T12:28:11Z</dcterms:created>
  <dcterms:modified xsi:type="dcterms:W3CDTF">2019-01-25T02:52:03Z</dcterms:modified>
</cp:coreProperties>
</file>