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bookViews>
    <workbookView xWindow="0" yWindow="0" windowWidth="19200" windowHeight="9780" tabRatio="882" firstSheet="1" activeTab="1"/>
  </bookViews>
  <sheets>
    <sheet name="LISTES" sheetId="2" state="hidden" r:id="rId1"/>
    <sheet name="DONNEES" sheetId="8" r:id="rId2"/>
    <sheet name="CPP TITULAIRE-ST" sheetId="17" r:id="rId3"/>
  </sheets>
  <definedNames>
    <definedName name="_16">LISTES!$M$68:$M$84</definedName>
    <definedName name="_17">LISTES!$M$42:$M$67</definedName>
    <definedName name="_19">LISTES!$M$85:$M$98</definedName>
    <definedName name="_23">LISTES!$M$98:$M$107</definedName>
    <definedName name="_79">LISTES!$M$25:$M$41</definedName>
    <definedName name="_86">LISTES!$M$2:$M$24</definedName>
    <definedName name="_87">LISTES!$M$108:$M$128</definedName>
    <definedName name="LYCEES">LISTES!$M1:$M84</definedName>
    <definedName name="LYCEES1">LISTES!$M$1:$M$84</definedName>
    <definedName name="_xlnm.Print_Area" localSheetId="2">'CPP TITULAIRE-ST'!$A$1:$J$94</definedName>
    <definedName name="_xlnm.Print_Area" localSheetId="1">DONNEES!$A$1:$I$143</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B50" i="17"/>
  <c r="N41" i="8"/>
  <c r="M41"/>
  <c r="N40"/>
  <c r="M40"/>
  <c r="N39"/>
  <c r="M39"/>
  <c r="N38"/>
  <c r="M38"/>
  <c r="L41"/>
  <c r="K41"/>
  <c r="L40"/>
  <c r="K40"/>
  <c r="L39"/>
  <c r="K39"/>
  <c r="N35"/>
  <c r="L35"/>
  <c r="B57" i="17" l="1"/>
  <c r="H135" i="8"/>
  <c r="G135"/>
  <c r="H125"/>
  <c r="G125"/>
  <c r="H113"/>
  <c r="G113"/>
  <c r="H103"/>
  <c r="G103"/>
  <c r="H91"/>
  <c r="G91"/>
  <c r="H81"/>
  <c r="G81"/>
  <c r="H69"/>
  <c r="G69"/>
  <c r="H59"/>
  <c r="G59"/>
  <c r="H47"/>
  <c r="G47"/>
  <c r="H37"/>
  <c r="G37"/>
  <c r="H136"/>
  <c r="G136"/>
  <c r="Q115"/>
  <c r="Q113" s="1"/>
  <c r="P115"/>
  <c r="P113"/>
  <c r="Q105"/>
  <c r="P105"/>
  <c r="Q93"/>
  <c r="Q91" s="1"/>
  <c r="P93"/>
  <c r="P91" s="1"/>
  <c r="Q83"/>
  <c r="P83"/>
  <c r="Q71"/>
  <c r="Q69" s="1"/>
  <c r="P71"/>
  <c r="P69" s="1"/>
  <c r="Q62"/>
  <c r="P62"/>
  <c r="Q49"/>
  <c r="Q47" s="1"/>
  <c r="P49"/>
  <c r="P47" s="1"/>
  <c r="Q39"/>
  <c r="P39"/>
  <c r="B56" i="17" l="1"/>
  <c r="B55"/>
  <c r="B54"/>
  <c r="B53"/>
  <c r="B52"/>
  <c r="B51"/>
  <c r="B49"/>
  <c r="D51" l="1"/>
  <c r="F55"/>
  <c r="E55"/>
  <c r="D55"/>
  <c r="C55"/>
  <c r="E53"/>
  <c r="F53"/>
  <c r="C53"/>
  <c r="D53"/>
  <c r="C49"/>
  <c r="C51"/>
  <c r="D49"/>
  <c r="H48"/>
  <c r="C66"/>
  <c r="G53" l="1"/>
  <c r="G55"/>
  <c r="M108" i="2" l="1"/>
  <c r="M109"/>
  <c r="M110"/>
  <c r="M111"/>
  <c r="M112"/>
  <c r="M113"/>
  <c r="M114"/>
  <c r="M115"/>
  <c r="M116"/>
  <c r="M117"/>
  <c r="M118"/>
  <c r="M119"/>
  <c r="M120"/>
  <c r="M121"/>
  <c r="M122"/>
  <c r="M123"/>
  <c r="M124"/>
  <c r="M125"/>
  <c r="M126"/>
  <c r="M127"/>
  <c r="M128"/>
  <c r="M99"/>
  <c r="M100"/>
  <c r="M101"/>
  <c r="M102"/>
  <c r="M103"/>
  <c r="M104"/>
  <c r="M105"/>
  <c r="M106"/>
  <c r="M107"/>
  <c r="M96"/>
  <c r="M97"/>
  <c r="M98"/>
  <c r="M86"/>
  <c r="M87"/>
  <c r="M88"/>
  <c r="M89"/>
  <c r="M90"/>
  <c r="M91"/>
  <c r="M92"/>
  <c r="M93"/>
  <c r="M94"/>
  <c r="M95"/>
  <c r="M85"/>
  <c r="E12" i="8" l="1"/>
  <c r="M35" l="1"/>
  <c r="K35"/>
  <c r="K32" l="1"/>
  <c r="M36" l="1"/>
  <c r="N36"/>
  <c r="D10" i="17" l="1"/>
  <c r="C10"/>
  <c r="G14" i="8" l="1"/>
  <c r="B72" i="17" l="1"/>
  <c r="B69"/>
  <c r="C62"/>
  <c r="G59"/>
  <c r="G58"/>
  <c r="D45"/>
  <c r="C45"/>
  <c r="F44"/>
  <c r="E44"/>
  <c r="D44"/>
  <c r="C44"/>
  <c r="F43"/>
  <c r="E43"/>
  <c r="D43"/>
  <c r="F42"/>
  <c r="F57" s="1"/>
  <c r="E42"/>
  <c r="E57" s="1"/>
  <c r="D42"/>
  <c r="D57" s="1"/>
  <c r="C42"/>
  <c r="C57" s="1"/>
  <c r="F41"/>
  <c r="E41"/>
  <c r="D41"/>
  <c r="C41"/>
  <c r="F40"/>
  <c r="E40"/>
  <c r="D40"/>
  <c r="C40"/>
  <c r="F39"/>
  <c r="F51" s="1"/>
  <c r="E39"/>
  <c r="E51" s="1"/>
  <c r="D39"/>
  <c r="C39"/>
  <c r="F38"/>
  <c r="F49" s="1"/>
  <c r="E38"/>
  <c r="E49" s="1"/>
  <c r="D38"/>
  <c r="D37"/>
  <c r="C37"/>
  <c r="C43"/>
  <c r="B35"/>
  <c r="F33"/>
  <c r="E33"/>
  <c r="D33"/>
  <c r="D34" s="1"/>
  <c r="G32"/>
  <c r="G31"/>
  <c r="G30"/>
  <c r="G29"/>
  <c r="G27"/>
  <c r="G26"/>
  <c r="F24"/>
  <c r="F45" s="1"/>
  <c r="E24"/>
  <c r="E45" s="1"/>
  <c r="D24"/>
  <c r="C24"/>
  <c r="J18"/>
  <c r="I18"/>
  <c r="H18"/>
  <c r="G18"/>
  <c r="J17"/>
  <c r="I17"/>
  <c r="H17"/>
  <c r="G17"/>
  <c r="J16"/>
  <c r="I16"/>
  <c r="H16"/>
  <c r="G16"/>
  <c r="E16"/>
  <c r="J15"/>
  <c r="I15"/>
  <c r="H15"/>
  <c r="G15"/>
  <c r="J14"/>
  <c r="I14"/>
  <c r="H14"/>
  <c r="G14"/>
  <c r="J13"/>
  <c r="I13"/>
  <c r="H13"/>
  <c r="G13"/>
  <c r="J11"/>
  <c r="I11"/>
  <c r="D6"/>
  <c r="D5"/>
  <c r="D4"/>
  <c r="D3"/>
  <c r="D2"/>
  <c r="G51" l="1"/>
  <c r="G57"/>
  <c r="C60"/>
  <c r="F34"/>
  <c r="C65"/>
  <c r="G39"/>
  <c r="G40"/>
  <c r="G41"/>
  <c r="G42"/>
  <c r="E37"/>
  <c r="E46" s="1"/>
  <c r="C77"/>
  <c r="B74"/>
  <c r="F74" s="1"/>
  <c r="B77"/>
  <c r="F77" s="1"/>
  <c r="B75"/>
  <c r="F75" s="1"/>
  <c r="B76"/>
  <c r="F76" s="1"/>
  <c r="B73"/>
  <c r="F73" s="1"/>
  <c r="F36"/>
  <c r="G43"/>
  <c r="D46"/>
  <c r="G44"/>
  <c r="C75"/>
  <c r="C73"/>
  <c r="C74"/>
  <c r="C76"/>
  <c r="B43"/>
  <c r="C33"/>
  <c r="C34" s="1"/>
  <c r="C38"/>
  <c r="G38" s="1"/>
  <c r="G25"/>
  <c r="G35"/>
  <c r="G28"/>
  <c r="F37"/>
  <c r="E34"/>
  <c r="G45"/>
  <c r="F72" l="1"/>
  <c r="H27"/>
  <c r="H77"/>
  <c r="H74"/>
  <c r="H73"/>
  <c r="I73" s="1"/>
  <c r="H72"/>
  <c r="H76"/>
  <c r="I76" s="1"/>
  <c r="H75"/>
  <c r="I75" s="1"/>
  <c r="F46"/>
  <c r="C46"/>
  <c r="G33"/>
  <c r="D36"/>
  <c r="E36"/>
  <c r="C36"/>
  <c r="G34"/>
  <c r="G37"/>
  <c r="G46" s="1"/>
  <c r="I77" l="1"/>
  <c r="I74"/>
  <c r="C64"/>
  <c r="G49"/>
  <c r="F47"/>
  <c r="E47"/>
  <c r="D47"/>
  <c r="G60"/>
  <c r="C47"/>
  <c r="G36"/>
  <c r="G47" s="1"/>
  <c r="C48" l="1"/>
  <c r="C61" s="1"/>
  <c r="C63" s="1"/>
  <c r="C67" s="1"/>
  <c r="D72" s="1"/>
  <c r="C32" i="8"/>
  <c r="G13" l="1"/>
  <c r="C48" l="1"/>
  <c r="C136" s="1"/>
  <c r="C31"/>
  <c r="D138"/>
  <c r="D139"/>
  <c r="D140"/>
  <c r="D141"/>
  <c r="D142"/>
  <c r="D137"/>
  <c r="D128"/>
  <c r="D129"/>
  <c r="D130"/>
  <c r="D131"/>
  <c r="D132"/>
  <c r="D127"/>
  <c r="D116"/>
  <c r="D117"/>
  <c r="D118"/>
  <c r="D119"/>
  <c r="D120"/>
  <c r="D115"/>
  <c r="D106"/>
  <c r="D107"/>
  <c r="D108"/>
  <c r="D109"/>
  <c r="D110"/>
  <c r="D105"/>
  <c r="D94"/>
  <c r="D95"/>
  <c r="D96"/>
  <c r="D97"/>
  <c r="D98"/>
  <c r="D93"/>
  <c r="D84"/>
  <c r="D85"/>
  <c r="D86"/>
  <c r="D87"/>
  <c r="D88"/>
  <c r="D83"/>
  <c r="D72"/>
  <c r="D73"/>
  <c r="D74"/>
  <c r="D75"/>
  <c r="D76"/>
  <c r="D71"/>
  <c r="D61"/>
  <c r="D62"/>
  <c r="D63"/>
  <c r="D64"/>
  <c r="D65"/>
  <c r="D66"/>
  <c r="D50"/>
  <c r="D51"/>
  <c r="D52"/>
  <c r="D53"/>
  <c r="D54"/>
  <c r="D49"/>
  <c r="D40"/>
  <c r="D41"/>
  <c r="D42"/>
  <c r="D43"/>
  <c r="D44"/>
  <c r="D39"/>
  <c r="G32"/>
  <c r="F32"/>
  <c r="I30"/>
  <c r="H30"/>
  <c r="G30"/>
  <c r="F30"/>
  <c r="E13"/>
  <c r="F82"/>
  <c r="E82"/>
  <c r="F38"/>
  <c r="E38"/>
  <c r="F126"/>
  <c r="E126"/>
  <c r="F134"/>
  <c r="F124"/>
  <c r="A124"/>
  <c r="A134" s="1"/>
  <c r="F104"/>
  <c r="Q103" s="1"/>
  <c r="E104"/>
  <c r="P103" s="1"/>
  <c r="H114"/>
  <c r="G114"/>
  <c r="F112"/>
  <c r="F102"/>
  <c r="A102"/>
  <c r="A112" s="1"/>
  <c r="A80"/>
  <c r="A90" s="1"/>
  <c r="A58"/>
  <c r="A68" s="1"/>
  <c r="H92"/>
  <c r="G92"/>
  <c r="F90"/>
  <c r="F80"/>
  <c r="F60"/>
  <c r="E60"/>
  <c r="G70"/>
  <c r="H70"/>
  <c r="F68"/>
  <c r="F58"/>
  <c r="H48"/>
  <c r="G48"/>
  <c r="F46"/>
  <c r="F37"/>
  <c r="Q38" s="1"/>
  <c r="F36"/>
  <c r="E37"/>
  <c r="P38" s="1"/>
  <c r="C38"/>
  <c r="M3" i="2"/>
  <c r="M4"/>
  <c r="M5"/>
  <c r="M6"/>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2"/>
  <c r="F22" i="8"/>
  <c r="C123" s="1"/>
  <c r="F21"/>
  <c r="C101" s="1"/>
  <c r="F20"/>
  <c r="C79" s="1"/>
  <c r="Q81" l="1"/>
  <c r="Q60"/>
  <c r="P60"/>
  <c r="P81"/>
  <c r="D15" i="17"/>
  <c r="H126" i="8"/>
  <c r="C15" i="17"/>
  <c r="G126" i="8"/>
  <c r="P37"/>
  <c r="K38" s="1"/>
  <c r="Q37"/>
  <c r="L38" s="1"/>
  <c r="H12" i="17"/>
  <c r="C72" s="1"/>
  <c r="D11"/>
  <c r="E123" i="8"/>
  <c r="C11" i="17"/>
  <c r="K31" i="8"/>
  <c r="F31"/>
  <c r="C14" i="17"/>
  <c r="D14"/>
  <c r="D13"/>
  <c r="C13"/>
  <c r="C12"/>
  <c r="D12"/>
  <c r="C60" i="8"/>
  <c r="C70"/>
  <c r="G60"/>
  <c r="H104"/>
  <c r="G82"/>
  <c r="H60"/>
  <c r="G104"/>
  <c r="C114"/>
  <c r="C92"/>
  <c r="E101"/>
  <c r="E79"/>
  <c r="H32"/>
  <c r="I32"/>
  <c r="G31"/>
  <c r="H82"/>
  <c r="E47"/>
  <c r="P48" s="1"/>
  <c r="F47"/>
  <c r="E24"/>
  <c r="F19"/>
  <c r="C57" s="1"/>
  <c r="E57" s="1"/>
  <c r="F23"/>
  <c r="K36" l="1"/>
  <c r="E15" i="17"/>
  <c r="H32" s="1"/>
  <c r="L36" i="8"/>
  <c r="F59"/>
  <c r="Q48"/>
  <c r="C82"/>
  <c r="C104" s="1"/>
  <c r="C126" s="1"/>
  <c r="E11" i="17"/>
  <c r="H28" s="1"/>
  <c r="E13"/>
  <c r="H30" s="1"/>
  <c r="E14"/>
  <c r="H31" s="1"/>
  <c r="D17"/>
  <c r="D18" s="1"/>
  <c r="D19" s="1"/>
  <c r="E12"/>
  <c r="H29" s="1"/>
  <c r="C17"/>
  <c r="E59" i="8"/>
  <c r="E25"/>
  <c r="E26" s="1"/>
  <c r="H38"/>
  <c r="E69" l="1"/>
  <c r="P61"/>
  <c r="F69"/>
  <c r="Q61"/>
  <c r="L31"/>
  <c r="L32"/>
  <c r="J12" i="17"/>
  <c r="J19" s="1"/>
  <c r="C18"/>
  <c r="C19" s="1"/>
  <c r="C20" s="1"/>
  <c r="H49" s="1"/>
  <c r="H33"/>
  <c r="E17"/>
  <c r="I31" i="8"/>
  <c r="F81" l="1"/>
  <c r="Q70"/>
  <c r="E81"/>
  <c r="P70"/>
  <c r="E91" l="1"/>
  <c r="P82"/>
  <c r="F91"/>
  <c r="Q82"/>
  <c r="I28" i="17" l="1"/>
  <c r="F103" i="8"/>
  <c r="Q92"/>
  <c r="E103"/>
  <c r="P92"/>
  <c r="I31" i="17"/>
  <c r="I30"/>
  <c r="I29"/>
  <c r="E113" i="8" l="1"/>
  <c r="P104"/>
  <c r="F113"/>
  <c r="Q104"/>
  <c r="F125" l="1"/>
  <c r="F135" s="1"/>
  <c r="Q114"/>
  <c r="E125"/>
  <c r="E135" s="1"/>
  <c r="P114"/>
  <c r="F18" l="1"/>
  <c r="C35" s="1"/>
  <c r="E35" s="1"/>
  <c r="C24"/>
  <c r="C25" l="1"/>
  <c r="C26" s="1"/>
  <c r="C27" s="1"/>
  <c r="F24"/>
  <c r="G38"/>
  <c r="I12" i="17" s="1"/>
  <c r="I19" l="1"/>
  <c r="I72"/>
  <c r="H31" i="8"/>
</calcChain>
</file>

<file path=xl/comments1.xml><?xml version="1.0" encoding="utf-8"?>
<comments xmlns="http://schemas.openxmlformats.org/spreadsheetml/2006/main">
  <authors>
    <author>SARRAZIN David</author>
  </authors>
  <commentList>
    <comment ref="C10" authorId="0">
      <text>
        <r>
          <rPr>
            <b/>
            <sz val="8"/>
            <color indexed="81"/>
            <rFont val="Tahoma"/>
            <family val="2"/>
          </rPr>
          <t>SARRAZIN David:</t>
        </r>
        <r>
          <rPr>
            <sz val="8"/>
            <color indexed="81"/>
            <rFont val="Tahoma"/>
            <family val="2"/>
          </rPr>
          <t xml:space="preserve">
Inidiquer la durée en mois
</t>
        </r>
      </text>
    </comment>
    <comment ref="E11" authorId="0">
      <text>
        <r>
          <rPr>
            <b/>
            <sz val="8"/>
            <color indexed="81"/>
            <rFont val="Tahoma"/>
            <family val="2"/>
          </rPr>
          <t>SARRAZIN David:</t>
        </r>
        <r>
          <rPr>
            <sz val="8"/>
            <color indexed="81"/>
            <rFont val="Tahoma"/>
            <family val="2"/>
          </rPr>
          <t xml:space="preserve">
Mentionner ici l'article de l'AE prévoyant le versement de l'avance</t>
        </r>
      </text>
    </comment>
    <comment ref="F11" authorId="0">
      <text>
        <r>
          <rPr>
            <b/>
            <sz val="8"/>
            <color indexed="81"/>
            <rFont val="Tahoma"/>
            <family val="2"/>
          </rPr>
          <t xml:space="preserve">SARRAZIN David:
</t>
        </r>
        <r>
          <rPr>
            <sz val="8"/>
            <color indexed="81"/>
            <rFont val="Tahoma"/>
            <family val="2"/>
          </rPr>
          <t>indiquer ici l'article mentionnant l'avance dans le CCAP</t>
        </r>
      </text>
    </comment>
    <comment ref="C12" authorId="0">
      <text>
        <r>
          <rPr>
            <b/>
            <sz val="8"/>
            <color indexed="81"/>
            <rFont val="Tahoma"/>
            <family val="2"/>
          </rPr>
          <t>SARRAZIN David:</t>
        </r>
        <r>
          <rPr>
            <sz val="8"/>
            <color indexed="81"/>
            <rFont val="Tahoma"/>
            <family val="2"/>
          </rPr>
          <t xml:space="preserve">
Inidiquer si le marché est actualisable ou pas</t>
        </r>
      </text>
    </comment>
    <comment ref="C13" authorId="0">
      <text>
        <r>
          <rPr>
            <b/>
            <sz val="8"/>
            <color indexed="81"/>
            <rFont val="Tahoma"/>
            <family val="2"/>
          </rPr>
          <t>SARRAZIN David:</t>
        </r>
        <r>
          <rPr>
            <sz val="8"/>
            <color indexed="81"/>
            <rFont val="Tahoma"/>
            <family val="2"/>
          </rPr>
          <t xml:space="preserve">
iniquer si le marché est révisable ou non</t>
        </r>
      </text>
    </comment>
    <comment ref="F13" authorId="0">
      <text>
        <r>
          <rPr>
            <b/>
            <sz val="8"/>
            <color indexed="81"/>
            <rFont val="Tahoma"/>
            <family val="2"/>
          </rPr>
          <t>SARRAZIN David:</t>
        </r>
        <r>
          <rPr>
            <sz val="8"/>
            <color indexed="81"/>
            <rFont val="Tahoma"/>
            <family val="2"/>
          </rPr>
          <t xml:space="preserve">
mentionner le mois Mo en format mm/aa
</t>
        </r>
      </text>
    </comment>
    <comment ref="H13" authorId="0">
      <text>
        <r>
          <rPr>
            <b/>
            <sz val="8"/>
            <color indexed="81"/>
            <rFont val="Tahoma"/>
            <family val="2"/>
          </rPr>
          <t>SARRAZIN David:</t>
        </r>
        <r>
          <rPr>
            <sz val="8"/>
            <color indexed="81"/>
            <rFont val="Tahoma"/>
            <family val="2"/>
          </rPr>
          <t xml:space="preserve">
indiquer l'indice (ex : BT01)</t>
        </r>
      </text>
    </comment>
    <comment ref="H14" authorId="0">
      <text>
        <r>
          <rPr>
            <b/>
            <sz val="8"/>
            <color indexed="81"/>
            <rFont val="Tahoma"/>
            <family val="2"/>
          </rPr>
          <t>SARRAZIN David:</t>
        </r>
        <r>
          <rPr>
            <sz val="8"/>
            <color indexed="81"/>
            <rFont val="Tahoma"/>
            <family val="2"/>
          </rPr>
          <t xml:space="preserve">
inidiquer le montant du Mo</t>
        </r>
      </text>
    </comment>
    <comment ref="B16" authorId="0">
      <text>
        <r>
          <rPr>
            <b/>
            <sz val="8"/>
            <color indexed="81"/>
            <rFont val="Tahoma"/>
            <family val="2"/>
          </rPr>
          <t>SARRAZIN David:</t>
        </r>
        <r>
          <rPr>
            <sz val="8"/>
            <color indexed="81"/>
            <rFont val="Tahoma"/>
            <family val="2"/>
          </rPr>
          <t xml:space="preserve">
indiquer ici le montant de la TF et les TO affermies uniquement
</t>
        </r>
      </text>
    </comment>
    <comment ref="F35" authorId="0">
      <text>
        <r>
          <rPr>
            <b/>
            <sz val="8"/>
            <color indexed="81"/>
            <rFont val="Tahoma"/>
            <family val="2"/>
          </rPr>
          <t>SARRAZIN David:</t>
        </r>
        <r>
          <rPr>
            <sz val="8"/>
            <color indexed="81"/>
            <rFont val="Tahoma"/>
            <family val="2"/>
          </rPr>
          <t xml:space="preserve">
indiquer si la tranche fait l'objet d'une avance
</t>
        </r>
      </text>
    </comment>
    <comment ref="G35" author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35" author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36" author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38" author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39" authorId="0">
      <text>
        <r>
          <rPr>
            <b/>
            <sz val="8"/>
            <color indexed="81"/>
            <rFont val="Tahoma"/>
            <family val="2"/>
          </rPr>
          <t>SARRAZIN David:</t>
        </r>
        <r>
          <rPr>
            <sz val="8"/>
            <color indexed="81"/>
            <rFont val="Tahoma"/>
            <family val="2"/>
          </rPr>
          <t xml:space="preserve">
Sélectionner si le sous traitant est en TVA autoliquidée ou pas.
</t>
        </r>
      </text>
    </comment>
    <comment ref="C39" authorId="0">
      <text>
        <r>
          <rPr>
            <b/>
            <sz val="8"/>
            <color indexed="81"/>
            <rFont val="Tahoma"/>
            <family val="2"/>
          </rPr>
          <t>SARRAZIN David:</t>
        </r>
        <r>
          <rPr>
            <sz val="8"/>
            <color indexed="81"/>
            <rFont val="Tahoma"/>
            <family val="2"/>
          </rPr>
          <t xml:space="preserve">
Mentionner le nom du sous tritant
</t>
        </r>
      </text>
    </comment>
    <comment ref="G39" authorId="0">
      <text>
        <r>
          <rPr>
            <b/>
            <sz val="8"/>
            <color indexed="81"/>
            <rFont val="Tahoma"/>
            <family val="2"/>
          </rPr>
          <t>SARRAZIN David:</t>
        </r>
        <r>
          <rPr>
            <sz val="8"/>
            <color indexed="81"/>
            <rFont val="Tahoma"/>
            <family val="2"/>
          </rPr>
          <t xml:space="preserve">
Mentionner le montant du DC4 par sous traitant
</t>
        </r>
      </text>
    </comment>
    <comment ref="E48" author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G57" authorId="0">
      <text>
        <r>
          <rPr>
            <b/>
            <sz val="8"/>
            <color indexed="81"/>
            <rFont val="Tahoma"/>
            <family val="2"/>
          </rPr>
          <t>SARRAZIN David:</t>
        </r>
        <r>
          <rPr>
            <sz val="8"/>
            <color indexed="81"/>
            <rFont val="Tahoma"/>
            <family val="2"/>
          </rPr>
          <t xml:space="preserve">
indiquer si la tranche fait l'objet d'une garantie et sa forme
</t>
        </r>
      </text>
    </comment>
    <comment ref="E60" author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G79" authorId="0">
      <text>
        <r>
          <rPr>
            <b/>
            <sz val="8"/>
            <color indexed="81"/>
            <rFont val="Tahoma"/>
            <family val="2"/>
          </rPr>
          <t>SARRAZIN David:</t>
        </r>
        <r>
          <rPr>
            <sz val="8"/>
            <color indexed="81"/>
            <rFont val="Tahoma"/>
            <family val="2"/>
          </rPr>
          <t xml:space="preserve">
indiquer si la tranche fait l'objet d'une garantie et sa forme
</t>
        </r>
      </text>
    </comment>
    <comment ref="E82" author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G101" authorId="0">
      <text>
        <r>
          <rPr>
            <b/>
            <sz val="8"/>
            <color indexed="81"/>
            <rFont val="Tahoma"/>
            <family val="2"/>
          </rPr>
          <t>SARRAZIN David:</t>
        </r>
        <r>
          <rPr>
            <sz val="8"/>
            <color indexed="81"/>
            <rFont val="Tahoma"/>
            <family val="2"/>
          </rPr>
          <t xml:space="preserve">
indiquer si la tranche fait l'objet d'une garantie et sa forme
</t>
        </r>
      </text>
    </comment>
    <comment ref="E104" author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E126" author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List>
</comments>
</file>

<file path=xl/comments2.xml><?xml version="1.0" encoding="utf-8"?>
<comments xmlns="http://schemas.openxmlformats.org/spreadsheetml/2006/main">
  <authors>
    <author>SARRAZIN David</author>
  </authors>
  <commentList>
    <comment ref="B25" authorId="0">
      <text>
        <r>
          <rPr>
            <b/>
            <sz val="8"/>
            <color indexed="81"/>
            <rFont val="Tahoma"/>
            <family val="2"/>
          </rPr>
          <t>SARRAZIN David:</t>
        </r>
        <r>
          <rPr>
            <sz val="8"/>
            <color indexed="81"/>
            <rFont val="Tahoma"/>
            <family val="2"/>
          </rPr>
          <t xml:space="preserve">
</t>
        </r>
        <r>
          <rPr>
            <b/>
            <sz val="8"/>
            <color indexed="81"/>
            <rFont val="Tahoma"/>
            <family val="2"/>
          </rPr>
          <t>le montant de l'avance une fois versée ne doit pas être modifiée</t>
        </r>
        <r>
          <rPr>
            <sz val="8"/>
            <color indexed="81"/>
            <rFont val="Tahoma"/>
            <family val="2"/>
          </rPr>
          <t>. Utiliser la ligne 1a en cas de restitution suite DC4</t>
        </r>
      </text>
    </comment>
    <comment ref="C25" authorId="0">
      <text>
        <r>
          <rPr>
            <b/>
            <sz val="8"/>
            <color indexed="81"/>
            <rFont val="Tahoma"/>
            <family val="2"/>
          </rPr>
          <t>SARRAZIN David:</t>
        </r>
        <r>
          <rPr>
            <sz val="8"/>
            <color indexed="81"/>
            <rFont val="Tahoma"/>
            <family val="2"/>
          </rPr>
          <t xml:space="preserve">
à griser à partir du PV2
</t>
        </r>
      </text>
    </comment>
    <comment ref="B26" authorId="0">
      <text>
        <r>
          <rPr>
            <b/>
            <sz val="8"/>
            <color indexed="81"/>
            <rFont val="Tahoma"/>
            <family val="2"/>
          </rPr>
          <t>SARRAZIN David:</t>
        </r>
        <r>
          <rPr>
            <sz val="8"/>
            <color indexed="81"/>
            <rFont val="Tahoma"/>
            <family val="2"/>
          </rPr>
          <t xml:space="preserve">
mentionner un montant positif calculé sur la base de la feuille RESTITUTIION AVANCE SUITE DC4
</t>
        </r>
      </text>
    </comment>
    <comment ref="C37" authorId="0">
      <text>
        <r>
          <rPr>
            <b/>
            <sz val="8"/>
            <color indexed="81"/>
            <rFont val="Tahoma"/>
            <family val="2"/>
          </rPr>
          <t>SARRAZIN David:</t>
        </r>
        <r>
          <rPr>
            <sz val="8"/>
            <color indexed="81"/>
            <rFont val="Tahoma"/>
            <family val="2"/>
          </rPr>
          <t xml:space="preserve">
à griser à partir du PV2</t>
        </r>
      </text>
    </comment>
    <comment ref="B58" authorId="0">
      <text>
        <r>
          <rPr>
            <b/>
            <sz val="8"/>
            <color indexed="81"/>
            <rFont val="Tahoma"/>
            <family val="2"/>
          </rPr>
          <t>SARRAZIN David:</t>
        </r>
        <r>
          <rPr>
            <sz val="8"/>
            <color indexed="81"/>
            <rFont val="Tahoma"/>
            <family val="2"/>
          </rPr>
          <t xml:space="preserve">
ATTENTION LIGNE 2 (si pas de RG) ou 3 si il y a RG
</t>
        </r>
      </text>
    </comment>
    <comment ref="B69" author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72" authorId="0">
      <text>
        <r>
          <rPr>
            <b/>
            <sz val="8"/>
            <color indexed="81"/>
            <rFont val="Tahoma"/>
            <family val="2"/>
          </rPr>
          <t>SARRAZIN David:</t>
        </r>
        <r>
          <rPr>
            <sz val="8"/>
            <color indexed="81"/>
            <rFont val="Tahoma"/>
            <family val="2"/>
          </rPr>
          <t xml:space="preserve">
17
-somme des montants à payer sur les autres prestataires
</t>
        </r>
      </text>
    </comment>
  </commentList>
</comments>
</file>

<file path=xl/sharedStrings.xml><?xml version="1.0" encoding="utf-8"?>
<sst xmlns="http://schemas.openxmlformats.org/spreadsheetml/2006/main" count="727" uniqueCount="328">
  <si>
    <t>CERTIFICAT DE PAIEMENT N°</t>
  </si>
  <si>
    <t>Titulaire</t>
  </si>
  <si>
    <t>Opération :</t>
  </si>
  <si>
    <t>Titulaire :</t>
  </si>
  <si>
    <t>n° marché :</t>
  </si>
  <si>
    <t>n°engagement :</t>
  </si>
  <si>
    <t>Mois de réalisation :</t>
  </si>
  <si>
    <t>ECONOMIE GENERALE DU CONTRAT</t>
  </si>
  <si>
    <t>Taux de TVA</t>
  </si>
  <si>
    <t>Tranche ferme HT</t>
  </si>
  <si>
    <t>Tranche optionnelle 1 HT</t>
  </si>
  <si>
    <t>Tranche optionnelle 2 HT</t>
  </si>
  <si>
    <t>Tranche optionnelle 3 HT</t>
  </si>
  <si>
    <t>Montant OS et avenants HT</t>
  </si>
  <si>
    <t>Sous total HT</t>
  </si>
  <si>
    <t>Montant TVA</t>
  </si>
  <si>
    <t>Sous total TTC</t>
  </si>
  <si>
    <t>TOTAL TTC</t>
  </si>
  <si>
    <t>CALCUL DE L'ACOMPTE</t>
  </si>
  <si>
    <t>Avance HT</t>
  </si>
  <si>
    <t>2a</t>
  </si>
  <si>
    <t>Tranche Ferme HT</t>
  </si>
  <si>
    <t>TO 1 HT</t>
  </si>
  <si>
    <t>TO 2 HT</t>
  </si>
  <si>
    <t>TO 3 HT</t>
  </si>
  <si>
    <t>2b</t>
  </si>
  <si>
    <t>2c</t>
  </si>
  <si>
    <t>2d</t>
  </si>
  <si>
    <t>avenants et OS</t>
  </si>
  <si>
    <t>2e</t>
  </si>
  <si>
    <t>Mensuel</t>
  </si>
  <si>
    <t>avancement</t>
  </si>
  <si>
    <t>VENTILATION PAR ENTITES € HT</t>
  </si>
  <si>
    <t>Type</t>
  </si>
  <si>
    <t>Nom</t>
  </si>
  <si>
    <t>janvier</t>
  </si>
  <si>
    <t>février</t>
  </si>
  <si>
    <t>mars</t>
  </si>
  <si>
    <t>avril</t>
  </si>
  <si>
    <t>mai</t>
  </si>
  <si>
    <t>juin</t>
  </si>
  <si>
    <t>juillet</t>
  </si>
  <si>
    <t>août</t>
  </si>
  <si>
    <t>septembre</t>
  </si>
  <si>
    <t>octobre</t>
  </si>
  <si>
    <t>novembre</t>
  </si>
  <si>
    <t>décembre</t>
  </si>
  <si>
    <t>Année :</t>
  </si>
  <si>
    <t>actualisation</t>
  </si>
  <si>
    <t>Révision</t>
  </si>
  <si>
    <t>TVA avance</t>
  </si>
  <si>
    <t>TVA Tranche ferme</t>
  </si>
  <si>
    <t>TVA TO 1</t>
  </si>
  <si>
    <t>TVA TO 3</t>
  </si>
  <si>
    <t>TVA TO 2</t>
  </si>
  <si>
    <t>TVA avenants et OS</t>
  </si>
  <si>
    <t>TVA actualisation</t>
  </si>
  <si>
    <t>TVA révision</t>
  </si>
  <si>
    <t>GAPD</t>
  </si>
  <si>
    <t>Retenue de pénalités provisoires TTC</t>
  </si>
  <si>
    <t>Cumul général</t>
  </si>
  <si>
    <t>Mandats émis antérieurement</t>
  </si>
  <si>
    <t>Acompte à payer</t>
  </si>
  <si>
    <t>S</t>
  </si>
  <si>
    <t>dont Tiulaire</t>
  </si>
  <si>
    <t>dont Sous-traitant</t>
  </si>
  <si>
    <t>dont Co-traitant</t>
  </si>
  <si>
    <t>nom</t>
  </si>
  <si>
    <t>Co-traitant</t>
  </si>
  <si>
    <t>total</t>
  </si>
  <si>
    <t>Lycée / site :</t>
  </si>
  <si>
    <t>Réfaction</t>
  </si>
  <si>
    <t>mensuel</t>
  </si>
  <si>
    <t>Acompte à payer TTC</t>
  </si>
  <si>
    <t>Montant mensuel HT</t>
  </si>
  <si>
    <t>montant antérieur HT</t>
  </si>
  <si>
    <t>Montant cumulé HT</t>
  </si>
  <si>
    <t>restant du HT</t>
  </si>
  <si>
    <t>Mandats antérieurs</t>
  </si>
  <si>
    <t>PV</t>
  </si>
  <si>
    <t>N°mandat</t>
  </si>
  <si>
    <t>Montant TTC</t>
  </si>
  <si>
    <t>N° titre</t>
  </si>
  <si>
    <t>Lycée</t>
  </si>
  <si>
    <t>"ÉDOUARD BRANLY"</t>
  </si>
  <si>
    <t>"LE VERGER"</t>
  </si>
  <si>
    <t>"MARCELIN BERTHELOT"</t>
  </si>
  <si>
    <t>"ANDRÉ THEURIET"</t>
  </si>
  <si>
    <t>"LES TERRES ROUGES"</t>
  </si>
  <si>
    <t>"PILOTE INNOVANT INTERNATIONAL"</t>
  </si>
  <si>
    <t>"GUY CHAUVET"</t>
  </si>
  <si>
    <t>"MARC GODRIE"</t>
  </si>
  <si>
    <t>EREA</t>
  </si>
  <si>
    <t>"ANNE FRANK"</t>
  </si>
  <si>
    <t>"JEAN-MARIE BOULOUX"</t>
  </si>
  <si>
    <t>"JEAN MOULIN"</t>
  </si>
  <si>
    <t>"RAOUL MORTIER"</t>
  </si>
  <si>
    <t>"ALIÉNOR D'AQUITAINE"</t>
  </si>
  <si>
    <t>"AUGUSTE PERRET"</t>
  </si>
  <si>
    <t>"CAMILLE GUÉRIN"</t>
  </si>
  <si>
    <t>"KYOTO"</t>
  </si>
  <si>
    <t>"LE BOIS D'AMOUR"</t>
  </si>
  <si>
    <t>"LE DOLMEN"</t>
  </si>
  <si>
    <t>"NELSON MANDELA"</t>
  </si>
  <si>
    <t>"RÉAUMUR"</t>
  </si>
  <si>
    <t>"VICTOR HUGO"</t>
  </si>
  <si>
    <t>"XAVIER BERNARD"</t>
  </si>
  <si>
    <t>"DANIÈLE MATHIRON"</t>
  </si>
  <si>
    <t>lycée</t>
  </si>
  <si>
    <t>"LÉONARD DE VINCI"</t>
  </si>
  <si>
    <t>"LES SICAUDIÈRES"</t>
  </si>
  <si>
    <t>"MAURICE GENEVOIX"/"SIMONE SIGNORET"</t>
  </si>
  <si>
    <t>"JEAN-FRANCOIS CAIL"</t>
  </si>
  <si>
    <t>"JACQUES BUJAULT"</t>
  </si>
  <si>
    <t>"JOSEPH DESFONTAINES"</t>
  </si>
  <si>
    <t>"GASTON BARRÉ"</t>
  </si>
  <si>
    <t>"GASTON CHAISSAC"</t>
  </si>
  <si>
    <t>"JEAN MACÉ"</t>
  </si>
  <si>
    <t>"LA VENISE VERTE"</t>
  </si>
  <si>
    <t>"PAUL GUERIN"</t>
  </si>
  <si>
    <t>"THOMAS-JEAN MAIN"</t>
  </si>
  <si>
    <t>"ERNEST PÉROCHON"</t>
  </si>
  <si>
    <t>"LES GRIPPEAUX"</t>
  </si>
  <si>
    <t>"FRANCOISE DOLTO"</t>
  </si>
  <si>
    <t>"HAUT VAL DE SÈVRE"</t>
  </si>
  <si>
    <t>"J.MOULIN"(79)</t>
  </si>
  <si>
    <t>"DE LA MER ET DU LITTORAL"</t>
  </si>
  <si>
    <t>"JEAN HYPPOLITE"</t>
  </si>
  <si>
    <t>"LE RENAUDIN"</t>
  </si>
  <si>
    <t>"JEAN DAUTET"</t>
  </si>
  <si>
    <t>"LÉONCE VIELJEUX"</t>
  </si>
  <si>
    <t>"HOTELIER DU PARC DE LA FRANCOPHONIE"</t>
  </si>
  <si>
    <t>"PIERRE DORIOLE"</t>
  </si>
  <si>
    <t>"RENÉ-JOSUÉ VALIN"</t>
  </si>
  <si>
    <t>"ROMPSAY"</t>
  </si>
  <si>
    <t>"ANTOINE DE SAINT EXUPÉRY"</t>
  </si>
  <si>
    <t>"EMILE COMBES"</t>
  </si>
  <si>
    <t>"GILLES JAMAIN"</t>
  </si>
  <si>
    <t>"MARCEL DASSAULT"</t>
  </si>
  <si>
    <t>"MAURICE MERLEAU PONTY"</t>
  </si>
  <si>
    <t>de "L'ATLANTIQUE"</t>
  </si>
  <si>
    <t>"CORDOUAN"</t>
  </si>
  <si>
    <t>"BELLEVUE"</t>
  </si>
  <si>
    <t>"BERNARD PALISSY"</t>
  </si>
  <si>
    <t>"LE PETIT CHADIGNAC"</t>
  </si>
  <si>
    <t>"THÉODORE MONOD"</t>
  </si>
  <si>
    <t>"BLAISE PASCAL"</t>
  </si>
  <si>
    <t>"LOUIS-AUDOUIN DUBREUIL"</t>
  </si>
  <si>
    <t>"ENILIA-ENSMIC"</t>
  </si>
  <si>
    <t>"GEORGES DESCLAUDES"</t>
  </si>
  <si>
    <t>"MARITIME ET ACQUACOLE"</t>
  </si>
  <si>
    <t>"PAYS D'AUNIS"</t>
  </si>
  <si>
    <t>"CHARLES-AUGUSTIN COULOMB"</t>
  </si>
  <si>
    <t>"GUEZ DE BALZAC"</t>
  </si>
  <si>
    <t>"DE L'IMAGE ET DU SON"</t>
  </si>
  <si>
    <t>"JEAN ROSTAND"</t>
  </si>
  <si>
    <t>"MARGUERITE DE VALOIS"</t>
  </si>
  <si>
    <t>"DE SILLAC"</t>
  </si>
  <si>
    <t>"ÉLIE VINET"</t>
  </si>
  <si>
    <t>"FÉLIX GAILLARD"</t>
  </si>
  <si>
    <t>"PIERRE-ANDRÉ CHABANNE"</t>
  </si>
  <si>
    <t>"JEAN MONNET"</t>
  </si>
  <si>
    <t>"LOUIS DELAGE"</t>
  </si>
  <si>
    <t>"ÉMILE ROUX"</t>
  </si>
  <si>
    <t>"L'OISELLERIE"</t>
  </si>
  <si>
    <t>"LES CHIRONS"</t>
  </si>
  <si>
    <t>"JEAN CAILLAUD"</t>
  </si>
  <si>
    <t>"LOUISE MICHEL"</t>
  </si>
  <si>
    <t>"JEAN-ALBERT GRÉGOIRE"</t>
  </si>
  <si>
    <t>Cumulé antérieur
TVA</t>
  </si>
  <si>
    <t>DGD</t>
  </si>
  <si>
    <t>TVA remboursement avance
(avancement travaux)</t>
  </si>
  <si>
    <t>Remboursement avance HT
(avancement travaux)</t>
  </si>
  <si>
    <r>
      <t>Sous-Total travaux (</t>
    </r>
    <r>
      <rPr>
        <sz val="14"/>
        <color theme="1"/>
        <rFont val="Symbol"/>
        <family val="1"/>
        <charset val="2"/>
      </rPr>
      <t>S</t>
    </r>
    <r>
      <rPr>
        <sz val="14"/>
        <color theme="1"/>
        <rFont val="Calibri"/>
        <family val="2"/>
      </rPr>
      <t>2 HT)</t>
    </r>
  </si>
  <si>
    <t>3a</t>
  </si>
  <si>
    <t>3b</t>
  </si>
  <si>
    <t>7a</t>
  </si>
  <si>
    <r>
      <t>Total des retenues TTC (</t>
    </r>
    <r>
      <rPr>
        <sz val="14"/>
        <color theme="1"/>
        <rFont val="Symbol"/>
        <family val="1"/>
        <charset val="2"/>
      </rPr>
      <t>S</t>
    </r>
    <r>
      <rPr>
        <sz val="14"/>
        <color theme="1"/>
        <rFont val="Calibri"/>
        <family val="2"/>
        <scheme val="minor"/>
      </rPr>
      <t xml:space="preserve"> 12 13+14)</t>
    </r>
  </si>
  <si>
    <t>Titu</t>
  </si>
  <si>
    <t>ST TVA autoliquidée</t>
  </si>
  <si>
    <t>ST TVA non-autoliquidée</t>
  </si>
  <si>
    <t>1a</t>
  </si>
  <si>
    <t>1b</t>
  </si>
  <si>
    <t>Autres retenues provisoires TTC</t>
  </si>
  <si>
    <t>6a</t>
  </si>
  <si>
    <t>6b</t>
  </si>
  <si>
    <t>6c</t>
  </si>
  <si>
    <t>6d</t>
  </si>
  <si>
    <t>6e</t>
  </si>
  <si>
    <t>6f</t>
  </si>
  <si>
    <r>
      <t>Sous-Total TVA (</t>
    </r>
    <r>
      <rPr>
        <sz val="14"/>
        <color theme="1"/>
        <rFont val="Symbol"/>
        <family val="1"/>
        <charset val="2"/>
      </rPr>
      <t>S 6 - 7)</t>
    </r>
  </si>
  <si>
    <t>Sous-Total TTC 5 + 8</t>
  </si>
  <si>
    <t>info RG à mandater en ligne 2</t>
  </si>
  <si>
    <t>département</t>
  </si>
  <si>
    <t>au</t>
  </si>
  <si>
    <t>à l'</t>
  </si>
  <si>
    <t>_16</t>
  </si>
  <si>
    <t>_17</t>
  </si>
  <si>
    <t>_79</t>
  </si>
  <si>
    <t>_86</t>
  </si>
  <si>
    <t>montant après ST</t>
  </si>
  <si>
    <t>AVANCE</t>
  </si>
  <si>
    <t>ACTUALISATION</t>
  </si>
  <si>
    <t>REVISION</t>
  </si>
  <si>
    <t>D</t>
  </si>
  <si>
    <t>P</t>
  </si>
  <si>
    <t>OUI</t>
  </si>
  <si>
    <t>NON</t>
  </si>
  <si>
    <t>info restitution suite DC4 TDR</t>
  </si>
  <si>
    <t>Montant intial TVA</t>
  </si>
  <si>
    <t>Indiquer à droite les montants des sous traitants HT</t>
  </si>
  <si>
    <t>Tranche FERME</t>
  </si>
  <si>
    <t>Tranche OPTIONNELLE 1</t>
  </si>
  <si>
    <t>Tranche OPTIONNELLE 2</t>
  </si>
  <si>
    <t>Cotraitant</t>
  </si>
  <si>
    <t>Tranche OPTIONNELLE 3</t>
  </si>
  <si>
    <t>Montant OS et avenants</t>
  </si>
  <si>
    <t>TOTAL (3b + 4)</t>
  </si>
  <si>
    <t>Objet :</t>
  </si>
  <si>
    <t>AE</t>
  </si>
  <si>
    <t>CCAP</t>
  </si>
  <si>
    <t>l'article 3</t>
  </si>
  <si>
    <t>l'article 4</t>
  </si>
  <si>
    <t>l'article 5</t>
  </si>
  <si>
    <t>l'article 6</t>
  </si>
  <si>
    <t>l'article 7</t>
  </si>
  <si>
    <t>Montant initial TVA</t>
  </si>
  <si>
    <t>Tranche Ferme</t>
  </si>
  <si>
    <t>Tranche Optionnelle 1</t>
  </si>
  <si>
    <t>Tranche Optionnelle 2</t>
  </si>
  <si>
    <t>Tranche Optionelle 3</t>
  </si>
  <si>
    <t>OS et avenants</t>
  </si>
  <si>
    <t>Cotraitant :</t>
  </si>
  <si>
    <t>S HT</t>
  </si>
  <si>
    <t>reste à repartir</t>
  </si>
  <si>
    <t>TVA restitution avance suite DC4 (pour info)</t>
  </si>
  <si>
    <t>restitution avance suite DC4 (pour info - non déduit des calculs)</t>
  </si>
  <si>
    <t>Titres de recettes antérieurs (pour info)</t>
  </si>
  <si>
    <t>avance</t>
  </si>
  <si>
    <t>DUREE INTIAL en mois</t>
  </si>
  <si>
    <t xml:space="preserve">titulaire </t>
  </si>
  <si>
    <t>cotraitant</t>
  </si>
  <si>
    <r>
      <t>Sous-Total avance +
travaux (somme 3a - 1 - 1b</t>
    </r>
    <r>
      <rPr>
        <sz val="14"/>
        <color theme="1"/>
        <rFont val="Calibri"/>
        <family val="2"/>
      </rPr>
      <t>) HT</t>
    </r>
  </si>
  <si>
    <r>
      <t>TOTAL (</t>
    </r>
    <r>
      <rPr>
        <sz val="14"/>
        <color theme="1"/>
        <rFont val="Symbol"/>
        <family val="1"/>
        <charset val="2"/>
      </rPr>
      <t>S</t>
    </r>
    <r>
      <rPr>
        <sz val="14"/>
        <color theme="1"/>
        <rFont val="Calibri"/>
        <family val="2"/>
      </rPr>
      <t xml:space="preserve"> 9 mensuel + antérieur</t>
    </r>
    <r>
      <rPr>
        <sz val="14"/>
        <color theme="1"/>
        <rFont val="Calibri"/>
        <family val="2"/>
        <scheme val="minor"/>
      </rPr>
      <t>) TTC</t>
    </r>
  </si>
  <si>
    <t>_19</t>
  </si>
  <si>
    <t>_23</t>
  </si>
  <si>
    <t>_87</t>
  </si>
  <si>
    <t>"D'ARSONVAL"</t>
  </si>
  <si>
    <t>"MARCEL BARBENCEYS"</t>
  </si>
  <si>
    <t>"BORT ARTENSE"</t>
  </si>
  <si>
    <t>"GEORGES CABANIS"</t>
  </si>
  <si>
    <t>"PIERRE CARAMINOT"</t>
  </si>
  <si>
    <t>"RENE CASSIN"</t>
  </si>
  <si>
    <t>"DANTON"</t>
  </si>
  <si>
    <t>"LAVOISIER"</t>
  </si>
  <si>
    <t>"DES MILLES SOURCES"</t>
  </si>
  <si>
    <t>"EDMOND PERRIER"</t>
  </si>
  <si>
    <t>"BERNART DE VENTADOUR"</t>
  </si>
  <si>
    <t>"BRIVE-VOUTEZAC"</t>
  </si>
  <si>
    <t>"DE HAUTE CORREZE"</t>
  </si>
  <si>
    <t>"EDGARD PISANI"</t>
  </si>
  <si>
    <t>"PIERRE BOURDAN"</t>
  </si>
  <si>
    <t>"JEAN FAVARD"</t>
  </si>
  <si>
    <t>"DES METIERS ET DU BATIMENT DE FELLETIN"</t>
  </si>
  <si>
    <t>"DELHPINE GAY"</t>
  </si>
  <si>
    <t>"EUGENE JAMOT"</t>
  </si>
  <si>
    <t>"JEAN JAURES"</t>
  </si>
  <si>
    <t>"RAYMOND LOEWY"</t>
  </si>
  <si>
    <t>"GASTON ROUSSILAT"</t>
  </si>
  <si>
    <t>"D'AHUN"</t>
  </si>
  <si>
    <t>"MARYSE BASTIE"</t>
  </si>
  <si>
    <t>"BAPTISTE DARNET"</t>
  </si>
  <si>
    <t>"DAUTRY"</t>
  </si>
  <si>
    <t>"PAUL EUARD"</t>
  </si>
  <si>
    <t>"GAY LUSSAC"</t>
  </si>
  <si>
    <t>"JEAN GIRAUOUX"</t>
  </si>
  <si>
    <t>"LEONARD LIMOSIN"</t>
  </si>
  <si>
    <t>"LE MAS JAMBOST"</t>
  </si>
  <si>
    <t>"MARTIN NADAUD"</t>
  </si>
  <si>
    <t>"MARCEL PAGNOL"</t>
  </si>
  <si>
    <t>"AUGUSTE RENOIR"</t>
  </si>
  <si>
    <t>"GEORGES SAND"</t>
  </si>
  <si>
    <t>"TURGOT"</t>
  </si>
  <si>
    <t>"EDOUARD VAILLANT"</t>
  </si>
  <si>
    <t>"SUZANNE VALANDON"</t>
  </si>
  <si>
    <t>"DE SAINT YRIEZIX DE LA PERCHE"</t>
  </si>
  <si>
    <t>"DE LIMOGES ET DU NORD HAUTE VIENNE" (MAGNAC LAVAL")</t>
  </si>
  <si>
    <t>"DE LIMOGES ET DU NORD HAUTE VIENNE" (LES VASEIX")</t>
  </si>
  <si>
    <t>Sans Objet</t>
  </si>
  <si>
    <t>info pénalités provisoires ligne 2 ou 3</t>
  </si>
  <si>
    <t>Soit un acompte total de</t>
  </si>
  <si>
    <t>DGD suite à Révision définitive</t>
  </si>
  <si>
    <t>RG</t>
  </si>
  <si>
    <t>Sureté INITIALE (RG / GAPD / Sans objet)</t>
  </si>
  <si>
    <t>Sureté MODIFICATIVE (RG / GAPD)</t>
  </si>
  <si>
    <t>Retenue de Garantie tranche ferme</t>
  </si>
  <si>
    <t>GAPD tranche ferme</t>
  </si>
  <si>
    <t>RG tranche ferme remplacée par GAPD</t>
  </si>
  <si>
    <t>11-1</t>
  </si>
  <si>
    <t>Retenue de Garantie TO 1</t>
  </si>
  <si>
    <t>GAPD TO 1</t>
  </si>
  <si>
    <t>RG TO1 remplacée par GAPD</t>
  </si>
  <si>
    <t>11-2</t>
  </si>
  <si>
    <t>11-3</t>
  </si>
  <si>
    <t>Retenue de Garantie TO 2</t>
  </si>
  <si>
    <t>GAPD TO 2</t>
  </si>
  <si>
    <t>RG TO2 remplacée par GAPD</t>
  </si>
  <si>
    <t>11-4</t>
  </si>
  <si>
    <t>11-5</t>
  </si>
  <si>
    <t>Retenue de Garantie TO 3</t>
  </si>
  <si>
    <t>GAPD TO 3</t>
  </si>
  <si>
    <t>RG TO3 remplacée par GAPD</t>
  </si>
  <si>
    <t>11-6</t>
  </si>
  <si>
    <t>11-7</t>
  </si>
  <si>
    <t>11-8</t>
  </si>
  <si>
    <t>Retenue complémentaire (attention point à vérifier dans le CCAP)</t>
  </si>
  <si>
    <t>Sous traitant introduit au démarrage et déduit du calcul de l'avance</t>
  </si>
  <si>
    <t>&lt;</t>
  </si>
  <si>
    <t>titul</t>
  </si>
  <si>
    <t>titulaire</t>
  </si>
  <si>
    <t>TF</t>
  </si>
  <si>
    <t>cotrait</t>
  </si>
  <si>
    <t>TO1</t>
  </si>
  <si>
    <t>cotrai</t>
  </si>
  <si>
    <t>TO2</t>
  </si>
  <si>
    <t>tiutl</t>
  </si>
  <si>
    <t>TO3</t>
  </si>
  <si>
    <t>ferme</t>
  </si>
</sst>
</file>

<file path=xl/styles.xml><?xml version="1.0" encoding="utf-8"?>
<styleSheet xmlns="http://schemas.openxmlformats.org/spreadsheetml/2006/main">
  <numFmts count="5">
    <numFmt numFmtId="44" formatCode="_-* #,##0.00\ &quot;€&quot;_-;\-* #,##0.00\ &quot;€&quot;_-;_-* &quot;-&quot;??\ &quot;€&quot;_-;_-@_-"/>
    <numFmt numFmtId="43" formatCode="_-* #,##0.00\ _€_-;\-* #,##0.00\ _€_-;_-* &quot;-&quot;??\ _€_-;_-@_-"/>
    <numFmt numFmtId="164" formatCode="0.0%"/>
    <numFmt numFmtId="165" formatCode="#,##0.00\ &quot;€&quot;"/>
    <numFmt numFmtId="166" formatCode="_-* #,##0\ _€_-;\-* #,##0\ _€_-;_-* &quot;-&quot;??\ _€_-;_-@_-"/>
  </numFmts>
  <fonts count="20">
    <font>
      <sz val="11"/>
      <color theme="1"/>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sz val="8"/>
      <color indexed="81"/>
      <name val="Tahoma"/>
      <family val="2"/>
    </font>
    <font>
      <b/>
      <sz val="8"/>
      <color indexed="81"/>
      <name val="Tahoma"/>
      <family val="2"/>
    </font>
    <font>
      <sz val="8"/>
      <color theme="1"/>
      <name val="Liberation Sans"/>
      <family val="2"/>
    </font>
    <font>
      <sz val="8"/>
      <color theme="1"/>
      <name val="Arial"/>
      <family val="2"/>
    </font>
    <font>
      <sz val="12"/>
      <color theme="1"/>
      <name val="Calibri"/>
      <family val="2"/>
      <scheme val="minor"/>
    </font>
    <font>
      <sz val="14"/>
      <color theme="1"/>
      <name val="Calibri"/>
      <family val="2"/>
      <scheme val="minor"/>
    </font>
    <font>
      <b/>
      <sz val="14"/>
      <color theme="1"/>
      <name val="Calibri"/>
      <family val="2"/>
      <scheme val="minor"/>
    </font>
    <font>
      <sz val="14"/>
      <color theme="1"/>
      <name val="Symbol"/>
      <family val="1"/>
      <charset val="2"/>
    </font>
    <font>
      <i/>
      <sz val="14"/>
      <color theme="1"/>
      <name val="Calibri"/>
      <family val="2"/>
      <scheme val="minor"/>
    </font>
    <font>
      <sz val="14"/>
      <color theme="1"/>
      <name val="Calibri"/>
      <family val="2"/>
    </font>
    <font>
      <sz val="14"/>
      <color rgb="FFFF0000"/>
      <name val="Calibri"/>
      <family val="2"/>
      <scheme val="minor"/>
    </font>
    <font>
      <sz val="14"/>
      <name val="Calibri"/>
      <family val="2"/>
      <scheme val="minor"/>
    </font>
    <font>
      <sz val="10"/>
      <name val="Arial"/>
      <family val="2"/>
    </font>
    <font>
      <b/>
      <i/>
      <sz val="14"/>
      <color theme="1"/>
      <name val="Calibri"/>
      <family val="2"/>
      <scheme val="minor"/>
    </font>
    <font>
      <sz val="11"/>
      <color indexed="81"/>
      <name val="Tahoma"/>
      <family val="2"/>
    </font>
    <font>
      <sz val="12"/>
      <color indexed="81"/>
      <name val="Tahoma"/>
      <family val="2"/>
    </font>
  </fonts>
  <fills count="9">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5" tint="0.79998168889431442"/>
        <bgColor indexed="64"/>
      </patternFill>
    </fill>
    <fill>
      <patternFill patternType="solid">
        <fgColor theme="2"/>
        <bgColor indexed="64"/>
      </patternFill>
    </fill>
    <fill>
      <patternFill patternType="solid">
        <fgColor theme="4"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medium">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hair">
        <color indexed="64"/>
      </left>
      <right/>
      <top/>
      <bottom/>
      <diagonal/>
    </border>
    <border>
      <left style="hair">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43" fontId="1" fillId="0" borderId="0" applyFont="0" applyFill="0" applyBorder="0" applyAlignment="0" applyProtection="0"/>
  </cellStyleXfs>
  <cellXfs count="232">
    <xf numFmtId="0" fontId="0" fillId="0" borderId="0" xfId="0"/>
    <xf numFmtId="0" fontId="3" fillId="0" borderId="0" xfId="0" applyFont="1"/>
    <xf numFmtId="164" fontId="3" fillId="0" borderId="0" xfId="2" applyNumberFormat="1" applyFont="1"/>
    <xf numFmtId="0" fontId="6" fillId="0" borderId="0" xfId="0" applyFont="1" applyAlignment="1">
      <alignment horizontal="center" vertical="center" wrapText="1"/>
    </xf>
    <xf numFmtId="0" fontId="2" fillId="0" borderId="0" xfId="0" applyFont="1"/>
    <xf numFmtId="0" fontId="6" fillId="0" borderId="0" xfId="0" applyFont="1" applyAlignment="1">
      <alignment horizontal="left" vertical="center" wrapText="1"/>
    </xf>
    <xf numFmtId="0" fontId="6" fillId="0" borderId="7" xfId="0" applyFont="1" applyBorder="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right"/>
    </xf>
    <xf numFmtId="0" fontId="9" fillId="0" borderId="0" xfId="0" applyFont="1" applyAlignment="1">
      <alignment horizontal="center" vertical="center"/>
    </xf>
    <xf numFmtId="0" fontId="9" fillId="0" borderId="0" xfId="0" applyFont="1"/>
    <xf numFmtId="0" fontId="9" fillId="0" borderId="1" xfId="0" applyFont="1" applyBorder="1"/>
    <xf numFmtId="0" fontId="9" fillId="2" borderId="1" xfId="0" applyFont="1" applyFill="1" applyBorder="1"/>
    <xf numFmtId="0" fontId="9" fillId="0" borderId="1" xfId="0" applyFont="1" applyBorder="1" applyAlignment="1">
      <alignment horizontal="center"/>
    </xf>
    <xf numFmtId="0" fontId="9" fillId="4" borderId="0" xfId="0" applyFont="1" applyFill="1" applyAlignment="1">
      <alignment horizontal="center" vertical="center"/>
    </xf>
    <xf numFmtId="0" fontId="9" fillId="4" borderId="0" xfId="0" applyFont="1" applyFill="1" applyAlignment="1">
      <alignment horizontal="center"/>
    </xf>
    <xf numFmtId="164" fontId="9" fillId="2" borderId="1" xfId="2" applyNumberFormat="1" applyFont="1" applyFill="1" applyBorder="1" applyAlignment="1">
      <alignment horizontal="center" vertical="center"/>
    </xf>
    <xf numFmtId="0" fontId="11" fillId="0" borderId="1" xfId="0" applyFont="1" applyBorder="1" applyAlignment="1">
      <alignment horizontal="center" vertical="center"/>
    </xf>
    <xf numFmtId="44" fontId="9" fillId="6" borderId="1" xfId="0" applyNumberFormat="1" applyFont="1" applyFill="1" applyBorder="1" applyAlignment="1">
      <alignment horizontal="right" vertical="center"/>
    </xf>
    <xf numFmtId="44" fontId="9" fillId="4" borderId="0" xfId="0" applyNumberFormat="1" applyFont="1" applyFill="1" applyBorder="1" applyAlignment="1">
      <alignment horizontal="right" vertical="center"/>
    </xf>
    <xf numFmtId="44" fontId="9" fillId="0" borderId="1" xfId="1" applyFont="1" applyBorder="1" applyAlignment="1">
      <alignment vertical="center"/>
    </xf>
    <xf numFmtId="0" fontId="10" fillId="0" borderId="1" xfId="0" applyFont="1" applyBorder="1" applyAlignment="1">
      <alignment horizontal="right"/>
    </xf>
    <xf numFmtId="0" fontId="9" fillId="0" borderId="0" xfId="0" applyFont="1" applyAlignment="1">
      <alignment horizontal="right" vertical="center"/>
    </xf>
    <xf numFmtId="44" fontId="9" fillId="6" borderId="1" xfId="1" applyFont="1" applyFill="1" applyBorder="1" applyAlignment="1">
      <alignment horizontal="right" vertical="center"/>
    </xf>
    <xf numFmtId="0" fontId="9" fillId="0" borderId="0" xfId="0" applyFont="1" applyBorder="1" applyAlignment="1">
      <alignment horizontal="center"/>
    </xf>
    <xf numFmtId="164" fontId="9" fillId="6" borderId="1" xfId="0" applyNumberFormat="1" applyFont="1" applyFill="1" applyBorder="1" applyAlignment="1">
      <alignment horizontal="center" vertical="center" wrapText="1"/>
    </xf>
    <xf numFmtId="44" fontId="9" fillId="6" borderId="1" xfId="1" applyFont="1" applyFill="1" applyBorder="1"/>
    <xf numFmtId="9" fontId="9" fillId="5" borderId="1" xfId="2" applyFont="1" applyFill="1" applyBorder="1"/>
    <xf numFmtId="0" fontId="9" fillId="3" borderId="1" xfId="0" applyFont="1" applyFill="1" applyBorder="1" applyAlignment="1">
      <alignment horizontal="center" vertical="center"/>
    </xf>
    <xf numFmtId="0" fontId="9" fillId="3" borderId="1" xfId="0" applyFont="1" applyFill="1" applyBorder="1"/>
    <xf numFmtId="44" fontId="9" fillId="6" borderId="1" xfId="0" applyNumberFormat="1" applyFont="1" applyFill="1" applyBorder="1"/>
    <xf numFmtId="0" fontId="9" fillId="0" borderId="1" xfId="0" applyFont="1" applyFill="1" applyBorder="1"/>
    <xf numFmtId="44" fontId="9" fillId="6" borderId="1" xfId="0" applyNumberFormat="1" applyFont="1" applyFill="1" applyBorder="1" applyAlignment="1"/>
    <xf numFmtId="0" fontId="9" fillId="6" borderId="1" xfId="0" applyFont="1" applyFill="1" applyBorder="1" applyAlignment="1">
      <alignment horizontal="center"/>
    </xf>
    <xf numFmtId="44" fontId="14" fillId="4" borderId="5" xfId="1" applyFont="1" applyFill="1" applyBorder="1"/>
    <xf numFmtId="0" fontId="10" fillId="3" borderId="1" xfId="0" applyFont="1" applyFill="1" applyBorder="1" applyAlignment="1">
      <alignment horizontal="center" vertical="center"/>
    </xf>
    <xf numFmtId="0" fontId="10" fillId="3" borderId="1" xfId="0" applyFont="1" applyFill="1" applyBorder="1"/>
    <xf numFmtId="0" fontId="10" fillId="4" borderId="1" xfId="0" applyFont="1" applyFill="1" applyBorder="1" applyAlignment="1">
      <alignment horizontal="center" vertical="center"/>
    </xf>
    <xf numFmtId="0" fontId="10" fillId="4" borderId="1" xfId="0" applyFont="1" applyFill="1" applyBorder="1"/>
    <xf numFmtId="0" fontId="12" fillId="0" borderId="1" xfId="0" applyFont="1" applyBorder="1" applyAlignment="1">
      <alignment horizontal="center"/>
    </xf>
    <xf numFmtId="0" fontId="9" fillId="6" borderId="4" xfId="0" applyFont="1" applyFill="1" applyBorder="1"/>
    <xf numFmtId="0" fontId="9" fillId="6" borderId="4" xfId="0" applyFont="1" applyFill="1" applyBorder="1" applyAlignment="1">
      <alignment horizontal="center" vertical="center"/>
    </xf>
    <xf numFmtId="44" fontId="9" fillId="6" borderId="1" xfId="2" applyNumberFormat="1" applyFont="1" applyFill="1" applyBorder="1"/>
    <xf numFmtId="0" fontId="9" fillId="4" borderId="1" xfId="0" applyFont="1" applyFill="1" applyBorder="1" applyAlignment="1">
      <alignment horizontal="center" vertical="center"/>
    </xf>
    <xf numFmtId="44" fontId="9" fillId="4" borderId="0" xfId="1" applyFont="1" applyFill="1" applyBorder="1" applyAlignment="1">
      <alignment horizontal="right" vertical="center"/>
    </xf>
    <xf numFmtId="0" fontId="9" fillId="6" borderId="1" xfId="0" applyFont="1" applyFill="1" applyBorder="1"/>
    <xf numFmtId="0" fontId="9" fillId="0" borderId="1" xfId="0" applyFont="1" applyFill="1" applyBorder="1" applyAlignment="1">
      <alignment wrapText="1"/>
    </xf>
    <xf numFmtId="0" fontId="10" fillId="4" borderId="9" xfId="0" applyFont="1" applyFill="1" applyBorder="1" applyAlignment="1">
      <alignment horizontal="center" vertical="center"/>
    </xf>
    <xf numFmtId="0" fontId="10" fillId="4" borderId="14" xfId="0" applyFont="1" applyFill="1" applyBorder="1"/>
    <xf numFmtId="0" fontId="9" fillId="0" borderId="1" xfId="0" applyFont="1" applyBorder="1" applyAlignment="1">
      <alignment wrapText="1"/>
    </xf>
    <xf numFmtId="0" fontId="9" fillId="3" borderId="1" xfId="0" applyFont="1" applyFill="1" applyBorder="1" applyAlignment="1">
      <alignment wrapText="1"/>
    </xf>
    <xf numFmtId="0" fontId="9" fillId="0" borderId="1" xfId="0" applyFont="1" applyFill="1" applyBorder="1" applyAlignment="1">
      <alignment vertical="center" wrapText="1"/>
    </xf>
    <xf numFmtId="44" fontId="9" fillId="6" borderId="1" xfId="0" applyNumberFormat="1" applyFont="1" applyFill="1" applyBorder="1" applyAlignment="1">
      <alignment horizontal="center" vertical="center" wrapText="1"/>
    </xf>
    <xf numFmtId="0" fontId="9" fillId="0" borderId="1" xfId="0" applyFont="1" applyBorder="1" applyAlignment="1">
      <alignment horizontal="center"/>
    </xf>
    <xf numFmtId="0" fontId="9" fillId="4" borderId="1" xfId="0" applyFont="1" applyFill="1" applyBorder="1" applyAlignment="1"/>
    <xf numFmtId="44" fontId="9" fillId="4" borderId="0" xfId="1" applyFont="1" applyFill="1" applyBorder="1"/>
    <xf numFmtId="44" fontId="9" fillId="6" borderId="11" xfId="1" applyFont="1" applyFill="1" applyBorder="1"/>
    <xf numFmtId="0" fontId="9" fillId="7" borderId="15" xfId="0" applyFont="1" applyFill="1" applyBorder="1"/>
    <xf numFmtId="0" fontId="9" fillId="7" borderId="16" xfId="0" applyFont="1" applyFill="1" applyBorder="1"/>
    <xf numFmtId="0" fontId="9" fillId="7" borderId="17" xfId="0" applyFont="1" applyFill="1" applyBorder="1"/>
    <xf numFmtId="0" fontId="9" fillId="4" borderId="0" xfId="0" applyFont="1" applyFill="1" applyBorder="1" applyAlignment="1">
      <alignment horizontal="center"/>
    </xf>
    <xf numFmtId="0" fontId="9" fillId="3" borderId="1" xfId="0" applyFont="1" applyFill="1" applyBorder="1" applyAlignment="1">
      <alignment vertical="center"/>
    </xf>
    <xf numFmtId="0" fontId="9" fillId="4" borderId="0" xfId="0" applyFont="1" applyFill="1" applyBorder="1"/>
    <xf numFmtId="44" fontId="9" fillId="0" borderId="1" xfId="0" applyNumberFormat="1" applyFont="1" applyBorder="1"/>
    <xf numFmtId="44" fontId="9" fillId="6" borderId="4" xfId="0" applyNumberFormat="1" applyFont="1" applyFill="1" applyBorder="1"/>
    <xf numFmtId="0" fontId="12" fillId="0" borderId="11" xfId="0" applyFont="1" applyBorder="1" applyAlignment="1">
      <alignment horizontal="center"/>
    </xf>
    <xf numFmtId="164" fontId="12" fillId="0" borderId="2" xfId="0" applyNumberFormat="1" applyFont="1" applyBorder="1" applyAlignment="1">
      <alignment horizontal="center"/>
    </xf>
    <xf numFmtId="0" fontId="12" fillId="0" borderId="6" xfId="0" applyFont="1" applyBorder="1" applyAlignment="1">
      <alignment horizontal="center"/>
    </xf>
    <xf numFmtId="164" fontId="9" fillId="0" borderId="8" xfId="0" applyNumberFormat="1" applyFont="1" applyBorder="1" applyAlignment="1">
      <alignment horizontal="center" vertical="center"/>
    </xf>
    <xf numFmtId="0" fontId="9" fillId="4" borderId="11" xfId="0" applyFont="1" applyFill="1" applyBorder="1" applyAlignment="1">
      <alignment horizontal="center"/>
    </xf>
    <xf numFmtId="0" fontId="9" fillId="6" borderId="19" xfId="0" applyFont="1" applyFill="1" applyBorder="1" applyAlignment="1">
      <alignment horizontal="center" vertical="center"/>
    </xf>
    <xf numFmtId="0" fontId="9" fillId="6" borderId="20" xfId="0" applyFont="1" applyFill="1" applyBorder="1" applyAlignment="1">
      <alignment horizontal="center" vertical="center"/>
    </xf>
    <xf numFmtId="164" fontId="9" fillId="6" borderId="21" xfId="0" applyNumberFormat="1" applyFont="1" applyFill="1" applyBorder="1" applyAlignment="1">
      <alignment horizontal="center" vertical="center"/>
    </xf>
    <xf numFmtId="44" fontId="9" fillId="6" borderId="22" xfId="0" applyNumberFormat="1" applyFont="1" applyFill="1" applyBorder="1"/>
    <xf numFmtId="44" fontId="9" fillId="6" borderId="23" xfId="0" applyNumberFormat="1" applyFont="1" applyFill="1" applyBorder="1"/>
    <xf numFmtId="0" fontId="10" fillId="0" borderId="0" xfId="0" applyFont="1" applyAlignment="1"/>
    <xf numFmtId="0" fontId="9" fillId="4" borderId="0" xfId="0" applyFont="1" applyFill="1" applyBorder="1" applyAlignment="1">
      <alignment horizontal="center" vertical="center" wrapText="1"/>
    </xf>
    <xf numFmtId="0" fontId="9" fillId="6" borderId="3" xfId="0" applyFont="1" applyFill="1" applyBorder="1"/>
    <xf numFmtId="0" fontId="9" fillId="4" borderId="0" xfId="0" applyFont="1" applyFill="1" applyBorder="1" applyAlignment="1">
      <alignment horizontal="center" vertical="center" textRotation="90"/>
    </xf>
    <xf numFmtId="0" fontId="9" fillId="4" borderId="0" xfId="0" applyFont="1" applyFill="1"/>
    <xf numFmtId="0" fontId="0" fillId="4" borderId="0" xfId="0" applyFill="1"/>
    <xf numFmtId="0" fontId="9" fillId="8" borderId="0" xfId="0" applyFont="1" applyFill="1" applyAlignment="1"/>
    <xf numFmtId="164" fontId="9" fillId="6" borderId="1" xfId="0" applyNumberFormat="1" applyFont="1" applyFill="1" applyBorder="1" applyAlignment="1">
      <alignment horizontal="center"/>
    </xf>
    <xf numFmtId="0" fontId="10" fillId="0" borderId="1" xfId="0" applyFont="1" applyBorder="1" applyAlignment="1">
      <alignment horizontal="left" vertical="center"/>
    </xf>
    <xf numFmtId="0" fontId="10" fillId="2" borderId="1" xfId="0" applyFont="1" applyFill="1" applyBorder="1" applyAlignment="1">
      <alignment horizontal="center" vertical="center"/>
    </xf>
    <xf numFmtId="0" fontId="10" fillId="4" borderId="0" xfId="0" applyFont="1" applyFill="1" applyBorder="1" applyAlignment="1">
      <alignment horizontal="right"/>
    </xf>
    <xf numFmtId="0" fontId="10" fillId="2" borderId="0" xfId="0" applyFont="1" applyFill="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9" fillId="6" borderId="11" xfId="0" applyFont="1" applyFill="1" applyBorder="1" applyAlignment="1">
      <alignment horizontal="center"/>
    </xf>
    <xf numFmtId="0" fontId="9" fillId="4" borderId="6" xfId="0" applyFont="1" applyFill="1" applyBorder="1" applyAlignment="1">
      <alignment horizontal="center"/>
    </xf>
    <xf numFmtId="164" fontId="12" fillId="0" borderId="12" xfId="0" applyNumberFormat="1" applyFont="1" applyBorder="1" applyAlignment="1">
      <alignment horizontal="center"/>
    </xf>
    <xf numFmtId="164" fontId="9" fillId="0" borderId="10" xfId="0" applyNumberFormat="1" applyFont="1" applyBorder="1" applyAlignment="1">
      <alignment horizontal="center" vertical="center"/>
    </xf>
    <xf numFmtId="0" fontId="10" fillId="6" borderId="1" xfId="0" applyFont="1" applyFill="1" applyBorder="1" applyAlignment="1">
      <alignment horizontal="center" vertical="center"/>
    </xf>
    <xf numFmtId="0" fontId="10" fillId="0" borderId="1" xfId="0" applyFont="1" applyBorder="1" applyAlignment="1"/>
    <xf numFmtId="0" fontId="10" fillId="6" borderId="1" xfId="0" applyFont="1" applyFill="1" applyBorder="1" applyAlignment="1">
      <alignment horizontal="center" wrapText="1"/>
    </xf>
    <xf numFmtId="9" fontId="9" fillId="0" borderId="2" xfId="2" applyFont="1" applyBorder="1" applyAlignment="1">
      <alignment horizontal="center" vertical="center"/>
    </xf>
    <xf numFmtId="44" fontId="9" fillId="6" borderId="1" xfId="1" applyFont="1" applyFill="1" applyBorder="1" applyAlignment="1">
      <alignment horizontal="right" vertical="center"/>
    </xf>
    <xf numFmtId="44" fontId="9" fillId="6" borderId="1" xfId="1" applyFont="1" applyFill="1" applyBorder="1" applyAlignment="1">
      <alignment horizontal="center"/>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xf>
    <xf numFmtId="0" fontId="12" fillId="0" borderId="1" xfId="0" applyFont="1" applyBorder="1" applyAlignment="1">
      <alignment horizontal="center" vertical="center" wrapText="1"/>
    </xf>
    <xf numFmtId="0" fontId="9" fillId="0" borderId="1" xfId="0" applyFont="1" applyBorder="1" applyAlignment="1">
      <alignment horizontal="left" vertical="top" wrapText="1"/>
    </xf>
    <xf numFmtId="44" fontId="9" fillId="4" borderId="10" xfId="1" applyFont="1" applyFill="1" applyBorder="1"/>
    <xf numFmtId="164" fontId="9" fillId="6" borderId="1" xfId="2" applyNumberFormat="1" applyFont="1" applyFill="1" applyBorder="1" applyAlignment="1">
      <alignment horizontal="center" vertical="center"/>
    </xf>
    <xf numFmtId="0" fontId="9" fillId="2" borderId="0" xfId="0" applyFont="1" applyFill="1" applyBorder="1" applyAlignment="1" applyProtection="1">
      <alignment horizontal="center" vertical="center"/>
    </xf>
    <xf numFmtId="0" fontId="0" fillId="0" borderId="0" xfId="0" applyProtection="1"/>
    <xf numFmtId="17" fontId="9" fillId="0" borderId="1" xfId="0" applyNumberFormat="1" applyFont="1" applyBorder="1" applyAlignment="1" applyProtection="1">
      <alignment horizontal="center" vertical="center"/>
      <protection locked="0"/>
    </xf>
    <xf numFmtId="44" fontId="9" fillId="4" borderId="1" xfId="1" applyFont="1" applyFill="1" applyBorder="1" applyProtection="1">
      <protection locked="0"/>
    </xf>
    <xf numFmtId="44" fontId="9" fillId="0" borderId="1" xfId="1" applyFont="1" applyBorder="1" applyAlignment="1" applyProtection="1">
      <alignment horizontal="right" vertical="center"/>
      <protection locked="0"/>
    </xf>
    <xf numFmtId="0" fontId="9" fillId="4" borderId="4" xfId="0" applyFont="1" applyFill="1" applyBorder="1" applyAlignment="1" applyProtection="1">
      <alignment horizontal="center"/>
      <protection locked="0"/>
    </xf>
    <xf numFmtId="44" fontId="9" fillId="4" borderId="14" xfId="1" applyFont="1" applyFill="1" applyBorder="1" applyProtection="1">
      <protection locked="0"/>
    </xf>
    <xf numFmtId="44" fontId="9" fillId="4" borderId="3" xfId="1" applyFont="1" applyFill="1" applyBorder="1" applyProtection="1">
      <protection locked="0"/>
    </xf>
    <xf numFmtId="0" fontId="9" fillId="2" borderId="3" xfId="0" applyFont="1" applyFill="1" applyBorder="1" applyProtection="1">
      <protection locked="0"/>
    </xf>
    <xf numFmtId="164" fontId="9" fillId="2" borderId="1" xfId="2" applyNumberFormat="1"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protection locked="0"/>
    </xf>
    <xf numFmtId="0" fontId="10" fillId="2" borderId="11"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protection locked="0"/>
    </xf>
    <xf numFmtId="0" fontId="9" fillId="6" borderId="1" xfId="0" applyFont="1" applyFill="1" applyBorder="1" applyAlignment="1" applyProtection="1">
      <alignment horizontal="center" vertical="center"/>
      <protection locked="0"/>
    </xf>
    <xf numFmtId="165" fontId="9" fillId="0" borderId="0" xfId="0" applyNumberFormat="1" applyFont="1" applyProtection="1">
      <protection locked="0"/>
    </xf>
    <xf numFmtId="165" fontId="9" fillId="0" borderId="1" xfId="1" applyNumberFormat="1" applyFont="1" applyBorder="1" applyProtection="1">
      <protection locked="0"/>
    </xf>
    <xf numFmtId="165" fontId="9" fillId="4" borderId="1" xfId="1" applyNumberFormat="1" applyFont="1" applyFill="1" applyBorder="1" applyProtection="1">
      <protection locked="0"/>
    </xf>
    <xf numFmtId="165" fontId="15" fillId="4" borderId="1" xfId="1" applyNumberFormat="1" applyFont="1" applyFill="1" applyBorder="1" applyProtection="1">
      <protection locked="0"/>
    </xf>
    <xf numFmtId="44" fontId="9" fillId="0" borderId="1" xfId="1" applyFont="1" applyBorder="1" applyProtection="1">
      <protection locked="0"/>
    </xf>
    <xf numFmtId="44" fontId="9" fillId="0" borderId="1" xfId="1" applyFont="1" applyBorder="1" applyAlignment="1" applyProtection="1">
      <alignment horizontal="center"/>
      <protection locked="0"/>
    </xf>
    <xf numFmtId="0" fontId="9" fillId="4" borderId="1" xfId="0" applyFont="1" applyFill="1" applyBorder="1" applyProtection="1">
      <protection locked="0"/>
    </xf>
    <xf numFmtId="165" fontId="9" fillId="4" borderId="1" xfId="0" applyNumberFormat="1" applyFont="1" applyFill="1" applyBorder="1" applyProtection="1">
      <protection locked="0"/>
    </xf>
    <xf numFmtId="44" fontId="9" fillId="4" borderId="11" xfId="1" applyFont="1" applyFill="1" applyBorder="1" applyProtection="1">
      <protection locked="0"/>
    </xf>
    <xf numFmtId="44" fontId="9" fillId="4" borderId="9" xfId="1" applyFont="1" applyFill="1" applyBorder="1"/>
    <xf numFmtId="44" fontId="15" fillId="4" borderId="0" xfId="1" applyFont="1" applyFill="1" applyBorder="1"/>
    <xf numFmtId="44" fontId="15" fillId="4" borderId="0" xfId="1" applyFont="1" applyFill="1" applyBorder="1" applyAlignment="1">
      <alignment horizontal="right" vertical="center"/>
    </xf>
    <xf numFmtId="0" fontId="17" fillId="4" borderId="1" xfId="0" applyFont="1" applyFill="1" applyBorder="1" applyAlignment="1">
      <alignment horizontal="center" vertical="center"/>
    </xf>
    <xf numFmtId="0" fontId="17" fillId="4" borderId="1" xfId="0" applyFont="1" applyFill="1" applyBorder="1"/>
    <xf numFmtId="44" fontId="9" fillId="4" borderId="1" xfId="1" applyFont="1" applyFill="1" applyBorder="1"/>
    <xf numFmtId="44" fontId="9" fillId="4" borderId="1" xfId="1" applyFont="1" applyFill="1" applyBorder="1" applyAlignment="1">
      <alignment horizontal="center" vertical="center"/>
    </xf>
    <xf numFmtId="44" fontId="9" fillId="2" borderId="1" xfId="1" applyFont="1" applyFill="1" applyBorder="1" applyProtection="1">
      <protection locked="0"/>
    </xf>
    <xf numFmtId="44" fontId="9" fillId="4" borderId="1" xfId="1" applyFont="1" applyFill="1" applyBorder="1" applyAlignment="1"/>
    <xf numFmtId="166" fontId="9" fillId="4" borderId="1" xfId="6" applyNumberFormat="1" applyFont="1" applyFill="1" applyBorder="1" applyProtection="1">
      <protection locked="0"/>
    </xf>
    <xf numFmtId="164" fontId="9" fillId="0" borderId="0" xfId="0" applyNumberFormat="1" applyFont="1"/>
    <xf numFmtId="164" fontId="9" fillId="4" borderId="0" xfId="1" applyNumberFormat="1" applyFont="1" applyFill="1" applyBorder="1"/>
    <xf numFmtId="0" fontId="10" fillId="0" borderId="5" xfId="0" applyFont="1" applyBorder="1" applyAlignment="1">
      <alignment vertical="center"/>
    </xf>
    <xf numFmtId="43" fontId="9" fillId="4" borderId="0" xfId="1" applyNumberFormat="1" applyFont="1" applyFill="1" applyBorder="1"/>
    <xf numFmtId="10" fontId="9" fillId="6" borderId="1" xfId="2" applyNumberFormat="1" applyFont="1" applyFill="1" applyBorder="1"/>
    <xf numFmtId="44" fontId="9" fillId="4" borderId="1" xfId="1" applyFont="1" applyFill="1" applyBorder="1" applyAlignment="1" applyProtection="1">
      <alignment horizontal="center" vertical="center"/>
      <protection locked="0"/>
    </xf>
    <xf numFmtId="0" fontId="9" fillId="4" borderId="1" xfId="1" applyNumberFormat="1" applyFont="1" applyFill="1" applyBorder="1" applyAlignment="1" applyProtection="1">
      <alignment horizontal="center" vertical="center"/>
      <protection locked="0"/>
    </xf>
    <xf numFmtId="44" fontId="9" fillId="4" borderId="0" xfId="1" applyFont="1" applyFill="1" applyBorder="1" applyAlignment="1">
      <alignment horizontal="center"/>
    </xf>
    <xf numFmtId="44" fontId="9" fillId="6" borderId="1" xfId="1" applyFont="1" applyFill="1" applyBorder="1" applyAlignment="1">
      <alignment horizontal="center"/>
    </xf>
    <xf numFmtId="0" fontId="9" fillId="0" borderId="1" xfId="0" applyFont="1" applyBorder="1" applyAlignment="1">
      <alignment horizontal="center" vertical="center"/>
    </xf>
    <xf numFmtId="44" fontId="9" fillId="6" borderId="4" xfId="1" applyFont="1" applyFill="1" applyBorder="1" applyAlignment="1">
      <alignment horizontal="center"/>
    </xf>
    <xf numFmtId="44" fontId="9" fillId="6" borderId="3" xfId="1" applyFont="1" applyFill="1" applyBorder="1" applyAlignment="1">
      <alignment horizontal="center"/>
    </xf>
    <xf numFmtId="0" fontId="9" fillId="6" borderId="21" xfId="0" applyFont="1" applyFill="1" applyBorder="1" applyAlignment="1">
      <alignment horizontal="center" vertical="center"/>
    </xf>
    <xf numFmtId="44" fontId="9" fillId="6" borderId="0" xfId="1" applyFont="1" applyFill="1" applyBorder="1" applyAlignment="1">
      <alignment horizontal="center"/>
    </xf>
    <xf numFmtId="0" fontId="9" fillId="2" borderId="1" xfId="0" applyNumberFormat="1" applyFont="1" applyFill="1" applyBorder="1"/>
    <xf numFmtId="44" fontId="9" fillId="6" borderId="1" xfId="1" applyNumberFormat="1" applyFont="1" applyFill="1" applyBorder="1" applyAlignment="1">
      <alignment horizontal="center"/>
    </xf>
    <xf numFmtId="49" fontId="9" fillId="0" borderId="1" xfId="0" applyNumberFormat="1" applyFont="1" applyBorder="1" applyAlignment="1">
      <alignment horizontal="center" vertical="center"/>
    </xf>
    <xf numFmtId="0" fontId="9" fillId="0" borderId="0" xfId="0" applyFont="1" applyAlignment="1">
      <alignment horizontal="center"/>
    </xf>
    <xf numFmtId="0" fontId="9" fillId="6" borderId="26" xfId="0" applyFont="1" applyFill="1" applyBorder="1" applyAlignment="1">
      <alignment horizontal="center" vertical="center"/>
    </xf>
    <xf numFmtId="44" fontId="9" fillId="6" borderId="27" xfId="0" applyNumberFormat="1" applyFont="1" applyFill="1" applyBorder="1"/>
    <xf numFmtId="44" fontId="9" fillId="6" borderId="2" xfId="1" applyFont="1" applyFill="1" applyBorder="1" applyAlignment="1">
      <alignment horizontal="right" vertical="center"/>
    </xf>
    <xf numFmtId="44" fontId="9" fillId="6" borderId="2" xfId="1" applyFont="1" applyFill="1" applyBorder="1"/>
    <xf numFmtId="164" fontId="9" fillId="6" borderId="22" xfId="0" applyNumberFormat="1" applyFont="1" applyFill="1" applyBorder="1" applyAlignment="1">
      <alignment horizontal="center" vertical="center"/>
    </xf>
    <xf numFmtId="164" fontId="9" fillId="6" borderId="23" xfId="0" applyNumberFormat="1" applyFont="1" applyFill="1" applyBorder="1" applyAlignment="1">
      <alignment horizontal="center" vertical="center"/>
    </xf>
    <xf numFmtId="44" fontId="9" fillId="4" borderId="11" xfId="1" applyFont="1" applyFill="1" applyBorder="1"/>
    <xf numFmtId="164" fontId="9" fillId="4" borderId="0" xfId="1" applyNumberFormat="1" applyFont="1" applyFill="1" applyBorder="1" applyAlignment="1"/>
    <xf numFmtId="44" fontId="9" fillId="4" borderId="0" xfId="1" applyFont="1" applyFill="1" applyBorder="1" applyAlignment="1"/>
    <xf numFmtId="44" fontId="9" fillId="4" borderId="2" xfId="1" applyFont="1" applyFill="1" applyBorder="1" applyProtection="1">
      <protection locked="0"/>
    </xf>
    <xf numFmtId="44" fontId="9" fillId="4" borderId="0" xfId="1" applyFont="1" applyFill="1" applyBorder="1" applyAlignment="1">
      <alignment horizontal="center" vertical="center"/>
    </xf>
    <xf numFmtId="0" fontId="9" fillId="4" borderId="0" xfId="1" applyNumberFormat="1" applyFont="1" applyFill="1" applyBorder="1" applyAlignment="1">
      <alignment horizontal="center" vertical="center"/>
    </xf>
    <xf numFmtId="44" fontId="1" fillId="4" borderId="28" xfId="1" applyFont="1" applyFill="1" applyBorder="1" applyAlignment="1">
      <alignment horizontal="center" vertical="center" wrapText="1"/>
    </xf>
    <xf numFmtId="44" fontId="1" fillId="4" borderId="29" xfId="1" applyFont="1" applyFill="1" applyBorder="1" applyAlignment="1">
      <alignment horizontal="center" vertical="center" wrapText="1"/>
    </xf>
    <xf numFmtId="44" fontId="1" fillId="4" borderId="30" xfId="1" applyFont="1" applyFill="1" applyBorder="1" applyAlignment="1">
      <alignment horizontal="center" vertical="center" wrapText="1"/>
    </xf>
    <xf numFmtId="44" fontId="9" fillId="4" borderId="0" xfId="1" applyFont="1" applyFill="1" applyBorder="1" applyAlignment="1">
      <alignment horizontal="center"/>
    </xf>
    <xf numFmtId="0" fontId="9" fillId="2" borderId="1" xfId="1" applyNumberFormat="1" applyFont="1" applyFill="1" applyBorder="1" applyAlignment="1" applyProtection="1">
      <alignment horizontal="center"/>
      <protection locked="0"/>
    </xf>
    <xf numFmtId="44" fontId="9" fillId="2" borderId="1" xfId="1" applyFont="1" applyFill="1" applyBorder="1" applyAlignment="1" applyProtection="1">
      <alignment horizontal="center"/>
      <protection locked="0"/>
    </xf>
    <xf numFmtId="44" fontId="9" fillId="4" borderId="1" xfId="1" applyFont="1" applyFill="1" applyBorder="1" applyAlignment="1">
      <alignment horizontal="center"/>
    </xf>
    <xf numFmtId="0" fontId="9" fillId="8" borderId="0" xfId="0" applyFont="1" applyFill="1" applyAlignment="1">
      <alignment horizontal="left" vertical="center"/>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9" fillId="0" borderId="24" xfId="0" applyFont="1" applyBorder="1" applyAlignment="1">
      <alignment horizontal="center" vertical="center" textRotation="90"/>
    </xf>
    <xf numFmtId="0" fontId="9" fillId="0" borderId="25" xfId="0" applyFont="1" applyBorder="1" applyAlignment="1">
      <alignment horizontal="center" vertical="center" textRotation="90"/>
    </xf>
    <xf numFmtId="0" fontId="9" fillId="0" borderId="18" xfId="0" applyFont="1" applyBorder="1" applyAlignment="1">
      <alignment horizontal="center" vertical="center" textRotation="90"/>
    </xf>
    <xf numFmtId="44" fontId="9" fillId="4" borderId="4" xfId="1" applyFont="1" applyFill="1" applyBorder="1" applyAlignment="1">
      <alignment horizontal="center"/>
    </xf>
    <xf numFmtId="44" fontId="9" fillId="4" borderId="3" xfId="1" applyFont="1" applyFill="1" applyBorder="1" applyAlignment="1">
      <alignment horizontal="center"/>
    </xf>
    <xf numFmtId="0" fontId="9" fillId="7" borderId="11" xfId="0" applyFont="1" applyFill="1" applyBorder="1" applyAlignment="1">
      <alignment horizontal="center" vertical="center" wrapText="1"/>
    </xf>
    <xf numFmtId="0" fontId="9" fillId="7" borderId="12" xfId="0" applyFont="1" applyFill="1" applyBorder="1" applyAlignment="1">
      <alignment horizontal="center" vertical="center" wrapText="1"/>
    </xf>
    <xf numFmtId="0" fontId="9" fillId="7" borderId="2" xfId="0" applyFont="1" applyFill="1" applyBorder="1" applyAlignment="1">
      <alignment horizontal="center" vertical="center" wrapText="1"/>
    </xf>
    <xf numFmtId="44" fontId="9" fillId="4" borderId="9" xfId="1" applyFont="1" applyFill="1" applyBorder="1" applyAlignment="1">
      <alignment horizontal="center"/>
    </xf>
    <xf numFmtId="44" fontId="9" fillId="6" borderId="1" xfId="1" applyFont="1" applyFill="1" applyBorder="1" applyAlignment="1">
      <alignment horizontal="right" vertical="center"/>
    </xf>
    <xf numFmtId="0" fontId="9" fillId="6" borderId="1" xfId="1" applyNumberFormat="1" applyFont="1" applyFill="1" applyBorder="1" applyAlignment="1">
      <alignment horizontal="center" vertical="center"/>
    </xf>
    <xf numFmtId="0" fontId="9" fillId="2" borderId="4" xfId="0" applyFont="1" applyFill="1" applyBorder="1" applyAlignment="1" applyProtection="1">
      <alignment horizontal="center"/>
      <protection locked="0"/>
    </xf>
    <xf numFmtId="0" fontId="9" fillId="2" borderId="5" xfId="0" applyFont="1" applyFill="1" applyBorder="1" applyAlignment="1" applyProtection="1">
      <alignment horizontal="center"/>
      <protection locked="0"/>
    </xf>
    <xf numFmtId="0" fontId="9" fillId="0" borderId="4" xfId="0" applyFont="1" applyBorder="1" applyAlignment="1" applyProtection="1">
      <alignment horizontal="center"/>
      <protection locked="0"/>
    </xf>
    <xf numFmtId="0" fontId="9" fillId="0" borderId="5" xfId="0" applyFont="1" applyBorder="1" applyAlignment="1" applyProtection="1">
      <alignment horizontal="center"/>
      <protection locked="0"/>
    </xf>
    <xf numFmtId="44" fontId="9" fillId="8" borderId="1" xfId="1" applyFont="1" applyFill="1" applyBorder="1" applyAlignment="1" applyProtection="1">
      <alignment horizontal="center"/>
      <protection locked="0"/>
    </xf>
    <xf numFmtId="0" fontId="9" fillId="8" borderId="0" xfId="0" applyFont="1" applyFill="1" applyAlignment="1">
      <alignment horizontal="left"/>
    </xf>
    <xf numFmtId="0" fontId="9" fillId="8" borderId="0" xfId="0" applyFont="1" applyFill="1" applyAlignment="1">
      <alignment horizontal="left" vertical="top"/>
    </xf>
    <xf numFmtId="44" fontId="10" fillId="6" borderId="1" xfId="0" applyNumberFormat="1" applyFont="1" applyFill="1" applyBorder="1" applyAlignment="1">
      <alignment horizontal="center"/>
    </xf>
    <xf numFmtId="0" fontId="10" fillId="2" borderId="4"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44" fontId="9" fillId="4" borderId="13" xfId="1" applyFont="1" applyFill="1" applyBorder="1" applyAlignment="1">
      <alignment horizontal="center"/>
    </xf>
    <xf numFmtId="0" fontId="9" fillId="4" borderId="1" xfId="0" applyFont="1" applyFill="1" applyBorder="1" applyAlignment="1">
      <alignment horizontal="center"/>
    </xf>
    <xf numFmtId="44" fontId="10" fillId="6" borderId="4" xfId="0" applyNumberFormat="1" applyFont="1" applyFill="1" applyBorder="1" applyAlignment="1">
      <alignment horizontal="center"/>
    </xf>
    <xf numFmtId="44" fontId="10" fillId="6" borderId="3" xfId="0" applyNumberFormat="1" applyFont="1" applyFill="1" applyBorder="1" applyAlignment="1">
      <alignment horizontal="center"/>
    </xf>
    <xf numFmtId="44" fontId="9" fillId="0" borderId="1" xfId="1" applyFont="1" applyBorder="1" applyAlignment="1" applyProtection="1">
      <alignment horizontal="center"/>
      <protection locked="0"/>
    </xf>
    <xf numFmtId="0" fontId="9" fillId="4" borderId="10" xfId="1" applyNumberFormat="1" applyFont="1" applyFill="1" applyBorder="1" applyAlignment="1" applyProtection="1">
      <alignment horizontal="center"/>
      <protection hidden="1"/>
    </xf>
    <xf numFmtId="0" fontId="9" fillId="4" borderId="0" xfId="1" applyNumberFormat="1" applyFont="1" applyFill="1" applyBorder="1" applyAlignment="1" applyProtection="1">
      <alignment horizontal="center"/>
      <protection hidden="1"/>
    </xf>
    <xf numFmtId="0" fontId="12" fillId="0" borderId="1" xfId="0" applyFont="1" applyBorder="1" applyAlignment="1">
      <alignment horizontal="center" vertical="center" wrapText="1"/>
    </xf>
    <xf numFmtId="44" fontId="9" fillId="6" borderId="1" xfId="0" applyNumberFormat="1" applyFont="1" applyFill="1" applyBorder="1" applyAlignment="1">
      <alignment horizontal="center"/>
    </xf>
    <xf numFmtId="0" fontId="9" fillId="6" borderId="1" xfId="0" applyFont="1" applyFill="1" applyBorder="1" applyAlignment="1">
      <alignment horizontal="center"/>
    </xf>
    <xf numFmtId="44" fontId="9" fillId="0" borderId="4" xfId="1" applyFont="1" applyBorder="1" applyAlignment="1" applyProtection="1">
      <alignment horizontal="center"/>
      <protection locked="0"/>
    </xf>
    <xf numFmtId="44" fontId="9" fillId="0" borderId="3" xfId="1" applyFont="1" applyBorder="1" applyAlignment="1" applyProtection="1">
      <alignment horizontal="center"/>
      <protection locked="0"/>
    </xf>
    <xf numFmtId="44" fontId="10" fillId="4" borderId="1" xfId="0" applyNumberFormat="1" applyFont="1" applyFill="1" applyBorder="1" applyAlignment="1">
      <alignment horizontal="center"/>
    </xf>
    <xf numFmtId="44" fontId="17" fillId="6" borderId="1" xfId="0" applyNumberFormat="1" applyFont="1" applyFill="1" applyBorder="1" applyAlignment="1">
      <alignment horizontal="center"/>
    </xf>
    <xf numFmtId="44" fontId="9" fillId="0" borderId="1" xfId="1" applyFont="1" applyBorder="1" applyAlignment="1">
      <alignment horizontal="center"/>
    </xf>
    <xf numFmtId="165" fontId="9" fillId="6" borderId="1" xfId="0" applyNumberFormat="1" applyFont="1" applyFill="1" applyBorder="1" applyAlignment="1">
      <alignment horizontal="right"/>
    </xf>
    <xf numFmtId="0" fontId="9" fillId="6" borderId="1" xfId="0" applyFont="1" applyFill="1" applyBorder="1" applyAlignment="1">
      <alignment horizontal="right"/>
    </xf>
    <xf numFmtId="0" fontId="10" fillId="6" borderId="1" xfId="0" applyFont="1" applyFill="1" applyBorder="1" applyAlignment="1">
      <alignment horizontal="center"/>
    </xf>
    <xf numFmtId="0" fontId="10" fillId="0" borderId="6"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5" xfId="0" applyFont="1" applyFill="1" applyBorder="1" applyAlignment="1">
      <alignment horizontal="center" vertical="top"/>
    </xf>
    <xf numFmtId="0" fontId="10" fillId="0" borderId="3" xfId="0" applyFont="1" applyFill="1" applyBorder="1" applyAlignment="1">
      <alignment horizontal="center" vertical="top"/>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applyAlignment="1">
      <alignment horizontal="center" vertical="center"/>
    </xf>
    <xf numFmtId="44" fontId="9" fillId="6" borderId="1" xfId="1" applyFont="1" applyFill="1" applyBorder="1" applyAlignment="1">
      <alignment horizontal="center"/>
    </xf>
    <xf numFmtId="0" fontId="10" fillId="0" borderId="0" xfId="0" applyFont="1" applyAlignment="1">
      <alignment horizontal="center"/>
    </xf>
    <xf numFmtId="0" fontId="10" fillId="0" borderId="9" xfId="0" applyFont="1" applyBorder="1" applyAlignment="1">
      <alignment horizontal="center"/>
    </xf>
    <xf numFmtId="0" fontId="9" fillId="2" borderId="1" xfId="0" applyNumberFormat="1" applyFont="1" applyFill="1" applyBorder="1" applyAlignment="1">
      <alignment horizontal="left" vertical="top"/>
    </xf>
  </cellXfs>
  <cellStyles count="7">
    <cellStyle name="Milliers" xfId="6" builtinId="3"/>
    <cellStyle name="Monétaire" xfId="1" builtinId="4"/>
    <cellStyle name="Monétaire 2" xfId="4"/>
    <cellStyle name="Normal" xfId="0" builtinId="0"/>
    <cellStyle name="Normal 2" xfId="3"/>
    <cellStyle name="Pourcentage" xfId="2" builtinId="5"/>
    <cellStyle name="Pourcentage 2" xf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A9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2"/>
  <dimension ref="A1:S128"/>
  <sheetViews>
    <sheetView topLeftCell="A19" workbookViewId="0">
      <selection activeCell="E35" sqref="E35"/>
    </sheetView>
  </sheetViews>
  <sheetFormatPr baseColWidth="10" defaultColWidth="11.44140625" defaultRowHeight="13.8"/>
  <cols>
    <col min="1" max="9" width="11.44140625" style="1"/>
    <col min="10" max="10" width="2.6640625" style="4" bestFit="1" customWidth="1"/>
    <col min="11" max="11" width="5.33203125" style="4" bestFit="1" customWidth="1"/>
    <col min="12" max="12" width="11.44140625" style="4"/>
    <col min="13" max="13" width="22.6640625" style="4" customWidth="1"/>
    <col min="14" max="18" width="11.44140625" style="1"/>
    <col min="19" max="19" width="18.5546875" style="1" bestFit="1" customWidth="1"/>
    <col min="20" max="16384" width="11.44140625" style="1"/>
  </cols>
  <sheetData>
    <row r="1" spans="1:19">
      <c r="A1" s="2">
        <v>0</v>
      </c>
      <c r="C1" s="1" t="s">
        <v>178</v>
      </c>
      <c r="D1" s="1" t="s">
        <v>288</v>
      </c>
      <c r="E1" s="1">
        <v>1</v>
      </c>
      <c r="F1" s="1" t="s">
        <v>35</v>
      </c>
      <c r="G1" s="1">
        <v>2017</v>
      </c>
      <c r="H1" s="1" t="s">
        <v>206</v>
      </c>
      <c r="I1" s="1" t="s">
        <v>205</v>
      </c>
      <c r="J1" s="3"/>
      <c r="L1" s="5"/>
      <c r="M1" s="5"/>
      <c r="O1" s="1">
        <v>20</v>
      </c>
      <c r="P1" s="1" t="s">
        <v>196</v>
      </c>
      <c r="Q1" s="1" t="s">
        <v>221</v>
      </c>
      <c r="S1" s="1" t="s">
        <v>227</v>
      </c>
    </row>
    <row r="2" spans="1:19" ht="20.399999999999999">
      <c r="A2" s="2">
        <v>5.5E-2</v>
      </c>
      <c r="C2" s="1" t="s">
        <v>68</v>
      </c>
      <c r="D2" s="1" t="s">
        <v>48</v>
      </c>
      <c r="E2" s="1">
        <v>2</v>
      </c>
      <c r="F2" s="1" t="s">
        <v>36</v>
      </c>
      <c r="G2" s="1">
        <v>2018</v>
      </c>
      <c r="H2" s="1" t="s">
        <v>207</v>
      </c>
      <c r="I2" s="1" t="s">
        <v>204</v>
      </c>
      <c r="J2" s="3" t="s">
        <v>194</v>
      </c>
      <c r="K2" s="3" t="s">
        <v>83</v>
      </c>
      <c r="L2" s="6" t="s">
        <v>84</v>
      </c>
      <c r="M2" s="5" t="str">
        <f>J2&amp;" "&amp;K2&amp;" "&amp;L2</f>
        <v>au Lycée "ÉDOUARD BRANLY"</v>
      </c>
      <c r="O2" s="1">
        <v>25</v>
      </c>
      <c r="P2" s="1" t="s">
        <v>197</v>
      </c>
      <c r="Q2" s="1" t="s">
        <v>222</v>
      </c>
      <c r="S2" s="1" t="s">
        <v>228</v>
      </c>
    </row>
    <row r="3" spans="1:19">
      <c r="A3" s="2">
        <v>7.0000000000000007E-2</v>
      </c>
      <c r="D3" s="1" t="s">
        <v>49</v>
      </c>
      <c r="E3" s="1">
        <v>3</v>
      </c>
      <c r="F3" s="1" t="s">
        <v>37</v>
      </c>
      <c r="G3" s="1">
        <v>2019</v>
      </c>
      <c r="J3" s="3" t="s">
        <v>194</v>
      </c>
      <c r="K3" s="3" t="s">
        <v>83</v>
      </c>
      <c r="L3" s="5" t="s">
        <v>85</v>
      </c>
      <c r="M3" s="5" t="str">
        <f t="shared" ref="M3:M66" si="0">J3&amp;" "&amp;K3&amp;" "&amp;L3</f>
        <v>au Lycée "LE VERGER"</v>
      </c>
      <c r="O3" s="1">
        <v>30</v>
      </c>
      <c r="P3" s="1" t="s">
        <v>244</v>
      </c>
      <c r="Q3" s="1" t="s">
        <v>223</v>
      </c>
      <c r="S3" s="1" t="s">
        <v>229</v>
      </c>
    </row>
    <row r="4" spans="1:19" ht="20.399999999999999">
      <c r="A4" s="2">
        <v>0.1</v>
      </c>
      <c r="C4" s="1" t="s">
        <v>179</v>
      </c>
      <c r="D4" s="1" t="s">
        <v>56</v>
      </c>
      <c r="E4" s="1">
        <v>4</v>
      </c>
      <c r="F4" s="1" t="s">
        <v>38</v>
      </c>
      <c r="G4" s="1">
        <v>2020</v>
      </c>
      <c r="J4" s="3" t="s">
        <v>194</v>
      </c>
      <c r="K4" s="3" t="s">
        <v>83</v>
      </c>
      <c r="L4" s="6" t="s">
        <v>86</v>
      </c>
      <c r="M4" s="5" t="str">
        <f t="shared" si="0"/>
        <v>au Lycée "MARCELIN BERTHELOT"</v>
      </c>
      <c r="O4" s="1">
        <v>35</v>
      </c>
      <c r="P4" s="1" t="s">
        <v>245</v>
      </c>
      <c r="Q4" s="1" t="s">
        <v>224</v>
      </c>
      <c r="S4" s="1" t="s">
        <v>230</v>
      </c>
    </row>
    <row r="5" spans="1:19" ht="20.399999999999999">
      <c r="A5" s="2">
        <v>0.19600000000000001</v>
      </c>
      <c r="C5" s="1" t="s">
        <v>180</v>
      </c>
      <c r="D5" s="1" t="s">
        <v>57</v>
      </c>
      <c r="E5" s="1">
        <v>5</v>
      </c>
      <c r="F5" s="1" t="s">
        <v>39</v>
      </c>
      <c r="G5" s="1">
        <v>2021</v>
      </c>
      <c r="J5" s="3" t="s">
        <v>194</v>
      </c>
      <c r="K5" s="3" t="s">
        <v>83</v>
      </c>
      <c r="L5" s="6" t="s">
        <v>87</v>
      </c>
      <c r="M5" s="5" t="str">
        <f t="shared" si="0"/>
        <v>au Lycée "ANDRÉ THEURIET"</v>
      </c>
      <c r="P5" s="1" t="s">
        <v>198</v>
      </c>
      <c r="Q5" s="1" t="s">
        <v>225</v>
      </c>
      <c r="S5" s="1" t="s">
        <v>231</v>
      </c>
    </row>
    <row r="6" spans="1:19" ht="20.399999999999999">
      <c r="A6" s="2">
        <v>0.2</v>
      </c>
      <c r="E6" s="1">
        <v>6</v>
      </c>
      <c r="F6" s="1" t="s">
        <v>40</v>
      </c>
      <c r="G6" s="1">
        <v>2022</v>
      </c>
      <c r="J6" s="3" t="s">
        <v>194</v>
      </c>
      <c r="K6" s="3" t="s">
        <v>83</v>
      </c>
      <c r="L6" s="6" t="s">
        <v>88</v>
      </c>
      <c r="M6" s="5" t="str">
        <f t="shared" si="0"/>
        <v>au Lycée "LES TERRES ROUGES"</v>
      </c>
      <c r="P6" s="1" t="s">
        <v>199</v>
      </c>
    </row>
    <row r="7" spans="1:19" ht="40.799999999999997">
      <c r="E7" s="1">
        <v>7</v>
      </c>
      <c r="F7" s="1" t="s">
        <v>41</v>
      </c>
      <c r="G7" s="1">
        <v>2023</v>
      </c>
      <c r="J7" s="3" t="s">
        <v>194</v>
      </c>
      <c r="K7" s="3" t="s">
        <v>83</v>
      </c>
      <c r="L7" s="6" t="s">
        <v>89</v>
      </c>
      <c r="M7" s="5" t="str">
        <f t="shared" si="0"/>
        <v>au Lycée "PILOTE INNOVANT INTERNATIONAL"</v>
      </c>
      <c r="P7" s="1" t="s">
        <v>246</v>
      </c>
    </row>
    <row r="8" spans="1:19" ht="20.399999999999999">
      <c r="A8" s="1" t="s">
        <v>288</v>
      </c>
      <c r="E8" s="1">
        <v>8</v>
      </c>
      <c r="F8" s="1" t="s">
        <v>42</v>
      </c>
      <c r="G8" s="1">
        <v>2024</v>
      </c>
      <c r="J8" s="3" t="s">
        <v>194</v>
      </c>
      <c r="K8" s="3" t="s">
        <v>83</v>
      </c>
      <c r="L8" s="6" t="s">
        <v>90</v>
      </c>
      <c r="M8" s="5" t="str">
        <f t="shared" si="0"/>
        <v>au Lycée "GUY CHAUVET"</v>
      </c>
    </row>
    <row r="9" spans="1:19" ht="20.399999999999999">
      <c r="A9" s="1" t="s">
        <v>295</v>
      </c>
      <c r="E9" s="1">
        <v>9</v>
      </c>
      <c r="F9" s="1" t="s">
        <v>43</v>
      </c>
      <c r="J9" s="3" t="s">
        <v>194</v>
      </c>
      <c r="K9" s="3" t="s">
        <v>83</v>
      </c>
      <c r="L9" s="6" t="s">
        <v>91</v>
      </c>
      <c r="M9" s="5" t="str">
        <f t="shared" si="0"/>
        <v>au Lycée "MARC GODRIE"</v>
      </c>
    </row>
    <row r="10" spans="1:19">
      <c r="A10" s="1" t="s">
        <v>296</v>
      </c>
      <c r="E10" s="1">
        <v>10</v>
      </c>
      <c r="F10" s="1" t="s">
        <v>44</v>
      </c>
      <c r="J10" s="3" t="s">
        <v>195</v>
      </c>
      <c r="K10" s="3" t="s">
        <v>92</v>
      </c>
      <c r="L10" s="6" t="s">
        <v>93</v>
      </c>
      <c r="M10" s="5" t="str">
        <f t="shared" si="0"/>
        <v>à l' EREA "ANNE FRANK"</v>
      </c>
    </row>
    <row r="11" spans="1:19" ht="20.399999999999999">
      <c r="E11" s="1">
        <v>11</v>
      </c>
      <c r="F11" s="1" t="s">
        <v>45</v>
      </c>
      <c r="J11" s="3" t="s">
        <v>194</v>
      </c>
      <c r="K11" s="3" t="s">
        <v>83</v>
      </c>
      <c r="L11" s="6" t="s">
        <v>94</v>
      </c>
      <c r="M11" s="5" t="str">
        <f t="shared" si="0"/>
        <v>au Lycée "JEAN-MARIE BOULOUX"</v>
      </c>
    </row>
    <row r="12" spans="1:19">
      <c r="E12" s="1">
        <v>12</v>
      </c>
      <c r="F12" s="1" t="s">
        <v>46</v>
      </c>
      <c r="J12" s="3" t="s">
        <v>194</v>
      </c>
      <c r="K12" s="3" t="s">
        <v>83</v>
      </c>
      <c r="L12" s="6" t="s">
        <v>95</v>
      </c>
      <c r="M12" s="5" t="str">
        <f t="shared" si="0"/>
        <v>au Lycée "JEAN MOULIN"</v>
      </c>
    </row>
    <row r="13" spans="1:19" ht="20.399999999999999">
      <c r="E13" s="1">
        <v>13</v>
      </c>
      <c r="J13" s="3" t="s">
        <v>194</v>
      </c>
      <c r="K13" s="3" t="s">
        <v>83</v>
      </c>
      <c r="L13" s="6" t="s">
        <v>96</v>
      </c>
      <c r="M13" s="5" t="str">
        <f t="shared" si="0"/>
        <v>au Lycée "RAOUL MORTIER"</v>
      </c>
    </row>
    <row r="14" spans="1:19" ht="20.399999999999999">
      <c r="A14" s="1" t="s">
        <v>64</v>
      </c>
      <c r="E14" s="1">
        <v>14</v>
      </c>
      <c r="J14" s="3" t="s">
        <v>194</v>
      </c>
      <c r="K14" s="3" t="s">
        <v>83</v>
      </c>
      <c r="L14" s="6" t="s">
        <v>97</v>
      </c>
      <c r="M14" s="5" t="str">
        <f t="shared" si="0"/>
        <v>au Lycée "ALIÉNOR D'AQUITAINE"</v>
      </c>
    </row>
    <row r="15" spans="1:19" ht="20.399999999999999">
      <c r="A15" s="1" t="s">
        <v>66</v>
      </c>
      <c r="E15" s="1">
        <v>15</v>
      </c>
      <c r="J15" s="3" t="s">
        <v>194</v>
      </c>
      <c r="K15" s="3" t="s">
        <v>83</v>
      </c>
      <c r="L15" s="5" t="s">
        <v>98</v>
      </c>
      <c r="M15" s="5" t="str">
        <f t="shared" si="0"/>
        <v>au Lycée "AUGUSTE PERRET"</v>
      </c>
    </row>
    <row r="16" spans="1:19" ht="20.399999999999999">
      <c r="A16" s="1" t="s">
        <v>65</v>
      </c>
      <c r="E16" s="1">
        <v>16</v>
      </c>
      <c r="J16" s="3" t="s">
        <v>194</v>
      </c>
      <c r="K16" s="3" t="s">
        <v>83</v>
      </c>
      <c r="L16" s="6" t="s">
        <v>99</v>
      </c>
      <c r="M16" s="5" t="str">
        <f t="shared" si="0"/>
        <v>au Lycée "CAMILLE GUÉRIN"</v>
      </c>
    </row>
    <row r="17" spans="1:13">
      <c r="E17" s="1">
        <v>17</v>
      </c>
      <c r="J17" s="3" t="s">
        <v>194</v>
      </c>
      <c r="K17" s="3" t="s">
        <v>83</v>
      </c>
      <c r="L17" s="5" t="s">
        <v>100</v>
      </c>
      <c r="M17" s="5" t="str">
        <f t="shared" si="0"/>
        <v>au Lycée "KYOTO"</v>
      </c>
    </row>
    <row r="18" spans="1:13" ht="20.399999999999999">
      <c r="E18" s="1">
        <v>18</v>
      </c>
      <c r="J18" s="3" t="s">
        <v>194</v>
      </c>
      <c r="K18" s="3" t="s">
        <v>83</v>
      </c>
      <c r="L18" s="6" t="s">
        <v>101</v>
      </c>
      <c r="M18" s="5" t="str">
        <f t="shared" si="0"/>
        <v>au Lycée "LE BOIS D'AMOUR"</v>
      </c>
    </row>
    <row r="19" spans="1:13">
      <c r="E19" s="1">
        <v>19</v>
      </c>
      <c r="J19" s="3" t="s">
        <v>194</v>
      </c>
      <c r="K19" s="3" t="s">
        <v>83</v>
      </c>
      <c r="L19" s="6" t="s">
        <v>102</v>
      </c>
      <c r="M19" s="5" t="str">
        <f t="shared" si="0"/>
        <v>au Lycée "LE DOLMEN"</v>
      </c>
    </row>
    <row r="20" spans="1:13" ht="20.399999999999999">
      <c r="A20" s="1" t="s">
        <v>297</v>
      </c>
      <c r="E20" s="1">
        <v>20</v>
      </c>
      <c r="J20" s="3" t="s">
        <v>194</v>
      </c>
      <c r="K20" s="3" t="s">
        <v>83</v>
      </c>
      <c r="L20" s="6" t="s">
        <v>103</v>
      </c>
      <c r="M20" s="5" t="str">
        <f t="shared" si="0"/>
        <v>au Lycée "NELSON MANDELA"</v>
      </c>
    </row>
    <row r="21" spans="1:13">
      <c r="E21" s="1">
        <v>21</v>
      </c>
      <c r="J21" s="3" t="s">
        <v>194</v>
      </c>
      <c r="K21" s="3" t="s">
        <v>83</v>
      </c>
      <c r="L21" s="6" t="s">
        <v>104</v>
      </c>
      <c r="M21" s="5" t="str">
        <f t="shared" si="0"/>
        <v>au Lycée "RÉAUMUR"</v>
      </c>
    </row>
    <row r="22" spans="1:13" ht="20.399999999999999">
      <c r="E22" s="1">
        <v>22</v>
      </c>
      <c r="J22" s="3" t="s">
        <v>194</v>
      </c>
      <c r="K22" s="3" t="s">
        <v>83</v>
      </c>
      <c r="L22" s="6" t="s">
        <v>105</v>
      </c>
      <c r="M22" s="5" t="str">
        <f t="shared" si="0"/>
        <v>au Lycée "VICTOR HUGO"</v>
      </c>
    </row>
    <row r="23" spans="1:13" ht="20.399999999999999">
      <c r="A23" s="1" t="s">
        <v>288</v>
      </c>
      <c r="E23" s="1">
        <v>23</v>
      </c>
      <c r="J23" s="3" t="s">
        <v>194</v>
      </c>
      <c r="K23" s="3" t="s">
        <v>83</v>
      </c>
      <c r="L23" s="5" t="s">
        <v>106</v>
      </c>
      <c r="M23" s="5" t="str">
        <f t="shared" si="0"/>
        <v>au Lycée "XAVIER BERNARD"</v>
      </c>
    </row>
    <row r="24" spans="1:13" ht="20.399999999999999">
      <c r="A24" s="1" t="s">
        <v>299</v>
      </c>
      <c r="E24" s="1">
        <v>24</v>
      </c>
      <c r="J24" s="3" t="s">
        <v>194</v>
      </c>
      <c r="K24" s="3" t="s">
        <v>83</v>
      </c>
      <c r="L24" s="6" t="s">
        <v>107</v>
      </c>
      <c r="M24" s="5" t="str">
        <f t="shared" si="0"/>
        <v>au Lycée "DANIÈLE MATHIRON"</v>
      </c>
    </row>
    <row r="25" spans="1:13" ht="20.399999999999999">
      <c r="A25" s="1" t="s">
        <v>300</v>
      </c>
      <c r="E25" s="1">
        <v>25</v>
      </c>
      <c r="J25" s="3" t="s">
        <v>194</v>
      </c>
      <c r="K25" s="3" t="s">
        <v>108</v>
      </c>
      <c r="L25" s="6" t="s">
        <v>109</v>
      </c>
      <c r="M25" s="5" t="str">
        <f t="shared" si="0"/>
        <v>au lycée "LÉONARD DE VINCI"</v>
      </c>
    </row>
    <row r="26" spans="1:13" ht="20.399999999999999">
      <c r="E26" s="1">
        <v>26</v>
      </c>
      <c r="J26" s="3" t="s">
        <v>194</v>
      </c>
      <c r="K26" s="3" t="s">
        <v>108</v>
      </c>
      <c r="L26" s="6" t="s">
        <v>110</v>
      </c>
      <c r="M26" s="5" t="str">
        <f t="shared" si="0"/>
        <v>au lycée "LES SICAUDIÈRES"</v>
      </c>
    </row>
    <row r="27" spans="1:13" ht="40.799999999999997">
      <c r="A27" s="1" t="s">
        <v>301</v>
      </c>
      <c r="E27" s="1">
        <v>27</v>
      </c>
      <c r="J27" s="3" t="s">
        <v>194</v>
      </c>
      <c r="K27" s="3" t="s">
        <v>108</v>
      </c>
      <c r="L27" s="6" t="s">
        <v>111</v>
      </c>
      <c r="M27" s="5" t="str">
        <f t="shared" si="0"/>
        <v>au lycée "MAURICE GENEVOIX"/"SIMONE SIGNORET"</v>
      </c>
    </row>
    <row r="28" spans="1:13" ht="30.6">
      <c r="E28" s="1">
        <v>28</v>
      </c>
      <c r="J28" s="3" t="s">
        <v>194</v>
      </c>
      <c r="K28" s="3" t="s">
        <v>108</v>
      </c>
      <c r="L28" s="6" t="s">
        <v>112</v>
      </c>
      <c r="M28" s="5" t="str">
        <f t="shared" si="0"/>
        <v>au lycée "JEAN-FRANCOIS CAIL"</v>
      </c>
    </row>
    <row r="29" spans="1:13" ht="20.399999999999999">
      <c r="A29" s="1" t="s">
        <v>288</v>
      </c>
      <c r="E29" s="1">
        <v>29</v>
      </c>
      <c r="J29" s="3" t="s">
        <v>194</v>
      </c>
      <c r="K29" s="3" t="s">
        <v>108</v>
      </c>
      <c r="L29" s="6" t="s">
        <v>113</v>
      </c>
      <c r="M29" s="5" t="str">
        <f t="shared" si="0"/>
        <v>au lycée "JACQUES BUJAULT"</v>
      </c>
    </row>
    <row r="30" spans="1:13" ht="30.6">
      <c r="A30" s="1" t="s">
        <v>304</v>
      </c>
      <c r="E30" s="1">
        <v>30</v>
      </c>
      <c r="J30" s="3" t="s">
        <v>194</v>
      </c>
      <c r="K30" s="3" t="s">
        <v>108</v>
      </c>
      <c r="L30" s="6" t="s">
        <v>114</v>
      </c>
      <c r="M30" s="5" t="str">
        <f t="shared" si="0"/>
        <v>au lycée "JOSEPH DESFONTAINES"</v>
      </c>
    </row>
    <row r="31" spans="1:13" ht="20.399999999999999">
      <c r="A31" s="1" t="s">
        <v>305</v>
      </c>
      <c r="E31" s="8" t="s">
        <v>170</v>
      </c>
      <c r="J31" s="3" t="s">
        <v>194</v>
      </c>
      <c r="K31" s="3" t="s">
        <v>108</v>
      </c>
      <c r="L31" s="5" t="s">
        <v>115</v>
      </c>
      <c r="M31" s="5" t="str">
        <f t="shared" si="0"/>
        <v>au lycée "GASTON BARRÉ"</v>
      </c>
    </row>
    <row r="32" spans="1:13" ht="20.399999999999999">
      <c r="E32" s="1" t="s">
        <v>291</v>
      </c>
      <c r="J32" s="3" t="s">
        <v>194</v>
      </c>
      <c r="K32" s="3" t="s">
        <v>108</v>
      </c>
      <c r="L32" s="5" t="s">
        <v>116</v>
      </c>
      <c r="M32" s="5" t="str">
        <f t="shared" si="0"/>
        <v>au lycée "GASTON CHAISSAC"</v>
      </c>
    </row>
    <row r="33" spans="1:13">
      <c r="A33" s="1" t="s">
        <v>306</v>
      </c>
      <c r="J33" s="3" t="s">
        <v>194</v>
      </c>
      <c r="K33" s="3" t="s">
        <v>108</v>
      </c>
      <c r="L33" s="6" t="s">
        <v>117</v>
      </c>
      <c r="M33" s="5" t="str">
        <f t="shared" si="0"/>
        <v>au lycée "JEAN MACÉ"</v>
      </c>
    </row>
    <row r="34" spans="1:13" ht="20.399999999999999">
      <c r="J34" s="3" t="s">
        <v>194</v>
      </c>
      <c r="K34" s="3" t="s">
        <v>108</v>
      </c>
      <c r="L34" s="6" t="s">
        <v>118</v>
      </c>
      <c r="M34" s="5" t="str">
        <f t="shared" si="0"/>
        <v>au lycée "LA VENISE VERTE"</v>
      </c>
    </row>
    <row r="35" spans="1:13" ht="20.399999999999999">
      <c r="A35" s="1" t="s">
        <v>288</v>
      </c>
      <c r="E35" s="1" t="s">
        <v>327</v>
      </c>
      <c r="J35" s="3" t="s">
        <v>194</v>
      </c>
      <c r="K35" s="3" t="s">
        <v>108</v>
      </c>
      <c r="L35" s="6" t="s">
        <v>119</v>
      </c>
      <c r="M35" s="5" t="str">
        <f t="shared" si="0"/>
        <v>au lycée "PAUL GUERIN"</v>
      </c>
    </row>
    <row r="36" spans="1:13" ht="20.399999999999999">
      <c r="A36" s="1" t="s">
        <v>309</v>
      </c>
      <c r="E36" s="1" t="s">
        <v>322</v>
      </c>
      <c r="J36" s="3" t="s">
        <v>194</v>
      </c>
      <c r="K36" s="3" t="s">
        <v>108</v>
      </c>
      <c r="L36" s="6" t="s">
        <v>120</v>
      </c>
      <c r="M36" s="5" t="str">
        <f t="shared" si="0"/>
        <v>au lycée "THOMAS-JEAN MAIN"</v>
      </c>
    </row>
    <row r="37" spans="1:13" ht="20.399999999999999">
      <c r="A37" s="1" t="s">
        <v>310</v>
      </c>
      <c r="E37" s="1" t="s">
        <v>324</v>
      </c>
      <c r="J37" s="3" t="s">
        <v>194</v>
      </c>
      <c r="K37" s="3" t="s">
        <v>108</v>
      </c>
      <c r="L37" s="6" t="s">
        <v>121</v>
      </c>
      <c r="M37" s="5" t="str">
        <f t="shared" si="0"/>
        <v>au lycée "ERNEST PÉROCHON"</v>
      </c>
    </row>
    <row r="38" spans="1:13" ht="20.399999999999999">
      <c r="E38" s="1" t="s">
        <v>326</v>
      </c>
      <c r="J38" s="3" t="s">
        <v>194</v>
      </c>
      <c r="K38" s="3" t="s">
        <v>108</v>
      </c>
      <c r="L38" s="6" t="s">
        <v>122</v>
      </c>
      <c r="M38" s="5" t="str">
        <f t="shared" si="0"/>
        <v>au lycée "LES GRIPPEAUX"</v>
      </c>
    </row>
    <row r="39" spans="1:13" ht="20.399999999999999">
      <c r="A39" s="1" t="s">
        <v>311</v>
      </c>
      <c r="J39" s="3" t="s">
        <v>195</v>
      </c>
      <c r="K39" s="3" t="s">
        <v>92</v>
      </c>
      <c r="L39" s="5" t="s">
        <v>123</v>
      </c>
      <c r="M39" s="5" t="str">
        <f t="shared" si="0"/>
        <v>à l' EREA "FRANCOISE DOLTO"</v>
      </c>
    </row>
    <row r="40" spans="1:13" ht="20.399999999999999">
      <c r="J40" s="3" t="s">
        <v>194</v>
      </c>
      <c r="K40" s="3" t="s">
        <v>108</v>
      </c>
      <c r="L40" s="6" t="s">
        <v>124</v>
      </c>
      <c r="M40" s="5" t="str">
        <f t="shared" si="0"/>
        <v>au lycée "HAUT VAL DE SÈVRE"</v>
      </c>
    </row>
    <row r="41" spans="1:13">
      <c r="A41" s="1" t="s">
        <v>288</v>
      </c>
      <c r="J41" s="3" t="s">
        <v>194</v>
      </c>
      <c r="K41" s="3" t="s">
        <v>108</v>
      </c>
      <c r="L41" s="6" t="s">
        <v>125</v>
      </c>
      <c r="M41" s="5" t="str">
        <f t="shared" si="0"/>
        <v>au lycée "J.MOULIN"(79)</v>
      </c>
    </row>
    <row r="42" spans="1:13" ht="20.399999999999999">
      <c r="A42" s="1" t="s">
        <v>292</v>
      </c>
      <c r="J42" s="3" t="s">
        <v>194</v>
      </c>
      <c r="K42" s="3" t="s">
        <v>83</v>
      </c>
      <c r="L42" s="6" t="s">
        <v>126</v>
      </c>
      <c r="M42" s="5" t="str">
        <f t="shared" si="0"/>
        <v>au Lycée "DE LA MER ET DU LITTORAL"</v>
      </c>
    </row>
    <row r="43" spans="1:13" ht="20.399999999999999">
      <c r="A43" s="1" t="s">
        <v>58</v>
      </c>
      <c r="J43" s="3" t="s">
        <v>194</v>
      </c>
      <c r="K43" s="3" t="s">
        <v>83</v>
      </c>
      <c r="L43" s="6" t="s">
        <v>127</v>
      </c>
      <c r="M43" s="5" t="str">
        <f t="shared" si="0"/>
        <v>au Lycée "JEAN HYPPOLITE"</v>
      </c>
    </row>
    <row r="44" spans="1:13">
      <c r="J44" s="3" t="s">
        <v>194</v>
      </c>
      <c r="K44" s="3" t="s">
        <v>83</v>
      </c>
      <c r="L44" s="6" t="s">
        <v>128</v>
      </c>
      <c r="M44" s="5" t="str">
        <f t="shared" si="0"/>
        <v>au Lycée "LE RENAUDIN"</v>
      </c>
    </row>
    <row r="45" spans="1:13" ht="20.399999999999999">
      <c r="J45" s="3" t="s">
        <v>194</v>
      </c>
      <c r="K45" s="3" t="s">
        <v>83</v>
      </c>
      <c r="L45" s="6" t="s">
        <v>129</v>
      </c>
      <c r="M45" s="5" t="str">
        <f t="shared" si="0"/>
        <v>au Lycée "JEAN DAUTET"</v>
      </c>
    </row>
    <row r="46" spans="1:13" ht="20.399999999999999">
      <c r="J46" s="3" t="s">
        <v>194</v>
      </c>
      <c r="K46" s="3" t="s">
        <v>83</v>
      </c>
      <c r="L46" s="6" t="s">
        <v>130</v>
      </c>
      <c r="M46" s="5" t="str">
        <f t="shared" si="0"/>
        <v>au Lycée "LÉONCE VIELJEUX"</v>
      </c>
    </row>
    <row r="47" spans="1:13" ht="40.799999999999997">
      <c r="J47" s="3" t="s">
        <v>194</v>
      </c>
      <c r="K47" s="3" t="s">
        <v>83</v>
      </c>
      <c r="L47" s="5" t="s">
        <v>131</v>
      </c>
      <c r="M47" s="5" t="str">
        <f t="shared" si="0"/>
        <v>au Lycée "HOTELIER DU PARC DE LA FRANCOPHONIE"</v>
      </c>
    </row>
    <row r="48" spans="1:13" ht="20.399999999999999">
      <c r="J48" s="3" t="s">
        <v>194</v>
      </c>
      <c r="K48" s="3" t="s">
        <v>83</v>
      </c>
      <c r="L48" s="6" t="s">
        <v>132</v>
      </c>
      <c r="M48" s="5" t="str">
        <f t="shared" si="0"/>
        <v>au Lycée "PIERRE DORIOLE"</v>
      </c>
    </row>
    <row r="49" spans="10:13" ht="20.399999999999999">
      <c r="J49" s="3" t="s">
        <v>194</v>
      </c>
      <c r="K49" s="3" t="s">
        <v>83</v>
      </c>
      <c r="L49" s="6" t="s">
        <v>133</v>
      </c>
      <c r="M49" s="5" t="str">
        <f t="shared" si="0"/>
        <v>au Lycée "RENÉ-JOSUÉ VALIN"</v>
      </c>
    </row>
    <row r="50" spans="10:13">
      <c r="J50" s="3" t="s">
        <v>194</v>
      </c>
      <c r="K50" s="3" t="s">
        <v>83</v>
      </c>
      <c r="L50" s="6" t="s">
        <v>134</v>
      </c>
      <c r="M50" s="5" t="str">
        <f t="shared" si="0"/>
        <v>au Lycée "ROMPSAY"</v>
      </c>
    </row>
    <row r="51" spans="10:13" ht="30.6">
      <c r="J51" s="3" t="s">
        <v>194</v>
      </c>
      <c r="K51" s="3" t="s">
        <v>83</v>
      </c>
      <c r="L51" s="6" t="s">
        <v>135</v>
      </c>
      <c r="M51" s="5" t="str">
        <f t="shared" si="0"/>
        <v>au Lycée "ANTOINE DE SAINT EXUPÉRY"</v>
      </c>
    </row>
    <row r="52" spans="10:13" ht="20.399999999999999">
      <c r="J52" s="3" t="s">
        <v>194</v>
      </c>
      <c r="K52" s="3" t="s">
        <v>83</v>
      </c>
      <c r="L52" s="6" t="s">
        <v>136</v>
      </c>
      <c r="M52" s="5" t="str">
        <f t="shared" si="0"/>
        <v>au Lycée "EMILE COMBES"</v>
      </c>
    </row>
    <row r="53" spans="10:13" ht="20.399999999999999">
      <c r="J53" s="3" t="s">
        <v>194</v>
      </c>
      <c r="K53" s="3" t="s">
        <v>83</v>
      </c>
      <c r="L53" s="6" t="s">
        <v>137</v>
      </c>
      <c r="M53" s="5" t="str">
        <f t="shared" si="0"/>
        <v>au Lycée "GILLES JAMAIN"</v>
      </c>
    </row>
    <row r="54" spans="10:13" ht="20.399999999999999">
      <c r="J54" s="3" t="s">
        <v>194</v>
      </c>
      <c r="K54" s="3" t="s">
        <v>83</v>
      </c>
      <c r="L54" s="6" t="s">
        <v>138</v>
      </c>
      <c r="M54" s="5" t="str">
        <f t="shared" si="0"/>
        <v>au Lycée "MARCEL DASSAULT"</v>
      </c>
    </row>
    <row r="55" spans="10:13" ht="30.6">
      <c r="J55" s="3" t="s">
        <v>194</v>
      </c>
      <c r="K55" s="3" t="s">
        <v>83</v>
      </c>
      <c r="L55" s="6" t="s">
        <v>139</v>
      </c>
      <c r="M55" s="5" t="str">
        <f t="shared" si="0"/>
        <v>au Lycée "MAURICE MERLEAU PONTY"</v>
      </c>
    </row>
    <row r="56" spans="10:13" ht="30.6">
      <c r="J56" s="3" t="s">
        <v>194</v>
      </c>
      <c r="K56" s="3" t="s">
        <v>83</v>
      </c>
      <c r="L56" s="5" t="s">
        <v>140</v>
      </c>
      <c r="M56" s="5" t="str">
        <f t="shared" si="0"/>
        <v>au Lycée de "L'ATLANTIQUE"</v>
      </c>
    </row>
    <row r="57" spans="10:13">
      <c r="J57" s="3" t="s">
        <v>194</v>
      </c>
      <c r="K57" s="3" t="s">
        <v>83</v>
      </c>
      <c r="L57" s="6" t="s">
        <v>141</v>
      </c>
      <c r="M57" s="5" t="str">
        <f t="shared" si="0"/>
        <v>au Lycée "CORDOUAN"</v>
      </c>
    </row>
    <row r="58" spans="10:13">
      <c r="J58" s="3" t="s">
        <v>194</v>
      </c>
      <c r="K58" s="3" t="s">
        <v>83</v>
      </c>
      <c r="L58" s="6" t="s">
        <v>142</v>
      </c>
      <c r="M58" s="5" t="str">
        <f t="shared" si="0"/>
        <v>au Lycée "BELLEVUE"</v>
      </c>
    </row>
    <row r="59" spans="10:13" ht="20.399999999999999">
      <c r="J59" s="3" t="s">
        <v>194</v>
      </c>
      <c r="K59" s="3" t="s">
        <v>83</v>
      </c>
      <c r="L59" s="6" t="s">
        <v>143</v>
      </c>
      <c r="M59" s="5" t="str">
        <f t="shared" si="0"/>
        <v>au Lycée "BERNARD PALISSY"</v>
      </c>
    </row>
    <row r="60" spans="10:13" ht="20.399999999999999">
      <c r="J60" s="3" t="s">
        <v>194</v>
      </c>
      <c r="K60" s="3" t="s">
        <v>83</v>
      </c>
      <c r="L60" s="6" t="s">
        <v>144</v>
      </c>
      <c r="M60" s="5" t="str">
        <f t="shared" si="0"/>
        <v>au Lycée "LE PETIT CHADIGNAC"</v>
      </c>
    </row>
    <row r="61" spans="10:13" ht="20.399999999999999">
      <c r="J61" s="3" t="s">
        <v>195</v>
      </c>
      <c r="K61" s="3" t="s">
        <v>92</v>
      </c>
      <c r="L61" s="5" t="s">
        <v>145</v>
      </c>
      <c r="M61" s="5" t="str">
        <f t="shared" si="0"/>
        <v>à l' EREA "THÉODORE MONOD"</v>
      </c>
    </row>
    <row r="62" spans="10:13" ht="20.399999999999999">
      <c r="J62" s="3" t="s">
        <v>194</v>
      </c>
      <c r="K62" s="3" t="s">
        <v>83</v>
      </c>
      <c r="L62" s="7" t="s">
        <v>146</v>
      </c>
      <c r="M62" s="5" t="str">
        <f t="shared" si="0"/>
        <v>au Lycée "BLAISE PASCAL"</v>
      </c>
    </row>
    <row r="63" spans="10:13" ht="30.6">
      <c r="J63" s="3" t="s">
        <v>194</v>
      </c>
      <c r="K63" s="3" t="s">
        <v>83</v>
      </c>
      <c r="L63" s="6" t="s">
        <v>147</v>
      </c>
      <c r="M63" s="5" t="str">
        <f t="shared" si="0"/>
        <v>au Lycée "LOUIS-AUDOUIN DUBREUIL"</v>
      </c>
    </row>
    <row r="64" spans="10:13" ht="20.399999999999999">
      <c r="J64" s="3" t="s">
        <v>194</v>
      </c>
      <c r="K64" s="3" t="s">
        <v>83</v>
      </c>
      <c r="L64" s="5" t="s">
        <v>148</v>
      </c>
      <c r="M64" s="5" t="str">
        <f t="shared" si="0"/>
        <v>au Lycée "ENILIA-ENSMIC"</v>
      </c>
    </row>
    <row r="65" spans="10:13" ht="20.399999999999999">
      <c r="J65" s="3" t="s">
        <v>194</v>
      </c>
      <c r="K65" s="3" t="s">
        <v>83</v>
      </c>
      <c r="L65" s="5" t="s">
        <v>149</v>
      </c>
      <c r="M65" s="5" t="str">
        <f t="shared" si="0"/>
        <v>au Lycée "GEORGES DESCLAUDES"</v>
      </c>
    </row>
    <row r="66" spans="10:13" ht="20.399999999999999">
      <c r="J66" s="3" t="s">
        <v>194</v>
      </c>
      <c r="K66" s="3" t="s">
        <v>83</v>
      </c>
      <c r="L66" s="5" t="s">
        <v>150</v>
      </c>
      <c r="M66" s="5" t="str">
        <f t="shared" si="0"/>
        <v>au Lycée "MARITIME ET ACQUACOLE"</v>
      </c>
    </row>
    <row r="67" spans="10:13" ht="20.399999999999999">
      <c r="J67" s="3" t="s">
        <v>194</v>
      </c>
      <c r="K67" s="3" t="s">
        <v>83</v>
      </c>
      <c r="L67" s="5" t="s">
        <v>151</v>
      </c>
      <c r="M67" s="5" t="str">
        <f t="shared" ref="M67:M128" si="1">J67&amp;" "&amp;K67&amp;" "&amp;L67</f>
        <v>au Lycée "PAYS D'AUNIS"</v>
      </c>
    </row>
    <row r="68" spans="10:13" ht="30.6">
      <c r="J68" s="3" t="s">
        <v>194</v>
      </c>
      <c r="K68" s="3" t="s">
        <v>108</v>
      </c>
      <c r="L68" s="6" t="s">
        <v>152</v>
      </c>
      <c r="M68" s="5" t="str">
        <f t="shared" si="1"/>
        <v>au lycée "CHARLES-AUGUSTIN COULOMB"</v>
      </c>
    </row>
    <row r="69" spans="10:13" ht="20.399999999999999">
      <c r="J69" s="3" t="s">
        <v>194</v>
      </c>
      <c r="K69" s="3" t="s">
        <v>108</v>
      </c>
      <c r="L69" s="6" t="s">
        <v>153</v>
      </c>
      <c r="M69" s="5" t="str">
        <f t="shared" si="1"/>
        <v>au lycée "GUEZ DE BALZAC"</v>
      </c>
    </row>
    <row r="70" spans="10:13" ht="20.399999999999999">
      <c r="J70" s="3" t="s">
        <v>194</v>
      </c>
      <c r="K70" s="3" t="s">
        <v>108</v>
      </c>
      <c r="L70" s="6" t="s">
        <v>154</v>
      </c>
      <c r="M70" s="5" t="str">
        <f t="shared" si="1"/>
        <v>au lycée "DE L'IMAGE ET DU SON"</v>
      </c>
    </row>
    <row r="71" spans="10:13" ht="20.399999999999999">
      <c r="J71" s="3" t="s">
        <v>194</v>
      </c>
      <c r="K71" s="3" t="s">
        <v>108</v>
      </c>
      <c r="L71" s="6" t="s">
        <v>155</v>
      </c>
      <c r="M71" s="5" t="str">
        <f t="shared" si="1"/>
        <v>au lycée "JEAN ROSTAND"</v>
      </c>
    </row>
    <row r="72" spans="10:13" ht="20.399999999999999">
      <c r="J72" s="3" t="s">
        <v>194</v>
      </c>
      <c r="K72" s="3" t="s">
        <v>108</v>
      </c>
      <c r="L72" s="6" t="s">
        <v>156</v>
      </c>
      <c r="M72" s="5" t="str">
        <f t="shared" si="1"/>
        <v>au lycée "MARGUERITE DE VALOIS"</v>
      </c>
    </row>
    <row r="73" spans="10:13">
      <c r="J73" s="3" t="s">
        <v>194</v>
      </c>
      <c r="K73" s="3" t="s">
        <v>108</v>
      </c>
      <c r="L73" s="6" t="s">
        <v>157</v>
      </c>
      <c r="M73" s="5" t="str">
        <f t="shared" si="1"/>
        <v>au lycée "DE SILLAC"</v>
      </c>
    </row>
    <row r="74" spans="10:13">
      <c r="J74" s="3" t="s">
        <v>194</v>
      </c>
      <c r="K74" s="3" t="s">
        <v>108</v>
      </c>
      <c r="L74" s="6" t="s">
        <v>158</v>
      </c>
      <c r="M74" s="5" t="str">
        <f t="shared" si="1"/>
        <v>au lycée "ÉLIE VINET"</v>
      </c>
    </row>
    <row r="75" spans="10:13" ht="20.399999999999999">
      <c r="J75" s="3" t="s">
        <v>194</v>
      </c>
      <c r="K75" s="3" t="s">
        <v>108</v>
      </c>
      <c r="L75" s="6" t="s">
        <v>159</v>
      </c>
      <c r="M75" s="5" t="str">
        <f t="shared" si="1"/>
        <v>au lycée "FÉLIX GAILLARD"</v>
      </c>
    </row>
    <row r="76" spans="10:13" ht="30.6">
      <c r="J76" s="3" t="s">
        <v>194</v>
      </c>
      <c r="K76" s="3" t="s">
        <v>108</v>
      </c>
      <c r="L76" s="6" t="s">
        <v>160</v>
      </c>
      <c r="M76" s="5" t="str">
        <f t="shared" si="1"/>
        <v>au lycée "PIERRE-ANDRÉ CHABANNE"</v>
      </c>
    </row>
    <row r="77" spans="10:13" ht="20.399999999999999">
      <c r="J77" s="3" t="s">
        <v>194</v>
      </c>
      <c r="K77" s="3" t="s">
        <v>108</v>
      </c>
      <c r="L77" s="6" t="s">
        <v>161</v>
      </c>
      <c r="M77" s="5" t="str">
        <f t="shared" si="1"/>
        <v>au lycée "JEAN MONNET"</v>
      </c>
    </row>
    <row r="78" spans="10:13" ht="20.399999999999999">
      <c r="J78" s="3" t="s">
        <v>194</v>
      </c>
      <c r="K78" s="3" t="s">
        <v>108</v>
      </c>
      <c r="L78" s="6" t="s">
        <v>162</v>
      </c>
      <c r="M78" s="5" t="str">
        <f t="shared" si="1"/>
        <v>au lycée "LOUIS DELAGE"</v>
      </c>
    </row>
    <row r="79" spans="10:13">
      <c r="J79" s="3" t="s">
        <v>194</v>
      </c>
      <c r="K79" s="3" t="s">
        <v>108</v>
      </c>
      <c r="L79" s="6" t="s">
        <v>163</v>
      </c>
      <c r="M79" s="5" t="str">
        <f t="shared" si="1"/>
        <v>au lycée "ÉMILE ROUX"</v>
      </c>
    </row>
    <row r="80" spans="10:13">
      <c r="J80" s="3" t="s">
        <v>194</v>
      </c>
      <c r="K80" s="3" t="s">
        <v>108</v>
      </c>
      <c r="L80" s="6" t="s">
        <v>164</v>
      </c>
      <c r="M80" s="5" t="str">
        <f t="shared" si="1"/>
        <v>au lycée "L'OISELLERIE"</v>
      </c>
    </row>
    <row r="81" spans="10:13" ht="20.399999999999999">
      <c r="J81" s="3" t="s">
        <v>195</v>
      </c>
      <c r="K81" s="3" t="s">
        <v>92</v>
      </c>
      <c r="L81" s="5" t="s">
        <v>165</v>
      </c>
      <c r="M81" s="5" t="str">
        <f t="shared" si="1"/>
        <v>à l' EREA "LES CHIRONS"</v>
      </c>
    </row>
    <row r="82" spans="10:13" ht="20.399999999999999">
      <c r="J82" s="3" t="s">
        <v>194</v>
      </c>
      <c r="K82" s="3" t="s">
        <v>108</v>
      </c>
      <c r="L82" s="6" t="s">
        <v>166</v>
      </c>
      <c r="M82" s="5" t="str">
        <f t="shared" si="1"/>
        <v>au lycée "JEAN CAILLAUD"</v>
      </c>
    </row>
    <row r="83" spans="10:13" ht="20.399999999999999">
      <c r="J83" s="3" t="s">
        <v>194</v>
      </c>
      <c r="K83" s="3" t="s">
        <v>108</v>
      </c>
      <c r="L83" s="6" t="s">
        <v>167</v>
      </c>
      <c r="M83" s="5" t="str">
        <f t="shared" si="1"/>
        <v>au lycée "LOUISE MICHEL"</v>
      </c>
    </row>
    <row r="84" spans="10:13" ht="20.399999999999999">
      <c r="J84" s="3" t="s">
        <v>194</v>
      </c>
      <c r="K84" s="3" t="s">
        <v>108</v>
      </c>
      <c r="L84" s="6" t="s">
        <v>168</v>
      </c>
      <c r="M84" s="5" t="str">
        <f t="shared" si="1"/>
        <v>au lycée "JEAN-ALBERT GRÉGOIRE"</v>
      </c>
    </row>
    <row r="85" spans="10:13">
      <c r="J85" s="3" t="s">
        <v>194</v>
      </c>
      <c r="K85" s="3" t="s">
        <v>108</v>
      </c>
      <c r="L85" s="4" t="s">
        <v>247</v>
      </c>
      <c r="M85" s="4" t="str">
        <f t="shared" si="1"/>
        <v>au lycée "D'ARSONVAL"</v>
      </c>
    </row>
    <row r="86" spans="10:13">
      <c r="J86" s="3" t="s">
        <v>194</v>
      </c>
      <c r="K86" s="3" t="s">
        <v>108</v>
      </c>
      <c r="L86" s="4" t="s">
        <v>248</v>
      </c>
      <c r="M86" s="4" t="str">
        <f t="shared" si="1"/>
        <v>au lycée "MARCEL BARBENCEYS"</v>
      </c>
    </row>
    <row r="87" spans="10:13">
      <c r="J87" s="3" t="s">
        <v>194</v>
      </c>
      <c r="K87" s="3" t="s">
        <v>108</v>
      </c>
      <c r="L87" s="4" t="s">
        <v>249</v>
      </c>
      <c r="M87" s="4" t="str">
        <f t="shared" si="1"/>
        <v>au lycée "BORT ARTENSE"</v>
      </c>
    </row>
    <row r="88" spans="10:13">
      <c r="J88" s="3" t="s">
        <v>194</v>
      </c>
      <c r="K88" s="3" t="s">
        <v>108</v>
      </c>
      <c r="L88" s="4" t="s">
        <v>250</v>
      </c>
      <c r="M88" s="4" t="str">
        <f t="shared" si="1"/>
        <v>au lycée "GEORGES CABANIS"</v>
      </c>
    </row>
    <row r="89" spans="10:13">
      <c r="J89" s="3" t="s">
        <v>194</v>
      </c>
      <c r="K89" s="3" t="s">
        <v>108</v>
      </c>
      <c r="L89" s="4" t="s">
        <v>251</v>
      </c>
      <c r="M89" s="4" t="str">
        <f t="shared" si="1"/>
        <v>au lycée "PIERRE CARAMINOT"</v>
      </c>
    </row>
    <row r="90" spans="10:13">
      <c r="J90" s="3" t="s">
        <v>194</v>
      </c>
      <c r="K90" s="3" t="s">
        <v>108</v>
      </c>
      <c r="L90" s="4" t="s">
        <v>252</v>
      </c>
      <c r="M90" s="4" t="str">
        <f t="shared" si="1"/>
        <v>au lycée "RENE CASSIN"</v>
      </c>
    </row>
    <row r="91" spans="10:13">
      <c r="J91" s="3" t="s">
        <v>194</v>
      </c>
      <c r="K91" s="3" t="s">
        <v>108</v>
      </c>
      <c r="L91" s="4" t="s">
        <v>253</v>
      </c>
      <c r="M91" s="4" t="str">
        <f t="shared" si="1"/>
        <v>au lycée "DANTON"</v>
      </c>
    </row>
    <row r="92" spans="10:13">
      <c r="J92" s="3" t="s">
        <v>194</v>
      </c>
      <c r="K92" s="3" t="s">
        <v>108</v>
      </c>
      <c r="L92" s="4" t="s">
        <v>254</v>
      </c>
      <c r="M92" s="4" t="str">
        <f t="shared" si="1"/>
        <v>au lycée "LAVOISIER"</v>
      </c>
    </row>
    <row r="93" spans="10:13">
      <c r="J93" s="3" t="s">
        <v>194</v>
      </c>
      <c r="K93" s="3" t="s">
        <v>108</v>
      </c>
      <c r="L93" s="4" t="s">
        <v>255</v>
      </c>
      <c r="M93" s="4" t="str">
        <f t="shared" si="1"/>
        <v>au lycée "DES MILLES SOURCES"</v>
      </c>
    </row>
    <row r="94" spans="10:13">
      <c r="J94" s="3" t="s">
        <v>194</v>
      </c>
      <c r="K94" s="3" t="s">
        <v>108</v>
      </c>
      <c r="L94" s="4" t="s">
        <v>256</v>
      </c>
      <c r="M94" s="4" t="str">
        <f t="shared" si="1"/>
        <v>au lycée "EDMOND PERRIER"</v>
      </c>
    </row>
    <row r="95" spans="10:13">
      <c r="J95" s="3" t="s">
        <v>194</v>
      </c>
      <c r="K95" s="3" t="s">
        <v>108</v>
      </c>
      <c r="L95" s="4" t="s">
        <v>257</v>
      </c>
      <c r="M95" s="4" t="str">
        <f t="shared" si="1"/>
        <v>au lycée "BERNART DE VENTADOUR"</v>
      </c>
    </row>
    <row r="96" spans="10:13">
      <c r="J96" s="3" t="s">
        <v>194</v>
      </c>
      <c r="K96" s="3" t="s">
        <v>108</v>
      </c>
      <c r="L96" s="4" t="s">
        <v>258</v>
      </c>
      <c r="M96" s="4" t="str">
        <f t="shared" si="1"/>
        <v>au lycée "BRIVE-VOUTEZAC"</v>
      </c>
    </row>
    <row r="97" spans="10:13">
      <c r="J97" s="3" t="s">
        <v>194</v>
      </c>
      <c r="K97" s="3" t="s">
        <v>108</v>
      </c>
      <c r="L97" s="4" t="s">
        <v>259</v>
      </c>
      <c r="M97" s="4" t="str">
        <f t="shared" si="1"/>
        <v>au lycée "DE HAUTE CORREZE"</v>
      </c>
    </row>
    <row r="98" spans="10:13">
      <c r="J98" s="3" t="s">
        <v>194</v>
      </c>
      <c r="K98" s="3" t="s">
        <v>108</v>
      </c>
      <c r="L98" s="4" t="s">
        <v>260</v>
      </c>
      <c r="M98" s="4" t="str">
        <f t="shared" si="1"/>
        <v>au lycée "EDGARD PISANI"</v>
      </c>
    </row>
    <row r="99" spans="10:13">
      <c r="J99" s="3" t="s">
        <v>194</v>
      </c>
      <c r="K99" s="3" t="s">
        <v>108</v>
      </c>
      <c r="L99" s="4" t="s">
        <v>261</v>
      </c>
      <c r="M99" s="4" t="str">
        <f t="shared" si="1"/>
        <v>au lycée "PIERRE BOURDAN"</v>
      </c>
    </row>
    <row r="100" spans="10:13">
      <c r="J100" s="3" t="s">
        <v>194</v>
      </c>
      <c r="K100" s="3" t="s">
        <v>108</v>
      </c>
      <c r="L100" s="4" t="s">
        <v>262</v>
      </c>
      <c r="M100" s="4" t="str">
        <f t="shared" si="1"/>
        <v>au lycée "JEAN FAVARD"</v>
      </c>
    </row>
    <row r="101" spans="10:13">
      <c r="J101" s="3" t="s">
        <v>194</v>
      </c>
      <c r="K101" s="3" t="s">
        <v>108</v>
      </c>
      <c r="L101" s="4" t="s">
        <v>263</v>
      </c>
      <c r="M101" s="4" t="str">
        <f t="shared" si="1"/>
        <v>au lycée "DES METIERS ET DU BATIMENT DE FELLETIN"</v>
      </c>
    </row>
    <row r="102" spans="10:13">
      <c r="J102" s="3" t="s">
        <v>194</v>
      </c>
      <c r="K102" s="3" t="s">
        <v>108</v>
      </c>
      <c r="L102" s="4" t="s">
        <v>264</v>
      </c>
      <c r="M102" s="4" t="str">
        <f t="shared" si="1"/>
        <v>au lycée "DELHPINE GAY"</v>
      </c>
    </row>
    <row r="103" spans="10:13">
      <c r="J103" s="3" t="s">
        <v>194</v>
      </c>
      <c r="K103" s="3" t="s">
        <v>108</v>
      </c>
      <c r="L103" s="4" t="s">
        <v>265</v>
      </c>
      <c r="M103" s="4" t="str">
        <f t="shared" si="1"/>
        <v>au lycée "EUGENE JAMOT"</v>
      </c>
    </row>
    <row r="104" spans="10:13">
      <c r="J104" s="3" t="s">
        <v>194</v>
      </c>
      <c r="K104" s="3" t="s">
        <v>108</v>
      </c>
      <c r="L104" s="4" t="s">
        <v>266</v>
      </c>
      <c r="M104" s="4" t="str">
        <f t="shared" si="1"/>
        <v>au lycée "JEAN JAURES"</v>
      </c>
    </row>
    <row r="105" spans="10:13">
      <c r="J105" s="3" t="s">
        <v>194</v>
      </c>
      <c r="K105" s="3" t="s">
        <v>108</v>
      </c>
      <c r="L105" s="4" t="s">
        <v>267</v>
      </c>
      <c r="M105" s="4" t="str">
        <f t="shared" si="1"/>
        <v>au lycée "RAYMOND LOEWY"</v>
      </c>
    </row>
    <row r="106" spans="10:13">
      <c r="J106" s="3" t="s">
        <v>194</v>
      </c>
      <c r="K106" s="3" t="s">
        <v>108</v>
      </c>
      <c r="L106" s="4" t="s">
        <v>268</v>
      </c>
      <c r="M106" s="4" t="str">
        <f t="shared" si="1"/>
        <v>au lycée "GASTON ROUSSILAT"</v>
      </c>
    </row>
    <row r="107" spans="10:13">
      <c r="J107" s="3" t="s">
        <v>194</v>
      </c>
      <c r="K107" s="3" t="s">
        <v>108</v>
      </c>
      <c r="L107" s="4" t="s">
        <v>269</v>
      </c>
      <c r="M107" s="4" t="str">
        <f t="shared" si="1"/>
        <v>au lycée "D'AHUN"</v>
      </c>
    </row>
    <row r="108" spans="10:13">
      <c r="J108" s="3" t="s">
        <v>194</v>
      </c>
      <c r="K108" s="3" t="s">
        <v>108</v>
      </c>
      <c r="L108" s="4" t="s">
        <v>270</v>
      </c>
      <c r="M108" s="4" t="str">
        <f t="shared" si="1"/>
        <v>au lycée "MARYSE BASTIE"</v>
      </c>
    </row>
    <row r="109" spans="10:13">
      <c r="J109" s="3" t="s">
        <v>194</v>
      </c>
      <c r="K109" s="3" t="s">
        <v>108</v>
      </c>
      <c r="L109" s="4" t="s">
        <v>271</v>
      </c>
      <c r="M109" s="4" t="str">
        <f t="shared" si="1"/>
        <v>au lycée "BAPTISTE DARNET"</v>
      </c>
    </row>
    <row r="110" spans="10:13">
      <c r="J110" s="3" t="s">
        <v>194</v>
      </c>
      <c r="K110" s="3" t="s">
        <v>108</v>
      </c>
      <c r="L110" s="4" t="s">
        <v>272</v>
      </c>
      <c r="M110" s="4" t="str">
        <f t="shared" si="1"/>
        <v>au lycée "DAUTRY"</v>
      </c>
    </row>
    <row r="111" spans="10:13">
      <c r="J111" s="3" t="s">
        <v>194</v>
      </c>
      <c r="K111" s="3" t="s">
        <v>108</v>
      </c>
      <c r="L111" s="4" t="s">
        <v>273</v>
      </c>
      <c r="M111" s="4" t="str">
        <f t="shared" si="1"/>
        <v>au lycée "PAUL EUARD"</v>
      </c>
    </row>
    <row r="112" spans="10:13">
      <c r="J112" s="3" t="s">
        <v>194</v>
      </c>
      <c r="K112" s="3" t="s">
        <v>108</v>
      </c>
      <c r="L112" s="4" t="s">
        <v>274</v>
      </c>
      <c r="M112" s="4" t="str">
        <f t="shared" si="1"/>
        <v>au lycée "GAY LUSSAC"</v>
      </c>
    </row>
    <row r="113" spans="10:13">
      <c r="J113" s="3" t="s">
        <v>194</v>
      </c>
      <c r="K113" s="3" t="s">
        <v>108</v>
      </c>
      <c r="L113" s="4" t="s">
        <v>275</v>
      </c>
      <c r="M113" s="4" t="str">
        <f t="shared" si="1"/>
        <v>au lycée "JEAN GIRAUOUX"</v>
      </c>
    </row>
    <row r="114" spans="10:13">
      <c r="J114" s="3" t="s">
        <v>194</v>
      </c>
      <c r="K114" s="3" t="s">
        <v>108</v>
      </c>
      <c r="L114" s="4" t="s">
        <v>276</v>
      </c>
      <c r="M114" s="4" t="str">
        <f t="shared" si="1"/>
        <v>au lycée "LEONARD LIMOSIN"</v>
      </c>
    </row>
    <row r="115" spans="10:13">
      <c r="J115" s="3" t="s">
        <v>194</v>
      </c>
      <c r="K115" s="3" t="s">
        <v>108</v>
      </c>
      <c r="L115" s="4" t="s">
        <v>277</v>
      </c>
      <c r="M115" s="4" t="str">
        <f t="shared" si="1"/>
        <v>au lycée "LE MAS JAMBOST"</v>
      </c>
    </row>
    <row r="116" spans="10:13">
      <c r="J116" s="3" t="s">
        <v>194</v>
      </c>
      <c r="K116" s="3" t="s">
        <v>108</v>
      </c>
      <c r="L116" s="4" t="s">
        <v>161</v>
      </c>
      <c r="M116" s="4" t="str">
        <f t="shared" si="1"/>
        <v>au lycée "JEAN MONNET"</v>
      </c>
    </row>
    <row r="117" spans="10:13">
      <c r="J117" s="3" t="s">
        <v>194</v>
      </c>
      <c r="K117" s="3" t="s">
        <v>108</v>
      </c>
      <c r="L117" s="4" t="s">
        <v>278</v>
      </c>
      <c r="M117" s="4" t="str">
        <f t="shared" si="1"/>
        <v>au lycée "MARTIN NADAUD"</v>
      </c>
    </row>
    <row r="118" spans="10:13">
      <c r="J118" s="3" t="s">
        <v>194</v>
      </c>
      <c r="K118" s="3" t="s">
        <v>108</v>
      </c>
      <c r="L118" s="4" t="s">
        <v>279</v>
      </c>
      <c r="M118" s="4" t="str">
        <f t="shared" si="1"/>
        <v>au lycée "MARCEL PAGNOL"</v>
      </c>
    </row>
    <row r="119" spans="10:13">
      <c r="J119" s="3" t="s">
        <v>194</v>
      </c>
      <c r="K119" s="3" t="s">
        <v>108</v>
      </c>
      <c r="L119" s="4" t="s">
        <v>143</v>
      </c>
      <c r="M119" s="4" t="str">
        <f t="shared" si="1"/>
        <v>au lycée "BERNARD PALISSY"</v>
      </c>
    </row>
    <row r="120" spans="10:13">
      <c r="J120" s="3" t="s">
        <v>194</v>
      </c>
      <c r="K120" s="3" t="s">
        <v>108</v>
      </c>
      <c r="L120" s="4" t="s">
        <v>280</v>
      </c>
      <c r="M120" s="4" t="str">
        <f t="shared" si="1"/>
        <v>au lycée "AUGUSTE RENOIR"</v>
      </c>
    </row>
    <row r="121" spans="10:13">
      <c r="J121" s="3" t="s">
        <v>194</v>
      </c>
      <c r="K121" s="3" t="s">
        <v>108</v>
      </c>
      <c r="L121" s="4" t="s">
        <v>135</v>
      </c>
      <c r="M121" s="4" t="str">
        <f t="shared" si="1"/>
        <v>au lycée "ANTOINE DE SAINT EXUPÉRY"</v>
      </c>
    </row>
    <row r="122" spans="10:13">
      <c r="J122" s="3" t="s">
        <v>194</v>
      </c>
      <c r="K122" s="3" t="s">
        <v>108</v>
      </c>
      <c r="L122" s="4" t="s">
        <v>281</v>
      </c>
      <c r="M122" s="4" t="str">
        <f t="shared" si="1"/>
        <v>au lycée "GEORGES SAND"</v>
      </c>
    </row>
    <row r="123" spans="10:13">
      <c r="J123" s="3" t="s">
        <v>194</v>
      </c>
      <c r="K123" s="3" t="s">
        <v>108</v>
      </c>
      <c r="L123" s="4" t="s">
        <v>282</v>
      </c>
      <c r="M123" s="4" t="str">
        <f t="shared" si="1"/>
        <v>au lycée "TURGOT"</v>
      </c>
    </row>
    <row r="124" spans="10:13">
      <c r="J124" s="3" t="s">
        <v>194</v>
      </c>
      <c r="K124" s="3" t="s">
        <v>108</v>
      </c>
      <c r="L124" s="4" t="s">
        <v>283</v>
      </c>
      <c r="M124" s="4" t="str">
        <f t="shared" si="1"/>
        <v>au lycée "EDOUARD VAILLANT"</v>
      </c>
    </row>
    <row r="125" spans="10:13">
      <c r="J125" s="3" t="s">
        <v>194</v>
      </c>
      <c r="K125" s="3" t="s">
        <v>108</v>
      </c>
      <c r="L125" s="4" t="s">
        <v>284</v>
      </c>
      <c r="M125" s="4" t="str">
        <f t="shared" si="1"/>
        <v>au lycée "SUZANNE VALANDON"</v>
      </c>
    </row>
    <row r="126" spans="10:13">
      <c r="J126" s="3" t="s">
        <v>194</v>
      </c>
      <c r="K126" s="3" t="s">
        <v>108</v>
      </c>
      <c r="L126" s="4" t="s">
        <v>285</v>
      </c>
      <c r="M126" s="4" t="str">
        <f t="shared" si="1"/>
        <v>au lycée "DE SAINT YRIEZIX DE LA PERCHE"</v>
      </c>
    </row>
    <row r="127" spans="10:13">
      <c r="J127" s="3" t="s">
        <v>194</v>
      </c>
      <c r="K127" s="3" t="s">
        <v>108</v>
      </c>
      <c r="L127" s="4" t="s">
        <v>286</v>
      </c>
      <c r="M127" s="4" t="str">
        <f t="shared" si="1"/>
        <v>au lycée "DE LIMOGES ET DU NORD HAUTE VIENNE" (MAGNAC LAVAL")</v>
      </c>
    </row>
    <row r="128" spans="10:13">
      <c r="J128" s="3" t="s">
        <v>194</v>
      </c>
      <c r="K128" s="3" t="s">
        <v>108</v>
      </c>
      <c r="L128" s="4" t="s">
        <v>287</v>
      </c>
      <c r="M128" s="4" t="str">
        <f t="shared" si="1"/>
        <v>au lycée "DE LIMOGES ET DU NORD HAUTE VIENNE" (LES VASEIX")</v>
      </c>
    </row>
  </sheetData>
  <sheetProtection password="CDB6" sheet="1" objects="1" scenarios="1" autoFilter="0"/>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tabColor rgb="FFFF0000"/>
  </sheetPr>
  <dimension ref="A1:AR285"/>
  <sheetViews>
    <sheetView tabSelected="1" topLeftCell="A33" zoomScale="80" zoomScaleNormal="80" workbookViewId="0">
      <selection activeCell="I35" sqref="I35:J35"/>
    </sheetView>
  </sheetViews>
  <sheetFormatPr baseColWidth="10" defaultRowHeight="18" outlineLevelRow="1"/>
  <cols>
    <col min="1" max="1" width="4.6640625" bestFit="1" customWidth="1"/>
    <col min="2" max="2" width="41.5546875" customWidth="1"/>
    <col min="3" max="3" width="27.109375" customWidth="1"/>
    <col min="4" max="4" width="39.109375" hidden="1" customWidth="1"/>
    <col min="5" max="5" width="25.109375" customWidth="1"/>
    <col min="6" max="6" width="24.109375" customWidth="1"/>
    <col min="7" max="7" width="25.88671875" bestFit="1" customWidth="1"/>
    <col min="8" max="8" width="20.6640625" bestFit="1" customWidth="1"/>
    <col min="9" max="9" width="26.33203125" customWidth="1"/>
    <col min="10" max="10" width="19.109375" style="55" customWidth="1"/>
    <col min="11" max="12" width="17.88671875" style="55" hidden="1" customWidth="1"/>
    <col min="13" max="13" width="12.44140625" style="55" hidden="1" customWidth="1"/>
    <col min="14" max="14" width="9.5546875" style="55" hidden="1" customWidth="1"/>
    <col min="15" max="15" width="11.44140625" style="55" hidden="1" customWidth="1"/>
    <col min="16" max="16" width="17.88671875" style="55" hidden="1" customWidth="1"/>
    <col min="17" max="17" width="16.44140625" style="55" hidden="1" customWidth="1"/>
    <col min="18" max="18" width="11.44140625" style="55" customWidth="1"/>
    <col min="19" max="44" width="11.44140625" style="55"/>
  </cols>
  <sheetData>
    <row r="1" spans="1:44">
      <c r="A1" s="55"/>
      <c r="B1" s="11" t="s">
        <v>193</v>
      </c>
      <c r="C1" s="118"/>
      <c r="D1" s="106"/>
      <c r="E1" s="107"/>
      <c r="F1" s="107"/>
      <c r="G1" s="107"/>
      <c r="H1" s="104"/>
      <c r="I1" s="55"/>
    </row>
    <row r="2" spans="1:44" s="10" customFormat="1" ht="18" customHeight="1">
      <c r="A2" s="55"/>
      <c r="B2" s="11" t="s">
        <v>70</v>
      </c>
      <c r="C2" s="191"/>
      <c r="D2" s="192"/>
      <c r="E2" s="192"/>
      <c r="F2" s="192"/>
      <c r="G2" s="192"/>
      <c r="H2" s="104"/>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row>
    <row r="3" spans="1:44" s="10" customFormat="1" ht="18" customHeight="1">
      <c r="A3" s="55"/>
      <c r="B3" s="11" t="s">
        <v>2</v>
      </c>
      <c r="C3" s="193"/>
      <c r="D3" s="194"/>
      <c r="E3" s="194"/>
      <c r="F3" s="194"/>
      <c r="G3" s="194"/>
      <c r="H3" s="104"/>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row>
    <row r="4" spans="1:44" s="10" customFormat="1" ht="18" customHeight="1">
      <c r="A4" s="55"/>
      <c r="B4" s="11" t="s">
        <v>218</v>
      </c>
      <c r="C4" s="193"/>
      <c r="D4" s="194"/>
      <c r="E4" s="194"/>
      <c r="F4" s="194"/>
      <c r="G4" s="194"/>
      <c r="H4" s="104"/>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row>
    <row r="5" spans="1:44" s="10" customFormat="1" ht="18" customHeight="1">
      <c r="A5" s="55"/>
      <c r="B5" s="11" t="s">
        <v>3</v>
      </c>
      <c r="C5" s="193"/>
      <c r="D5" s="194"/>
      <c r="E5" s="194"/>
      <c r="F5" s="194"/>
      <c r="G5" s="194"/>
      <c r="H5" s="104"/>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row>
    <row r="6" spans="1:44" s="10" customFormat="1" ht="18" customHeight="1">
      <c r="A6" s="55"/>
      <c r="B6" s="11" t="s">
        <v>232</v>
      </c>
      <c r="C6" s="193"/>
      <c r="D6" s="194"/>
      <c r="E6" s="194"/>
      <c r="F6" s="194"/>
      <c r="G6" s="194"/>
      <c r="H6" s="104"/>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row>
    <row r="7" spans="1:44" s="10" customFormat="1" ht="18" customHeight="1">
      <c r="A7" s="55"/>
      <c r="B7" s="11" t="s">
        <v>4</v>
      </c>
      <c r="C7" s="193"/>
      <c r="D7" s="194"/>
      <c r="E7" s="194"/>
      <c r="F7" s="194"/>
      <c r="G7" s="194"/>
      <c r="H7" s="104"/>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row>
    <row r="8" spans="1:44" s="10" customFormat="1" ht="18" customHeight="1">
      <c r="A8" s="55"/>
      <c r="B8" s="11" t="s">
        <v>5</v>
      </c>
      <c r="C8" s="193"/>
      <c r="D8" s="194"/>
      <c r="E8" s="194"/>
      <c r="F8" s="194"/>
      <c r="G8" s="194"/>
      <c r="H8" s="104"/>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row>
    <row r="9" spans="1:44" s="10" customFormat="1" ht="18" customHeight="1">
      <c r="A9" s="55"/>
      <c r="B9" s="55"/>
      <c r="C9" s="55"/>
      <c r="D9" s="24"/>
      <c r="E9" s="24"/>
      <c r="F9" s="24"/>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row>
    <row r="10" spans="1:44" s="10" customFormat="1" ht="18" customHeight="1">
      <c r="A10" s="55"/>
      <c r="B10" s="83" t="s">
        <v>239</v>
      </c>
      <c r="C10" s="139"/>
      <c r="D10" s="24"/>
      <c r="E10" s="53" t="s">
        <v>219</v>
      </c>
      <c r="F10" s="53" t="s">
        <v>220</v>
      </c>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row>
    <row r="11" spans="1:44" s="10" customFormat="1" ht="18" customHeight="1">
      <c r="A11" s="55"/>
      <c r="B11" s="83" t="s">
        <v>201</v>
      </c>
      <c r="C11" s="116"/>
      <c r="D11" s="86"/>
      <c r="E11" s="119"/>
      <c r="F11" s="119"/>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row>
    <row r="12" spans="1:44" s="10" customFormat="1" ht="18" customHeight="1">
      <c r="A12" s="55"/>
      <c r="B12" s="83" t="s">
        <v>202</v>
      </c>
      <c r="C12" s="117"/>
      <c r="D12" s="86"/>
      <c r="E12" s="142" t="str">
        <f>IF(C12="OUI","N'OUBLIEZ PAS DE REMPLIR LA FEUILLE ACTUALISATION","")</f>
        <v/>
      </c>
      <c r="F12" s="142"/>
      <c r="G12" s="55"/>
      <c r="H12" s="130"/>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row>
    <row r="13" spans="1:44" s="10" customFormat="1" ht="38.25" customHeight="1">
      <c r="A13" s="55"/>
      <c r="B13" s="83" t="s">
        <v>203</v>
      </c>
      <c r="C13" s="116"/>
      <c r="D13" s="84"/>
      <c r="E13" s="95" t="str">
        <f>IF(C13="OUI","Mois M0  format mm/aa"," ")</f>
        <v xml:space="preserve"> </v>
      </c>
      <c r="F13" s="108"/>
      <c r="G13" s="41" t="str">
        <f>IF(C13="OUI","indice de révison"," ")</f>
        <v xml:space="preserve"> </v>
      </c>
      <c r="H13" s="14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row>
    <row r="14" spans="1:44" s="10" customFormat="1" ht="18" customHeight="1">
      <c r="A14" s="55"/>
      <c r="B14" s="55"/>
      <c r="C14" s="55"/>
      <c r="D14" s="55"/>
      <c r="E14" s="55"/>
      <c r="F14" s="24"/>
      <c r="G14" s="41" t="str">
        <f>IF(C13="OUI","indice du Mo"," ")</f>
        <v xml:space="preserve"> </v>
      </c>
      <c r="H14" s="146"/>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row>
    <row r="15" spans="1:44" s="10" customFormat="1" ht="18" customHeight="1">
      <c r="A15" s="55"/>
      <c r="B15" s="55"/>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row>
    <row r="16" spans="1:44" s="10" customFormat="1" ht="18" customHeight="1">
      <c r="A16" s="55"/>
      <c r="B16" s="188" t="s">
        <v>7</v>
      </c>
      <c r="C16" s="188"/>
      <c r="D16" s="188"/>
      <c r="E16" s="188"/>
      <c r="F16" s="188"/>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row>
    <row r="17" spans="1:44" s="10" customFormat="1" ht="18" customHeight="1">
      <c r="A17" s="55"/>
      <c r="B17" s="11" t="s">
        <v>8</v>
      </c>
      <c r="C17" s="115"/>
      <c r="D17" s="16"/>
      <c r="E17" s="115"/>
      <c r="F17" s="17" t="s">
        <v>63</v>
      </c>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row>
    <row r="18" spans="1:44" s="10" customFormat="1" ht="18" customHeight="1">
      <c r="A18" s="55"/>
      <c r="B18" s="11" t="s">
        <v>9</v>
      </c>
      <c r="C18" s="110"/>
      <c r="D18" s="110"/>
      <c r="E18" s="110"/>
      <c r="F18" s="18">
        <f t="shared" ref="F18:F24" si="0">C18+E18</f>
        <v>0</v>
      </c>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row>
    <row r="19" spans="1:44" s="10" customFormat="1" ht="18" customHeight="1" outlineLevel="1">
      <c r="A19" s="55"/>
      <c r="B19" s="11" t="s">
        <v>10</v>
      </c>
      <c r="C19" s="110"/>
      <c r="D19" s="110"/>
      <c r="E19" s="110"/>
      <c r="F19" s="18">
        <f t="shared" si="0"/>
        <v>0</v>
      </c>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row>
    <row r="20" spans="1:44" s="10" customFormat="1" ht="18" customHeight="1" outlineLevel="1">
      <c r="A20" s="55"/>
      <c r="B20" s="11" t="s">
        <v>11</v>
      </c>
      <c r="C20" s="110"/>
      <c r="D20" s="110"/>
      <c r="E20" s="110"/>
      <c r="F20" s="18">
        <f t="shared" si="0"/>
        <v>0</v>
      </c>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row>
    <row r="21" spans="1:44" s="10" customFormat="1" ht="18" customHeight="1" outlineLevel="1">
      <c r="A21" s="55"/>
      <c r="B21" s="11" t="s">
        <v>12</v>
      </c>
      <c r="C21" s="110"/>
      <c r="D21" s="110"/>
      <c r="E21" s="110"/>
      <c r="F21" s="18">
        <f t="shared" si="0"/>
        <v>0</v>
      </c>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row>
    <row r="22" spans="1:44" s="10" customFormat="1" ht="18" customHeight="1">
      <c r="A22" s="55"/>
      <c r="B22" s="11" t="s">
        <v>13</v>
      </c>
      <c r="C22" s="110"/>
      <c r="D22" s="110"/>
      <c r="E22" s="110"/>
      <c r="F22" s="18">
        <f t="shared" si="0"/>
        <v>0</v>
      </c>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row>
    <row r="23" spans="1:44" s="10" customFormat="1" ht="18" customHeight="1">
      <c r="A23" s="55"/>
      <c r="B23" s="11" t="s">
        <v>71</v>
      </c>
      <c r="C23" s="110"/>
      <c r="D23" s="110"/>
      <c r="E23" s="110"/>
      <c r="F23" s="18">
        <f t="shared" si="0"/>
        <v>0</v>
      </c>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row>
    <row r="24" spans="1:44" s="10" customFormat="1" ht="18" customHeight="1">
      <c r="A24" s="55"/>
      <c r="B24" s="21" t="s">
        <v>14</v>
      </c>
      <c r="C24" s="23">
        <f>SUM(C18:C22)-C23</f>
        <v>0</v>
      </c>
      <c r="D24" s="23"/>
      <c r="E24" s="23">
        <f>SUM(E18:E22)-E23</f>
        <v>0</v>
      </c>
      <c r="F24" s="18">
        <f t="shared" si="0"/>
        <v>0</v>
      </c>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row>
    <row r="25" spans="1:44" s="10" customFormat="1" ht="18" customHeight="1">
      <c r="A25" s="55"/>
      <c r="B25" s="21" t="s">
        <v>15</v>
      </c>
      <c r="C25" s="23">
        <f>C24*C17</f>
        <v>0</v>
      </c>
      <c r="D25" s="23"/>
      <c r="E25" s="23">
        <f>E24*E17</f>
        <v>0</v>
      </c>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row>
    <row r="26" spans="1:44" s="10" customFormat="1" ht="18" customHeight="1">
      <c r="A26" s="55"/>
      <c r="B26" s="21" t="s">
        <v>16</v>
      </c>
      <c r="C26" s="23">
        <f>C24+C25</f>
        <v>0</v>
      </c>
      <c r="D26" s="23"/>
      <c r="E26" s="23">
        <f>E24+E25</f>
        <v>0</v>
      </c>
      <c r="F26" s="55"/>
      <c r="G26" s="55"/>
      <c r="H26" s="55"/>
      <c r="I26" s="55"/>
      <c r="J26" s="55"/>
      <c r="K26" s="131"/>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row>
    <row r="27" spans="1:44" s="10" customFormat="1" ht="18" customHeight="1">
      <c r="A27" s="55"/>
      <c r="B27" s="21" t="s">
        <v>17</v>
      </c>
      <c r="C27" s="189">
        <f>C26+E26</f>
        <v>0</v>
      </c>
      <c r="D27" s="189"/>
      <c r="E27" s="189"/>
      <c r="F27" s="55"/>
      <c r="G27" s="55"/>
      <c r="H27" s="55"/>
      <c r="I27" s="55"/>
      <c r="J27" s="55"/>
      <c r="K27" s="131"/>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row>
    <row r="28" spans="1:44" s="10" customFormat="1" ht="18" customHeight="1" thickBot="1">
      <c r="A28" s="55"/>
      <c r="B28" s="85"/>
      <c r="C28" s="44"/>
      <c r="D28" s="44"/>
      <c r="E28" s="44"/>
      <c r="F28" s="55"/>
      <c r="G28" s="55"/>
      <c r="H28" s="55"/>
      <c r="I28" s="55"/>
      <c r="J28" s="55"/>
      <c r="K28" s="131"/>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row>
    <row r="29" spans="1:44" s="10" customFormat="1" ht="18" customHeight="1">
      <c r="A29" s="55"/>
      <c r="B29" s="179" t="s">
        <v>33</v>
      </c>
      <c r="C29" s="179" t="s">
        <v>34</v>
      </c>
      <c r="D29" s="179"/>
      <c r="E29" s="179"/>
      <c r="F29" s="65" t="s">
        <v>226</v>
      </c>
      <c r="G29" s="67" t="s">
        <v>226</v>
      </c>
      <c r="H29" s="70" t="s">
        <v>200</v>
      </c>
      <c r="I29" s="71" t="s">
        <v>200</v>
      </c>
      <c r="J29" s="55"/>
      <c r="K29" s="131"/>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55"/>
    </row>
    <row r="30" spans="1:44" s="10" customFormat="1" ht="18" customHeight="1" thickBot="1">
      <c r="A30" s="55"/>
      <c r="B30" s="179"/>
      <c r="C30" s="179"/>
      <c r="D30" s="179"/>
      <c r="E30" s="179"/>
      <c r="F30" s="91">
        <f>C17</f>
        <v>0</v>
      </c>
      <c r="G30" s="92">
        <f>E17</f>
        <v>0</v>
      </c>
      <c r="H30" s="162" t="str">
        <f>"TVA"&amp;" "&amp;"20%"</f>
        <v>TVA 20%</v>
      </c>
      <c r="I30" s="163" t="str">
        <f>"TVA"&amp;" "&amp;"10%"</f>
        <v>TVA 10%</v>
      </c>
      <c r="J30" s="55"/>
      <c r="K30" s="131"/>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row>
    <row r="31" spans="1:44" s="10" customFormat="1" ht="18" customHeight="1">
      <c r="A31" s="55"/>
      <c r="B31" s="93" t="s">
        <v>1</v>
      </c>
      <c r="C31" s="190">
        <f>C5</f>
        <v>0</v>
      </c>
      <c r="D31" s="190"/>
      <c r="E31" s="190"/>
      <c r="F31" s="23">
        <f>SUMIF(B38:B142,"Titulaire",(E38:E142))</f>
        <v>0</v>
      </c>
      <c r="G31" s="23">
        <f>SUMIF(B38:B142,"Titulaire",(F38:F142))</f>
        <v>0</v>
      </c>
      <c r="H31" s="160">
        <f>SUMIF(B38:B142,"Titulaire",(G38:G142))</f>
        <v>0</v>
      </c>
      <c r="I31" s="161">
        <f>SUMIF(B38:B142,"Titulaire",(H38:H142))</f>
        <v>0</v>
      </c>
      <c r="J31" s="55"/>
      <c r="K31" s="132">
        <f>SUMIF(B38:B120,"Titulaire",(E38:E120))</f>
        <v>0</v>
      </c>
      <c r="L31" s="132">
        <f>SUMIF(C38:C120,"Titulaire",(F38:F120))</f>
        <v>0</v>
      </c>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row>
    <row r="32" spans="1:44" s="10" customFormat="1" ht="18" customHeight="1">
      <c r="A32" s="55"/>
      <c r="B32" s="93" t="s">
        <v>214</v>
      </c>
      <c r="C32" s="190">
        <f>C6</f>
        <v>0</v>
      </c>
      <c r="D32" s="190"/>
      <c r="E32" s="190"/>
      <c r="F32" s="23">
        <f>SUMIF($B$38:$B$142,"Cotraitant",(E38:E142))</f>
        <v>0</v>
      </c>
      <c r="G32" s="23">
        <f>SUMIF($B$38:$B$142,"Cotraitant",(F38:F142))</f>
        <v>0</v>
      </c>
      <c r="H32" s="23">
        <f>SUMIF($B$38:$B$142,"Cotraitant",(G38:G142))</f>
        <v>0</v>
      </c>
      <c r="I32" s="23">
        <f>SUMIF($B$38:$B$142,"Cotraitant",(H38:H142))</f>
        <v>0</v>
      </c>
      <c r="J32" s="55"/>
      <c r="K32" s="132">
        <f>SUMIF(B38:B120,"Cotraitant",(E38:E120))</f>
        <v>0</v>
      </c>
      <c r="L32" s="132">
        <f>SUMIF(C39:C121,"Titulaire",(F39:F121))</f>
        <v>0</v>
      </c>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row>
    <row r="33" spans="1:44" s="10" customFormat="1" ht="18" customHeight="1">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row>
    <row r="34" spans="1:44" s="10" customFormat="1" ht="18" customHeight="1">
      <c r="A34" s="55"/>
      <c r="B34" s="75" t="s">
        <v>32</v>
      </c>
      <c r="C34" s="17" t="s">
        <v>233</v>
      </c>
      <c r="D34" s="94"/>
      <c r="E34" s="13" t="s">
        <v>234</v>
      </c>
      <c r="F34" s="136" t="s">
        <v>238</v>
      </c>
      <c r="G34" s="176" t="s">
        <v>293</v>
      </c>
      <c r="H34" s="176"/>
      <c r="I34" s="176" t="s">
        <v>294</v>
      </c>
      <c r="J34" s="176"/>
      <c r="K34" s="173" t="s">
        <v>240</v>
      </c>
      <c r="L34" s="173"/>
      <c r="M34" s="173" t="s">
        <v>241</v>
      </c>
      <c r="N34" s="173"/>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row>
    <row r="35" spans="1:44" s="10" customFormat="1" ht="18" customHeight="1" thickBot="1">
      <c r="A35" s="177" t="s">
        <v>211</v>
      </c>
      <c r="B35" s="177"/>
      <c r="C35" s="63">
        <f>F18</f>
        <v>0</v>
      </c>
      <c r="D35" s="11"/>
      <c r="E35" s="63">
        <f>C35-(E38+E48+F38+F48)</f>
        <v>0</v>
      </c>
      <c r="F35" s="137"/>
      <c r="G35" s="174"/>
      <c r="H35" s="174"/>
      <c r="I35" s="175"/>
      <c r="J35" s="175"/>
      <c r="K35" s="140">
        <f>C17</f>
        <v>0</v>
      </c>
      <c r="L35" s="140">
        <f>E17</f>
        <v>0</v>
      </c>
      <c r="M35" s="141">
        <f>C17</f>
        <v>0</v>
      </c>
      <c r="N35" s="141">
        <f>E17</f>
        <v>0</v>
      </c>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row>
    <row r="36" spans="1:44" s="10" customFormat="1" ht="18" customHeight="1" outlineLevel="1">
      <c r="A36" s="180" t="s">
        <v>211</v>
      </c>
      <c r="B36" s="178" t="s">
        <v>33</v>
      </c>
      <c r="C36" s="179" t="s">
        <v>34</v>
      </c>
      <c r="D36" s="87"/>
      <c r="E36" s="65" t="s">
        <v>209</v>
      </c>
      <c r="F36" s="67" t="str">
        <f>E36</f>
        <v>Montant intial TVA</v>
      </c>
      <c r="G36" s="152" t="s">
        <v>200</v>
      </c>
      <c r="H36" s="158" t="s">
        <v>200</v>
      </c>
      <c r="I36" s="170" t="s">
        <v>316</v>
      </c>
      <c r="J36" s="55"/>
      <c r="K36" s="138">
        <f>SUM(K38:K41)</f>
        <v>0</v>
      </c>
      <c r="L36" s="138">
        <f t="shared" ref="L36:N36" si="1">SUM(L38:L41)</f>
        <v>0</v>
      </c>
      <c r="M36" s="138">
        <f t="shared" si="1"/>
        <v>0</v>
      </c>
      <c r="N36" s="138">
        <f t="shared" si="1"/>
        <v>0</v>
      </c>
      <c r="O36" s="55"/>
      <c r="P36" s="157" t="s">
        <v>319</v>
      </c>
      <c r="Q36" s="147" t="s">
        <v>319</v>
      </c>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row>
    <row r="37" spans="1:44" s="10" customFormat="1" ht="18" customHeight="1" outlineLevel="1">
      <c r="A37" s="181"/>
      <c r="B37" s="178"/>
      <c r="C37" s="179"/>
      <c r="D37" s="88"/>
      <c r="E37" s="66">
        <f>C17</f>
        <v>0</v>
      </c>
      <c r="F37" s="68">
        <f>E17</f>
        <v>0</v>
      </c>
      <c r="G37" s="72" t="str">
        <f>"TVA"&amp;" "&amp;$C$17*100&amp;"%"</f>
        <v>TVA 0%</v>
      </c>
      <c r="H37" s="72" t="str">
        <f>"TVA"&amp;" "&amp;$E$17*100&amp;"%"</f>
        <v>TVA 0%</v>
      </c>
      <c r="I37" s="171"/>
      <c r="J37" s="55"/>
      <c r="O37" s="173" t="s">
        <v>320</v>
      </c>
      <c r="P37" s="166">
        <f>E38-P39</f>
        <v>0</v>
      </c>
      <c r="Q37" s="55">
        <f>F38-Q39</f>
        <v>0</v>
      </c>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row>
    <row r="38" spans="1:44" s="10" customFormat="1" ht="18" customHeight="1" outlineLevel="1" thickBot="1">
      <c r="A38" s="181"/>
      <c r="B38" s="77" t="s">
        <v>1</v>
      </c>
      <c r="C38" s="33">
        <f>C5</f>
        <v>0</v>
      </c>
      <c r="D38" s="89"/>
      <c r="E38" s="56">
        <f>(C18-E48)</f>
        <v>0</v>
      </c>
      <c r="F38" s="64">
        <f>E18-F48</f>
        <v>0</v>
      </c>
      <c r="G38" s="73">
        <f>E38-SUM(G39:G44)</f>
        <v>0</v>
      </c>
      <c r="H38" s="159">
        <f>F38-SUM(H39:H44)</f>
        <v>0</v>
      </c>
      <c r="I38" s="172"/>
      <c r="J38" s="55"/>
      <c r="K38" s="135">
        <f>IF(F35="OUI",P37,0)</f>
        <v>0</v>
      </c>
      <c r="L38" s="135">
        <f>IF(F35="OUI",Q37,0)</f>
        <v>0</v>
      </c>
      <c r="M38" s="135">
        <f>IF($F$35="OUI",P47,0)</f>
        <v>0</v>
      </c>
      <c r="N38" s="135">
        <f>IF($F$35="OUI",Q47,0)</f>
        <v>0</v>
      </c>
      <c r="O38" s="173"/>
      <c r="P38" s="165">
        <f>E37</f>
        <v>0</v>
      </c>
      <c r="Q38" s="141">
        <f>F37</f>
        <v>0</v>
      </c>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row>
    <row r="39" spans="1:44" s="10" customFormat="1" ht="18" customHeight="1" outlineLevel="1">
      <c r="A39" s="181"/>
      <c r="B39" s="114"/>
      <c r="C39" s="111"/>
      <c r="D39" s="90" t="str">
        <f>B39&amp;" "&amp;C39&amp;" "&amp;"("&amp;$B$38&amp;")"</f>
        <v xml:space="preserve">  (Titulaire)</v>
      </c>
      <c r="E39" s="57"/>
      <c r="F39" s="185" t="s">
        <v>210</v>
      </c>
      <c r="G39" s="112"/>
      <c r="H39" s="112"/>
      <c r="I39" s="167"/>
      <c r="J39" s="55"/>
      <c r="K39" s="135">
        <f>IF($F$57="OUI",P60,0)</f>
        <v>0</v>
      </c>
      <c r="L39" s="135">
        <f>IF($F$57="OUI",Q60,0)</f>
        <v>0</v>
      </c>
      <c r="M39" s="135">
        <f>IF($F$57="OUI",P69,0)</f>
        <v>0</v>
      </c>
      <c r="N39" s="135">
        <f>IF($F$57="OUI",Q69,0)</f>
        <v>0</v>
      </c>
      <c r="O39" s="173"/>
      <c r="P39" s="55">
        <f>SUMIF($I$39:$I$44,"OUI",G39:G44)</f>
        <v>0</v>
      </c>
      <c r="Q39" s="55">
        <f>SUMIF($I$39:$I$44,"OUI",H39:H44)</f>
        <v>0</v>
      </c>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row>
    <row r="40" spans="1:44" s="10" customFormat="1" ht="18" customHeight="1" outlineLevel="1">
      <c r="A40" s="181"/>
      <c r="B40" s="114"/>
      <c r="C40" s="111"/>
      <c r="D40" s="90" t="str">
        <f t="shared" ref="D40:D44" si="2">B40&amp;" "&amp;C40&amp;" "&amp;"("&amp;$B$38&amp;")"</f>
        <v xml:space="preserve">  (Titulaire)</v>
      </c>
      <c r="E40" s="58"/>
      <c r="F40" s="186"/>
      <c r="G40" s="112"/>
      <c r="H40" s="113"/>
      <c r="I40" s="167"/>
      <c r="J40" s="55"/>
      <c r="K40" s="135">
        <f>IF($F$79="OUI",P81,0)</f>
        <v>0</v>
      </c>
      <c r="L40" s="135">
        <f>IF($F$79="OUI",Q81,0)</f>
        <v>0</v>
      </c>
      <c r="M40" s="135">
        <f>IF($F$79="OUI",P91,0)</f>
        <v>0</v>
      </c>
      <c r="N40" s="135">
        <f>IF($F$79="OUI",Q91,0)</f>
        <v>0</v>
      </c>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row>
    <row r="41" spans="1:44" s="10" customFormat="1" ht="18" customHeight="1" outlineLevel="1">
      <c r="A41" s="181"/>
      <c r="B41" s="114"/>
      <c r="C41" s="111"/>
      <c r="D41" s="90" t="str">
        <f t="shared" si="2"/>
        <v xml:space="preserve">  (Titulaire)</v>
      </c>
      <c r="E41" s="58"/>
      <c r="F41" s="186"/>
      <c r="G41" s="112"/>
      <c r="H41" s="113"/>
      <c r="I41" s="167"/>
      <c r="J41" s="55"/>
      <c r="K41" s="135">
        <f>IF($F$101="OUI",P103,0)</f>
        <v>0</v>
      </c>
      <c r="L41" s="135">
        <f>IF($F$101="OUI",Q103,0)</f>
        <v>0</v>
      </c>
      <c r="M41" s="135">
        <f>IF($F$101="OUI",P113,0)</f>
        <v>0</v>
      </c>
      <c r="N41" s="135">
        <f>IF($F$101="OUI",Q113,0)</f>
        <v>0</v>
      </c>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row>
    <row r="42" spans="1:44" s="10" customFormat="1" ht="18" customHeight="1" outlineLevel="1">
      <c r="A42" s="181"/>
      <c r="B42" s="114"/>
      <c r="C42" s="111"/>
      <c r="D42" s="90" t="str">
        <f t="shared" si="2"/>
        <v xml:space="preserve">  (Titulaire)</v>
      </c>
      <c r="E42" s="58"/>
      <c r="F42" s="186"/>
      <c r="G42" s="112"/>
      <c r="H42" s="113"/>
      <c r="I42" s="167"/>
      <c r="J42" s="55"/>
      <c r="K42" s="138"/>
      <c r="L42" s="138"/>
      <c r="M42" s="183"/>
      <c r="N42" s="184"/>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row>
    <row r="43" spans="1:44" s="10" customFormat="1" ht="18" customHeight="1" outlineLevel="1">
      <c r="A43" s="181"/>
      <c r="B43" s="114"/>
      <c r="C43" s="111"/>
      <c r="D43" s="90" t="str">
        <f t="shared" si="2"/>
        <v xml:space="preserve">  (Titulaire)</v>
      </c>
      <c r="E43" s="58"/>
      <c r="F43" s="186"/>
      <c r="G43" s="112"/>
      <c r="H43" s="113"/>
      <c r="I43" s="167"/>
      <c r="J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row>
    <row r="44" spans="1:44" s="10" customFormat="1" ht="18" customHeight="1" outlineLevel="1" thickBot="1">
      <c r="A44" s="182"/>
      <c r="B44" s="114"/>
      <c r="C44" s="111"/>
      <c r="D44" s="90" t="str">
        <f t="shared" si="2"/>
        <v xml:space="preserve">  (Titulaire)</v>
      </c>
      <c r="E44" s="59"/>
      <c r="F44" s="187"/>
      <c r="G44" s="112"/>
      <c r="H44" s="113"/>
      <c r="I44" s="167"/>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row>
    <row r="45" spans="1:44" s="79" customFormat="1" ht="18" customHeight="1" outlineLevel="1" thickBot="1">
      <c r="A45" s="78"/>
      <c r="B45" s="62"/>
      <c r="C45" s="60"/>
      <c r="D45" s="60"/>
      <c r="E45" s="62"/>
      <c r="F45" s="76"/>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row>
    <row r="46" spans="1:44" s="10" customFormat="1" ht="18" customHeight="1" outlineLevel="1">
      <c r="A46" s="180" t="s">
        <v>211</v>
      </c>
      <c r="B46" s="178" t="s">
        <v>33</v>
      </c>
      <c r="C46" s="179" t="s">
        <v>34</v>
      </c>
      <c r="D46" s="87"/>
      <c r="E46" s="65" t="s">
        <v>209</v>
      </c>
      <c r="F46" s="67" t="str">
        <f>E46</f>
        <v>Montant intial TVA</v>
      </c>
      <c r="G46" s="70" t="s">
        <v>200</v>
      </c>
      <c r="H46" s="71" t="s">
        <v>200</v>
      </c>
      <c r="I46" s="170" t="s">
        <v>316</v>
      </c>
      <c r="J46" s="55"/>
      <c r="K46" s="55"/>
      <c r="L46" s="55"/>
      <c r="M46" s="55"/>
      <c r="N46" s="55"/>
      <c r="O46" s="55"/>
      <c r="P46" s="157" t="s">
        <v>321</v>
      </c>
      <c r="Q46" s="147" t="s">
        <v>321</v>
      </c>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row>
    <row r="47" spans="1:44" s="10" customFormat="1" ht="18" customHeight="1" outlineLevel="1">
      <c r="A47" s="181"/>
      <c r="B47" s="178"/>
      <c r="C47" s="179"/>
      <c r="D47" s="88"/>
      <c r="E47" s="66">
        <f>E37</f>
        <v>0</v>
      </c>
      <c r="F47" s="68">
        <f>F37</f>
        <v>0</v>
      </c>
      <c r="G47" s="72" t="str">
        <f>"TVA"&amp;" "&amp;$C$17*100&amp;"%"</f>
        <v>TVA 0%</v>
      </c>
      <c r="H47" s="72" t="str">
        <f>"TVA"&amp;" "&amp;$E$17*100&amp;"%"</f>
        <v>TVA 0%</v>
      </c>
      <c r="I47" s="171"/>
      <c r="J47" s="55"/>
      <c r="K47" s="55"/>
      <c r="L47" s="55"/>
      <c r="M47" s="55"/>
      <c r="N47" s="55"/>
      <c r="O47" s="173" t="s">
        <v>320</v>
      </c>
      <c r="P47" s="166">
        <f>E48-P49</f>
        <v>0</v>
      </c>
      <c r="Q47" s="55">
        <f>F48-Q49</f>
        <v>0</v>
      </c>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row>
    <row r="48" spans="1:44" ht="18.600000000000001" outlineLevel="1" thickBot="1">
      <c r="A48" s="181"/>
      <c r="B48" s="77" t="s">
        <v>214</v>
      </c>
      <c r="C48" s="33">
        <f>C6</f>
        <v>0</v>
      </c>
      <c r="D48" s="69"/>
      <c r="E48" s="129"/>
      <c r="F48" s="129"/>
      <c r="G48" s="73">
        <f>E48-SUM(G49:G54)</f>
        <v>0</v>
      </c>
      <c r="H48" s="74">
        <f>F48-SUM(H49:H54)</f>
        <v>0</v>
      </c>
      <c r="I48" s="172"/>
      <c r="O48" s="173"/>
      <c r="P48" s="165">
        <f>E47</f>
        <v>0</v>
      </c>
      <c r="Q48" s="141">
        <f>F47</f>
        <v>0</v>
      </c>
    </row>
    <row r="49" spans="1:44" outlineLevel="1">
      <c r="A49" s="181"/>
      <c r="B49" s="114"/>
      <c r="C49" s="111"/>
      <c r="D49" s="90" t="str">
        <f>B49&amp;" "&amp;C49&amp;" "&amp;"("&amp;$B$48&amp;")"</f>
        <v xml:space="preserve">  (Cotraitant)</v>
      </c>
      <c r="E49" s="57"/>
      <c r="F49" s="185" t="s">
        <v>210</v>
      </c>
      <c r="G49" s="112"/>
      <c r="H49" s="112"/>
      <c r="I49" s="167"/>
      <c r="O49" s="173"/>
      <c r="P49" s="55">
        <f>SUMIF($I$49:$I$54,"OUI",G49:G54)</f>
        <v>0</v>
      </c>
      <c r="Q49" s="55">
        <f>SUMIF($I$49:$I$54,"OUI",H49:H54)</f>
        <v>0</v>
      </c>
    </row>
    <row r="50" spans="1:44" outlineLevel="1">
      <c r="A50" s="181"/>
      <c r="B50" s="114"/>
      <c r="C50" s="111"/>
      <c r="D50" s="90" t="str">
        <f t="shared" ref="D50:D54" si="3">B50&amp;" "&amp;C50&amp;" "&amp;"("&amp;$B$48&amp;")"</f>
        <v xml:space="preserve">  (Cotraitant)</v>
      </c>
      <c r="E50" s="58"/>
      <c r="F50" s="186"/>
      <c r="G50" s="113"/>
      <c r="H50" s="113"/>
      <c r="I50" s="167"/>
    </row>
    <row r="51" spans="1:44" outlineLevel="1">
      <c r="A51" s="181"/>
      <c r="B51" s="114"/>
      <c r="C51" s="111"/>
      <c r="D51" s="90" t="str">
        <f t="shared" si="3"/>
        <v xml:space="preserve">  (Cotraitant)</v>
      </c>
      <c r="E51" s="58"/>
      <c r="F51" s="186"/>
      <c r="G51" s="113"/>
      <c r="H51" s="113"/>
      <c r="I51" s="167"/>
    </row>
    <row r="52" spans="1:44" outlineLevel="1">
      <c r="A52" s="181"/>
      <c r="B52" s="114"/>
      <c r="C52" s="111"/>
      <c r="D52" s="90" t="str">
        <f t="shared" si="3"/>
        <v xml:space="preserve">  (Cotraitant)</v>
      </c>
      <c r="E52" s="58"/>
      <c r="F52" s="186"/>
      <c r="G52" s="113"/>
      <c r="H52" s="113"/>
      <c r="I52" s="167"/>
    </row>
    <row r="53" spans="1:44" outlineLevel="1">
      <c r="A53" s="181"/>
      <c r="B53" s="114"/>
      <c r="C53" s="111"/>
      <c r="D53" s="90" t="str">
        <f t="shared" si="3"/>
        <v xml:space="preserve">  (Cotraitant)</v>
      </c>
      <c r="E53" s="58"/>
      <c r="F53" s="186"/>
      <c r="G53" s="113"/>
      <c r="H53" s="113"/>
      <c r="I53" s="167"/>
    </row>
    <row r="54" spans="1:44" ht="18.600000000000001" outlineLevel="1" thickBot="1">
      <c r="A54" s="182"/>
      <c r="B54" s="114"/>
      <c r="C54" s="111"/>
      <c r="D54" s="90" t="str">
        <f t="shared" si="3"/>
        <v xml:space="preserve">  (Cotraitant)</v>
      </c>
      <c r="E54" s="59"/>
      <c r="F54" s="187"/>
      <c r="G54" s="113"/>
      <c r="H54" s="113"/>
      <c r="I54" s="167"/>
    </row>
    <row r="55" spans="1:44" s="80" customFormat="1">
      <c r="A55" s="78"/>
      <c r="B55" s="62"/>
      <c r="C55" s="60"/>
      <c r="D55" s="60"/>
      <c r="E55" s="62"/>
      <c r="F55" s="76"/>
      <c r="G55" s="55"/>
      <c r="H55" s="55"/>
      <c r="I55" s="55"/>
      <c r="J55" s="55"/>
      <c r="K55" s="55"/>
      <c r="L55" s="55"/>
      <c r="M55" s="55"/>
      <c r="N55" s="55"/>
      <c r="O55" s="55"/>
      <c r="P55" s="55"/>
      <c r="Q55" s="55"/>
      <c r="R55" s="55"/>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5"/>
    </row>
    <row r="56" spans="1:44" s="80" customFormat="1">
      <c r="A56" s="78"/>
      <c r="B56" s="62"/>
      <c r="C56" s="17" t="s">
        <v>233</v>
      </c>
      <c r="D56" s="94"/>
      <c r="E56" s="13" t="s">
        <v>234</v>
      </c>
      <c r="F56" s="136" t="s">
        <v>238</v>
      </c>
      <c r="G56" s="176" t="s">
        <v>293</v>
      </c>
      <c r="H56" s="176"/>
      <c r="I56" s="176" t="s">
        <v>294</v>
      </c>
      <c r="J56" s="176"/>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row>
    <row r="57" spans="1:44">
      <c r="A57" s="81" t="s">
        <v>212</v>
      </c>
      <c r="B57" s="81"/>
      <c r="C57" s="63">
        <f>F19</f>
        <v>0</v>
      </c>
      <c r="D57" s="11"/>
      <c r="E57" s="63">
        <f>C57-(E60+E70+F60+F70)</f>
        <v>0</v>
      </c>
      <c r="F57" s="137"/>
      <c r="G57" s="174"/>
      <c r="H57" s="174"/>
      <c r="I57" s="175"/>
      <c r="J57" s="175"/>
    </row>
    <row r="58" spans="1:44" ht="18.75" hidden="1" customHeight="1" outlineLevel="1">
      <c r="A58" s="180" t="str">
        <f>A57</f>
        <v>Tranche OPTIONNELLE 1</v>
      </c>
      <c r="B58" s="178" t="s">
        <v>33</v>
      </c>
      <c r="C58" s="179" t="s">
        <v>34</v>
      </c>
      <c r="D58" s="87"/>
      <c r="E58" s="65" t="s">
        <v>209</v>
      </c>
      <c r="F58" s="67" t="str">
        <f>E58</f>
        <v>Montant intial TVA</v>
      </c>
      <c r="G58" s="70" t="s">
        <v>200</v>
      </c>
      <c r="H58" s="71" t="s">
        <v>200</v>
      </c>
      <c r="I58" s="170" t="s">
        <v>316</v>
      </c>
    </row>
    <row r="59" spans="1:44" hidden="1" outlineLevel="1">
      <c r="A59" s="181"/>
      <c r="B59" s="178"/>
      <c r="C59" s="179"/>
      <c r="D59" s="88"/>
      <c r="E59" s="66">
        <f>E47</f>
        <v>0</v>
      </c>
      <c r="F59" s="68">
        <f>F47</f>
        <v>0</v>
      </c>
      <c r="G59" s="72" t="str">
        <f>"TVA"&amp;" "&amp;$C$17*100&amp;"%"</f>
        <v>TVA 0%</v>
      </c>
      <c r="H59" s="72" t="str">
        <f>"TVA"&amp;" "&amp;$E$17*100&amp;"%"</f>
        <v>TVA 0%</v>
      </c>
      <c r="I59" s="171"/>
      <c r="P59" s="157" t="s">
        <v>318</v>
      </c>
      <c r="Q59" s="147" t="s">
        <v>318</v>
      </c>
    </row>
    <row r="60" spans="1:44" ht="18.600000000000001" hidden="1" outlineLevel="1" thickBot="1">
      <c r="A60" s="181"/>
      <c r="B60" s="77" t="s">
        <v>1</v>
      </c>
      <c r="C60" s="33">
        <f>C38</f>
        <v>0</v>
      </c>
      <c r="D60" s="89"/>
      <c r="E60" s="56">
        <f>C19-E70</f>
        <v>0</v>
      </c>
      <c r="F60" s="56">
        <f>E19-F70</f>
        <v>0</v>
      </c>
      <c r="G60" s="73">
        <f>E60-SUM(G61:G66)</f>
        <v>0</v>
      </c>
      <c r="H60" s="74">
        <f>F60-SUM(H61:H66)</f>
        <v>0</v>
      </c>
      <c r="I60" s="172"/>
      <c r="O60" s="173" t="s">
        <v>322</v>
      </c>
      <c r="P60" s="166">
        <f>E60-P62</f>
        <v>0</v>
      </c>
      <c r="Q60" s="55">
        <f>F60-Q62</f>
        <v>0</v>
      </c>
    </row>
    <row r="61" spans="1:44" hidden="1" outlineLevel="1">
      <c r="A61" s="181"/>
      <c r="B61" s="114"/>
      <c r="C61" s="111"/>
      <c r="D61" s="90" t="str">
        <f>B61&amp;" "&amp;C61&amp;" "&amp;"("&amp;$B$60&amp;")"</f>
        <v xml:space="preserve">  (Titulaire)</v>
      </c>
      <c r="E61" s="57"/>
      <c r="F61" s="185" t="s">
        <v>210</v>
      </c>
      <c r="G61" s="112"/>
      <c r="H61" s="112"/>
      <c r="I61" s="167"/>
      <c r="O61" s="173"/>
      <c r="P61" s="165">
        <f>E59</f>
        <v>0</v>
      </c>
      <c r="Q61" s="165">
        <f>F59</f>
        <v>0</v>
      </c>
    </row>
    <row r="62" spans="1:44" hidden="1" outlineLevel="1">
      <c r="A62" s="181"/>
      <c r="B62" s="114"/>
      <c r="C62" s="111"/>
      <c r="D62" s="90" t="str">
        <f t="shared" ref="D62:D66" si="4">B62&amp;" "&amp;C62&amp;" "&amp;"("&amp;$B$60&amp;")"</f>
        <v xml:space="preserve">  (Titulaire)</v>
      </c>
      <c r="E62" s="58"/>
      <c r="F62" s="186"/>
      <c r="G62" s="113"/>
      <c r="H62" s="113"/>
      <c r="I62" s="167"/>
      <c r="O62" s="173"/>
      <c r="P62" s="55">
        <f>SUMIF($I$61:$I$66,"OUI",G61:G66)</f>
        <v>0</v>
      </c>
      <c r="Q62" s="55">
        <f>SUMIF($I$61:$I$66,"OUI",H61:H66)</f>
        <v>0</v>
      </c>
    </row>
    <row r="63" spans="1:44" hidden="1" outlineLevel="1">
      <c r="A63" s="181"/>
      <c r="B63" s="114"/>
      <c r="C63" s="111"/>
      <c r="D63" s="90" t="str">
        <f t="shared" si="4"/>
        <v xml:space="preserve">  (Titulaire)</v>
      </c>
      <c r="E63" s="58"/>
      <c r="F63" s="186"/>
      <c r="G63" s="113"/>
      <c r="H63" s="113"/>
      <c r="I63" s="167"/>
    </row>
    <row r="64" spans="1:44" hidden="1" outlineLevel="1">
      <c r="A64" s="181"/>
      <c r="B64" s="114"/>
      <c r="C64" s="111"/>
      <c r="D64" s="90" t="str">
        <f t="shared" si="4"/>
        <v xml:space="preserve">  (Titulaire)</v>
      </c>
      <c r="E64" s="58"/>
      <c r="F64" s="186"/>
      <c r="G64" s="113"/>
      <c r="H64" s="113"/>
      <c r="I64" s="167"/>
    </row>
    <row r="65" spans="1:17" hidden="1" outlineLevel="1">
      <c r="A65" s="181"/>
      <c r="B65" s="114"/>
      <c r="C65" s="111"/>
      <c r="D65" s="90" t="str">
        <f t="shared" si="4"/>
        <v xml:space="preserve">  (Titulaire)</v>
      </c>
      <c r="E65" s="58"/>
      <c r="F65" s="186"/>
      <c r="G65" s="113"/>
      <c r="H65" s="113"/>
      <c r="I65" s="167"/>
    </row>
    <row r="66" spans="1:17" ht="18.600000000000001" hidden="1" outlineLevel="1" thickBot="1">
      <c r="A66" s="182"/>
      <c r="B66" s="114"/>
      <c r="C66" s="111"/>
      <c r="D66" s="90" t="str">
        <f t="shared" si="4"/>
        <v xml:space="preserve">  (Titulaire)</v>
      </c>
      <c r="E66" s="59"/>
      <c r="F66" s="187"/>
      <c r="G66" s="113"/>
      <c r="H66" s="113"/>
      <c r="I66" s="167"/>
    </row>
    <row r="67" spans="1:17" ht="18.600000000000001" hidden="1" outlineLevel="1" thickBot="1">
      <c r="A67" s="10"/>
      <c r="B67" s="62"/>
      <c r="C67" s="60"/>
      <c r="D67" s="60"/>
      <c r="E67" s="62"/>
      <c r="F67" s="76"/>
      <c r="G67" s="55"/>
      <c r="H67" s="55"/>
      <c r="I67" s="55"/>
    </row>
    <row r="68" spans="1:17" ht="18.75" hidden="1" customHeight="1" outlineLevel="1">
      <c r="A68" s="180" t="str">
        <f>A58</f>
        <v>Tranche OPTIONNELLE 1</v>
      </c>
      <c r="B68" s="178" t="s">
        <v>33</v>
      </c>
      <c r="C68" s="179" t="s">
        <v>34</v>
      </c>
      <c r="D68" s="87"/>
      <c r="E68" s="65" t="s">
        <v>209</v>
      </c>
      <c r="F68" s="67" t="str">
        <f>E68</f>
        <v>Montant intial TVA</v>
      </c>
      <c r="G68" s="70" t="s">
        <v>200</v>
      </c>
      <c r="H68" s="71" t="s">
        <v>200</v>
      </c>
      <c r="I68" s="170" t="s">
        <v>316</v>
      </c>
      <c r="P68" s="157" t="s">
        <v>323</v>
      </c>
      <c r="Q68" s="147" t="s">
        <v>321</v>
      </c>
    </row>
    <row r="69" spans="1:17" hidden="1" outlineLevel="1">
      <c r="A69" s="181"/>
      <c r="B69" s="178"/>
      <c r="C69" s="179"/>
      <c r="D69" s="88"/>
      <c r="E69" s="66">
        <f>E59</f>
        <v>0</v>
      </c>
      <c r="F69" s="68">
        <f>F59</f>
        <v>0</v>
      </c>
      <c r="G69" s="72" t="str">
        <f>"TVA"&amp;" "&amp;$C$17*100&amp;"%"</f>
        <v>TVA 0%</v>
      </c>
      <c r="H69" s="72" t="str">
        <f>"TVA"&amp;" "&amp;$E$17*100&amp;"%"</f>
        <v>TVA 0%</v>
      </c>
      <c r="I69" s="171"/>
      <c r="O69" s="173" t="s">
        <v>322</v>
      </c>
      <c r="P69" s="166">
        <f>E70-P71</f>
        <v>0</v>
      </c>
      <c r="Q69" s="166">
        <f>F70-Q71</f>
        <v>0</v>
      </c>
    </row>
    <row r="70" spans="1:17" ht="18.600000000000001" hidden="1" outlineLevel="1" thickBot="1">
      <c r="A70" s="181"/>
      <c r="B70" s="77" t="s">
        <v>214</v>
      </c>
      <c r="C70" s="33">
        <f>C48</f>
        <v>0</v>
      </c>
      <c r="D70" s="69"/>
      <c r="E70" s="129"/>
      <c r="F70" s="129"/>
      <c r="G70" s="73">
        <f>E70-SUM(G71:G76)</f>
        <v>0</v>
      </c>
      <c r="H70" s="74">
        <f>F70-SUM(H71:H76)</f>
        <v>0</v>
      </c>
      <c r="I70" s="172"/>
      <c r="O70" s="173"/>
      <c r="P70" s="165">
        <f>E69</f>
        <v>0</v>
      </c>
      <c r="Q70" s="165">
        <f>F69</f>
        <v>0</v>
      </c>
    </row>
    <row r="71" spans="1:17" hidden="1" outlineLevel="1">
      <c r="A71" s="181"/>
      <c r="B71" s="114"/>
      <c r="C71" s="111"/>
      <c r="D71" s="90" t="str">
        <f>B71&amp;" "&amp;C71&amp;" "&amp;"("&amp;$B$70&amp;")"</f>
        <v xml:space="preserve">  (Cotraitant)</v>
      </c>
      <c r="E71" s="57"/>
      <c r="F71" s="185" t="s">
        <v>210</v>
      </c>
      <c r="G71" s="112"/>
      <c r="H71" s="112"/>
      <c r="I71" s="167"/>
      <c r="O71" s="173"/>
      <c r="P71" s="55">
        <f>SUMIF($I$71:$I$76,"OUI",G71:G76)</f>
        <v>0</v>
      </c>
      <c r="Q71" s="55">
        <f>SUMIF($I$71:$I$76,"OUI",H71:H76)</f>
        <v>0</v>
      </c>
    </row>
    <row r="72" spans="1:17" hidden="1" outlineLevel="1">
      <c r="A72" s="181"/>
      <c r="B72" s="114"/>
      <c r="C72" s="111"/>
      <c r="D72" s="90" t="str">
        <f t="shared" ref="D72:D76" si="5">B72&amp;" "&amp;C72&amp;" "&amp;"("&amp;$B$70&amp;")"</f>
        <v xml:space="preserve">  (Cotraitant)</v>
      </c>
      <c r="E72" s="58"/>
      <c r="F72" s="186"/>
      <c r="G72" s="113"/>
      <c r="H72" s="113"/>
      <c r="I72" s="167"/>
    </row>
    <row r="73" spans="1:17" hidden="1" outlineLevel="1">
      <c r="A73" s="181"/>
      <c r="B73" s="114"/>
      <c r="C73" s="111"/>
      <c r="D73" s="90" t="str">
        <f t="shared" si="5"/>
        <v xml:space="preserve">  (Cotraitant)</v>
      </c>
      <c r="E73" s="58"/>
      <c r="F73" s="186"/>
      <c r="G73" s="113"/>
      <c r="H73" s="113"/>
      <c r="I73" s="167"/>
    </row>
    <row r="74" spans="1:17" hidden="1" outlineLevel="1">
      <c r="A74" s="181"/>
      <c r="B74" s="114"/>
      <c r="C74" s="111"/>
      <c r="D74" s="90" t="str">
        <f t="shared" si="5"/>
        <v xml:space="preserve">  (Cotraitant)</v>
      </c>
      <c r="E74" s="58"/>
      <c r="F74" s="186"/>
      <c r="G74" s="113"/>
      <c r="H74" s="113"/>
      <c r="I74" s="167"/>
    </row>
    <row r="75" spans="1:17" hidden="1" outlineLevel="1">
      <c r="A75" s="181"/>
      <c r="B75" s="114"/>
      <c r="C75" s="111"/>
      <c r="D75" s="90" t="str">
        <f t="shared" si="5"/>
        <v xml:space="preserve">  (Cotraitant)</v>
      </c>
      <c r="E75" s="58"/>
      <c r="F75" s="186"/>
      <c r="G75" s="113"/>
      <c r="H75" s="113"/>
      <c r="I75" s="167"/>
    </row>
    <row r="76" spans="1:17" ht="18.600000000000001" hidden="1" outlineLevel="1" thickBot="1">
      <c r="A76" s="182"/>
      <c r="B76" s="114"/>
      <c r="C76" s="111"/>
      <c r="D76" s="90" t="str">
        <f t="shared" si="5"/>
        <v xml:space="preserve">  (Cotraitant)</v>
      </c>
      <c r="E76" s="59"/>
      <c r="F76" s="187"/>
      <c r="G76" s="113"/>
      <c r="H76" s="113"/>
      <c r="I76" s="167"/>
    </row>
    <row r="77" spans="1:17" collapsed="1">
      <c r="A77" s="10"/>
      <c r="B77" s="62"/>
      <c r="C77" s="60"/>
      <c r="D77" s="60"/>
      <c r="E77" s="62"/>
      <c r="F77" s="76"/>
      <c r="G77" s="55"/>
      <c r="H77" s="55"/>
      <c r="I77" s="55"/>
    </row>
    <row r="78" spans="1:17">
      <c r="A78" s="10"/>
      <c r="B78" s="62"/>
      <c r="C78" s="17" t="s">
        <v>233</v>
      </c>
      <c r="D78" s="94"/>
      <c r="E78" s="13" t="s">
        <v>234</v>
      </c>
      <c r="F78" s="136" t="s">
        <v>238</v>
      </c>
      <c r="G78" s="176" t="s">
        <v>293</v>
      </c>
      <c r="H78" s="176"/>
      <c r="I78" s="176" t="s">
        <v>294</v>
      </c>
      <c r="J78" s="176"/>
    </row>
    <row r="79" spans="1:17" collapsed="1">
      <c r="A79" s="196" t="s">
        <v>213</v>
      </c>
      <c r="B79" s="196"/>
      <c r="C79" s="63">
        <f>F20</f>
        <v>0</v>
      </c>
      <c r="D79" s="11"/>
      <c r="E79" s="63">
        <f>C79-(E82+E92+F82+F92)</f>
        <v>0</v>
      </c>
      <c r="F79" s="137"/>
      <c r="G79" s="174"/>
      <c r="H79" s="174"/>
      <c r="I79" s="175"/>
      <c r="J79" s="175"/>
    </row>
    <row r="80" spans="1:17" ht="18.75" hidden="1" customHeight="1" outlineLevel="1">
      <c r="A80" s="180" t="str">
        <f>A79</f>
        <v>Tranche OPTIONNELLE 2</v>
      </c>
      <c r="B80" s="178" t="s">
        <v>33</v>
      </c>
      <c r="C80" s="179" t="s">
        <v>34</v>
      </c>
      <c r="D80" s="87"/>
      <c r="E80" s="65" t="s">
        <v>209</v>
      </c>
      <c r="F80" s="67" t="str">
        <f>E80</f>
        <v>Montant intial TVA</v>
      </c>
      <c r="G80" s="70" t="s">
        <v>200</v>
      </c>
      <c r="H80" s="71" t="s">
        <v>200</v>
      </c>
      <c r="I80" s="170" t="s">
        <v>316</v>
      </c>
      <c r="P80" s="157" t="s">
        <v>318</v>
      </c>
      <c r="Q80" s="147" t="s">
        <v>318</v>
      </c>
    </row>
    <row r="81" spans="1:17" hidden="1" outlineLevel="1">
      <c r="A81" s="181"/>
      <c r="B81" s="178"/>
      <c r="C81" s="179"/>
      <c r="D81" s="88"/>
      <c r="E81" s="66">
        <f>E69</f>
        <v>0</v>
      </c>
      <c r="F81" s="68">
        <f>F69</f>
        <v>0</v>
      </c>
      <c r="G81" s="72" t="str">
        <f>"TVA"&amp;" "&amp;$C$17*100&amp;"%"</f>
        <v>TVA 0%</v>
      </c>
      <c r="H81" s="72" t="str">
        <f>"TVA"&amp;" "&amp;$E$17*100&amp;"%"</f>
        <v>TVA 0%</v>
      </c>
      <c r="I81" s="171"/>
      <c r="O81" s="173" t="s">
        <v>324</v>
      </c>
      <c r="P81" s="166">
        <f>E82-P83</f>
        <v>0</v>
      </c>
      <c r="Q81" s="166">
        <f>F82-Q83</f>
        <v>0</v>
      </c>
    </row>
    <row r="82" spans="1:17" ht="18.600000000000001" hidden="1" outlineLevel="1" thickBot="1">
      <c r="A82" s="181"/>
      <c r="B82" s="77" t="s">
        <v>1</v>
      </c>
      <c r="C82" s="33">
        <f>C60</f>
        <v>0</v>
      </c>
      <c r="D82" s="89"/>
      <c r="E82" s="56">
        <f>C20-E92</f>
        <v>0</v>
      </c>
      <c r="F82" s="56">
        <f>E20-F92</f>
        <v>0</v>
      </c>
      <c r="G82" s="73">
        <f>E82-SUM(G83:G88)</f>
        <v>0</v>
      </c>
      <c r="H82" s="74">
        <f>F82-SUM(H83:H88)</f>
        <v>0</v>
      </c>
      <c r="I82" s="172"/>
      <c r="O82" s="173"/>
      <c r="P82" s="165">
        <f>E81</f>
        <v>0</v>
      </c>
      <c r="Q82" s="165">
        <f>F81</f>
        <v>0</v>
      </c>
    </row>
    <row r="83" spans="1:17" hidden="1" outlineLevel="1">
      <c r="A83" s="181"/>
      <c r="B83" s="114"/>
      <c r="C83" s="111"/>
      <c r="D83" s="90" t="str">
        <f>B83&amp;" "&amp;C83&amp;" "&amp;"("&amp;$B$82&amp;")"</f>
        <v xml:space="preserve">  (Titulaire)</v>
      </c>
      <c r="E83" s="57"/>
      <c r="F83" s="185" t="s">
        <v>210</v>
      </c>
      <c r="G83" s="112"/>
      <c r="H83" s="112"/>
      <c r="I83" s="167"/>
      <c r="O83" s="173"/>
      <c r="P83" s="55">
        <f>SUMIF($I$83:$I$88,"OUI",G83:G88)</f>
        <v>0</v>
      </c>
      <c r="Q83" s="55">
        <f>SUMIF($I$83:$I$88,"OUI",H83:H88)</f>
        <v>0</v>
      </c>
    </row>
    <row r="84" spans="1:17" hidden="1" outlineLevel="1">
      <c r="A84" s="181"/>
      <c r="B84" s="114"/>
      <c r="C84" s="111"/>
      <c r="D84" s="90" t="str">
        <f t="shared" ref="D84:D88" si="6">B84&amp;" "&amp;C84&amp;" "&amp;"("&amp;$B$82&amp;")"</f>
        <v xml:space="preserve">  (Titulaire)</v>
      </c>
      <c r="E84" s="58"/>
      <c r="F84" s="186"/>
      <c r="G84" s="113"/>
      <c r="H84" s="113"/>
      <c r="I84" s="167"/>
    </row>
    <row r="85" spans="1:17" hidden="1" outlineLevel="1">
      <c r="A85" s="181"/>
      <c r="B85" s="114"/>
      <c r="C85" s="111"/>
      <c r="D85" s="90" t="str">
        <f t="shared" si="6"/>
        <v xml:space="preserve">  (Titulaire)</v>
      </c>
      <c r="E85" s="58"/>
      <c r="F85" s="186"/>
      <c r="G85" s="113"/>
      <c r="H85" s="113"/>
      <c r="I85" s="167"/>
    </row>
    <row r="86" spans="1:17" hidden="1" outlineLevel="1">
      <c r="A86" s="181"/>
      <c r="B86" s="114"/>
      <c r="C86" s="111"/>
      <c r="D86" s="90" t="str">
        <f t="shared" si="6"/>
        <v xml:space="preserve">  (Titulaire)</v>
      </c>
      <c r="E86" s="58"/>
      <c r="F86" s="186"/>
      <c r="G86" s="113"/>
      <c r="H86" s="113"/>
      <c r="I86" s="167"/>
    </row>
    <row r="87" spans="1:17" hidden="1" outlineLevel="1">
      <c r="A87" s="181"/>
      <c r="B87" s="114"/>
      <c r="C87" s="111"/>
      <c r="D87" s="90" t="str">
        <f t="shared" si="6"/>
        <v xml:space="preserve">  (Titulaire)</v>
      </c>
      <c r="E87" s="58"/>
      <c r="F87" s="186"/>
      <c r="G87" s="113"/>
      <c r="H87" s="113"/>
      <c r="I87" s="167"/>
    </row>
    <row r="88" spans="1:17" ht="18.600000000000001" hidden="1" outlineLevel="1" thickBot="1">
      <c r="A88" s="182"/>
      <c r="B88" s="114"/>
      <c r="C88" s="111"/>
      <c r="D88" s="90" t="str">
        <f t="shared" si="6"/>
        <v xml:space="preserve">  (Titulaire)</v>
      </c>
      <c r="E88" s="59"/>
      <c r="F88" s="187"/>
      <c r="G88" s="113"/>
      <c r="H88" s="113"/>
      <c r="I88" s="167"/>
    </row>
    <row r="89" spans="1:17" ht="18.600000000000001" hidden="1" outlineLevel="1" thickBot="1">
      <c r="A89" s="10"/>
      <c r="B89" s="62"/>
      <c r="C89" s="60"/>
      <c r="D89" s="60"/>
      <c r="E89" s="62"/>
      <c r="F89" s="76"/>
      <c r="G89" s="55"/>
      <c r="H89" s="55"/>
      <c r="I89" s="55"/>
    </row>
    <row r="90" spans="1:17" ht="18.75" hidden="1" customHeight="1" outlineLevel="1">
      <c r="A90" s="180" t="str">
        <f>A80</f>
        <v>Tranche OPTIONNELLE 2</v>
      </c>
      <c r="B90" s="178" t="s">
        <v>33</v>
      </c>
      <c r="C90" s="179" t="s">
        <v>34</v>
      </c>
      <c r="D90" s="87"/>
      <c r="E90" s="65" t="s">
        <v>209</v>
      </c>
      <c r="F90" s="67" t="str">
        <f>E90</f>
        <v>Montant intial TVA</v>
      </c>
      <c r="G90" s="70" t="s">
        <v>200</v>
      </c>
      <c r="H90" s="71" t="s">
        <v>200</v>
      </c>
      <c r="I90" s="170" t="s">
        <v>316</v>
      </c>
      <c r="P90" s="157" t="s">
        <v>321</v>
      </c>
      <c r="Q90" s="147" t="s">
        <v>321</v>
      </c>
    </row>
    <row r="91" spans="1:17" hidden="1" outlineLevel="1">
      <c r="A91" s="181"/>
      <c r="B91" s="178"/>
      <c r="C91" s="179"/>
      <c r="D91" s="88"/>
      <c r="E91" s="66">
        <f>E81</f>
        <v>0</v>
      </c>
      <c r="F91" s="68">
        <f>F81</f>
        <v>0</v>
      </c>
      <c r="G91" s="72" t="str">
        <f>"TVA"&amp;" "&amp;$C$17*100&amp;"%"</f>
        <v>TVA 0%</v>
      </c>
      <c r="H91" s="72" t="str">
        <f>"TVA"&amp;" "&amp;$E$17*100&amp;"%"</f>
        <v>TVA 0%</v>
      </c>
      <c r="I91" s="171"/>
      <c r="O91" s="173" t="s">
        <v>324</v>
      </c>
      <c r="P91" s="166">
        <f>E92-P93</f>
        <v>0</v>
      </c>
      <c r="Q91" s="166">
        <f>F92-Q93</f>
        <v>0</v>
      </c>
    </row>
    <row r="92" spans="1:17" ht="18.600000000000001" hidden="1" outlineLevel="1" thickBot="1">
      <c r="A92" s="181"/>
      <c r="B92" s="77" t="s">
        <v>214</v>
      </c>
      <c r="C92" s="33">
        <f>C48</f>
        <v>0</v>
      </c>
      <c r="D92" s="69"/>
      <c r="E92" s="129"/>
      <c r="F92" s="129"/>
      <c r="G92" s="73">
        <f>E92-SUM(G93:G98)</f>
        <v>0</v>
      </c>
      <c r="H92" s="74">
        <f>F92-SUM(H93:H98)</f>
        <v>0</v>
      </c>
      <c r="I92" s="172"/>
      <c r="O92" s="173"/>
      <c r="P92" s="165">
        <f>E91</f>
        <v>0</v>
      </c>
      <c r="Q92" s="165">
        <f>F91</f>
        <v>0</v>
      </c>
    </row>
    <row r="93" spans="1:17" hidden="1" outlineLevel="1">
      <c r="A93" s="181"/>
      <c r="B93" s="114"/>
      <c r="C93" s="111"/>
      <c r="D93" s="90" t="str">
        <f>B93&amp;" "&amp;C93&amp;" "&amp;"("&amp;$B$92&amp;")"</f>
        <v xml:space="preserve">  (Cotraitant)</v>
      </c>
      <c r="E93" s="57"/>
      <c r="F93" s="185" t="s">
        <v>210</v>
      </c>
      <c r="G93" s="112"/>
      <c r="H93" s="112"/>
      <c r="I93" s="167"/>
      <c r="O93" s="173"/>
      <c r="P93" s="55">
        <f>SUMIF($I$93:$I$98,"OUI",G93:G98)</f>
        <v>0</v>
      </c>
      <c r="Q93" s="55">
        <f>SUMIF($I$93:$I$98,"OUI",H93:H98)</f>
        <v>0</v>
      </c>
    </row>
    <row r="94" spans="1:17" hidden="1" outlineLevel="1">
      <c r="A94" s="181"/>
      <c r="B94" s="114"/>
      <c r="C94" s="111"/>
      <c r="D94" s="90" t="str">
        <f t="shared" ref="D94:D98" si="7">B94&amp;" "&amp;C94&amp;" "&amp;"("&amp;$B$92&amp;")"</f>
        <v xml:space="preserve">  (Cotraitant)</v>
      </c>
      <c r="E94" s="58"/>
      <c r="F94" s="186"/>
      <c r="G94" s="113"/>
      <c r="H94" s="113"/>
      <c r="I94" s="167"/>
    </row>
    <row r="95" spans="1:17" hidden="1" outlineLevel="1">
      <c r="A95" s="181"/>
      <c r="B95" s="114"/>
      <c r="C95" s="111"/>
      <c r="D95" s="90" t="str">
        <f t="shared" si="7"/>
        <v xml:space="preserve">  (Cotraitant)</v>
      </c>
      <c r="E95" s="58"/>
      <c r="F95" s="186"/>
      <c r="G95" s="113"/>
      <c r="H95" s="113"/>
      <c r="I95" s="167"/>
    </row>
    <row r="96" spans="1:17" hidden="1" outlineLevel="1">
      <c r="A96" s="181"/>
      <c r="B96" s="114"/>
      <c r="C96" s="111"/>
      <c r="D96" s="90" t="str">
        <f t="shared" si="7"/>
        <v xml:space="preserve">  (Cotraitant)</v>
      </c>
      <c r="E96" s="58"/>
      <c r="F96" s="186"/>
      <c r="G96" s="113"/>
      <c r="H96" s="113"/>
      <c r="I96" s="167"/>
    </row>
    <row r="97" spans="1:17" hidden="1" outlineLevel="1">
      <c r="A97" s="181"/>
      <c r="B97" s="114"/>
      <c r="C97" s="111"/>
      <c r="D97" s="90" t="str">
        <f t="shared" si="7"/>
        <v xml:space="preserve">  (Cotraitant)</v>
      </c>
      <c r="E97" s="58"/>
      <c r="F97" s="186"/>
      <c r="G97" s="113"/>
      <c r="H97" s="113"/>
      <c r="I97" s="167"/>
    </row>
    <row r="98" spans="1:17" ht="18.600000000000001" hidden="1" outlineLevel="1" thickBot="1">
      <c r="A98" s="182"/>
      <c r="B98" s="114"/>
      <c r="C98" s="111"/>
      <c r="D98" s="90" t="str">
        <f t="shared" si="7"/>
        <v xml:space="preserve">  (Cotraitant)</v>
      </c>
      <c r="E98" s="59"/>
      <c r="F98" s="187"/>
      <c r="G98" s="113"/>
      <c r="H98" s="113"/>
      <c r="I98" s="167"/>
    </row>
    <row r="99" spans="1:17" collapsed="1">
      <c r="A99" s="10"/>
      <c r="B99" s="62"/>
      <c r="C99" s="60"/>
      <c r="D99" s="60"/>
      <c r="E99" s="62"/>
      <c r="F99" s="76"/>
      <c r="G99" s="55"/>
      <c r="H99" s="55"/>
      <c r="I99" s="55"/>
    </row>
    <row r="100" spans="1:17">
      <c r="A100" s="10"/>
      <c r="B100" s="62"/>
      <c r="C100" s="17" t="s">
        <v>233</v>
      </c>
      <c r="D100" s="94"/>
      <c r="E100" s="13" t="s">
        <v>234</v>
      </c>
      <c r="F100" s="136" t="s">
        <v>238</v>
      </c>
      <c r="G100" s="176" t="s">
        <v>293</v>
      </c>
      <c r="H100" s="176"/>
      <c r="I100" s="176" t="s">
        <v>294</v>
      </c>
      <c r="J100" s="176"/>
    </row>
    <row r="101" spans="1:17">
      <c r="A101" s="197" t="s">
        <v>215</v>
      </c>
      <c r="B101" s="197"/>
      <c r="C101" s="63">
        <f>F21</f>
        <v>0</v>
      </c>
      <c r="D101" s="11"/>
      <c r="E101" s="63">
        <f>C101-(E104+E114+F104+F114)</f>
        <v>0</v>
      </c>
      <c r="F101" s="137"/>
      <c r="G101" s="174"/>
      <c r="H101" s="174"/>
      <c r="I101" s="175"/>
      <c r="J101" s="175"/>
    </row>
    <row r="102" spans="1:17" ht="18.75" hidden="1" customHeight="1" outlineLevel="1">
      <c r="A102" s="180" t="str">
        <f>A101</f>
        <v>Tranche OPTIONNELLE 3</v>
      </c>
      <c r="B102" s="178" t="s">
        <v>33</v>
      </c>
      <c r="C102" s="179" t="s">
        <v>34</v>
      </c>
      <c r="D102" s="87"/>
      <c r="E102" s="65" t="s">
        <v>209</v>
      </c>
      <c r="F102" s="67" t="str">
        <f>E102</f>
        <v>Montant intial TVA</v>
      </c>
      <c r="G102" s="70" t="s">
        <v>200</v>
      </c>
      <c r="H102" s="71" t="s">
        <v>200</v>
      </c>
      <c r="I102" s="170" t="s">
        <v>316</v>
      </c>
      <c r="P102" s="157" t="s">
        <v>325</v>
      </c>
      <c r="Q102" s="147" t="s">
        <v>318</v>
      </c>
    </row>
    <row r="103" spans="1:17" hidden="1" outlineLevel="1">
      <c r="A103" s="181"/>
      <c r="B103" s="178"/>
      <c r="C103" s="179"/>
      <c r="D103" s="88"/>
      <c r="E103" s="66">
        <f>E91</f>
        <v>0</v>
      </c>
      <c r="F103" s="68">
        <f>F91</f>
        <v>0</v>
      </c>
      <c r="G103" s="72" t="str">
        <f>"TVA"&amp;" "&amp;$C$17*100&amp;"%"</f>
        <v>TVA 0%</v>
      </c>
      <c r="H103" s="72" t="str">
        <f>"TVA"&amp;" "&amp;$E$17*100&amp;"%"</f>
        <v>TVA 0%</v>
      </c>
      <c r="I103" s="171"/>
      <c r="O103" s="173" t="s">
        <v>326</v>
      </c>
      <c r="P103" s="166">
        <f>E104-P105</f>
        <v>0</v>
      </c>
      <c r="Q103" s="166">
        <f>F104-Q105</f>
        <v>0</v>
      </c>
    </row>
    <row r="104" spans="1:17" ht="18.600000000000001" hidden="1" outlineLevel="1" thickBot="1">
      <c r="A104" s="181"/>
      <c r="B104" s="77" t="s">
        <v>1</v>
      </c>
      <c r="C104" s="33">
        <f>C82</f>
        <v>0</v>
      </c>
      <c r="D104" s="89"/>
      <c r="E104" s="56">
        <f>C21-E114</f>
        <v>0</v>
      </c>
      <c r="F104" s="56">
        <f>E21-F114</f>
        <v>0</v>
      </c>
      <c r="G104" s="73">
        <f>E104-SUM(G105:G110)</f>
        <v>0</v>
      </c>
      <c r="H104" s="74">
        <f>F104-SUM(H105:H110)</f>
        <v>0</v>
      </c>
      <c r="I104" s="172"/>
      <c r="O104" s="173"/>
      <c r="P104" s="165">
        <f>E103</f>
        <v>0</v>
      </c>
      <c r="Q104" s="165">
        <f>F103</f>
        <v>0</v>
      </c>
    </row>
    <row r="105" spans="1:17" hidden="1" outlineLevel="1">
      <c r="A105" s="181"/>
      <c r="B105" s="114"/>
      <c r="C105" s="111"/>
      <c r="D105" s="90" t="str">
        <f>B105&amp;" "&amp;C105&amp;" "&amp;"("&amp;$B$104&amp;")"</f>
        <v xml:space="preserve">  (Titulaire)</v>
      </c>
      <c r="E105" s="57"/>
      <c r="F105" s="185" t="s">
        <v>210</v>
      </c>
      <c r="G105" s="112"/>
      <c r="H105" s="112"/>
      <c r="I105" s="167"/>
      <c r="O105" s="173"/>
      <c r="P105" s="55">
        <f>SUMIF($I$105:$I$110,"OUI",G105:G110)</f>
        <v>0</v>
      </c>
      <c r="Q105" s="55">
        <f>SUMIF($I$105:$I$110,"OUI",H105:H110)</f>
        <v>0</v>
      </c>
    </row>
    <row r="106" spans="1:17" hidden="1" outlineLevel="1">
      <c r="A106" s="181"/>
      <c r="B106" s="114"/>
      <c r="C106" s="111"/>
      <c r="D106" s="90" t="str">
        <f t="shared" ref="D106:D110" si="8">B106&amp;" "&amp;C106&amp;" "&amp;"("&amp;$B$104&amp;")"</f>
        <v xml:space="preserve">  (Titulaire)</v>
      </c>
      <c r="E106" s="58"/>
      <c r="F106" s="186"/>
      <c r="G106" s="113"/>
      <c r="H106" s="113"/>
      <c r="I106" s="167"/>
    </row>
    <row r="107" spans="1:17" hidden="1" outlineLevel="1">
      <c r="A107" s="181"/>
      <c r="B107" s="114"/>
      <c r="C107" s="111"/>
      <c r="D107" s="90" t="str">
        <f t="shared" si="8"/>
        <v xml:space="preserve">  (Titulaire)</v>
      </c>
      <c r="E107" s="58"/>
      <c r="F107" s="186"/>
      <c r="G107" s="113"/>
      <c r="H107" s="113"/>
      <c r="I107" s="167"/>
    </row>
    <row r="108" spans="1:17" hidden="1" outlineLevel="1">
      <c r="A108" s="181"/>
      <c r="B108" s="114"/>
      <c r="C108" s="111"/>
      <c r="D108" s="90" t="str">
        <f t="shared" si="8"/>
        <v xml:space="preserve">  (Titulaire)</v>
      </c>
      <c r="E108" s="58"/>
      <c r="F108" s="186"/>
      <c r="G108" s="113"/>
      <c r="H108" s="113"/>
      <c r="I108" s="167"/>
    </row>
    <row r="109" spans="1:17" hidden="1" outlineLevel="1">
      <c r="A109" s="181"/>
      <c r="B109" s="114"/>
      <c r="C109" s="111"/>
      <c r="D109" s="90" t="str">
        <f t="shared" si="8"/>
        <v xml:space="preserve">  (Titulaire)</v>
      </c>
      <c r="E109" s="58"/>
      <c r="F109" s="186"/>
      <c r="G109" s="113"/>
      <c r="H109" s="113"/>
      <c r="I109" s="167"/>
    </row>
    <row r="110" spans="1:17" ht="18.600000000000001" hidden="1" outlineLevel="1" thickBot="1">
      <c r="A110" s="182"/>
      <c r="B110" s="114"/>
      <c r="C110" s="111"/>
      <c r="D110" s="90" t="str">
        <f t="shared" si="8"/>
        <v xml:space="preserve">  (Titulaire)</v>
      </c>
      <c r="E110" s="59"/>
      <c r="F110" s="187"/>
      <c r="G110" s="113"/>
      <c r="H110" s="113"/>
      <c r="I110" s="167"/>
    </row>
    <row r="111" spans="1:17" ht="18.600000000000001" hidden="1" outlineLevel="1" thickBot="1">
      <c r="A111" s="10"/>
      <c r="B111" s="62"/>
      <c r="C111" s="60"/>
      <c r="D111" s="60"/>
      <c r="E111" s="62"/>
      <c r="F111" s="76"/>
      <c r="G111" s="55"/>
      <c r="H111" s="55"/>
      <c r="I111" s="55"/>
    </row>
    <row r="112" spans="1:17" ht="18.75" hidden="1" customHeight="1" outlineLevel="1">
      <c r="A112" s="180" t="str">
        <f>A102</f>
        <v>Tranche OPTIONNELLE 3</v>
      </c>
      <c r="B112" s="178" t="s">
        <v>33</v>
      </c>
      <c r="C112" s="179" t="s">
        <v>34</v>
      </c>
      <c r="D112" s="87"/>
      <c r="E112" s="65" t="s">
        <v>209</v>
      </c>
      <c r="F112" s="67" t="str">
        <f>E112</f>
        <v>Montant intial TVA</v>
      </c>
      <c r="G112" s="70" t="s">
        <v>200</v>
      </c>
      <c r="H112" s="71" t="s">
        <v>200</v>
      </c>
      <c r="I112" s="170" t="s">
        <v>316</v>
      </c>
      <c r="P112" s="157" t="s">
        <v>321</v>
      </c>
      <c r="Q112" s="157" t="s">
        <v>321</v>
      </c>
    </row>
    <row r="113" spans="1:17" hidden="1" outlineLevel="1">
      <c r="A113" s="181"/>
      <c r="B113" s="178"/>
      <c r="C113" s="179"/>
      <c r="D113" s="88"/>
      <c r="E113" s="66">
        <f>E103</f>
        <v>0</v>
      </c>
      <c r="F113" s="68">
        <f>F103</f>
        <v>0</v>
      </c>
      <c r="G113" s="72" t="str">
        <f>"TVA"&amp;" "&amp;$C$17*100&amp;"%"</f>
        <v>TVA 0%</v>
      </c>
      <c r="H113" s="72" t="str">
        <f>"TVA"&amp;" "&amp;$E$17*100&amp;"%"</f>
        <v>TVA 0%</v>
      </c>
      <c r="I113" s="171"/>
      <c r="O113" s="173" t="s">
        <v>326</v>
      </c>
      <c r="P113" s="166">
        <f>E114-P115</f>
        <v>0</v>
      </c>
      <c r="Q113" s="166">
        <f>F114-Q115</f>
        <v>0</v>
      </c>
    </row>
    <row r="114" spans="1:17" ht="18.600000000000001" hidden="1" outlineLevel="1" thickBot="1">
      <c r="A114" s="181"/>
      <c r="B114" s="77" t="s">
        <v>214</v>
      </c>
      <c r="C114" s="33">
        <f>C48</f>
        <v>0</v>
      </c>
      <c r="D114" s="69"/>
      <c r="E114" s="129"/>
      <c r="F114" s="129"/>
      <c r="G114" s="73">
        <f>E114-SUM(G115:G120)</f>
        <v>0</v>
      </c>
      <c r="H114" s="74">
        <f>F114-SUM(H115:H120)</f>
        <v>0</v>
      </c>
      <c r="I114" s="172"/>
      <c r="O114" s="173"/>
      <c r="P114" s="165">
        <f>E113</f>
        <v>0</v>
      </c>
      <c r="Q114" s="165">
        <f>F113</f>
        <v>0</v>
      </c>
    </row>
    <row r="115" spans="1:17" hidden="1" outlineLevel="1">
      <c r="A115" s="181"/>
      <c r="B115" s="114"/>
      <c r="C115" s="111"/>
      <c r="D115" s="90" t="str">
        <f>B115&amp;" "&amp;C115&amp;" "&amp;"("&amp;$B$114&amp;")"</f>
        <v xml:space="preserve">  (Cotraitant)</v>
      </c>
      <c r="E115" s="57"/>
      <c r="F115" s="185" t="s">
        <v>210</v>
      </c>
      <c r="G115" s="112"/>
      <c r="H115" s="112"/>
      <c r="I115" s="167"/>
      <c r="O115" s="173"/>
      <c r="P115" s="55">
        <f>SUMIF($I$115:$I$120,"OUI",G115:G120)</f>
        <v>0</v>
      </c>
      <c r="Q115" s="55">
        <f>SUMIF($I$115:$I$120,"OUI",H115:H120)</f>
        <v>0</v>
      </c>
    </row>
    <row r="116" spans="1:17" hidden="1" outlineLevel="1">
      <c r="A116" s="181"/>
      <c r="B116" s="114"/>
      <c r="C116" s="111"/>
      <c r="D116" s="90" t="str">
        <f t="shared" ref="D116:D120" si="9">B116&amp;" "&amp;C116&amp;" "&amp;"("&amp;$B$114&amp;")"</f>
        <v xml:space="preserve">  (Cotraitant)</v>
      </c>
      <c r="E116" s="58"/>
      <c r="F116" s="186"/>
      <c r="G116" s="113"/>
      <c r="H116" s="113"/>
      <c r="I116" s="167"/>
    </row>
    <row r="117" spans="1:17" hidden="1" outlineLevel="1">
      <c r="A117" s="181"/>
      <c r="B117" s="114"/>
      <c r="C117" s="111"/>
      <c r="D117" s="90" t="str">
        <f t="shared" si="9"/>
        <v xml:space="preserve">  (Cotraitant)</v>
      </c>
      <c r="E117" s="58"/>
      <c r="F117" s="186"/>
      <c r="G117" s="113"/>
      <c r="H117" s="113"/>
      <c r="I117" s="167"/>
    </row>
    <row r="118" spans="1:17" hidden="1" outlineLevel="1">
      <c r="A118" s="181"/>
      <c r="B118" s="114"/>
      <c r="C118" s="111"/>
      <c r="D118" s="90" t="str">
        <f t="shared" si="9"/>
        <v xml:space="preserve">  (Cotraitant)</v>
      </c>
      <c r="E118" s="58"/>
      <c r="F118" s="186"/>
      <c r="G118" s="113"/>
      <c r="H118" s="113"/>
      <c r="I118" s="167"/>
    </row>
    <row r="119" spans="1:17" hidden="1" outlineLevel="1">
      <c r="A119" s="181"/>
      <c r="B119" s="114"/>
      <c r="C119" s="111"/>
      <c r="D119" s="90" t="str">
        <f t="shared" si="9"/>
        <v xml:space="preserve">  (Cotraitant)</v>
      </c>
      <c r="E119" s="58"/>
      <c r="F119" s="186"/>
      <c r="G119" s="113"/>
      <c r="H119" s="113"/>
      <c r="I119" s="167"/>
    </row>
    <row r="120" spans="1:17" ht="18.600000000000001" hidden="1" outlineLevel="1" thickBot="1">
      <c r="A120" s="182"/>
      <c r="B120" s="114"/>
      <c r="C120" s="111"/>
      <c r="D120" s="90" t="str">
        <f t="shared" si="9"/>
        <v xml:space="preserve">  (Cotraitant)</v>
      </c>
      <c r="E120" s="59"/>
      <c r="F120" s="187"/>
      <c r="G120" s="113"/>
      <c r="H120" s="113"/>
      <c r="I120" s="167"/>
    </row>
    <row r="121" spans="1:17" collapsed="1">
      <c r="A121" s="10"/>
      <c r="B121" s="62"/>
      <c r="C121" s="60"/>
      <c r="D121" s="60"/>
      <c r="E121" s="62"/>
      <c r="F121" s="76"/>
      <c r="G121" s="55"/>
      <c r="H121" s="55"/>
      <c r="I121" s="55"/>
    </row>
    <row r="122" spans="1:17">
      <c r="A122" s="10"/>
      <c r="B122" s="62"/>
      <c r="C122" s="17" t="s">
        <v>233</v>
      </c>
      <c r="D122" s="94"/>
      <c r="E122" s="13" t="s">
        <v>234</v>
      </c>
      <c r="F122" s="176" t="s">
        <v>315</v>
      </c>
      <c r="G122" s="176"/>
      <c r="H122" s="176"/>
      <c r="I122" s="176"/>
    </row>
    <row r="123" spans="1:17" collapsed="1">
      <c r="A123" s="196" t="s">
        <v>216</v>
      </c>
      <c r="B123" s="196"/>
      <c r="C123" s="63">
        <f>F22</f>
        <v>0</v>
      </c>
      <c r="D123" s="11"/>
      <c r="E123" s="63">
        <f>C123-(E126+F126+E136+F136)</f>
        <v>0</v>
      </c>
      <c r="F123" s="195" t="s">
        <v>288</v>
      </c>
      <c r="G123" s="195"/>
      <c r="H123" s="195"/>
      <c r="I123" s="195"/>
      <c r="O123" s="55" t="s">
        <v>317</v>
      </c>
    </row>
    <row r="124" spans="1:17" ht="18.75" hidden="1" customHeight="1" outlineLevel="1">
      <c r="A124" s="180" t="str">
        <f>A123</f>
        <v>Montant OS et avenants</v>
      </c>
      <c r="B124" s="178" t="s">
        <v>33</v>
      </c>
      <c r="C124" s="179" t="s">
        <v>34</v>
      </c>
      <c r="D124" s="87"/>
      <c r="E124" s="65" t="s">
        <v>209</v>
      </c>
      <c r="F124" s="65" t="str">
        <f>E124</f>
        <v>Montant intial TVA</v>
      </c>
      <c r="G124" s="70" t="s">
        <v>200</v>
      </c>
      <c r="H124" s="71" t="s">
        <v>200</v>
      </c>
      <c r="I124" s="55"/>
    </row>
    <row r="125" spans="1:17" ht="18.75" hidden="1" customHeight="1" outlineLevel="1">
      <c r="A125" s="181"/>
      <c r="B125" s="178"/>
      <c r="C125" s="179"/>
      <c r="D125" s="88"/>
      <c r="E125" s="66">
        <f>E113</f>
        <v>0</v>
      </c>
      <c r="F125" s="66">
        <f>F113</f>
        <v>0</v>
      </c>
      <c r="G125" s="72" t="str">
        <f>"TVA"&amp;" "&amp;$C$17*100&amp;"%"</f>
        <v>TVA 0%</v>
      </c>
      <c r="H125" s="72" t="str">
        <f>"TVA"&amp;" "&amp;$E$17*100&amp;"%"</f>
        <v>TVA 0%</v>
      </c>
      <c r="I125" s="55"/>
    </row>
    <row r="126" spans="1:17" ht="19.5" hidden="1" customHeight="1" outlineLevel="1" thickBot="1">
      <c r="A126" s="181"/>
      <c r="B126" s="77" t="s">
        <v>1</v>
      </c>
      <c r="C126" s="33">
        <f>C104</f>
        <v>0</v>
      </c>
      <c r="D126" s="89"/>
      <c r="E126" s="56">
        <f>C22-E136</f>
        <v>0</v>
      </c>
      <c r="F126" s="56">
        <f>E22-F136</f>
        <v>0</v>
      </c>
      <c r="G126" s="73">
        <f>E126-SUM(G127:G132)</f>
        <v>0</v>
      </c>
      <c r="H126" s="74">
        <f>F126-SUM(H127:H132)</f>
        <v>0</v>
      </c>
      <c r="I126" s="55"/>
    </row>
    <row r="127" spans="1:17" ht="18.75" hidden="1" customHeight="1" outlineLevel="1">
      <c r="A127" s="181"/>
      <c r="B127" s="114"/>
      <c r="C127" s="111"/>
      <c r="D127" s="90" t="str">
        <f>B127&amp;" "&amp;C127&amp;" "&amp;"("&amp;$B$126&amp;")"</f>
        <v xml:space="preserve">  (Titulaire)</v>
      </c>
      <c r="E127" s="57"/>
      <c r="F127" s="185" t="s">
        <v>210</v>
      </c>
      <c r="G127" s="112"/>
      <c r="H127" s="112"/>
      <c r="I127" s="55"/>
    </row>
    <row r="128" spans="1:17" ht="18.75" hidden="1" customHeight="1" outlineLevel="1">
      <c r="A128" s="181"/>
      <c r="B128" s="114"/>
      <c r="C128" s="111"/>
      <c r="D128" s="90" t="str">
        <f t="shared" ref="D128:D132" si="10">B128&amp;" "&amp;C128&amp;" "&amp;"("&amp;$B$126&amp;")"</f>
        <v xml:space="preserve">  (Titulaire)</v>
      </c>
      <c r="E128" s="58"/>
      <c r="F128" s="186"/>
      <c r="G128" s="113"/>
      <c r="H128" s="113"/>
      <c r="I128" s="55"/>
    </row>
    <row r="129" spans="1:9" ht="18.75" hidden="1" customHeight="1" outlineLevel="1">
      <c r="A129" s="181"/>
      <c r="B129" s="114"/>
      <c r="C129" s="111"/>
      <c r="D129" s="90" t="str">
        <f t="shared" si="10"/>
        <v xml:space="preserve">  (Titulaire)</v>
      </c>
      <c r="E129" s="58"/>
      <c r="F129" s="186"/>
      <c r="G129" s="113"/>
      <c r="H129" s="113"/>
      <c r="I129" s="55"/>
    </row>
    <row r="130" spans="1:9" ht="18.75" hidden="1" customHeight="1" outlineLevel="1">
      <c r="A130" s="181"/>
      <c r="B130" s="114"/>
      <c r="C130" s="111"/>
      <c r="D130" s="90" t="str">
        <f t="shared" si="10"/>
        <v xml:space="preserve">  (Titulaire)</v>
      </c>
      <c r="E130" s="58"/>
      <c r="F130" s="186"/>
      <c r="G130" s="113"/>
      <c r="H130" s="113"/>
      <c r="I130" s="55"/>
    </row>
    <row r="131" spans="1:9" ht="18.75" hidden="1" customHeight="1" outlineLevel="1">
      <c r="A131" s="181"/>
      <c r="B131" s="114"/>
      <c r="C131" s="111"/>
      <c r="D131" s="90" t="str">
        <f t="shared" si="10"/>
        <v xml:space="preserve">  (Titulaire)</v>
      </c>
      <c r="E131" s="58"/>
      <c r="F131" s="186"/>
      <c r="G131" s="113"/>
      <c r="H131" s="113"/>
      <c r="I131" s="55"/>
    </row>
    <row r="132" spans="1:9" ht="19.5" hidden="1" customHeight="1" outlineLevel="1" thickBot="1">
      <c r="A132" s="182"/>
      <c r="B132" s="114"/>
      <c r="C132" s="111"/>
      <c r="D132" s="90" t="str">
        <f t="shared" si="10"/>
        <v xml:space="preserve">  (Titulaire)</v>
      </c>
      <c r="E132" s="59"/>
      <c r="F132" s="187"/>
      <c r="G132" s="113"/>
      <c r="H132" s="113"/>
      <c r="I132" s="55"/>
    </row>
    <row r="133" spans="1:9" ht="19.5" hidden="1" customHeight="1" outlineLevel="1" thickBot="1">
      <c r="A133" s="10"/>
      <c r="B133" s="62"/>
      <c r="C133" s="60"/>
      <c r="D133" s="60"/>
      <c r="E133" s="62"/>
      <c r="F133" s="55"/>
      <c r="G133" s="55"/>
      <c r="H133" s="55"/>
      <c r="I133" s="55"/>
    </row>
    <row r="134" spans="1:9" ht="18.75" hidden="1" customHeight="1" outlineLevel="1">
      <c r="A134" s="180" t="str">
        <f>A124</f>
        <v>Montant OS et avenants</v>
      </c>
      <c r="B134" s="178" t="s">
        <v>33</v>
      </c>
      <c r="C134" s="179" t="s">
        <v>34</v>
      </c>
      <c r="D134" s="87"/>
      <c r="E134" s="65" t="s">
        <v>209</v>
      </c>
      <c r="F134" s="65" t="str">
        <f>E134</f>
        <v>Montant intial TVA</v>
      </c>
      <c r="G134" s="70" t="s">
        <v>200</v>
      </c>
      <c r="H134" s="71" t="s">
        <v>200</v>
      </c>
      <c r="I134" s="55"/>
    </row>
    <row r="135" spans="1:9" ht="18.75" hidden="1" customHeight="1" outlineLevel="1">
      <c r="A135" s="181"/>
      <c r="B135" s="178"/>
      <c r="C135" s="179"/>
      <c r="D135" s="88"/>
      <c r="E135" s="66">
        <f>E125</f>
        <v>0</v>
      </c>
      <c r="F135" s="66">
        <f>F125</f>
        <v>0</v>
      </c>
      <c r="G135" s="72" t="str">
        <f>"TVA"&amp;" "&amp;$C$17*100&amp;"%"</f>
        <v>TVA 0%</v>
      </c>
      <c r="H135" s="72" t="str">
        <f>"TVA"&amp;" "&amp;$E$17*100&amp;"%"</f>
        <v>TVA 0%</v>
      </c>
      <c r="I135" s="55"/>
    </row>
    <row r="136" spans="1:9" ht="19.5" hidden="1" customHeight="1" outlineLevel="1" thickBot="1">
      <c r="A136" s="181"/>
      <c r="B136" s="77" t="s">
        <v>214</v>
      </c>
      <c r="C136" s="33">
        <f>C48</f>
        <v>0</v>
      </c>
      <c r="D136" s="69"/>
      <c r="E136" s="164"/>
      <c r="F136" s="164"/>
      <c r="G136" s="73">
        <f>E136-SUM(G137:G142)</f>
        <v>0</v>
      </c>
      <c r="H136" s="74">
        <f>F136-SUM(H137:H142)</f>
        <v>0</v>
      </c>
      <c r="I136" s="55"/>
    </row>
    <row r="137" spans="1:9" ht="18.75" hidden="1" customHeight="1" outlineLevel="1">
      <c r="A137" s="181"/>
      <c r="B137" s="114"/>
      <c r="C137" s="111"/>
      <c r="D137" s="90" t="str">
        <f>B137&amp;" "&amp;C137&amp;" "&amp;"("&amp;$B$136&amp;")"</f>
        <v xml:space="preserve">  (Cotraitant)</v>
      </c>
      <c r="E137" s="57"/>
      <c r="F137" s="185" t="s">
        <v>210</v>
      </c>
      <c r="G137" s="112"/>
      <c r="H137" s="112"/>
      <c r="I137" s="55"/>
    </row>
    <row r="138" spans="1:9" ht="18.75" hidden="1" customHeight="1" outlineLevel="1">
      <c r="A138" s="181"/>
      <c r="B138" s="114"/>
      <c r="C138" s="111"/>
      <c r="D138" s="90" t="str">
        <f t="shared" ref="D138:D142" si="11">B138&amp;" "&amp;C138&amp;" "&amp;"("&amp;$B$136&amp;")"</f>
        <v xml:space="preserve">  (Cotraitant)</v>
      </c>
      <c r="E138" s="58"/>
      <c r="F138" s="186"/>
      <c r="G138" s="113"/>
      <c r="H138" s="113"/>
      <c r="I138" s="55"/>
    </row>
    <row r="139" spans="1:9" ht="18.75" hidden="1" customHeight="1" outlineLevel="1">
      <c r="A139" s="181"/>
      <c r="B139" s="114"/>
      <c r="C139" s="111"/>
      <c r="D139" s="90" t="str">
        <f t="shared" si="11"/>
        <v xml:space="preserve">  (Cotraitant)</v>
      </c>
      <c r="E139" s="58"/>
      <c r="F139" s="186"/>
      <c r="G139" s="113"/>
      <c r="H139" s="113"/>
      <c r="I139" s="55"/>
    </row>
    <row r="140" spans="1:9" ht="18.75" hidden="1" customHeight="1" outlineLevel="1">
      <c r="A140" s="181"/>
      <c r="B140" s="114"/>
      <c r="C140" s="111"/>
      <c r="D140" s="90" t="str">
        <f t="shared" si="11"/>
        <v xml:space="preserve">  (Cotraitant)</v>
      </c>
      <c r="E140" s="58"/>
      <c r="F140" s="186"/>
      <c r="G140" s="113"/>
      <c r="H140" s="113"/>
      <c r="I140" s="55"/>
    </row>
    <row r="141" spans="1:9" ht="18.75" hidden="1" customHeight="1" outlineLevel="1">
      <c r="A141" s="181"/>
      <c r="B141" s="114"/>
      <c r="C141" s="111"/>
      <c r="D141" s="90" t="str">
        <f t="shared" si="11"/>
        <v xml:space="preserve">  (Cotraitant)</v>
      </c>
      <c r="E141" s="58"/>
      <c r="F141" s="186"/>
      <c r="G141" s="113"/>
      <c r="H141" s="113"/>
      <c r="I141" s="55"/>
    </row>
    <row r="142" spans="1:9" ht="19.5" hidden="1" customHeight="1" outlineLevel="1" thickBot="1">
      <c r="A142" s="182"/>
      <c r="B142" s="114"/>
      <c r="C142" s="111"/>
      <c r="D142" s="90" t="str">
        <f t="shared" si="11"/>
        <v xml:space="preserve">  (Cotraitant)</v>
      </c>
      <c r="E142" s="59"/>
      <c r="F142" s="187"/>
      <c r="G142" s="113"/>
      <c r="H142" s="113"/>
      <c r="I142" s="55"/>
    </row>
    <row r="143" spans="1:9" collapsed="1">
      <c r="A143" s="55"/>
      <c r="F143" s="55"/>
      <c r="G143" s="55"/>
      <c r="H143" s="55"/>
      <c r="I143" s="55"/>
    </row>
    <row r="144" spans="1:9">
      <c r="A144" s="55"/>
      <c r="B144" s="55"/>
      <c r="C144" s="55"/>
      <c r="D144" s="55"/>
      <c r="E144" s="55"/>
      <c r="F144" s="55"/>
      <c r="G144" s="55"/>
      <c r="H144" s="55"/>
      <c r="I144" s="55"/>
    </row>
    <row r="145" spans="1:9">
      <c r="A145" s="55"/>
      <c r="B145" s="55"/>
      <c r="C145" s="55"/>
      <c r="D145" s="55"/>
      <c r="E145" s="55"/>
      <c r="F145" s="55"/>
      <c r="G145" s="55"/>
      <c r="H145" s="55"/>
      <c r="I145" s="55"/>
    </row>
    <row r="146" spans="1:9">
      <c r="A146" s="55"/>
      <c r="B146" s="55"/>
      <c r="C146" s="55"/>
      <c r="D146" s="55"/>
      <c r="E146" s="55"/>
      <c r="F146" s="55"/>
      <c r="G146" s="55"/>
      <c r="H146" s="55"/>
      <c r="I146" s="55"/>
    </row>
    <row r="147" spans="1:9">
      <c r="A147" s="55"/>
      <c r="B147" s="55"/>
      <c r="C147" s="55"/>
      <c r="D147" s="55"/>
      <c r="E147" s="55"/>
      <c r="F147" s="55"/>
      <c r="G147" s="55"/>
      <c r="H147" s="55"/>
      <c r="I147" s="55"/>
    </row>
    <row r="148" spans="1:9">
      <c r="A148" s="55"/>
      <c r="B148" s="55"/>
      <c r="C148" s="55"/>
      <c r="D148" s="55"/>
      <c r="E148" s="55"/>
      <c r="F148" s="55"/>
      <c r="G148" s="55"/>
      <c r="H148" s="55"/>
      <c r="I148" s="55"/>
    </row>
    <row r="149" spans="1:9">
      <c r="A149" s="55"/>
      <c r="B149" s="55"/>
      <c r="C149" s="55"/>
      <c r="D149" s="55"/>
      <c r="E149" s="55"/>
      <c r="F149" s="55"/>
      <c r="G149" s="55"/>
      <c r="H149" s="55"/>
      <c r="I149" s="55"/>
    </row>
    <row r="150" spans="1:9">
      <c r="A150" s="55"/>
      <c r="B150" s="55"/>
      <c r="C150" s="55"/>
      <c r="D150" s="55"/>
      <c r="E150" s="55"/>
      <c r="F150" s="55"/>
      <c r="G150" s="55"/>
      <c r="H150" s="55"/>
      <c r="I150" s="55"/>
    </row>
    <row r="151" spans="1:9">
      <c r="A151" s="55"/>
      <c r="B151" s="55"/>
      <c r="C151" s="55"/>
      <c r="D151" s="55"/>
      <c r="E151" s="55"/>
      <c r="F151" s="55"/>
      <c r="G151" s="55"/>
      <c r="H151" s="55"/>
      <c r="I151" s="55"/>
    </row>
    <row r="152" spans="1:9">
      <c r="A152" s="55"/>
      <c r="B152" s="55"/>
      <c r="C152" s="55"/>
      <c r="D152" s="55"/>
      <c r="E152" s="55"/>
      <c r="F152" s="55"/>
      <c r="G152" s="55"/>
      <c r="H152" s="55"/>
      <c r="I152" s="55"/>
    </row>
    <row r="153" spans="1:9">
      <c r="A153" s="55"/>
      <c r="B153" s="55"/>
      <c r="C153" s="55"/>
      <c r="D153" s="55"/>
      <c r="E153" s="55"/>
      <c r="F153" s="55"/>
      <c r="G153" s="55"/>
      <c r="H153" s="55"/>
      <c r="I153" s="55"/>
    </row>
    <row r="154" spans="1:9">
      <c r="A154" s="55"/>
      <c r="B154" s="55"/>
      <c r="C154" s="55"/>
      <c r="D154" s="55"/>
      <c r="E154" s="55"/>
      <c r="F154" s="55"/>
      <c r="G154" s="55"/>
      <c r="H154" s="55"/>
      <c r="I154" s="55"/>
    </row>
    <row r="155" spans="1:9">
      <c r="A155" s="55"/>
      <c r="B155" s="55"/>
      <c r="C155" s="55"/>
      <c r="D155" s="55"/>
      <c r="E155" s="55"/>
      <c r="F155" s="55"/>
      <c r="G155" s="55"/>
      <c r="H155" s="55"/>
      <c r="I155" s="55"/>
    </row>
    <row r="156" spans="1:9">
      <c r="A156" s="55"/>
      <c r="B156" s="55"/>
      <c r="C156" s="55"/>
      <c r="D156" s="55"/>
      <c r="E156" s="55"/>
      <c r="F156" s="55"/>
      <c r="G156" s="55"/>
      <c r="H156" s="55"/>
      <c r="I156" s="55"/>
    </row>
    <row r="157" spans="1:9">
      <c r="A157" s="55"/>
      <c r="B157" s="55"/>
      <c r="C157" s="55"/>
      <c r="D157" s="55"/>
      <c r="E157" s="55"/>
      <c r="F157" s="55"/>
      <c r="G157" s="55"/>
      <c r="H157" s="55"/>
      <c r="I157" s="55"/>
    </row>
    <row r="158" spans="1:9">
      <c r="A158" s="55"/>
      <c r="B158" s="55"/>
      <c r="C158" s="55"/>
      <c r="D158" s="55"/>
      <c r="E158" s="55"/>
      <c r="F158" s="55"/>
      <c r="G158" s="55"/>
      <c r="H158" s="55"/>
      <c r="I158" s="55"/>
    </row>
    <row r="159" spans="1:9">
      <c r="A159" s="55"/>
      <c r="B159" s="55"/>
      <c r="C159" s="55"/>
      <c r="D159" s="55"/>
      <c r="E159" s="55"/>
      <c r="F159" s="55"/>
      <c r="G159" s="55"/>
      <c r="H159" s="55"/>
      <c r="I159" s="55"/>
    </row>
    <row r="160" spans="1:9">
      <c r="A160" s="55"/>
      <c r="B160" s="55"/>
      <c r="C160" s="55"/>
      <c r="D160" s="55"/>
      <c r="E160" s="55"/>
      <c r="F160" s="55"/>
      <c r="G160" s="55"/>
      <c r="H160" s="55"/>
      <c r="I160" s="55"/>
    </row>
    <row r="161" spans="1:9">
      <c r="A161" s="55"/>
      <c r="B161" s="55"/>
      <c r="C161" s="55"/>
      <c r="D161" s="55"/>
      <c r="E161" s="55"/>
      <c r="F161" s="55"/>
      <c r="G161" s="55"/>
      <c r="H161" s="55"/>
      <c r="I161" s="55"/>
    </row>
    <row r="162" spans="1:9">
      <c r="A162" s="55"/>
      <c r="B162" s="55"/>
      <c r="C162" s="55"/>
      <c r="D162" s="55"/>
      <c r="E162" s="55"/>
      <c r="F162" s="55"/>
      <c r="G162" s="55"/>
      <c r="H162" s="55"/>
      <c r="I162" s="55"/>
    </row>
    <row r="163" spans="1:9">
      <c r="A163" s="55"/>
      <c r="B163" s="55"/>
      <c r="C163" s="55"/>
      <c r="D163" s="55"/>
      <c r="E163" s="55"/>
      <c r="F163" s="55"/>
      <c r="G163" s="55"/>
      <c r="H163" s="55"/>
      <c r="I163" s="55"/>
    </row>
    <row r="164" spans="1:9">
      <c r="A164" s="55"/>
      <c r="B164" s="55"/>
      <c r="C164" s="55"/>
      <c r="D164" s="55"/>
      <c r="E164" s="55"/>
      <c r="F164" s="55"/>
      <c r="G164" s="55"/>
      <c r="H164" s="55"/>
      <c r="I164" s="55"/>
    </row>
    <row r="165" spans="1:9">
      <c r="A165" s="55"/>
      <c r="B165" s="55"/>
      <c r="C165" s="55"/>
      <c r="D165" s="55"/>
      <c r="E165" s="55"/>
      <c r="F165" s="55"/>
      <c r="G165" s="55"/>
      <c r="H165" s="55"/>
      <c r="I165" s="55"/>
    </row>
    <row r="166" spans="1:9">
      <c r="A166" s="55"/>
      <c r="B166" s="55"/>
      <c r="C166" s="55"/>
      <c r="D166" s="55"/>
      <c r="E166" s="55"/>
      <c r="F166" s="55"/>
      <c r="G166" s="55"/>
      <c r="H166" s="55"/>
      <c r="I166" s="55"/>
    </row>
    <row r="167" spans="1:9">
      <c r="A167" s="55"/>
      <c r="B167" s="55"/>
      <c r="C167" s="55"/>
      <c r="D167" s="55"/>
      <c r="E167" s="55"/>
      <c r="F167" s="55"/>
      <c r="G167" s="55"/>
      <c r="H167" s="55"/>
      <c r="I167" s="55"/>
    </row>
    <row r="168" spans="1:9">
      <c r="A168" s="55"/>
      <c r="B168" s="55"/>
      <c r="C168" s="55"/>
      <c r="D168" s="55"/>
      <c r="E168" s="55"/>
      <c r="F168" s="55"/>
      <c r="G168" s="55"/>
      <c r="H168" s="55"/>
      <c r="I168" s="55"/>
    </row>
    <row r="169" spans="1:9">
      <c r="A169" s="55"/>
      <c r="B169" s="55"/>
      <c r="C169" s="55"/>
      <c r="D169" s="55"/>
      <c r="E169" s="55"/>
      <c r="F169" s="55"/>
      <c r="G169" s="55"/>
      <c r="H169" s="55"/>
      <c r="I169" s="55"/>
    </row>
    <row r="170" spans="1:9">
      <c r="A170" s="55"/>
      <c r="B170" s="55"/>
      <c r="C170" s="55"/>
      <c r="D170" s="55"/>
      <c r="E170" s="55"/>
      <c r="F170" s="55"/>
      <c r="G170" s="55"/>
      <c r="H170" s="55"/>
      <c r="I170" s="55"/>
    </row>
    <row r="171" spans="1:9">
      <c r="A171" s="55"/>
      <c r="B171" s="55"/>
      <c r="C171" s="55"/>
      <c r="D171" s="55"/>
      <c r="E171" s="55"/>
      <c r="F171" s="55"/>
      <c r="G171" s="55"/>
      <c r="H171" s="55"/>
      <c r="I171" s="55"/>
    </row>
    <row r="172" spans="1:9">
      <c r="A172" s="55"/>
      <c r="B172" s="55"/>
      <c r="C172" s="55"/>
      <c r="D172" s="55"/>
      <c r="E172" s="55"/>
      <c r="F172" s="55"/>
      <c r="G172" s="55"/>
      <c r="H172" s="55"/>
      <c r="I172" s="55"/>
    </row>
    <row r="173" spans="1:9">
      <c r="A173" s="55"/>
      <c r="B173" s="55"/>
      <c r="C173" s="55"/>
      <c r="D173" s="55"/>
      <c r="E173" s="55"/>
      <c r="F173" s="55"/>
      <c r="G173" s="55"/>
      <c r="H173" s="55"/>
      <c r="I173" s="55"/>
    </row>
    <row r="174" spans="1:9">
      <c r="A174" s="55"/>
      <c r="B174" s="55"/>
      <c r="C174" s="55"/>
      <c r="D174" s="55"/>
      <c r="E174" s="55"/>
      <c r="F174" s="55"/>
      <c r="G174" s="55"/>
      <c r="H174" s="55"/>
      <c r="I174" s="55"/>
    </row>
    <row r="175" spans="1:9">
      <c r="A175" s="55"/>
      <c r="B175" s="55"/>
      <c r="C175" s="55"/>
      <c r="D175" s="55"/>
      <c r="E175" s="55"/>
      <c r="F175" s="55"/>
      <c r="G175" s="55"/>
      <c r="H175" s="55"/>
      <c r="I175" s="55"/>
    </row>
    <row r="176" spans="1:9">
      <c r="A176" s="55"/>
      <c r="B176" s="55"/>
      <c r="C176" s="55"/>
      <c r="D176" s="55"/>
      <c r="E176" s="55"/>
      <c r="F176" s="55"/>
      <c r="G176" s="55"/>
      <c r="H176" s="55"/>
      <c r="I176" s="55"/>
    </row>
    <row r="177" spans="1:9">
      <c r="A177" s="55"/>
      <c r="B177" s="55"/>
      <c r="C177" s="55"/>
      <c r="D177" s="55"/>
      <c r="E177" s="55"/>
      <c r="F177" s="55"/>
      <c r="G177" s="55"/>
      <c r="H177" s="55"/>
      <c r="I177" s="55"/>
    </row>
    <row r="178" spans="1:9">
      <c r="A178" s="55"/>
      <c r="B178" s="55"/>
      <c r="C178" s="55"/>
      <c r="D178" s="55"/>
      <c r="E178" s="55"/>
      <c r="F178" s="55"/>
      <c r="G178" s="55"/>
      <c r="H178" s="55"/>
      <c r="I178" s="55"/>
    </row>
    <row r="179" spans="1:9">
      <c r="A179" s="55"/>
      <c r="B179" s="55"/>
      <c r="C179" s="55"/>
      <c r="D179" s="55"/>
      <c r="E179" s="55"/>
      <c r="F179" s="55"/>
      <c r="G179" s="55"/>
      <c r="H179" s="55"/>
      <c r="I179" s="55"/>
    </row>
    <row r="180" spans="1:9">
      <c r="A180" s="55"/>
      <c r="B180" s="55"/>
      <c r="C180" s="55"/>
      <c r="D180" s="55"/>
      <c r="E180" s="55"/>
      <c r="F180" s="55"/>
      <c r="G180" s="55"/>
      <c r="H180" s="55"/>
      <c r="I180" s="55"/>
    </row>
    <row r="181" spans="1:9">
      <c r="A181" s="55"/>
      <c r="B181" s="55"/>
      <c r="C181" s="55"/>
      <c r="D181" s="55"/>
      <c r="E181" s="55"/>
      <c r="F181" s="55"/>
      <c r="G181" s="55"/>
      <c r="H181" s="55"/>
      <c r="I181" s="55"/>
    </row>
    <row r="182" spans="1:9">
      <c r="A182" s="55"/>
      <c r="B182" s="55"/>
      <c r="C182" s="55"/>
      <c r="D182" s="55"/>
      <c r="E182" s="55"/>
      <c r="F182" s="55"/>
      <c r="G182" s="55"/>
      <c r="H182" s="55"/>
      <c r="I182" s="55"/>
    </row>
    <row r="183" spans="1:9">
      <c r="A183" s="55"/>
      <c r="B183" s="55"/>
      <c r="C183" s="55"/>
      <c r="D183" s="55"/>
      <c r="E183" s="55"/>
      <c r="F183" s="55"/>
      <c r="G183" s="55"/>
      <c r="H183" s="55"/>
      <c r="I183" s="55"/>
    </row>
    <row r="184" spans="1:9">
      <c r="A184" s="55"/>
      <c r="B184" s="55"/>
      <c r="C184" s="55"/>
      <c r="D184" s="55"/>
      <c r="E184" s="55"/>
      <c r="F184" s="55"/>
      <c r="G184" s="55"/>
      <c r="H184" s="55"/>
      <c r="I184" s="55"/>
    </row>
    <row r="185" spans="1:9">
      <c r="A185" s="55"/>
      <c r="B185" s="55"/>
      <c r="C185" s="55"/>
      <c r="D185" s="55"/>
      <c r="E185" s="55"/>
      <c r="F185" s="55"/>
      <c r="G185" s="55"/>
      <c r="H185" s="55"/>
      <c r="I185" s="55"/>
    </row>
    <row r="186" spans="1:9">
      <c r="A186" s="55"/>
      <c r="B186" s="55"/>
      <c r="C186" s="55"/>
      <c r="D186" s="55"/>
      <c r="E186" s="55"/>
      <c r="F186" s="55"/>
      <c r="G186" s="55"/>
      <c r="H186" s="55"/>
      <c r="I186" s="55"/>
    </row>
    <row r="187" spans="1:9">
      <c r="A187" s="55"/>
      <c r="B187" s="55"/>
      <c r="C187" s="55"/>
      <c r="D187" s="55"/>
      <c r="E187" s="55"/>
      <c r="F187" s="55"/>
      <c r="G187" s="55"/>
      <c r="H187" s="55"/>
      <c r="I187" s="55"/>
    </row>
    <row r="188" spans="1:9">
      <c r="A188" s="55"/>
      <c r="B188" s="55"/>
      <c r="C188" s="55"/>
      <c r="D188" s="55"/>
      <c r="E188" s="55"/>
      <c r="F188" s="55"/>
      <c r="G188" s="55"/>
      <c r="H188" s="55"/>
      <c r="I188" s="55"/>
    </row>
    <row r="189" spans="1:9">
      <c r="A189" s="55"/>
      <c r="B189" s="55"/>
      <c r="C189" s="55"/>
      <c r="D189" s="55"/>
      <c r="E189" s="55"/>
      <c r="F189" s="55"/>
      <c r="G189" s="55"/>
      <c r="H189" s="55"/>
      <c r="I189" s="55"/>
    </row>
    <row r="190" spans="1:9">
      <c r="A190" s="55"/>
      <c r="B190" s="55"/>
      <c r="C190" s="55"/>
      <c r="D190" s="55"/>
      <c r="E190" s="55"/>
      <c r="F190" s="55"/>
      <c r="G190" s="55"/>
      <c r="H190" s="55"/>
      <c r="I190" s="55"/>
    </row>
    <row r="191" spans="1:9">
      <c r="A191" s="55"/>
      <c r="B191" s="55"/>
      <c r="C191" s="55"/>
      <c r="D191" s="55"/>
      <c r="E191" s="55"/>
      <c r="F191" s="55"/>
      <c r="G191" s="55"/>
      <c r="H191" s="55"/>
      <c r="I191" s="55"/>
    </row>
    <row r="192" spans="1:9">
      <c r="A192" s="55"/>
      <c r="B192" s="55"/>
      <c r="C192" s="55"/>
      <c r="D192" s="55"/>
      <c r="E192" s="55"/>
      <c r="F192" s="55"/>
      <c r="G192" s="55"/>
      <c r="H192" s="55"/>
      <c r="I192" s="55"/>
    </row>
    <row r="193" spans="1:9">
      <c r="A193" s="55"/>
      <c r="B193" s="55"/>
      <c r="C193" s="55"/>
      <c r="D193" s="55"/>
      <c r="E193" s="55"/>
      <c r="F193" s="55"/>
      <c r="G193" s="55"/>
      <c r="H193" s="55"/>
      <c r="I193" s="55"/>
    </row>
    <row r="194" spans="1:9">
      <c r="A194" s="55"/>
      <c r="B194" s="55"/>
      <c r="C194" s="55"/>
      <c r="D194" s="55"/>
      <c r="E194" s="55"/>
      <c r="F194" s="55"/>
      <c r="G194" s="55"/>
      <c r="H194" s="55"/>
      <c r="I194" s="55"/>
    </row>
    <row r="195" spans="1:9">
      <c r="A195" s="55"/>
      <c r="B195" s="55"/>
      <c r="C195" s="55"/>
      <c r="D195" s="55"/>
      <c r="E195" s="55"/>
      <c r="F195" s="55"/>
      <c r="G195" s="55"/>
      <c r="H195" s="55"/>
      <c r="I195" s="55"/>
    </row>
    <row r="196" spans="1:9">
      <c r="A196" s="55"/>
      <c r="B196" s="55"/>
      <c r="C196" s="55"/>
      <c r="D196" s="55"/>
      <c r="E196" s="55"/>
      <c r="F196" s="55"/>
      <c r="G196" s="55"/>
      <c r="H196" s="55"/>
      <c r="I196" s="55"/>
    </row>
    <row r="197" spans="1:9">
      <c r="A197" s="55"/>
      <c r="B197" s="55"/>
      <c r="C197" s="55"/>
      <c r="D197" s="55"/>
      <c r="E197" s="55"/>
      <c r="F197" s="55"/>
      <c r="G197" s="55"/>
      <c r="H197" s="55"/>
      <c r="I197" s="55"/>
    </row>
    <row r="198" spans="1:9">
      <c r="A198" s="55"/>
      <c r="B198" s="55"/>
      <c r="C198" s="55"/>
      <c r="D198" s="55"/>
      <c r="E198" s="55"/>
      <c r="F198" s="55"/>
      <c r="G198" s="55"/>
      <c r="H198" s="55"/>
      <c r="I198" s="55"/>
    </row>
    <row r="199" spans="1:9">
      <c r="A199" s="55"/>
      <c r="B199" s="55"/>
      <c r="C199" s="55"/>
      <c r="D199" s="55"/>
      <c r="E199" s="55"/>
      <c r="F199" s="55"/>
      <c r="G199" s="55"/>
      <c r="H199" s="55"/>
      <c r="I199" s="55"/>
    </row>
    <row r="200" spans="1:9">
      <c r="A200" s="55"/>
      <c r="B200" s="55"/>
      <c r="C200" s="55"/>
      <c r="D200" s="55"/>
      <c r="E200" s="55"/>
      <c r="F200" s="55"/>
      <c r="G200" s="55"/>
      <c r="H200" s="55"/>
      <c r="I200" s="55"/>
    </row>
    <row r="201" spans="1:9">
      <c r="A201" s="55"/>
      <c r="B201" s="55"/>
      <c r="C201" s="55"/>
      <c r="D201" s="55"/>
      <c r="E201" s="55"/>
      <c r="F201" s="55"/>
      <c r="G201" s="55"/>
      <c r="H201" s="55"/>
      <c r="I201" s="55"/>
    </row>
    <row r="202" spans="1:9">
      <c r="A202" s="55"/>
      <c r="B202" s="55"/>
      <c r="C202" s="55"/>
      <c r="D202" s="55"/>
      <c r="E202" s="55"/>
      <c r="F202" s="55"/>
      <c r="G202" s="55"/>
      <c r="H202" s="55"/>
      <c r="I202" s="55"/>
    </row>
    <row r="203" spans="1:9">
      <c r="A203" s="55"/>
      <c r="B203" s="55"/>
      <c r="C203" s="55"/>
      <c r="D203" s="55"/>
      <c r="E203" s="55"/>
      <c r="F203" s="55"/>
      <c r="G203" s="55"/>
      <c r="H203" s="55"/>
      <c r="I203" s="55"/>
    </row>
    <row r="204" spans="1:9">
      <c r="A204" s="55"/>
      <c r="B204" s="55"/>
      <c r="C204" s="55"/>
      <c r="D204" s="55"/>
      <c r="E204" s="55"/>
      <c r="F204" s="55"/>
      <c r="G204" s="55"/>
      <c r="H204" s="55"/>
      <c r="I204" s="55"/>
    </row>
    <row r="205" spans="1:9">
      <c r="A205" s="55"/>
      <c r="B205" s="55"/>
      <c r="C205" s="55"/>
      <c r="D205" s="55"/>
      <c r="E205" s="55"/>
      <c r="F205" s="55"/>
      <c r="G205" s="55"/>
      <c r="H205" s="55"/>
      <c r="I205" s="55"/>
    </row>
    <row r="206" spans="1:9">
      <c r="A206" s="55"/>
      <c r="B206" s="55"/>
      <c r="C206" s="55"/>
      <c r="D206" s="55"/>
      <c r="E206" s="55"/>
      <c r="F206" s="55"/>
      <c r="G206" s="55"/>
      <c r="H206" s="55"/>
      <c r="I206" s="55"/>
    </row>
    <row r="207" spans="1:9">
      <c r="A207" s="55"/>
      <c r="B207" s="55"/>
      <c r="C207" s="55"/>
      <c r="D207" s="55"/>
      <c r="E207" s="55"/>
      <c r="F207" s="55"/>
      <c r="G207" s="55"/>
      <c r="H207" s="55"/>
      <c r="I207" s="55"/>
    </row>
    <row r="208" spans="1:9">
      <c r="A208" s="55"/>
      <c r="B208" s="55"/>
      <c r="C208" s="55"/>
      <c r="D208" s="55"/>
      <c r="E208" s="55"/>
      <c r="F208" s="55"/>
      <c r="G208" s="55"/>
      <c r="H208" s="55"/>
      <c r="I208" s="55"/>
    </row>
    <row r="209" spans="1:9">
      <c r="A209" s="55"/>
      <c r="B209" s="55"/>
      <c r="C209" s="55"/>
      <c r="D209" s="55"/>
      <c r="E209" s="55"/>
      <c r="F209" s="55"/>
      <c r="G209" s="55"/>
      <c r="H209" s="55"/>
      <c r="I209" s="55"/>
    </row>
    <row r="210" spans="1:9">
      <c r="A210" s="55"/>
      <c r="B210" s="55"/>
      <c r="C210" s="55"/>
      <c r="D210" s="55"/>
      <c r="E210" s="55"/>
      <c r="F210" s="55"/>
      <c r="G210" s="55"/>
      <c r="H210" s="55"/>
      <c r="I210" s="55"/>
    </row>
    <row r="211" spans="1:9">
      <c r="A211" s="55"/>
      <c r="B211" s="55"/>
      <c r="C211" s="55"/>
      <c r="D211" s="55"/>
      <c r="E211" s="55"/>
      <c r="F211" s="55"/>
      <c r="G211" s="55"/>
      <c r="H211" s="55"/>
      <c r="I211" s="55"/>
    </row>
    <row r="212" spans="1:9">
      <c r="A212" s="55"/>
      <c r="B212" s="55"/>
      <c r="C212" s="55"/>
      <c r="D212" s="55"/>
      <c r="E212" s="55"/>
      <c r="F212" s="55"/>
      <c r="G212" s="55"/>
      <c r="H212" s="55"/>
      <c r="I212" s="55"/>
    </row>
    <row r="213" spans="1:9">
      <c r="A213" s="55"/>
      <c r="B213" s="55"/>
      <c r="C213" s="55"/>
      <c r="D213" s="55"/>
      <c r="E213" s="55"/>
      <c r="F213" s="55"/>
      <c r="G213" s="55"/>
      <c r="H213" s="55"/>
      <c r="I213" s="55"/>
    </row>
    <row r="214" spans="1:9">
      <c r="A214" s="55"/>
      <c r="B214" s="55"/>
      <c r="C214" s="55"/>
      <c r="D214" s="55"/>
      <c r="E214" s="55"/>
      <c r="F214" s="55"/>
      <c r="G214" s="55"/>
      <c r="H214" s="55"/>
      <c r="I214" s="55"/>
    </row>
    <row r="215" spans="1:9">
      <c r="A215" s="55"/>
      <c r="B215" s="55"/>
      <c r="C215" s="55"/>
      <c r="D215" s="55"/>
      <c r="E215" s="55"/>
      <c r="F215" s="55"/>
      <c r="G215" s="55"/>
      <c r="H215" s="55"/>
      <c r="I215" s="55"/>
    </row>
    <row r="216" spans="1:9">
      <c r="A216" s="55"/>
      <c r="B216" s="55"/>
      <c r="C216" s="55"/>
      <c r="D216" s="55"/>
      <c r="E216" s="55"/>
      <c r="F216" s="55"/>
      <c r="G216" s="55"/>
      <c r="H216" s="55"/>
      <c r="I216" s="55"/>
    </row>
    <row r="217" spans="1:9">
      <c r="A217" s="55"/>
      <c r="B217" s="55"/>
      <c r="C217" s="55"/>
      <c r="D217" s="55"/>
      <c r="E217" s="55"/>
      <c r="F217" s="55"/>
      <c r="G217" s="55"/>
      <c r="H217" s="55"/>
      <c r="I217" s="55"/>
    </row>
    <row r="218" spans="1:9">
      <c r="A218" s="55"/>
      <c r="B218" s="55"/>
      <c r="C218" s="55"/>
      <c r="D218" s="55"/>
      <c r="E218" s="55"/>
      <c r="F218" s="55"/>
      <c r="G218" s="55"/>
      <c r="H218" s="55"/>
      <c r="I218" s="55"/>
    </row>
    <row r="219" spans="1:9">
      <c r="A219" s="55"/>
      <c r="B219" s="55"/>
      <c r="C219" s="55"/>
      <c r="D219" s="55"/>
      <c r="E219" s="55"/>
      <c r="F219" s="55"/>
      <c r="G219" s="55"/>
      <c r="H219" s="55"/>
      <c r="I219" s="55"/>
    </row>
    <row r="220" spans="1:9">
      <c r="A220" s="55"/>
      <c r="B220" s="55"/>
      <c r="C220" s="55"/>
      <c r="D220" s="55"/>
      <c r="E220" s="55"/>
      <c r="F220" s="55"/>
      <c r="G220" s="55"/>
      <c r="H220" s="55"/>
      <c r="I220" s="55"/>
    </row>
    <row r="221" spans="1:9">
      <c r="A221" s="55"/>
      <c r="B221" s="55"/>
      <c r="C221" s="55"/>
      <c r="D221" s="55"/>
      <c r="E221" s="55"/>
      <c r="F221" s="55"/>
      <c r="G221" s="55"/>
      <c r="H221" s="55"/>
      <c r="I221" s="55"/>
    </row>
    <row r="222" spans="1:9">
      <c r="A222" s="55"/>
      <c r="B222" s="55"/>
      <c r="C222" s="55"/>
      <c r="D222" s="55"/>
      <c r="E222" s="55"/>
      <c r="F222" s="55"/>
      <c r="G222" s="55"/>
      <c r="H222" s="55"/>
      <c r="I222" s="55"/>
    </row>
    <row r="223" spans="1:9">
      <c r="A223" s="55"/>
      <c r="B223" s="55"/>
      <c r="C223" s="55"/>
      <c r="D223" s="55"/>
      <c r="E223" s="55"/>
      <c r="F223" s="55"/>
      <c r="G223" s="55"/>
      <c r="H223" s="55"/>
      <c r="I223" s="55"/>
    </row>
    <row r="224" spans="1:9">
      <c r="A224" s="55"/>
      <c r="B224" s="55"/>
      <c r="C224" s="55"/>
      <c r="D224" s="55"/>
      <c r="E224" s="55"/>
      <c r="F224" s="55"/>
      <c r="G224" s="55"/>
      <c r="H224" s="55"/>
      <c r="I224" s="55"/>
    </row>
    <row r="225" spans="1:9">
      <c r="A225" s="55"/>
      <c r="B225" s="55"/>
      <c r="C225" s="55"/>
      <c r="D225" s="55"/>
      <c r="E225" s="55"/>
      <c r="F225" s="55"/>
      <c r="G225" s="55"/>
      <c r="H225" s="55"/>
      <c r="I225" s="55"/>
    </row>
    <row r="226" spans="1:9">
      <c r="A226" s="55"/>
      <c r="B226" s="55"/>
      <c r="C226" s="55"/>
      <c r="D226" s="55"/>
      <c r="E226" s="55"/>
      <c r="F226" s="55"/>
      <c r="G226" s="55"/>
      <c r="H226" s="55"/>
      <c r="I226" s="55"/>
    </row>
    <row r="227" spans="1:9">
      <c r="A227" s="55"/>
      <c r="B227" s="55"/>
      <c r="C227" s="55"/>
      <c r="D227" s="55"/>
      <c r="E227" s="55"/>
      <c r="F227" s="55"/>
      <c r="G227" s="55"/>
      <c r="H227" s="55"/>
      <c r="I227" s="55"/>
    </row>
    <row r="228" spans="1:9">
      <c r="A228" s="55"/>
      <c r="B228" s="55"/>
      <c r="C228" s="55"/>
      <c r="D228" s="55"/>
      <c r="E228" s="55"/>
      <c r="F228" s="55"/>
      <c r="G228" s="55"/>
      <c r="H228" s="55"/>
      <c r="I228" s="55"/>
    </row>
    <row r="229" spans="1:9">
      <c r="A229" s="55"/>
      <c r="B229" s="55"/>
      <c r="C229" s="55"/>
      <c r="D229" s="55"/>
      <c r="E229" s="55"/>
      <c r="F229" s="55"/>
      <c r="G229" s="55"/>
      <c r="H229" s="55"/>
      <c r="I229" s="55"/>
    </row>
    <row r="230" spans="1:9">
      <c r="A230" s="55"/>
      <c r="B230" s="55"/>
      <c r="C230" s="55"/>
      <c r="D230" s="55"/>
      <c r="E230" s="55"/>
      <c r="F230" s="55"/>
      <c r="G230" s="55"/>
      <c r="H230" s="55"/>
      <c r="I230" s="55"/>
    </row>
    <row r="231" spans="1:9">
      <c r="A231" s="55"/>
      <c r="B231" s="55"/>
      <c r="C231" s="55"/>
      <c r="D231" s="55"/>
      <c r="E231" s="55"/>
      <c r="F231" s="55"/>
      <c r="G231" s="55"/>
      <c r="H231" s="55"/>
      <c r="I231" s="55"/>
    </row>
    <row r="232" spans="1:9">
      <c r="A232" s="55"/>
      <c r="B232" s="55"/>
      <c r="C232" s="55"/>
      <c r="D232" s="55"/>
      <c r="E232" s="55"/>
      <c r="F232" s="55"/>
      <c r="G232" s="55"/>
      <c r="H232" s="55"/>
      <c r="I232" s="55"/>
    </row>
    <row r="233" spans="1:9">
      <c r="A233" s="55"/>
      <c r="B233" s="55"/>
      <c r="C233" s="55"/>
      <c r="D233" s="55"/>
      <c r="E233" s="55"/>
      <c r="F233" s="55"/>
      <c r="G233" s="55"/>
      <c r="H233" s="55"/>
      <c r="I233" s="55"/>
    </row>
    <row r="234" spans="1:9">
      <c r="A234" s="55"/>
      <c r="B234" s="55"/>
      <c r="C234" s="55"/>
      <c r="D234" s="55"/>
      <c r="E234" s="55"/>
      <c r="F234" s="55"/>
      <c r="G234" s="55"/>
      <c r="H234" s="55"/>
      <c r="I234" s="55"/>
    </row>
    <row r="235" spans="1:9">
      <c r="A235" s="55"/>
      <c r="B235" s="55"/>
      <c r="C235" s="55"/>
      <c r="D235" s="55"/>
      <c r="E235" s="55"/>
      <c r="F235" s="55"/>
      <c r="G235" s="55"/>
      <c r="H235" s="55"/>
      <c r="I235" s="55"/>
    </row>
    <row r="236" spans="1:9">
      <c r="A236" s="55"/>
      <c r="B236" s="55"/>
      <c r="C236" s="55"/>
      <c r="D236" s="55"/>
      <c r="E236" s="55"/>
      <c r="F236" s="55"/>
      <c r="G236" s="55"/>
      <c r="H236" s="55"/>
      <c r="I236" s="55"/>
    </row>
    <row r="237" spans="1:9">
      <c r="A237" s="55"/>
      <c r="B237" s="55"/>
      <c r="C237" s="55"/>
      <c r="D237" s="55"/>
      <c r="E237" s="55"/>
      <c r="F237" s="55"/>
      <c r="G237" s="55"/>
      <c r="H237" s="55"/>
      <c r="I237" s="55"/>
    </row>
    <row r="238" spans="1:9">
      <c r="A238" s="55"/>
      <c r="B238" s="55"/>
      <c r="C238" s="55"/>
      <c r="D238" s="55"/>
      <c r="E238" s="55"/>
      <c r="F238" s="55"/>
      <c r="G238" s="55"/>
      <c r="H238" s="55"/>
      <c r="I238" s="55"/>
    </row>
    <row r="239" spans="1:9">
      <c r="A239" s="55"/>
      <c r="B239" s="55"/>
      <c r="C239" s="55"/>
      <c r="D239" s="55"/>
      <c r="E239" s="55"/>
      <c r="F239" s="55"/>
      <c r="G239" s="55"/>
      <c r="H239" s="55"/>
      <c r="I239" s="55"/>
    </row>
    <row r="240" spans="1:9">
      <c r="A240" s="55"/>
      <c r="B240" s="55"/>
      <c r="C240" s="55"/>
      <c r="D240" s="55"/>
      <c r="E240" s="55"/>
      <c r="F240" s="55"/>
      <c r="G240" s="55"/>
      <c r="H240" s="55"/>
      <c r="I240" s="55"/>
    </row>
    <row r="241" spans="1:9">
      <c r="A241" s="55"/>
      <c r="B241" s="55"/>
      <c r="C241" s="55"/>
      <c r="D241" s="55"/>
      <c r="E241" s="55"/>
      <c r="F241" s="55"/>
      <c r="G241" s="55"/>
      <c r="H241" s="55"/>
      <c r="I241" s="55"/>
    </row>
    <row r="242" spans="1:9">
      <c r="A242" s="55"/>
      <c r="B242" s="55"/>
      <c r="C242" s="55"/>
      <c r="D242" s="55"/>
      <c r="E242" s="55"/>
      <c r="F242" s="55"/>
      <c r="G242" s="55"/>
      <c r="H242" s="55"/>
      <c r="I242" s="55"/>
    </row>
    <row r="243" spans="1:9">
      <c r="A243" s="55"/>
      <c r="B243" s="55"/>
      <c r="C243" s="55"/>
      <c r="D243" s="55"/>
      <c r="E243" s="55"/>
      <c r="F243" s="55"/>
      <c r="G243" s="55"/>
      <c r="H243" s="55"/>
      <c r="I243" s="55"/>
    </row>
    <row r="244" spans="1:9">
      <c r="A244" s="55"/>
      <c r="B244" s="55"/>
      <c r="C244" s="55"/>
      <c r="D244" s="55"/>
      <c r="E244" s="55"/>
      <c r="F244" s="55"/>
      <c r="G244" s="55"/>
      <c r="H244" s="55"/>
      <c r="I244" s="55"/>
    </row>
    <row r="245" spans="1:9">
      <c r="A245" s="55"/>
      <c r="B245" s="55"/>
      <c r="C245" s="55"/>
      <c r="D245" s="55"/>
      <c r="E245" s="55"/>
      <c r="F245" s="55"/>
      <c r="G245" s="55"/>
      <c r="H245" s="55"/>
      <c r="I245" s="55"/>
    </row>
    <row r="246" spans="1:9">
      <c r="A246" s="55"/>
      <c r="B246" s="55"/>
      <c r="C246" s="55"/>
      <c r="D246" s="55"/>
      <c r="E246" s="55"/>
      <c r="F246" s="55"/>
      <c r="G246" s="55"/>
      <c r="H246" s="55"/>
      <c r="I246" s="55"/>
    </row>
    <row r="247" spans="1:9">
      <c r="B247" s="55"/>
      <c r="C247" s="55"/>
      <c r="D247" s="55"/>
      <c r="E247" s="55"/>
      <c r="F247" s="55"/>
      <c r="G247" s="55"/>
      <c r="H247" s="55"/>
      <c r="I247" s="55"/>
    </row>
    <row r="248" spans="1:9">
      <c r="B248" s="55"/>
      <c r="C248" s="55"/>
      <c r="D248" s="55"/>
      <c r="E248" s="55"/>
      <c r="F248" s="55"/>
      <c r="G248" s="55"/>
      <c r="H248" s="55"/>
      <c r="I248" s="55"/>
    </row>
    <row r="249" spans="1:9">
      <c r="B249" s="55"/>
      <c r="C249" s="55"/>
      <c r="D249" s="55"/>
      <c r="E249" s="55"/>
      <c r="F249" s="55"/>
      <c r="G249" s="55"/>
      <c r="H249" s="55"/>
      <c r="I249" s="55"/>
    </row>
    <row r="250" spans="1:9">
      <c r="B250" s="55"/>
      <c r="C250" s="55"/>
      <c r="D250" s="55"/>
      <c r="E250" s="55"/>
      <c r="F250" s="55"/>
      <c r="G250" s="55"/>
      <c r="H250" s="55"/>
      <c r="I250" s="55"/>
    </row>
    <row r="251" spans="1:9">
      <c r="B251" s="55"/>
      <c r="C251" s="55"/>
      <c r="D251" s="55"/>
      <c r="E251" s="55"/>
      <c r="F251" s="55"/>
      <c r="G251" s="55"/>
      <c r="H251" s="55"/>
      <c r="I251" s="55"/>
    </row>
    <row r="252" spans="1:9">
      <c r="B252" s="55"/>
      <c r="C252" s="55"/>
      <c r="D252" s="55"/>
      <c r="E252" s="55"/>
      <c r="F252" s="55"/>
      <c r="G252" s="55"/>
      <c r="H252" s="55"/>
      <c r="I252" s="55"/>
    </row>
    <row r="253" spans="1:9">
      <c r="B253" s="55"/>
      <c r="C253" s="55"/>
      <c r="D253" s="55"/>
      <c r="E253" s="55"/>
      <c r="F253" s="55"/>
      <c r="G253" s="55"/>
      <c r="H253" s="55"/>
      <c r="I253" s="55"/>
    </row>
    <row r="254" spans="1:9">
      <c r="B254" s="55"/>
      <c r="C254" s="55"/>
      <c r="D254" s="55"/>
      <c r="E254" s="55"/>
      <c r="F254" s="55"/>
      <c r="G254" s="55"/>
      <c r="H254" s="55"/>
      <c r="I254" s="55"/>
    </row>
    <row r="255" spans="1:9">
      <c r="B255" s="55"/>
      <c r="C255" s="55"/>
      <c r="D255" s="55"/>
      <c r="E255" s="55"/>
      <c r="F255" s="55"/>
      <c r="G255" s="55"/>
      <c r="H255" s="55"/>
      <c r="I255" s="55"/>
    </row>
    <row r="256" spans="1: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sheetData>
  <sheetProtection password="CDB6" sheet="1" objects="1" scenarios="1" autoFilter="0"/>
  <mergeCells count="94">
    <mergeCell ref="A102:A110"/>
    <mergeCell ref="B102:B103"/>
    <mergeCell ref="A46:A54"/>
    <mergeCell ref="C102:C103"/>
    <mergeCell ref="A80:A88"/>
    <mergeCell ref="B80:B81"/>
    <mergeCell ref="C80:C81"/>
    <mergeCell ref="A58:A66"/>
    <mergeCell ref="B58:B59"/>
    <mergeCell ref="C58:C59"/>
    <mergeCell ref="A79:B79"/>
    <mergeCell ref="A101:B101"/>
    <mergeCell ref="F61:F66"/>
    <mergeCell ref="A68:A76"/>
    <mergeCell ref="B68:B69"/>
    <mergeCell ref="C68:C69"/>
    <mergeCell ref="F71:F76"/>
    <mergeCell ref="F83:F88"/>
    <mergeCell ref="A90:A98"/>
    <mergeCell ref="B90:B91"/>
    <mergeCell ref="C90:C91"/>
    <mergeCell ref="F93:F98"/>
    <mergeCell ref="A134:A142"/>
    <mergeCell ref="B134:B135"/>
    <mergeCell ref="C134:C135"/>
    <mergeCell ref="F137:F142"/>
    <mergeCell ref="F105:F110"/>
    <mergeCell ref="A112:A120"/>
    <mergeCell ref="B112:B113"/>
    <mergeCell ref="C112:C113"/>
    <mergeCell ref="F115:F120"/>
    <mergeCell ref="A124:A132"/>
    <mergeCell ref="B124:B125"/>
    <mergeCell ref="C124:C125"/>
    <mergeCell ref="F127:F132"/>
    <mergeCell ref="F122:I122"/>
    <mergeCell ref="F123:I123"/>
    <mergeCell ref="A123:B123"/>
    <mergeCell ref="C2:G2"/>
    <mergeCell ref="C3:G3"/>
    <mergeCell ref="C5:G5"/>
    <mergeCell ref="C7:G7"/>
    <mergeCell ref="C8:G8"/>
    <mergeCell ref="C6:G6"/>
    <mergeCell ref="C4:G4"/>
    <mergeCell ref="F49:F54"/>
    <mergeCell ref="B16:F16"/>
    <mergeCell ref="C27:E27"/>
    <mergeCell ref="F39:F44"/>
    <mergeCell ref="C31:E31"/>
    <mergeCell ref="C32:E32"/>
    <mergeCell ref="B46:B47"/>
    <mergeCell ref="C29:E30"/>
    <mergeCell ref="C46:C47"/>
    <mergeCell ref="B29:B30"/>
    <mergeCell ref="M34:N34"/>
    <mergeCell ref="A35:B35"/>
    <mergeCell ref="B36:B37"/>
    <mergeCell ref="C36:C37"/>
    <mergeCell ref="A36:A44"/>
    <mergeCell ref="K34:L34"/>
    <mergeCell ref="M42:N42"/>
    <mergeCell ref="G34:H34"/>
    <mergeCell ref="G35:H35"/>
    <mergeCell ref="I34:J34"/>
    <mergeCell ref="I35:J35"/>
    <mergeCell ref="I36:I38"/>
    <mergeCell ref="G56:H56"/>
    <mergeCell ref="I56:J56"/>
    <mergeCell ref="G57:H57"/>
    <mergeCell ref="I57:J57"/>
    <mergeCell ref="G78:H78"/>
    <mergeCell ref="I78:J78"/>
    <mergeCell ref="G79:H79"/>
    <mergeCell ref="I79:J79"/>
    <mergeCell ref="G100:H100"/>
    <mergeCell ref="I100:J100"/>
    <mergeCell ref="G101:H101"/>
    <mergeCell ref="I101:J101"/>
    <mergeCell ref="I102:I104"/>
    <mergeCell ref="I112:I114"/>
    <mergeCell ref="O37:O39"/>
    <mergeCell ref="O47:O49"/>
    <mergeCell ref="O60:O62"/>
    <mergeCell ref="O69:O71"/>
    <mergeCell ref="O81:O83"/>
    <mergeCell ref="O91:O93"/>
    <mergeCell ref="O103:O105"/>
    <mergeCell ref="O113:O115"/>
    <mergeCell ref="I46:I48"/>
    <mergeCell ref="I58:I60"/>
    <mergeCell ref="I68:I70"/>
    <mergeCell ref="I80:I82"/>
    <mergeCell ref="I90:I92"/>
  </mergeCells>
  <dataValidations count="2">
    <dataValidation type="decimal" operator="greaterThanOrEqual" allowBlank="1" showInputMessage="1" showErrorMessage="1" sqref="G39:H44 G49:H54 G61:H66 G71:H76 G83:H88 G93:H98 G105:H110 G115:H120 G127:H132 G137:H142">
      <formula1>0</formula1>
    </dataValidation>
    <dataValidation type="list" allowBlank="1" showInputMessage="1" showErrorMessage="1" sqref="C2:D2">
      <formula1>INDIRECT(C1)</formula1>
    </dataValidation>
  </dataValidations>
  <pageMargins left="0.7" right="0.7" top="0.75" bottom="0.75" header="0.3" footer="0.3"/>
  <pageSetup paperSize="9" scale="44" orientation="portrait" r:id="rId1"/>
  <rowBreaks count="1" manualBreakCount="1">
    <brk id="89" max="8" man="1"/>
  </rowBreaks>
  <legacyDrawing r:id="rId2"/>
  <extLst xmlns:x14="http://schemas.microsoft.com/office/spreadsheetml/2009/9/main">
    <ext uri="{CCE6A557-97BC-4b89-ADB6-D9C93CAAB3DF}">
      <x14:dataValidations xmlns:xm="http://schemas.microsoft.com/office/excel/2006/main" count="18">
        <x14:dataValidation type="list" allowBlank="1" showInputMessage="1" showErrorMessage="1">
          <x14:formula1>
            <xm:f>LISTES!$H$1:$H$2</xm:f>
          </x14:formula1>
          <xm:sqref>C11:D13 F101 F57 F79 F35</xm:sqref>
        </x14:dataValidation>
        <x14:dataValidation type="list" allowBlank="1" showInputMessage="1" showErrorMessage="1">
          <x14:formula1>
            <xm:f>LISTES!$Q$1:$Q$5</xm:f>
          </x14:formula1>
          <xm:sqref>E11:F11</xm:sqref>
        </x14:dataValidation>
        <x14:dataValidation type="list" allowBlank="1" showInputMessage="1" showErrorMessage="1">
          <x14:formula1>
            <xm:f>LISTES!$A$1:$A$6</xm:f>
          </x14:formula1>
          <xm:sqref>C17:E17</xm:sqref>
        </x14:dataValidation>
        <x14:dataValidation type="list" allowBlank="1" showInputMessage="1" showErrorMessage="1">
          <x14:formula1>
            <xm:f>LISTES!$C$4:$C$5</xm:f>
          </x14:formula1>
          <xm:sqref>H24</xm:sqref>
        </x14:dataValidation>
        <x14:dataValidation type="list" allowBlank="1" showInputMessage="1" showErrorMessage="1">
          <x14:formula1>
            <xm:f>LISTES!$C$3:$C$5</xm:f>
          </x14:formula1>
          <xm:sqref>B39:B44 B49:B54 B61:B66 B71:B76 B83:B88 B93:B98 B105:B110 B115:B120 B127:B132 B137:B142</xm:sqref>
        </x14:dataValidation>
        <x14:dataValidation type="list" allowBlank="1" showInputMessage="1" showErrorMessage="1">
          <x14:formula1>
            <xm:f>LISTES!$P$1:$P$7</xm:f>
          </x14:formula1>
          <xm:sqref>C1</xm:sqref>
        </x14:dataValidation>
        <x14:dataValidation type="list" allowBlank="1" showInputMessage="1" showErrorMessage="1">
          <x14:formula1>
            <xm:f>LISTES!$P$1:$P$6</xm:f>
          </x14:formula1>
          <xm:sqref>D1</xm:sqref>
        </x14:dataValidation>
        <x14:dataValidation type="list" allowBlank="1" showInputMessage="1" showErrorMessage="1">
          <x14:formula1>
            <xm:f>LISTES!$A$8:$A$12</xm:f>
          </x14:formula1>
          <xm:sqref>C14:E14</xm:sqref>
        </x14:dataValidation>
        <x14:dataValidation type="list" allowBlank="1" showInputMessage="1" showErrorMessage="1">
          <x14:formula1>
            <xm:f>LISTES!$A$8:$A$10</xm:f>
          </x14:formula1>
          <xm:sqref>G35:H35</xm:sqref>
        </x14:dataValidation>
        <x14:dataValidation type="list" allowBlank="1" showInputMessage="1" showErrorMessage="1">
          <x14:formula1>
            <xm:f>LISTES!$A$27</xm:f>
          </x14:formula1>
          <xm:sqref>I57:J57</xm:sqref>
        </x14:dataValidation>
        <x14:dataValidation type="list" allowBlank="1" showInputMessage="1" showErrorMessage="1">
          <x14:formula1>
            <xm:f>LISTES!$A$20:$A$20</xm:f>
          </x14:formula1>
          <xm:sqref>I35:J35</xm:sqref>
        </x14:dataValidation>
        <x14:dataValidation type="list" allowBlank="1" showInputMessage="1" showErrorMessage="1">
          <x14:formula1>
            <xm:f>LISTES!$A$23:$A$25</xm:f>
          </x14:formula1>
          <xm:sqref>G57:H57</xm:sqref>
        </x14:dataValidation>
        <x14:dataValidation type="list" allowBlank="1" showInputMessage="1" showErrorMessage="1">
          <x14:formula1>
            <xm:f>LISTES!$A$29:$A$31</xm:f>
          </x14:formula1>
          <xm:sqref>G79:H79</xm:sqref>
        </x14:dataValidation>
        <x14:dataValidation type="list" allowBlank="1" showInputMessage="1" showErrorMessage="1">
          <x14:formula1>
            <xm:f>LISTES!$A$33</xm:f>
          </x14:formula1>
          <xm:sqref>I79:J79</xm:sqref>
        </x14:dataValidation>
        <x14:dataValidation type="list" allowBlank="1" showInputMessage="1" showErrorMessage="1">
          <x14:formula1>
            <xm:f>LISTES!$A$35:$A$37</xm:f>
          </x14:formula1>
          <xm:sqref>G101:H101</xm:sqref>
        </x14:dataValidation>
        <x14:dataValidation type="list" allowBlank="1" showInputMessage="1" showErrorMessage="1">
          <x14:formula1>
            <xm:f>LISTES!$A$39</xm:f>
          </x14:formula1>
          <xm:sqref>I101:J101</xm:sqref>
        </x14:dataValidation>
        <x14:dataValidation type="list" allowBlank="1" showInputMessage="1" showErrorMessage="1">
          <x14:formula1>
            <xm:f>LISTES!$A$41:$A$43</xm:f>
          </x14:formula1>
          <xm:sqref>F123:I123</xm:sqref>
        </x14:dataValidation>
        <x14:dataValidation type="list" allowBlank="1" showInputMessage="1" showErrorMessage="1">
          <x14:formula1>
            <xm:f>LISTES!$H$1:$H$1</xm:f>
          </x14:formula1>
          <xm:sqref>I39:I44 I49:I54 I61:I66 I71:I76 I83:I88 I93:I98 I105:I110 I115:I120</xm:sqref>
        </x14:dataValidation>
      </x14:dataValidations>
    </ext>
  </extLst>
</worksheet>
</file>

<file path=xl/worksheets/sheet3.xml><?xml version="1.0" encoding="utf-8"?>
<worksheet xmlns="http://schemas.openxmlformats.org/spreadsheetml/2006/main" xmlns:r="http://schemas.openxmlformats.org/officeDocument/2006/relationships">
  <sheetPr codeName="Feuil4">
    <tabColor theme="7"/>
    <pageSetUpPr fitToPage="1"/>
  </sheetPr>
  <dimension ref="A1:AG94"/>
  <sheetViews>
    <sheetView topLeftCell="A42" zoomScale="80" zoomScaleNormal="80" workbookViewId="0">
      <selection activeCell="I46" sqref="I46"/>
    </sheetView>
  </sheetViews>
  <sheetFormatPr baseColWidth="10" defaultColWidth="11.44140625" defaultRowHeight="18" customHeight="1" outlineLevelRow="1"/>
  <cols>
    <col min="1" max="1" width="10.5546875" style="9" bestFit="1" customWidth="1"/>
    <col min="2" max="2" width="45.33203125" style="10" customWidth="1"/>
    <col min="3" max="3" width="17.44140625" style="10" customWidth="1"/>
    <col min="4" max="4" width="19.5546875" style="10" customWidth="1"/>
    <col min="5" max="5" width="17.5546875" style="10" customWidth="1"/>
    <col min="6" max="6" width="18.33203125" style="10" customWidth="1"/>
    <col min="7" max="7" width="17.6640625" style="10" customWidth="1"/>
    <col min="8" max="8" width="24.88671875" style="10" customWidth="1"/>
    <col min="9" max="9" width="17.88671875" style="10" bestFit="1" customWidth="1"/>
    <col min="10" max="10" width="17.88671875" style="10" customWidth="1"/>
    <col min="11" max="11" width="11.44140625" style="55"/>
    <col min="12" max="12" width="6.109375" style="55" customWidth="1"/>
    <col min="13" max="33" width="11.44140625" style="55"/>
    <col min="34" max="16384" width="11.44140625" style="10"/>
  </cols>
  <sheetData>
    <row r="1" spans="1:10" ht="18" customHeight="1">
      <c r="A1" s="55"/>
      <c r="B1" s="19"/>
      <c r="C1" s="11" t="s">
        <v>0</v>
      </c>
      <c r="D1" s="11"/>
      <c r="E1" s="199"/>
      <c r="F1" s="200"/>
      <c r="G1" s="55"/>
      <c r="H1" s="55"/>
      <c r="I1" s="55"/>
      <c r="J1" s="55"/>
    </row>
    <row r="2" spans="1:10" ht="18" customHeight="1">
      <c r="A2" s="55"/>
      <c r="B2" s="19"/>
      <c r="C2" s="11" t="s">
        <v>70</v>
      </c>
      <c r="D2" s="210">
        <f>DONNEES!C2</f>
        <v>0</v>
      </c>
      <c r="E2" s="210"/>
      <c r="F2" s="210"/>
      <c r="G2" s="210"/>
      <c r="H2" s="210"/>
      <c r="I2" s="210"/>
    </row>
    <row r="3" spans="1:10" ht="18" customHeight="1">
      <c r="A3" s="55"/>
      <c r="B3" s="19"/>
      <c r="C3" s="11" t="s">
        <v>2</v>
      </c>
      <c r="D3" s="210">
        <f>DONNEES!C3</f>
        <v>0</v>
      </c>
      <c r="E3" s="210"/>
      <c r="F3" s="210"/>
      <c r="G3" s="210"/>
      <c r="H3" s="210"/>
      <c r="I3" s="210"/>
      <c r="J3" s="55"/>
    </row>
    <row r="4" spans="1:10" ht="18" customHeight="1">
      <c r="A4" s="55"/>
      <c r="B4" s="19"/>
      <c r="C4" s="11" t="s">
        <v>3</v>
      </c>
      <c r="D4" s="210">
        <f>DONNEES!C5</f>
        <v>0</v>
      </c>
      <c r="E4" s="210"/>
      <c r="F4" s="210"/>
      <c r="G4" s="210"/>
      <c r="H4" s="210"/>
      <c r="I4" s="210"/>
      <c r="J4" s="55"/>
    </row>
    <row r="5" spans="1:10" ht="18" customHeight="1">
      <c r="A5" s="55"/>
      <c r="B5" s="19"/>
      <c r="C5" s="11" t="s">
        <v>4</v>
      </c>
      <c r="D5" s="210">
        <f>DONNEES!C7</f>
        <v>0</v>
      </c>
      <c r="E5" s="210"/>
      <c r="F5" s="210"/>
      <c r="G5" s="210"/>
      <c r="H5" s="210"/>
      <c r="I5" s="210"/>
      <c r="J5" s="55"/>
    </row>
    <row r="6" spans="1:10" ht="18" customHeight="1">
      <c r="A6" s="55"/>
      <c r="B6" s="19"/>
      <c r="C6" s="11" t="s">
        <v>5</v>
      </c>
      <c r="D6" s="210">
        <f>DONNEES!C8</f>
        <v>0</v>
      </c>
      <c r="E6" s="210"/>
      <c r="F6" s="210"/>
      <c r="G6" s="210"/>
      <c r="H6" s="210"/>
      <c r="I6" s="210"/>
      <c r="J6" s="55"/>
    </row>
    <row r="7" spans="1:10" ht="18" customHeight="1">
      <c r="A7" s="55"/>
      <c r="B7" s="55"/>
      <c r="C7" s="11" t="s">
        <v>6</v>
      </c>
      <c r="D7" s="11"/>
      <c r="E7" s="118"/>
      <c r="F7" s="101" t="s">
        <v>47</v>
      </c>
      <c r="G7" s="118"/>
      <c r="I7" s="55"/>
      <c r="J7" s="55"/>
    </row>
    <row r="8" spans="1:10" ht="18" customHeight="1">
      <c r="A8" s="55"/>
      <c r="B8" s="55"/>
      <c r="E8" s="14"/>
      <c r="F8" s="14"/>
      <c r="G8" s="15"/>
      <c r="H8" s="14"/>
      <c r="I8" s="55"/>
      <c r="J8" s="55"/>
    </row>
    <row r="9" spans="1:10" ht="18" customHeight="1">
      <c r="A9" s="55"/>
      <c r="B9" s="229" t="s">
        <v>7</v>
      </c>
      <c r="C9" s="229"/>
      <c r="D9" s="229"/>
      <c r="F9" s="19"/>
      <c r="G9" s="230" t="s">
        <v>32</v>
      </c>
      <c r="H9" s="230"/>
      <c r="I9" s="230"/>
      <c r="J9" s="230"/>
    </row>
    <row r="10" spans="1:10" ht="18" customHeight="1">
      <c r="A10" s="55"/>
      <c r="B10" s="11" t="s">
        <v>8</v>
      </c>
      <c r="C10" s="105">
        <f>DONNEES!C17</f>
        <v>0</v>
      </c>
      <c r="D10" s="105">
        <f>DONNEES!E17</f>
        <v>0</v>
      </c>
      <c r="E10" s="17" t="s">
        <v>63</v>
      </c>
      <c r="F10" s="19"/>
      <c r="G10" s="179" t="s">
        <v>33</v>
      </c>
      <c r="H10" s="179" t="s">
        <v>34</v>
      </c>
      <c r="I10" s="65" t="s">
        <v>15</v>
      </c>
      <c r="J10" s="65" t="s">
        <v>15</v>
      </c>
    </row>
    <row r="11" spans="1:10" ht="18" customHeight="1">
      <c r="A11" s="55"/>
      <c r="B11" s="11" t="s">
        <v>9</v>
      </c>
      <c r="C11" s="97">
        <f>DONNEES!E38</f>
        <v>0</v>
      </c>
      <c r="D11" s="97">
        <f>DONNEES!F38</f>
        <v>0</v>
      </c>
      <c r="E11" s="18">
        <f>C11+D11</f>
        <v>0</v>
      </c>
      <c r="F11" s="19"/>
      <c r="G11" s="179"/>
      <c r="H11" s="179"/>
      <c r="I11" s="96">
        <f>DONNEES!C17</f>
        <v>0</v>
      </c>
      <c r="J11" s="96">
        <f>DONNEES!E17</f>
        <v>0</v>
      </c>
    </row>
    <row r="12" spans="1:10" ht="18" customHeight="1">
      <c r="A12" s="55"/>
      <c r="B12" s="11" t="s">
        <v>10</v>
      </c>
      <c r="C12" s="97">
        <f>DONNEES!E60</f>
        <v>0</v>
      </c>
      <c r="D12" s="97">
        <f>DONNEES!F60</f>
        <v>0</v>
      </c>
      <c r="E12" s="18">
        <f t="shared" ref="E12:E16" si="0">C12+D12</f>
        <v>0</v>
      </c>
      <c r="F12" s="19"/>
      <c r="G12" s="120" t="s">
        <v>1</v>
      </c>
      <c r="H12" s="100">
        <f>DONNEES!C38</f>
        <v>0</v>
      </c>
      <c r="I12" s="20">
        <f>DONNEES!G38+DONNEES!G60+DONNEES!G82+DONNEES!G104+DONNEES!G126</f>
        <v>0</v>
      </c>
      <c r="J12" s="20">
        <f>DONNEES!H38+DONNEES!H60+DONNEES!H82+DONNEES!H104+DONNEES!H126</f>
        <v>0</v>
      </c>
    </row>
    <row r="13" spans="1:10" ht="18" customHeight="1">
      <c r="A13" s="55"/>
      <c r="B13" s="11" t="s">
        <v>11</v>
      </c>
      <c r="C13" s="97">
        <f>DONNEES!E82</f>
        <v>0</v>
      </c>
      <c r="D13" s="97">
        <f>DONNEES!F82</f>
        <v>0</v>
      </c>
      <c r="E13" s="18">
        <f t="shared" si="0"/>
        <v>0</v>
      </c>
      <c r="F13" s="19"/>
      <c r="G13" s="45">
        <f>DONNEES!B39</f>
        <v>0</v>
      </c>
      <c r="H13" s="100">
        <f>DONNEES!C39</f>
        <v>0</v>
      </c>
      <c r="I13" s="20">
        <f>DONNEES!G39+DONNEES!G61+DONNEES!G83+DONNEES!G105+DONNEES!G127</f>
        <v>0</v>
      </c>
      <c r="J13" s="20">
        <f>DONNEES!H39+DONNEES!H61+DONNEES!H83+DONNEES!H105+DONNEES!H127</f>
        <v>0</v>
      </c>
    </row>
    <row r="14" spans="1:10" ht="18" customHeight="1">
      <c r="A14" s="55"/>
      <c r="B14" s="11" t="s">
        <v>12</v>
      </c>
      <c r="C14" s="97">
        <f>DONNEES!E104</f>
        <v>0</v>
      </c>
      <c r="D14" s="97">
        <f>DONNEES!F104</f>
        <v>0</v>
      </c>
      <c r="E14" s="18">
        <f t="shared" si="0"/>
        <v>0</v>
      </c>
      <c r="F14" s="19"/>
      <c r="G14" s="45">
        <f>DONNEES!B40</f>
        <v>0</v>
      </c>
      <c r="H14" s="100">
        <f>DONNEES!C40</f>
        <v>0</v>
      </c>
      <c r="I14" s="20">
        <f>DONNEES!G40+DONNEES!G62+DONNEES!G84+DONNEES!G106+DONNEES!G128</f>
        <v>0</v>
      </c>
      <c r="J14" s="20">
        <f>DONNEES!H40+DONNEES!H62+DONNEES!H84+DONNEES!H106+DONNEES!H128</f>
        <v>0</v>
      </c>
    </row>
    <row r="15" spans="1:10" ht="18" customHeight="1">
      <c r="A15" s="55"/>
      <c r="B15" s="11" t="s">
        <v>13</v>
      </c>
      <c r="C15" s="97">
        <f>DONNEES!E126</f>
        <v>0</v>
      </c>
      <c r="D15" s="97">
        <f>DONNEES!F126</f>
        <v>0</v>
      </c>
      <c r="E15" s="18">
        <f t="shared" si="0"/>
        <v>0</v>
      </c>
      <c r="F15" s="19"/>
      <c r="G15" s="45">
        <f>DONNEES!B41</f>
        <v>0</v>
      </c>
      <c r="H15" s="100">
        <f>DONNEES!C41</f>
        <v>0</v>
      </c>
      <c r="I15" s="20">
        <f>DONNEES!G41+DONNEES!G63+DONNEES!G85+DONNEES!G107+DONNEES!G129</f>
        <v>0</v>
      </c>
      <c r="J15" s="20">
        <f>DONNEES!H41+DONNEES!H63+DONNEES!H85+DONNEES!H107+DONNEES!H129</f>
        <v>0</v>
      </c>
    </row>
    <row r="16" spans="1:10" ht="18" customHeight="1">
      <c r="A16" s="55"/>
      <c r="B16" s="11" t="s">
        <v>71</v>
      </c>
      <c r="C16" s="110"/>
      <c r="D16" s="110"/>
      <c r="E16" s="18">
        <f t="shared" si="0"/>
        <v>0</v>
      </c>
      <c r="F16" s="19"/>
      <c r="G16" s="45">
        <f>DONNEES!B42</f>
        <v>0</v>
      </c>
      <c r="H16" s="100">
        <f>DONNEES!C42</f>
        <v>0</v>
      </c>
      <c r="I16" s="20">
        <f>DONNEES!G42+DONNEES!G64+DONNEES!G86+DONNEES!G108+DONNEES!G130</f>
        <v>0</v>
      </c>
      <c r="J16" s="20">
        <f>DONNEES!H42+DONNEES!H64+DONNEES!H86+DONNEES!H108+DONNEES!H130</f>
        <v>0</v>
      </c>
    </row>
    <row r="17" spans="1:13" ht="18" customHeight="1">
      <c r="A17" s="55"/>
      <c r="B17" s="21" t="s">
        <v>14</v>
      </c>
      <c r="C17" s="97">
        <f>SUM(C11:C15)-C16</f>
        <v>0</v>
      </c>
      <c r="D17" s="97">
        <f>SUM(D11:D15)-D16</f>
        <v>0</v>
      </c>
      <c r="E17" s="18">
        <f>C17+D17</f>
        <v>0</v>
      </c>
      <c r="F17" s="22"/>
      <c r="G17" s="45">
        <f>DONNEES!B43</f>
        <v>0</v>
      </c>
      <c r="H17" s="100">
        <f>DONNEES!C43</f>
        <v>0</v>
      </c>
      <c r="I17" s="20">
        <f>DONNEES!G43+DONNEES!G65+DONNEES!G87+DONNEES!G109+DONNEES!G131</f>
        <v>0</v>
      </c>
      <c r="J17" s="20">
        <f>DONNEES!H43+DONNEES!H65+DONNEES!H87+DONNEES!H109+DONNEES!H131</f>
        <v>0</v>
      </c>
    </row>
    <row r="18" spans="1:13" ht="18" customHeight="1">
      <c r="A18" s="55"/>
      <c r="B18" s="21" t="s">
        <v>15</v>
      </c>
      <c r="C18" s="97">
        <f>C17*C10</f>
        <v>0</v>
      </c>
      <c r="D18" s="97">
        <f>D17*D10</f>
        <v>0</v>
      </c>
      <c r="E18" s="55"/>
      <c r="F18" s="55"/>
      <c r="G18" s="45">
        <f>DONNEES!B44</f>
        <v>0</v>
      </c>
      <c r="H18" s="100">
        <f>DONNEES!C44</f>
        <v>0</v>
      </c>
      <c r="I18" s="20">
        <f>DONNEES!G44+DONNEES!G66+DONNEES!G88+DONNEES!G110+DONNEES!G132</f>
        <v>0</v>
      </c>
      <c r="J18" s="20">
        <f>DONNEES!H44+DONNEES!H66+DONNEES!H88+DONNEES!H110+DONNEES!H132</f>
        <v>0</v>
      </c>
    </row>
    <row r="19" spans="1:13" ht="18" customHeight="1">
      <c r="A19" s="55"/>
      <c r="B19" s="21" t="s">
        <v>16</v>
      </c>
      <c r="C19" s="97">
        <f>C17+C18</f>
        <v>0</v>
      </c>
      <c r="D19" s="97">
        <f>D17+D18</f>
        <v>0</v>
      </c>
      <c r="E19" s="55"/>
      <c r="F19" s="55"/>
      <c r="G19" s="55"/>
      <c r="H19" s="55"/>
      <c r="I19" s="63">
        <f>SUM(I12:I18)</f>
        <v>0</v>
      </c>
      <c r="J19" s="63">
        <f>SUM(J12:J18)</f>
        <v>0</v>
      </c>
    </row>
    <row r="20" spans="1:13" ht="18" customHeight="1">
      <c r="A20" s="55"/>
      <c r="B20" s="21" t="s">
        <v>17</v>
      </c>
      <c r="C20" s="189">
        <f>C19+D19</f>
        <v>0</v>
      </c>
      <c r="D20" s="189"/>
      <c r="E20" s="55"/>
      <c r="F20" s="55"/>
      <c r="G20" s="55"/>
      <c r="H20" s="55"/>
      <c r="I20" s="55"/>
      <c r="J20" s="55"/>
    </row>
    <row r="21" spans="1:13" ht="18" customHeight="1">
      <c r="A21" s="55"/>
      <c r="E21" s="55"/>
      <c r="F21" s="55"/>
      <c r="G21" s="55"/>
      <c r="H21" s="55"/>
      <c r="I21" s="55"/>
      <c r="J21" s="55"/>
    </row>
    <row r="22" spans="1:13" ht="18" customHeight="1">
      <c r="A22" s="55"/>
      <c r="B22" s="219" t="s">
        <v>18</v>
      </c>
      <c r="C22" s="222"/>
      <c r="D22" s="223"/>
      <c r="E22" s="224" t="s">
        <v>169</v>
      </c>
      <c r="F22" s="224" t="s">
        <v>169</v>
      </c>
      <c r="G22" s="226" t="s">
        <v>69</v>
      </c>
      <c r="H22" s="226" t="s">
        <v>31</v>
      </c>
      <c r="I22" s="55"/>
      <c r="J22" s="55"/>
    </row>
    <row r="23" spans="1:13" ht="28.5" customHeight="1">
      <c r="A23" s="55"/>
      <c r="B23" s="220"/>
      <c r="C23" s="227" t="s">
        <v>30</v>
      </c>
      <c r="D23" s="227"/>
      <c r="E23" s="225"/>
      <c r="F23" s="225"/>
      <c r="G23" s="226"/>
      <c r="H23" s="226"/>
      <c r="I23" s="55"/>
      <c r="J23" s="55"/>
    </row>
    <row r="24" spans="1:13" ht="18" customHeight="1">
      <c r="A24" s="55"/>
      <c r="B24" s="221"/>
      <c r="C24" s="82">
        <f>C10</f>
        <v>0</v>
      </c>
      <c r="D24" s="82">
        <f>D10</f>
        <v>0</v>
      </c>
      <c r="E24" s="25">
        <f>C10</f>
        <v>0</v>
      </c>
      <c r="F24" s="25">
        <f>D10</f>
        <v>0</v>
      </c>
      <c r="G24" s="226"/>
      <c r="H24" s="226"/>
      <c r="I24" s="55"/>
      <c r="J24" s="55"/>
    </row>
    <row r="25" spans="1:13" ht="18" customHeight="1">
      <c r="A25" s="100">
        <v>1</v>
      </c>
      <c r="B25" s="11" t="s">
        <v>19</v>
      </c>
      <c r="C25" s="109"/>
      <c r="D25" s="109"/>
      <c r="E25" s="121"/>
      <c r="F25" s="122"/>
      <c r="G25" s="26">
        <f>E25+F25</f>
        <v>0</v>
      </c>
      <c r="H25" s="27"/>
      <c r="I25" s="55"/>
      <c r="J25" s="55"/>
    </row>
    <row r="26" spans="1:13" ht="42.75" customHeight="1">
      <c r="A26" s="100" t="s">
        <v>181</v>
      </c>
      <c r="B26" s="103" t="s">
        <v>236</v>
      </c>
      <c r="C26" s="122"/>
      <c r="D26" s="124"/>
      <c r="E26" s="122"/>
      <c r="F26" s="122"/>
      <c r="G26" s="26">
        <f>C26+D26+E26+F26</f>
        <v>0</v>
      </c>
      <c r="H26" s="27"/>
      <c r="I26" s="55"/>
      <c r="J26" s="55"/>
    </row>
    <row r="27" spans="1:13" ht="36">
      <c r="A27" s="100" t="s">
        <v>182</v>
      </c>
      <c r="B27" s="49" t="s">
        <v>172</v>
      </c>
      <c r="C27" s="122"/>
      <c r="D27" s="123"/>
      <c r="E27" s="122"/>
      <c r="F27" s="122"/>
      <c r="G27" s="26">
        <f>E27+F27+C27+D27</f>
        <v>0</v>
      </c>
      <c r="H27" s="144">
        <f>IFERROR((C27+D27+E27+F27)/(G25-G26),0)</f>
        <v>0</v>
      </c>
      <c r="J27" s="55"/>
      <c r="M27" s="143"/>
    </row>
    <row r="28" spans="1:13" ht="18" customHeight="1">
      <c r="A28" s="100" t="s">
        <v>20</v>
      </c>
      <c r="B28" s="11" t="s">
        <v>21</v>
      </c>
      <c r="C28" s="122"/>
      <c r="D28" s="122"/>
      <c r="E28" s="122"/>
      <c r="F28" s="122"/>
      <c r="G28" s="26">
        <f>E28+C28+D28+F28</f>
        <v>0</v>
      </c>
      <c r="H28" s="144">
        <f>IFERROR((E28+C28+D28+F28)/E11,0)</f>
        <v>0</v>
      </c>
      <c r="I28" s="206" t="e">
        <f>IF(AND($G$25&lt;&gt;0,H28&gt;#REF!),"PENSEZ A VERIFIER SI IL FAUT FAIRE UN REMBOURSEMENT","")</f>
        <v>#REF!</v>
      </c>
      <c r="J28" s="207"/>
      <c r="K28" s="207"/>
      <c r="L28" s="207"/>
      <c r="M28" s="207"/>
    </row>
    <row r="29" spans="1:13" ht="18" customHeight="1" outlineLevel="1">
      <c r="A29" s="100" t="s">
        <v>25</v>
      </c>
      <c r="B29" s="11" t="s">
        <v>22</v>
      </c>
      <c r="C29" s="122"/>
      <c r="D29" s="122"/>
      <c r="E29" s="122"/>
      <c r="F29" s="122"/>
      <c r="G29" s="26">
        <f>E29+C29+D29+F29</f>
        <v>0</v>
      </c>
      <c r="H29" s="144">
        <f>IFERROR((E29+C29+D29+F29)/E12,0)</f>
        <v>0</v>
      </c>
      <c r="I29" s="206" t="e">
        <f>IF(AND($G$25&lt;&gt;0,H29&gt;#REF!),"PENSEZ A VERIFIER SI IL FAUT FAIRE UN REMBOURSEMENT","")</f>
        <v>#REF!</v>
      </c>
      <c r="J29" s="207"/>
      <c r="K29" s="207"/>
      <c r="L29" s="207"/>
      <c r="M29" s="207"/>
    </row>
    <row r="30" spans="1:13" ht="18" customHeight="1" outlineLevel="1">
      <c r="A30" s="100" t="s">
        <v>26</v>
      </c>
      <c r="B30" s="11" t="s">
        <v>23</v>
      </c>
      <c r="C30" s="122"/>
      <c r="D30" s="122"/>
      <c r="E30" s="122"/>
      <c r="F30" s="122"/>
      <c r="G30" s="26">
        <f>E30+C30+D30+F30</f>
        <v>0</v>
      </c>
      <c r="H30" s="144">
        <f>IFERROR((E30+C30+D30+F30)/E13,0)</f>
        <v>0</v>
      </c>
      <c r="I30" s="206" t="e">
        <f>IF(AND($G$25&lt;&gt;0,H30&gt;#REF!),"PENSEZ A VERIFIER SI IL FAUT FAIRE UN REMBOURSEMENT","")</f>
        <v>#REF!</v>
      </c>
      <c r="J30" s="207"/>
      <c r="K30" s="207"/>
      <c r="L30" s="207"/>
      <c r="M30" s="207"/>
    </row>
    <row r="31" spans="1:13" ht="18" customHeight="1" outlineLevel="1">
      <c r="A31" s="100" t="s">
        <v>27</v>
      </c>
      <c r="B31" s="11" t="s">
        <v>24</v>
      </c>
      <c r="C31" s="122"/>
      <c r="D31" s="122"/>
      <c r="E31" s="122"/>
      <c r="F31" s="122"/>
      <c r="G31" s="26">
        <f>E31+C31+D31+F31</f>
        <v>0</v>
      </c>
      <c r="H31" s="144">
        <f>IFERROR((E31+C31+D31+F31)/E14,0)</f>
        <v>0</v>
      </c>
      <c r="I31" s="206" t="e">
        <f>IF(AND($G$25&lt;&gt;0,H31&gt;#REF!),"PENSEZ A VERIFIER SI IL FAUT FAIRE UN REMBOURSEMENT","")</f>
        <v>#REF!</v>
      </c>
      <c r="J31" s="207"/>
      <c r="K31" s="207"/>
      <c r="L31" s="207"/>
      <c r="M31" s="207"/>
    </row>
    <row r="32" spans="1:13" ht="18" customHeight="1">
      <c r="A32" s="100" t="s">
        <v>29</v>
      </c>
      <c r="B32" s="11" t="s">
        <v>28</v>
      </c>
      <c r="C32" s="122"/>
      <c r="D32" s="122"/>
      <c r="E32" s="122"/>
      <c r="F32" s="122"/>
      <c r="G32" s="26">
        <f>E32+C32+D32+F32</f>
        <v>0</v>
      </c>
      <c r="H32" s="144">
        <f>IFERROR((E32+C32+D32+F32)/E15,0)</f>
        <v>0</v>
      </c>
      <c r="I32" s="55"/>
      <c r="J32" s="55"/>
      <c r="M32" s="143"/>
    </row>
    <row r="33" spans="1:13" ht="18" customHeight="1">
      <c r="A33" s="28" t="s">
        <v>174</v>
      </c>
      <c r="B33" s="29" t="s">
        <v>173</v>
      </c>
      <c r="C33" s="26">
        <f>SUM(C28:C32)</f>
        <v>0</v>
      </c>
      <c r="D33" s="26">
        <f>SUM(D28:D32)</f>
        <v>0</v>
      </c>
      <c r="E33" s="26">
        <f>SUM(E28:E32)</f>
        <v>0</v>
      </c>
      <c r="F33" s="26">
        <f>SUM(F28:F32)</f>
        <v>0</v>
      </c>
      <c r="G33" s="26">
        <f t="shared" ref="G33:G38" si="1">C33+D33+E33+F33</f>
        <v>0</v>
      </c>
      <c r="H33" s="144">
        <f>IFERROR((E33+D33+C33+F33)/(C17+D17),0)</f>
        <v>0</v>
      </c>
      <c r="I33" s="55"/>
      <c r="J33" s="55"/>
      <c r="M33" s="143"/>
    </row>
    <row r="34" spans="1:13" ht="36">
      <c r="A34" s="28" t="s">
        <v>175</v>
      </c>
      <c r="B34" s="50" t="s">
        <v>242</v>
      </c>
      <c r="C34" s="30">
        <f>IF(C33&lt;=0,C25,(C33-C25-C27))</f>
        <v>0</v>
      </c>
      <c r="D34" s="30">
        <f>IF(D33&lt;=0,D25,(D33-D25-D27))</f>
        <v>0</v>
      </c>
      <c r="E34" s="30">
        <f>(E25-E27)+E33</f>
        <v>0</v>
      </c>
      <c r="F34" s="30">
        <f>(F25-F27)+F33</f>
        <v>0</v>
      </c>
      <c r="G34" s="30">
        <f t="shared" si="1"/>
        <v>0</v>
      </c>
      <c r="H34" s="55"/>
      <c r="I34" s="55"/>
      <c r="J34" s="55"/>
    </row>
    <row r="35" spans="1:13" ht="18" customHeight="1">
      <c r="A35" s="100">
        <v>4</v>
      </c>
      <c r="B35" s="12" t="str">
        <f>IF(DONNEES!C12="OUI","Actualisation",IF(DONNEES!C13="OUI","Révision","Sans Objet"))</f>
        <v>Sans Objet</v>
      </c>
      <c r="C35" s="125"/>
      <c r="D35" s="125"/>
      <c r="E35" s="125"/>
      <c r="F35" s="125"/>
      <c r="G35" s="26">
        <f t="shared" si="1"/>
        <v>0</v>
      </c>
      <c r="H35" s="55"/>
      <c r="I35" s="55"/>
      <c r="J35" s="55"/>
    </row>
    <row r="36" spans="1:13" ht="18" customHeight="1">
      <c r="A36" s="28">
        <v>5</v>
      </c>
      <c r="B36" s="29" t="s">
        <v>217</v>
      </c>
      <c r="C36" s="30">
        <f>C34+C35</f>
        <v>0</v>
      </c>
      <c r="D36" s="30">
        <f t="shared" ref="D36:F36" si="2">D34+D35</f>
        <v>0</v>
      </c>
      <c r="E36" s="30">
        <f t="shared" si="2"/>
        <v>0</v>
      </c>
      <c r="F36" s="30">
        <f t="shared" si="2"/>
        <v>0</v>
      </c>
      <c r="G36" s="30">
        <f t="shared" si="1"/>
        <v>0</v>
      </c>
      <c r="H36" s="55"/>
      <c r="I36" s="55"/>
      <c r="J36" s="55"/>
    </row>
    <row r="37" spans="1:13" ht="18" customHeight="1">
      <c r="A37" s="100">
        <v>6</v>
      </c>
      <c r="B37" s="31" t="s">
        <v>50</v>
      </c>
      <c r="C37" s="30">
        <f>C25*C10</f>
        <v>0</v>
      </c>
      <c r="D37" s="30">
        <f>D25*D10</f>
        <v>0</v>
      </c>
      <c r="E37" s="26">
        <f>E25*E24</f>
        <v>0</v>
      </c>
      <c r="F37" s="26">
        <f>F25*F24</f>
        <v>0</v>
      </c>
      <c r="G37" s="26">
        <f t="shared" si="1"/>
        <v>0</v>
      </c>
      <c r="H37" s="55"/>
      <c r="I37" s="55"/>
      <c r="J37" s="55"/>
    </row>
    <row r="38" spans="1:13" ht="18" customHeight="1">
      <c r="A38" s="100" t="s">
        <v>184</v>
      </c>
      <c r="B38" s="31" t="s">
        <v>51</v>
      </c>
      <c r="C38" s="30">
        <f>C28*C10</f>
        <v>0</v>
      </c>
      <c r="D38" s="30">
        <f>D28*D10</f>
        <v>0</v>
      </c>
      <c r="E38" s="26">
        <f>E28*$C$10</f>
        <v>0</v>
      </c>
      <c r="F38" s="26">
        <f>F28*$D$10</f>
        <v>0</v>
      </c>
      <c r="G38" s="26">
        <f t="shared" si="1"/>
        <v>0</v>
      </c>
      <c r="H38" s="55"/>
      <c r="I38" s="55"/>
      <c r="J38" s="55"/>
    </row>
    <row r="39" spans="1:13" ht="18" hidden="1" customHeight="1" outlineLevel="1">
      <c r="A39" s="100" t="s">
        <v>185</v>
      </c>
      <c r="B39" s="31" t="s">
        <v>52</v>
      </c>
      <c r="C39" s="30">
        <f>C29*C10</f>
        <v>0</v>
      </c>
      <c r="D39" s="30">
        <f>D29*D10</f>
        <v>0</v>
      </c>
      <c r="E39" s="26">
        <f>E29*$C$10</f>
        <v>0</v>
      </c>
      <c r="F39" s="26">
        <f>F29*$D$10</f>
        <v>0</v>
      </c>
      <c r="G39" s="26">
        <f t="shared" ref="G39:G42" si="3">C39+D39+E39</f>
        <v>0</v>
      </c>
      <c r="H39" s="55"/>
      <c r="I39" s="55"/>
      <c r="J39" s="55"/>
    </row>
    <row r="40" spans="1:13" ht="18" hidden="1" customHeight="1" outlineLevel="1">
      <c r="A40" s="100" t="s">
        <v>186</v>
      </c>
      <c r="B40" s="31" t="s">
        <v>54</v>
      </c>
      <c r="C40" s="30">
        <f>C30*C10</f>
        <v>0</v>
      </c>
      <c r="D40" s="30">
        <f>D30*D10</f>
        <v>0</v>
      </c>
      <c r="E40" s="26">
        <f>E30*$C$10</f>
        <v>0</v>
      </c>
      <c r="F40" s="26">
        <f>F30*$D$10</f>
        <v>0</v>
      </c>
      <c r="G40" s="26">
        <f t="shared" si="3"/>
        <v>0</v>
      </c>
      <c r="H40" s="55"/>
      <c r="I40" s="55"/>
      <c r="J40" s="55"/>
    </row>
    <row r="41" spans="1:13" ht="18" hidden="1" customHeight="1" outlineLevel="1">
      <c r="A41" s="100" t="s">
        <v>187</v>
      </c>
      <c r="B41" s="31" t="s">
        <v>53</v>
      </c>
      <c r="C41" s="30">
        <f>C31*C10</f>
        <v>0</v>
      </c>
      <c r="D41" s="30">
        <f>D31*D10</f>
        <v>0</v>
      </c>
      <c r="E41" s="26">
        <f>E31*$C$10</f>
        <v>0</v>
      </c>
      <c r="F41" s="26">
        <f>F31*$D$10</f>
        <v>0</v>
      </c>
      <c r="G41" s="26">
        <f t="shared" si="3"/>
        <v>0</v>
      </c>
      <c r="H41" s="55"/>
      <c r="I41" s="55"/>
      <c r="J41" s="55"/>
    </row>
    <row r="42" spans="1:13" ht="18" customHeight="1" collapsed="1">
      <c r="A42" s="100" t="s">
        <v>188</v>
      </c>
      <c r="B42" s="31" t="s">
        <v>55</v>
      </c>
      <c r="C42" s="30">
        <f>C32*C10</f>
        <v>0</v>
      </c>
      <c r="D42" s="30">
        <f>D32*D10</f>
        <v>0</v>
      </c>
      <c r="E42" s="26">
        <f>E32*$C$10</f>
        <v>0</v>
      </c>
      <c r="F42" s="26">
        <f>F32*$D$10</f>
        <v>0</v>
      </c>
      <c r="G42" s="26">
        <f t="shared" si="3"/>
        <v>0</v>
      </c>
      <c r="H42" s="55"/>
      <c r="I42" s="55"/>
      <c r="J42" s="55"/>
    </row>
    <row r="43" spans="1:13" ht="18" customHeight="1">
      <c r="A43" s="100" t="s">
        <v>189</v>
      </c>
      <c r="B43" s="12" t="str">
        <f>IF(B35="Révision","TVA Révision",IF(B35="Actualisation","TVA Actualisation","Sans Objet"))</f>
        <v>Sans Objet</v>
      </c>
      <c r="C43" s="26">
        <f>C35*C10</f>
        <v>0</v>
      </c>
      <c r="D43" s="26">
        <f>D35*D10</f>
        <v>0</v>
      </c>
      <c r="E43" s="26">
        <f>E35*C10</f>
        <v>0</v>
      </c>
      <c r="F43" s="26">
        <f>F35*D10</f>
        <v>0</v>
      </c>
      <c r="G43" s="26">
        <f>C43+D43+E43+F43</f>
        <v>0</v>
      </c>
      <c r="H43" s="55"/>
      <c r="I43" s="55"/>
      <c r="J43" s="55"/>
    </row>
    <row r="44" spans="1:13" ht="18" customHeight="1">
      <c r="A44" s="100">
        <v>7</v>
      </c>
      <c r="B44" s="46" t="s">
        <v>171</v>
      </c>
      <c r="C44" s="30">
        <f>C27*C10</f>
        <v>0</v>
      </c>
      <c r="D44" s="30">
        <f>D27*D10</f>
        <v>0</v>
      </c>
      <c r="E44" s="30">
        <f>E27*C10</f>
        <v>0</v>
      </c>
      <c r="F44" s="30">
        <f>F27*D10</f>
        <v>0</v>
      </c>
      <c r="G44" s="26">
        <f>C44+D44+E44+F44</f>
        <v>0</v>
      </c>
      <c r="H44" s="55"/>
      <c r="I44" s="55"/>
      <c r="J44" s="55"/>
    </row>
    <row r="45" spans="1:13" ht="42" customHeight="1">
      <c r="A45" s="100" t="s">
        <v>176</v>
      </c>
      <c r="B45" s="51" t="s">
        <v>235</v>
      </c>
      <c r="C45" s="30">
        <f>C26*C10</f>
        <v>0</v>
      </c>
      <c r="D45" s="30">
        <f>D26*D10</f>
        <v>0</v>
      </c>
      <c r="E45" s="30">
        <f>E26*E24</f>
        <v>0</v>
      </c>
      <c r="F45" s="30">
        <f>F26*F24</f>
        <v>0</v>
      </c>
      <c r="G45" s="26">
        <f>C45+D45+E45+F45</f>
        <v>0</v>
      </c>
      <c r="H45" s="55"/>
      <c r="I45" s="55"/>
      <c r="J45" s="55"/>
    </row>
    <row r="46" spans="1:13" ht="18" customHeight="1">
      <c r="A46" s="28">
        <v>8</v>
      </c>
      <c r="B46" s="29" t="s">
        <v>190</v>
      </c>
      <c r="C46" s="30">
        <f>SUM(C37:C43)-C44</f>
        <v>0</v>
      </c>
      <c r="D46" s="30">
        <f>SUM(D37:D43)-D44</f>
        <v>0</v>
      </c>
      <c r="E46" s="30">
        <f>SUM(E37:E43)-E44</f>
        <v>0</v>
      </c>
      <c r="F46" s="30">
        <f>SUM(F37:F43)-F44</f>
        <v>0</v>
      </c>
      <c r="G46" s="30">
        <f>SUM(G37:G43)-G44</f>
        <v>0</v>
      </c>
      <c r="H46" s="55"/>
      <c r="I46" s="55"/>
      <c r="J46" s="55"/>
    </row>
    <row r="47" spans="1:13" ht="18" customHeight="1">
      <c r="A47" s="28">
        <v>9</v>
      </c>
      <c r="B47" s="29" t="s">
        <v>191</v>
      </c>
      <c r="C47" s="32">
        <f>C36+C46</f>
        <v>0</v>
      </c>
      <c r="D47" s="32">
        <f>D36+D46</f>
        <v>0</v>
      </c>
      <c r="E47" s="32">
        <f>E36+E46</f>
        <v>0</v>
      </c>
      <c r="F47" s="32">
        <f>F36+F46</f>
        <v>0</v>
      </c>
      <c r="G47" s="32">
        <f>G36+G46</f>
        <v>0</v>
      </c>
      <c r="H47" s="55"/>
      <c r="I47" s="55"/>
      <c r="J47" s="55"/>
    </row>
    <row r="48" spans="1:13" ht="34.5" customHeight="1">
      <c r="A48" s="28">
        <v>10</v>
      </c>
      <c r="B48" s="61" t="s">
        <v>243</v>
      </c>
      <c r="C48" s="209">
        <f>C47+D47+E47+F47</f>
        <v>0</v>
      </c>
      <c r="D48" s="210"/>
      <c r="E48" s="34"/>
      <c r="F48" s="34"/>
      <c r="G48" s="34"/>
      <c r="H48" s="52" t="str">
        <f>IF(B49="Retenue de Garantie tranche ferme","RG MAXI",IF(B49="GAPD","",IF(B49="SANS OBJET","","")))</f>
        <v/>
      </c>
      <c r="I48" s="55"/>
      <c r="J48" s="55"/>
    </row>
    <row r="49" spans="1:10" ht="18" customHeight="1">
      <c r="A49" s="149">
        <v>11</v>
      </c>
      <c r="B49" s="154">
        <f>DONNEES!G35</f>
        <v>0</v>
      </c>
      <c r="C49" s="155" t="str">
        <f>IF(AND($B$49="Retenue de Garantie tranche ferme",$B$50="RG tranche ferme remplacée par GAPD"),"0",IF(AND($B$49="Retenue de Garantie tranche ferme",$B$50="Sans Objet"),((C28+C38)*0.05),("0")))</f>
        <v>0</v>
      </c>
      <c r="D49" s="155" t="str">
        <f>IF(AND($B$49="Retenue de Garantie tranche ferme",$B$50="RG tranche ferme remplacée par GAPD"),"0",IF(AND($B$49="GAPD",$B$50="GAPD tranche ferme remplacée par RG"),((D28+D38)*0.05),IF(AND($B$49="Retenue de Garantie tranche ferme",$B$50="Sans Objet"),((D28+D32)*0.05),("0"))))</f>
        <v>0</v>
      </c>
      <c r="E49" s="148" t="str">
        <f>IF($B$49="Retenue de Garantie tranche ferme",((E28+E38)*0.05),"0")</f>
        <v>0</v>
      </c>
      <c r="F49" s="148" t="str">
        <f>IF($B$49="Retenue de Garantie tranche ferme",((F28+F38)*0.05),"0")</f>
        <v>0</v>
      </c>
      <c r="G49" s="148">
        <f>IFERROR(C49+D49+E49+F49,0)</f>
        <v>0</v>
      </c>
      <c r="H49" s="98" t="str">
        <f>IF(B49="Retenue de Garantie tranche ferme",(C20*0.05),IF(B49="SANS OBJET"," ","0"))</f>
        <v>0</v>
      </c>
      <c r="I49" s="55"/>
      <c r="J49" s="55"/>
    </row>
    <row r="50" spans="1:10" ht="18" hidden="1" customHeight="1">
      <c r="A50" s="156" t="s">
        <v>298</v>
      </c>
      <c r="B50" s="231" t="str">
        <f>IF(DONNEES!I35="RG tranche ferme remplacée par GAPD","RG tranche ferme remplacée par GAPD","Sans Objet")</f>
        <v>Sans Objet</v>
      </c>
      <c r="C50" s="148"/>
      <c r="D50" s="148"/>
      <c r="E50" s="148"/>
      <c r="F50" s="148"/>
      <c r="G50" s="148"/>
      <c r="H50" s="153"/>
      <c r="I50" s="55"/>
      <c r="J50" s="55"/>
    </row>
    <row r="51" spans="1:10" ht="18" hidden="1" customHeight="1" outlineLevel="1">
      <c r="A51" s="156" t="s">
        <v>302</v>
      </c>
      <c r="B51" s="12">
        <f>DONNEES!G57</f>
        <v>0</v>
      </c>
      <c r="C51" s="148" t="str">
        <f>IF(AND($B$51="Retenue de Garantie TO 1",$B$52="RG TO 1 remplacée par GAPD"),"0",IF(AND($B$51="Retenue de Garantie TO 1",$B$52="Sans Objet"),((C29+C39)*0.05),("0")))</f>
        <v>0</v>
      </c>
      <c r="D51" s="148" t="str">
        <f>IF(AND($B$51="Retenue de Garantie TO 1",$B$52="RG TO 1 remplacée par GAPD"),"0",IF(AND($B$51="Retenue de Garantie TO 1",$B$52="Sans Objet"),((D29+D39)*0.05),("0")))</f>
        <v>0</v>
      </c>
      <c r="E51" s="148" t="str">
        <f>IF($B$51="Retenue de Garantie TO 1",((E29+E39)*0.05),"0")</f>
        <v>0</v>
      </c>
      <c r="F51" s="148" t="str">
        <f>IF($B$51="Retenue de Garantie TO 1",((F29+F39)*0.05),"0")</f>
        <v>0</v>
      </c>
      <c r="G51" s="148">
        <f>IFERROR(C51+D51+E51+F51,0)</f>
        <v>0</v>
      </c>
      <c r="H51" s="153"/>
      <c r="I51" s="55"/>
      <c r="J51" s="55"/>
    </row>
    <row r="52" spans="1:10" ht="18" hidden="1" customHeight="1" outlineLevel="1">
      <c r="A52" s="156" t="s">
        <v>303</v>
      </c>
      <c r="B52" s="12" t="str">
        <f>IF(DONNEES!I57="RG TO1 remplacée par GAPD","RG TO1 remplacée par GAPD","Sans Objet")</f>
        <v>Sans Objet</v>
      </c>
      <c r="C52" s="148"/>
      <c r="D52" s="148"/>
      <c r="E52" s="148"/>
      <c r="F52" s="148"/>
      <c r="G52" s="148"/>
      <c r="H52" s="153"/>
      <c r="I52" s="55"/>
      <c r="J52" s="55"/>
    </row>
    <row r="53" spans="1:10" ht="18" hidden="1" customHeight="1" outlineLevel="1" collapsed="1">
      <c r="A53" s="156" t="s">
        <v>307</v>
      </c>
      <c r="B53" s="12">
        <f>DONNEES!G79</f>
        <v>0</v>
      </c>
      <c r="C53" s="148" t="str">
        <f>IF(AND($B$53="Retenue de Garantie TO 1",$B$54="RG TO 1 remplacée par GAPD"),"0",IF(AND($B$53="Retenue de Garantie TO 1",$B$54="Sans Objet"),((C30+C40)*0.05),("0")))</f>
        <v>0</v>
      </c>
      <c r="D53" s="148" t="str">
        <f>IF(AND($B$53="Retenue de Garantie TO 1",$B$54="RG TO 1 remplacée par GAPD"),"0",IF(AND($B$54="Retenue de Garantie TO 1",$B$52="Sans Objet"),((D30+D40)*0.05),("0")))</f>
        <v>0</v>
      </c>
      <c r="E53" s="148" t="str">
        <f>IF($B$53="Retenue de Garantie TO 2",((E30+E40)*0.05),"0")</f>
        <v>0</v>
      </c>
      <c r="F53" s="148" t="str">
        <f>IF($B$53="Retenue de Garantie TO 2",((F30+F40)*0.05),"0")</f>
        <v>0</v>
      </c>
      <c r="G53" s="148">
        <f>IFERROR(C53+D53+E53+F53,0)</f>
        <v>0</v>
      </c>
      <c r="H53" s="153"/>
      <c r="I53" s="55"/>
      <c r="J53" s="55"/>
    </row>
    <row r="54" spans="1:10" ht="18" hidden="1" customHeight="1" outlineLevel="1">
      <c r="A54" s="156" t="s">
        <v>308</v>
      </c>
      <c r="B54" s="12" t="str">
        <f>IF(DONNEES!I79="RG TO2 remplacée par GAPD","RG TO2 remplacée par GAPD","Sans Objet")</f>
        <v>Sans Objet</v>
      </c>
      <c r="C54" s="150"/>
      <c r="D54" s="151"/>
      <c r="E54" s="150"/>
      <c r="F54" s="151"/>
      <c r="G54" s="148"/>
      <c r="H54" s="153"/>
      <c r="I54" s="55"/>
      <c r="J54" s="55"/>
    </row>
    <row r="55" spans="1:10" ht="18" hidden="1" customHeight="1" outlineLevel="1">
      <c r="A55" s="156" t="s">
        <v>312</v>
      </c>
      <c r="B55" s="12">
        <f>DONNEES!G101</f>
        <v>0</v>
      </c>
      <c r="C55" s="148" t="str">
        <f>IF(AND($B$55="Retenue de Garantie TO 3",$B$56="RG TO 3 remplacée par GAPD"),"0",IF(AND($B$55="Retenue de Garantie TO 3",$B$56="Sans Objet"),((C31+C41)*0.05),("0")))</f>
        <v>0</v>
      </c>
      <c r="D55" s="148" t="str">
        <f>IF(AND($B$55="Retenue de Garantie TO 3",$B$56="RG TO 3 remplacée par GAPD"),"0",IF(AND($B$55="Retenue de Garantie TO 3",$B$56="Sans Objet"),((D31+D41)*0.05),("0")))</f>
        <v>0</v>
      </c>
      <c r="E55" s="148" t="str">
        <f>IF($B$55="Retenue de Garantie TO 3",((E31+E41)*0.05),"0")</f>
        <v>0</v>
      </c>
      <c r="F55" s="148" t="str">
        <f>IF($B$55="Retenue de Garantie TO 3",((F31+F41)*0.05),"0")</f>
        <v>0</v>
      </c>
      <c r="G55" s="148">
        <f t="shared" ref="G55:G57" si="4">IFERROR(C55+D55+E55+F55,0)</f>
        <v>0</v>
      </c>
      <c r="H55" s="153"/>
      <c r="I55" s="55"/>
      <c r="J55" s="55"/>
    </row>
    <row r="56" spans="1:10" ht="18" hidden="1" customHeight="1" outlineLevel="1">
      <c r="A56" s="156" t="s">
        <v>313</v>
      </c>
      <c r="B56" s="12" t="str">
        <f>IF(DONNEES!I101="RG TO3 remplacée par GAPD","RG TO3 remplacée par GAPD","Sans Objet")</f>
        <v>Sans Objet</v>
      </c>
      <c r="C56" s="150"/>
      <c r="D56" s="151"/>
      <c r="E56" s="150"/>
      <c r="F56" s="151"/>
      <c r="G56" s="148"/>
      <c r="H56" s="153"/>
      <c r="I56" s="55"/>
      <c r="J56" s="55"/>
    </row>
    <row r="57" spans="1:10" ht="18" customHeight="1" collapsed="1">
      <c r="A57" s="156" t="s">
        <v>314</v>
      </c>
      <c r="B57" s="12" t="str">
        <f>IF(DONNEES!F123="RG",DONNEES!F123&amp;" "&amp;"complémentaire sur avenant / OS",IF(DONNEES!F123="GAPD",DONNEES!F123&amp;" "&amp;"complémentaire sur avenant / OS",IF(DONNEES!F123="Sans Objet","Sans Objet")))</f>
        <v>Sans Objet</v>
      </c>
      <c r="C57" s="148" t="str">
        <f>IF($B$57="RG complémentaire sur avenant / OS",((C32+C42)*0.05),"0")</f>
        <v>0</v>
      </c>
      <c r="D57" s="148" t="str">
        <f>IF($B$57="RG complémentaire sur avenant / OS",((D32+D42)*0.05),"0")</f>
        <v>0</v>
      </c>
      <c r="E57" s="148" t="str">
        <f>IF($B$57="RG complémentaire sur avenant / OS",((E32+E42)*0.05),"0")</f>
        <v>0</v>
      </c>
      <c r="F57" s="148" t="str">
        <f>IF($B$57="RG complémentaire sur avenant / OS",((F32+F42)*0.05),"0")</f>
        <v>0</v>
      </c>
      <c r="G57" s="148">
        <f t="shared" si="4"/>
        <v>0</v>
      </c>
      <c r="H57" s="153"/>
      <c r="I57" s="55"/>
      <c r="J57" s="55"/>
    </row>
    <row r="58" spans="1:10" ht="18" customHeight="1">
      <c r="A58" s="100">
        <v>12</v>
      </c>
      <c r="B58" s="31" t="s">
        <v>59</v>
      </c>
      <c r="C58" s="211"/>
      <c r="D58" s="212"/>
      <c r="E58" s="211"/>
      <c r="F58" s="212"/>
      <c r="G58" s="26">
        <f>E58+C58</f>
        <v>0</v>
      </c>
      <c r="H58" s="55"/>
      <c r="I58" s="55"/>
      <c r="J58" s="55"/>
    </row>
    <row r="59" spans="1:10" ht="18" customHeight="1">
      <c r="A59" s="100">
        <v>13</v>
      </c>
      <c r="B59" s="31" t="s">
        <v>183</v>
      </c>
      <c r="C59" s="205"/>
      <c r="D59" s="205"/>
      <c r="E59" s="211"/>
      <c r="F59" s="212"/>
      <c r="G59" s="26">
        <f>E59+C59</f>
        <v>0</v>
      </c>
      <c r="H59" s="55"/>
      <c r="I59" s="55"/>
      <c r="J59" s="55"/>
    </row>
    <row r="60" spans="1:10" ht="18" customHeight="1">
      <c r="A60" s="100">
        <v>14</v>
      </c>
      <c r="B60" s="31" t="s">
        <v>177</v>
      </c>
      <c r="C60" s="228">
        <f>IFERROR((C49+D49+C58+C59+E49+F49+C51+D51+E51+F51+C53+D53+E53+F53+C55+D55+E55+F55+C57+D57+E57+F57),0)</f>
        <v>0</v>
      </c>
      <c r="D60" s="228"/>
      <c r="E60" s="211"/>
      <c r="F60" s="212"/>
      <c r="G60" s="26">
        <f>E60+C60</f>
        <v>0</v>
      </c>
      <c r="H60" s="55"/>
      <c r="I60" s="55"/>
      <c r="J60" s="55"/>
    </row>
    <row r="61" spans="1:10" ht="18" customHeight="1">
      <c r="A61" s="100">
        <v>15</v>
      </c>
      <c r="B61" s="31" t="s">
        <v>60</v>
      </c>
      <c r="C61" s="209">
        <f>C48-C60</f>
        <v>0</v>
      </c>
      <c r="D61" s="210"/>
      <c r="E61" s="55"/>
      <c r="F61" s="173"/>
      <c r="G61" s="173"/>
      <c r="H61" s="173"/>
      <c r="I61" s="173"/>
      <c r="J61" s="55"/>
    </row>
    <row r="62" spans="1:10" ht="18" customHeight="1">
      <c r="A62" s="100">
        <v>16</v>
      </c>
      <c r="B62" s="31" t="s">
        <v>61</v>
      </c>
      <c r="C62" s="216">
        <f>SUM(E81:E94)</f>
        <v>0</v>
      </c>
      <c r="D62" s="217"/>
      <c r="E62" s="55"/>
      <c r="F62" s="173"/>
      <c r="G62" s="173"/>
      <c r="H62" s="173"/>
      <c r="I62" s="173"/>
      <c r="J62" s="55"/>
    </row>
    <row r="63" spans="1:10" ht="18" customHeight="1">
      <c r="A63" s="35">
        <v>17</v>
      </c>
      <c r="B63" s="36" t="s">
        <v>62</v>
      </c>
      <c r="C63" s="198">
        <f>IF(E1="DGD",(C61-C62-C69),(C61-C62))</f>
        <v>0</v>
      </c>
      <c r="D63" s="218"/>
      <c r="E63" s="55"/>
      <c r="F63" s="55"/>
      <c r="G63" s="168"/>
      <c r="H63" s="168"/>
      <c r="I63" s="168"/>
      <c r="J63" s="55"/>
    </row>
    <row r="64" spans="1:10" ht="18" customHeight="1">
      <c r="A64" s="37">
        <v>18</v>
      </c>
      <c r="B64" s="38" t="s">
        <v>192</v>
      </c>
      <c r="C64" s="198" t="str">
        <f>IF(B49="Retenue de Garantie (4a x 5%)",(C49+D49),"Sans objet")</f>
        <v>Sans objet</v>
      </c>
      <c r="D64" s="198"/>
      <c r="E64" s="55"/>
      <c r="F64" s="55"/>
      <c r="G64" s="55"/>
      <c r="H64" s="55"/>
      <c r="I64" s="55"/>
      <c r="J64" s="55"/>
    </row>
    <row r="65" spans="1:10" ht="18" customHeight="1">
      <c r="A65" s="37">
        <v>19</v>
      </c>
      <c r="B65" s="38" t="s">
        <v>208</v>
      </c>
      <c r="C65" s="198">
        <f>C26+D26+C45+D45</f>
        <v>0</v>
      </c>
      <c r="D65" s="198"/>
      <c r="E65" s="55"/>
      <c r="F65" s="55"/>
      <c r="G65" s="55"/>
      <c r="H65" s="55"/>
      <c r="I65" s="55"/>
      <c r="J65" s="55"/>
    </row>
    <row r="66" spans="1:10" ht="18" customHeight="1">
      <c r="A66" s="37"/>
      <c r="B66" s="38" t="s">
        <v>289</v>
      </c>
      <c r="C66" s="203">
        <f>C58+C59</f>
        <v>0</v>
      </c>
      <c r="D66" s="204"/>
      <c r="E66" s="55"/>
      <c r="F66" s="169"/>
      <c r="G66" s="55"/>
      <c r="H66" s="55"/>
      <c r="I66" s="55"/>
      <c r="J66" s="55"/>
    </row>
    <row r="67" spans="1:10" ht="18" customHeight="1">
      <c r="A67" s="133">
        <v>20</v>
      </c>
      <c r="B67" s="134" t="s">
        <v>290</v>
      </c>
      <c r="C67" s="214">
        <f>IF(C64="Sans Objet",C63,C63+C64)</f>
        <v>0</v>
      </c>
      <c r="D67" s="214"/>
      <c r="E67" s="55"/>
      <c r="F67" s="169"/>
      <c r="G67" s="55"/>
      <c r="H67" s="55"/>
      <c r="I67" s="55"/>
      <c r="J67" s="55"/>
    </row>
    <row r="68" spans="1:10" ht="18" customHeight="1">
      <c r="A68" s="47"/>
      <c r="B68" s="48"/>
      <c r="C68" s="213" t="s">
        <v>72</v>
      </c>
      <c r="D68" s="213"/>
      <c r="E68" s="55"/>
      <c r="F68" s="169"/>
      <c r="G68" s="55"/>
      <c r="H68" s="55"/>
      <c r="I68" s="55"/>
      <c r="J68" s="55"/>
    </row>
    <row r="69" spans="1:10" ht="18" customHeight="1">
      <c r="A69" s="100">
        <v>21</v>
      </c>
      <c r="B69" s="31" t="str">
        <f>IF(E1="DGD","Refaction","Ne rien inscrire avant le DGD")</f>
        <v>Ne rien inscrire avant le DGD</v>
      </c>
      <c r="C69" s="205"/>
      <c r="D69" s="205"/>
      <c r="E69" s="55"/>
      <c r="F69" s="169"/>
      <c r="G69" s="55"/>
      <c r="H69" s="55"/>
      <c r="I69" s="55"/>
      <c r="J69" s="55"/>
    </row>
    <row r="70" spans="1:10" ht="18" customHeight="1">
      <c r="A70" s="55"/>
      <c r="B70" s="55"/>
      <c r="C70" s="55"/>
      <c r="D70" s="55"/>
      <c r="E70" s="55"/>
      <c r="F70" s="55"/>
      <c r="G70" s="55"/>
      <c r="H70" s="55"/>
      <c r="I70" s="55"/>
      <c r="J70" s="55"/>
    </row>
    <row r="71" spans="1:10" ht="31.5" customHeight="1">
      <c r="A71" s="55"/>
      <c r="B71" s="55"/>
      <c r="C71" s="39" t="s">
        <v>67</v>
      </c>
      <c r="D71" s="208" t="s">
        <v>73</v>
      </c>
      <c r="E71" s="208"/>
      <c r="F71" s="102" t="s">
        <v>74</v>
      </c>
      <c r="G71" s="99" t="s">
        <v>75</v>
      </c>
      <c r="H71" s="99" t="s">
        <v>76</v>
      </c>
      <c r="I71" s="100" t="s">
        <v>77</v>
      </c>
      <c r="J71" s="55"/>
    </row>
    <row r="72" spans="1:10" ht="18" customHeight="1">
      <c r="A72" s="55"/>
      <c r="B72" s="40" t="str">
        <f t="shared" ref="B72:C77" si="5">G12</f>
        <v>Titulaire</v>
      </c>
      <c r="C72" s="41">
        <f t="shared" si="5"/>
        <v>0</v>
      </c>
      <c r="D72" s="215">
        <f>C67-SUM(D73:E77)</f>
        <v>0</v>
      </c>
      <c r="E72" s="215"/>
      <c r="F72" s="98">
        <f>C34+D34-SUM(F73:F77)</f>
        <v>0</v>
      </c>
      <c r="G72" s="126"/>
      <c r="H72" s="98">
        <f>G72+F72</f>
        <v>0</v>
      </c>
      <c r="I72" s="42">
        <f t="shared" ref="I72:I77" si="6">I12+J12-H72</f>
        <v>0</v>
      </c>
      <c r="J72" s="55"/>
    </row>
    <row r="73" spans="1:10" ht="18" customHeight="1">
      <c r="A73" s="55"/>
      <c r="B73" s="40">
        <f t="shared" si="5"/>
        <v>0</v>
      </c>
      <c r="C73" s="41">
        <f t="shared" si="5"/>
        <v>0</v>
      </c>
      <c r="D73" s="205"/>
      <c r="E73" s="205"/>
      <c r="F73" s="98" t="str">
        <f>IF(B73="ST TVA autoliquidée",D73,IF(B73="ST TVA non-autoliquidée",(D73/1.2),"0"))</f>
        <v>0</v>
      </c>
      <c r="G73" s="126"/>
      <c r="H73" s="98">
        <f>F73+G73</f>
        <v>0</v>
      </c>
      <c r="I73" s="42">
        <f t="shared" si="6"/>
        <v>0</v>
      </c>
      <c r="J73" s="55"/>
    </row>
    <row r="74" spans="1:10" ht="18" customHeight="1">
      <c r="A74" s="55"/>
      <c r="B74" s="40">
        <f t="shared" si="5"/>
        <v>0</v>
      </c>
      <c r="C74" s="41">
        <f t="shared" si="5"/>
        <v>0</v>
      </c>
      <c r="D74" s="205"/>
      <c r="E74" s="205"/>
      <c r="F74" s="98" t="str">
        <f t="shared" ref="F74:F77" si="7">IF(B74="ST TVA autoliquidée",D74,IF(B74="ST TVA non-autoliquidée",(D74/1.2),"0"))</f>
        <v>0</v>
      </c>
      <c r="G74" s="126"/>
      <c r="H74" s="98">
        <f>F74+G74</f>
        <v>0</v>
      </c>
      <c r="I74" s="42">
        <f t="shared" si="6"/>
        <v>0</v>
      </c>
      <c r="J74" s="55"/>
    </row>
    <row r="75" spans="1:10" ht="18" customHeight="1">
      <c r="A75" s="55"/>
      <c r="B75" s="40">
        <f t="shared" si="5"/>
        <v>0</v>
      </c>
      <c r="C75" s="41">
        <f t="shared" si="5"/>
        <v>0</v>
      </c>
      <c r="D75" s="205"/>
      <c r="E75" s="205"/>
      <c r="F75" s="98" t="str">
        <f t="shared" si="7"/>
        <v>0</v>
      </c>
      <c r="G75" s="126"/>
      <c r="H75" s="98">
        <f t="shared" ref="H75:H77" si="8">F75+G75</f>
        <v>0</v>
      </c>
      <c r="I75" s="42">
        <f t="shared" si="6"/>
        <v>0</v>
      </c>
      <c r="J75" s="55"/>
    </row>
    <row r="76" spans="1:10" ht="18" customHeight="1">
      <c r="A76" s="55"/>
      <c r="B76" s="40">
        <f t="shared" si="5"/>
        <v>0</v>
      </c>
      <c r="C76" s="41">
        <f t="shared" si="5"/>
        <v>0</v>
      </c>
      <c r="D76" s="205"/>
      <c r="E76" s="205"/>
      <c r="F76" s="98" t="str">
        <f t="shared" si="7"/>
        <v>0</v>
      </c>
      <c r="G76" s="126"/>
      <c r="H76" s="98">
        <f t="shared" si="8"/>
        <v>0</v>
      </c>
      <c r="I76" s="42">
        <f t="shared" si="6"/>
        <v>0</v>
      </c>
      <c r="J76" s="55"/>
    </row>
    <row r="77" spans="1:10" ht="18" customHeight="1">
      <c r="A77" s="55"/>
      <c r="B77" s="40">
        <f t="shared" si="5"/>
        <v>0</v>
      </c>
      <c r="C77" s="41">
        <f t="shared" si="5"/>
        <v>0</v>
      </c>
      <c r="D77" s="205"/>
      <c r="E77" s="205"/>
      <c r="F77" s="98" t="str">
        <f t="shared" si="7"/>
        <v>0</v>
      </c>
      <c r="G77" s="126"/>
      <c r="H77" s="98">
        <f t="shared" si="8"/>
        <v>0</v>
      </c>
      <c r="I77" s="42">
        <f t="shared" si="6"/>
        <v>0</v>
      </c>
      <c r="J77" s="55"/>
    </row>
    <row r="78" spans="1:10" ht="18" customHeight="1">
      <c r="A78" s="55"/>
      <c r="B78" s="55"/>
      <c r="I78" s="55"/>
      <c r="J78" s="55"/>
    </row>
    <row r="79" spans="1:10" ht="18" customHeight="1">
      <c r="A79" s="55"/>
      <c r="B79" s="55"/>
      <c r="C79" s="54" t="s">
        <v>78</v>
      </c>
      <c r="D79" s="54"/>
      <c r="E79" s="54"/>
      <c r="F79" s="202" t="s">
        <v>237</v>
      </c>
      <c r="G79" s="202"/>
      <c r="H79" s="202"/>
      <c r="I79" s="55"/>
      <c r="J79" s="55"/>
    </row>
    <row r="80" spans="1:10" ht="18" customHeight="1">
      <c r="A80" s="173"/>
      <c r="B80" s="201"/>
      <c r="C80" s="43" t="s">
        <v>79</v>
      </c>
      <c r="D80" s="43" t="s">
        <v>80</v>
      </c>
      <c r="E80" s="43" t="s">
        <v>81</v>
      </c>
      <c r="F80" s="43" t="s">
        <v>79</v>
      </c>
      <c r="G80" s="43" t="s">
        <v>82</v>
      </c>
      <c r="H80" s="43" t="s">
        <v>81</v>
      </c>
      <c r="I80" s="55"/>
      <c r="J80" s="55"/>
    </row>
    <row r="81" spans="1:10" ht="18" customHeight="1">
      <c r="A81" s="173"/>
      <c r="B81" s="201"/>
      <c r="C81" s="127">
        <v>1</v>
      </c>
      <c r="D81" s="127"/>
      <c r="E81" s="128"/>
      <c r="F81" s="127"/>
      <c r="G81" s="127"/>
      <c r="H81" s="128"/>
      <c r="I81" s="55"/>
      <c r="J81" s="55"/>
    </row>
    <row r="82" spans="1:10" ht="18" customHeight="1">
      <c r="B82" s="55"/>
      <c r="C82" s="127">
        <v>2</v>
      </c>
      <c r="D82" s="127"/>
      <c r="E82" s="128"/>
      <c r="F82" s="127"/>
      <c r="G82" s="127"/>
      <c r="H82" s="128"/>
      <c r="I82" s="55"/>
      <c r="J82" s="55"/>
    </row>
    <row r="83" spans="1:10" ht="18" customHeight="1">
      <c r="A83" s="55"/>
      <c r="B83" s="55"/>
      <c r="C83" s="127">
        <v>3</v>
      </c>
      <c r="D83" s="127"/>
      <c r="E83" s="128"/>
      <c r="F83" s="127"/>
      <c r="G83" s="127"/>
      <c r="H83" s="128"/>
      <c r="I83" s="55"/>
      <c r="J83" s="55"/>
    </row>
    <row r="84" spans="1:10" ht="18" customHeight="1">
      <c r="A84" s="55"/>
      <c r="B84" s="55"/>
      <c r="C84" s="127">
        <v>4</v>
      </c>
      <c r="D84" s="127"/>
      <c r="E84" s="128"/>
      <c r="F84" s="127"/>
      <c r="G84" s="127"/>
      <c r="H84" s="128"/>
      <c r="I84" s="55"/>
      <c r="J84" s="55"/>
    </row>
    <row r="85" spans="1:10" ht="18" customHeight="1">
      <c r="A85" s="55"/>
      <c r="B85" s="55"/>
      <c r="C85" s="127">
        <v>5</v>
      </c>
      <c r="D85" s="127"/>
      <c r="E85" s="128"/>
      <c r="F85" s="127"/>
      <c r="G85" s="127"/>
      <c r="H85" s="128"/>
      <c r="I85" s="55"/>
      <c r="J85" s="55"/>
    </row>
    <row r="86" spans="1:10" ht="18" customHeight="1">
      <c r="A86" s="55"/>
      <c r="B86" s="55"/>
      <c r="C86" s="127"/>
      <c r="D86" s="127"/>
      <c r="E86" s="128"/>
      <c r="F86" s="127"/>
      <c r="G86" s="127"/>
      <c r="H86" s="128"/>
      <c r="I86" s="55"/>
      <c r="J86" s="55"/>
    </row>
    <row r="87" spans="1:10" ht="18" customHeight="1">
      <c r="A87" s="55"/>
      <c r="B87" s="55"/>
      <c r="C87" s="127"/>
      <c r="D87" s="127"/>
      <c r="E87" s="128"/>
      <c r="F87" s="127"/>
      <c r="G87" s="127"/>
      <c r="H87" s="128"/>
      <c r="I87" s="55"/>
      <c r="J87" s="55"/>
    </row>
    <row r="88" spans="1:10" ht="18" customHeight="1">
      <c r="A88" s="55"/>
      <c r="B88" s="55"/>
      <c r="C88" s="127"/>
      <c r="D88" s="127"/>
      <c r="E88" s="128"/>
      <c r="F88" s="127"/>
      <c r="G88" s="127"/>
      <c r="H88" s="128"/>
      <c r="I88" s="55"/>
      <c r="J88" s="55"/>
    </row>
    <row r="89" spans="1:10" ht="18" customHeight="1">
      <c r="A89" s="55"/>
      <c r="B89" s="55"/>
      <c r="C89" s="127"/>
      <c r="D89" s="127"/>
      <c r="E89" s="128"/>
      <c r="F89" s="127"/>
      <c r="G89" s="127"/>
      <c r="H89" s="128"/>
      <c r="I89" s="55"/>
      <c r="J89" s="55"/>
    </row>
    <row r="90" spans="1:10" ht="18" customHeight="1">
      <c r="A90" s="55"/>
      <c r="B90" s="55"/>
      <c r="C90" s="127"/>
      <c r="D90" s="127"/>
      <c r="E90" s="128"/>
      <c r="F90" s="127"/>
      <c r="G90" s="127"/>
      <c r="H90" s="128"/>
      <c r="I90" s="55"/>
      <c r="J90" s="55"/>
    </row>
    <row r="91" spans="1:10" ht="18" customHeight="1">
      <c r="A91" s="55"/>
      <c r="B91" s="55"/>
      <c r="C91" s="127"/>
      <c r="D91" s="127"/>
      <c r="E91" s="128"/>
      <c r="F91" s="127"/>
      <c r="G91" s="127"/>
      <c r="H91" s="128"/>
      <c r="I91" s="55"/>
      <c r="J91" s="55"/>
    </row>
    <row r="92" spans="1:10" ht="18" customHeight="1">
      <c r="A92" s="55"/>
      <c r="B92" s="55"/>
      <c r="C92" s="127"/>
      <c r="D92" s="127"/>
      <c r="E92" s="128"/>
      <c r="F92" s="127"/>
      <c r="G92" s="127"/>
      <c r="H92" s="128"/>
      <c r="I92" s="55"/>
      <c r="J92" s="55"/>
    </row>
    <row r="93" spans="1:10" ht="18" customHeight="1">
      <c r="A93" s="55"/>
      <c r="B93" s="55"/>
      <c r="C93" s="127"/>
      <c r="D93" s="127"/>
      <c r="E93" s="128"/>
      <c r="F93" s="127"/>
      <c r="G93" s="127"/>
      <c r="H93" s="128"/>
      <c r="I93" s="55"/>
      <c r="J93" s="55"/>
    </row>
    <row r="94" spans="1:10" ht="18" customHeight="1">
      <c r="A94" s="55"/>
      <c r="B94" s="55"/>
      <c r="C94" s="127"/>
      <c r="D94" s="127"/>
      <c r="E94" s="128"/>
      <c r="F94" s="127"/>
      <c r="G94" s="127"/>
      <c r="H94" s="128"/>
      <c r="I94" s="55"/>
      <c r="J94" s="55"/>
    </row>
  </sheetData>
  <sheetProtection password="CDB6" sheet="1" objects="1" scenarios="1"/>
  <mergeCells count="50">
    <mergeCell ref="C60:D60"/>
    <mergeCell ref="B9:D9"/>
    <mergeCell ref="G9:J9"/>
    <mergeCell ref="D2:I2"/>
    <mergeCell ref="D3:I3"/>
    <mergeCell ref="D4:I4"/>
    <mergeCell ref="D5:I5"/>
    <mergeCell ref="D6:I6"/>
    <mergeCell ref="G10:G11"/>
    <mergeCell ref="H10:H11"/>
    <mergeCell ref="C20:D20"/>
    <mergeCell ref="B22:B24"/>
    <mergeCell ref="C22:D22"/>
    <mergeCell ref="E22:E23"/>
    <mergeCell ref="F22:F23"/>
    <mergeCell ref="G22:G24"/>
    <mergeCell ref="H22:H24"/>
    <mergeCell ref="C23:D23"/>
    <mergeCell ref="D75:E75"/>
    <mergeCell ref="C48:D48"/>
    <mergeCell ref="C58:D58"/>
    <mergeCell ref="E58:F58"/>
    <mergeCell ref="C59:D59"/>
    <mergeCell ref="E59:F59"/>
    <mergeCell ref="C68:D68"/>
    <mergeCell ref="C69:D69"/>
    <mergeCell ref="C67:D67"/>
    <mergeCell ref="D72:E72"/>
    <mergeCell ref="D73:E73"/>
    <mergeCell ref="C61:D61"/>
    <mergeCell ref="C62:D62"/>
    <mergeCell ref="C63:D63"/>
    <mergeCell ref="E60:F60"/>
    <mergeCell ref="C64:D64"/>
    <mergeCell ref="C65:D65"/>
    <mergeCell ref="E1:F1"/>
    <mergeCell ref="A80:B80"/>
    <mergeCell ref="A81:B81"/>
    <mergeCell ref="F62:I62"/>
    <mergeCell ref="F61:I61"/>
    <mergeCell ref="F79:H79"/>
    <mergeCell ref="C66:D66"/>
    <mergeCell ref="D76:E76"/>
    <mergeCell ref="I28:M28"/>
    <mergeCell ref="I29:M29"/>
    <mergeCell ref="I30:M30"/>
    <mergeCell ref="I31:M31"/>
    <mergeCell ref="D77:E77"/>
    <mergeCell ref="D71:E71"/>
    <mergeCell ref="D74:E74"/>
  </mergeCells>
  <conditionalFormatting sqref="I28">
    <cfRule type="cellIs" dxfId="1" priority="2" operator="equal">
      <formula>"PENSEZ A VERIFIER SI IL FAUT FAIRE UN REMBOURSEMENT"</formula>
    </cfRule>
  </conditionalFormatting>
  <conditionalFormatting sqref="I29:I31">
    <cfRule type="cellIs" dxfId="0" priority="1" operator="equal">
      <formula>"PENSEZ A VERIFIER SI IL FAUT FAIRE UN REMBOURSEMENT"</formula>
    </cfRule>
  </conditionalFormatting>
  <dataValidations count="2">
    <dataValidation type="list" allowBlank="1" showInputMessage="1" showErrorMessage="1" sqref="D2:I4">
      <formula1>LYCEES1</formula1>
    </dataValidation>
    <dataValidation type="decimal" operator="greaterThanOrEqual" allowBlank="1" showInputMessage="1" showErrorMessage="1" sqref="C26:F31">
      <formula1>0</formula1>
    </dataValidation>
  </dataValidations>
  <pageMargins left="0.7" right="0.7" top="0.75" bottom="0.75" header="0.3" footer="0.3"/>
  <pageSetup paperSize="9" scale="43" orientation="portrait" r:id="rId1"/>
  <legacyDrawing r:id="rId2"/>
  <extLst xmlns:x14="http://schemas.microsoft.com/office/spreadsheetml/2009/9/main">
    <ext uri="{CCE6A557-97BC-4b89-ADB6-D9C93CAAB3DF}">
      <x14:dataValidations xmlns:xm="http://schemas.microsoft.com/office/excel/2006/main" count="5">
        <x14:dataValidation type="list" allowBlank="1" showInputMessage="1" showErrorMessage="1">
          <x14:formula1>
            <xm:f>LISTES!$A$1:$A$6</xm:f>
          </x14:formula1>
          <xm:sqref>C10:D10</xm:sqref>
        </x14:dataValidation>
        <x14:dataValidation type="list" allowBlank="1" showInputMessage="1" showErrorMessage="1">
          <x14:formula1>
            <xm:f>LISTES!$F$1:$F$12</xm:f>
          </x14:formula1>
          <xm:sqref>E7</xm:sqref>
        </x14:dataValidation>
        <x14:dataValidation type="list" allowBlank="1" showInputMessage="1" showErrorMessage="1">
          <x14:formula1>
            <xm:f>LISTES!$G$1:$G$8</xm:f>
          </x14:formula1>
          <xm:sqref>G7</xm:sqref>
        </x14:dataValidation>
        <x14:dataValidation type="list" allowBlank="1" showInputMessage="1" showErrorMessage="1">
          <x14:formula1>
            <xm:f>LISTES!$D$4:$D$5</xm:f>
          </x14:formula1>
          <xm:sqref>B43</xm:sqref>
        </x14:dataValidation>
        <x14:dataValidation type="list" allowBlank="1" showInputMessage="1" showErrorMessage="1">
          <x14:formula1>
            <xm:f>LISTES!$E$1:$E$32</xm:f>
          </x14:formula1>
          <xm:sqref>E1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LISTES</vt:lpstr>
      <vt:lpstr>DONNEES</vt:lpstr>
      <vt:lpstr>CPP TITULAIRE-ST</vt:lpstr>
      <vt:lpstr>_16</vt:lpstr>
      <vt:lpstr>_17</vt:lpstr>
      <vt:lpstr>_19</vt:lpstr>
      <vt:lpstr>_23</vt:lpstr>
      <vt:lpstr>_79</vt:lpstr>
      <vt:lpstr>_86</vt:lpstr>
      <vt:lpstr>_87</vt:lpstr>
      <vt:lpstr>LYCEES</vt:lpstr>
      <vt:lpstr>LYCEES1</vt:lpstr>
      <vt:lpstr>'CPP TITULAIRE-ST'!Zone_d_impression</vt:lpstr>
      <vt:lpstr>DONNEES!Zone_d_impression</vt:lpstr>
    </vt:vector>
  </TitlesOfParts>
  <Company>Région Nouvelle-Aquitaine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SARRAZIN David</dc:creator>
  <cp:lastModifiedBy>anonyme</cp:lastModifiedBy>
  <cp:lastPrinted>2018-10-08T11:39:50Z</cp:lastPrinted>
  <dcterms:created xsi:type="dcterms:W3CDTF">2018-07-20T08:43:04Z</dcterms:created>
  <dcterms:modified xsi:type="dcterms:W3CDTF">2018-10-21T05:10:55Z</dcterms:modified>
</cp:coreProperties>
</file>