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5F8BF6EB-5CF3-4912-85BD-57260E2EA7C9}" xr6:coauthVersionLast="34" xr6:coauthVersionMax="34" xr10:uidLastSave="{00000000-0000-0000-0000-000000000000}"/>
  <bookViews>
    <workbookView xWindow="0" yWindow="0" windowWidth="19200" windowHeight="5796" firstSheet="5" activeTab="11" xr2:uid="{00000000-000D-0000-FFFF-FFFF00000000}"/>
  </bookViews>
  <sheets>
    <sheet name="rdv 2018" sheetId="1" r:id="rId1"/>
    <sheet name="rdv 2017" sheetId="11" r:id="rId2"/>
    <sheet name="RDV EQUIPE" sheetId="5" r:id="rId3"/>
    <sheet name="KEVIN" sheetId="12" r:id="rId4"/>
    <sheet name="JEAN" sheetId="6" r:id="rId5"/>
    <sheet name="LOU" sheetId="8" r:id="rId6"/>
    <sheet name="SAMI" sheetId="13" r:id="rId7"/>
    <sheet name="ARTHUR" sheetId="10" r:id="rId8"/>
    <sheet name="ARNAUD" sheetId="14" r:id="rId9"/>
    <sheet name="JULIEN" sheetId="18" r:id="rId10"/>
    <sheet name="GRAPH" sheetId="9" r:id="rId11"/>
    <sheet name="VENTES 2018" sheetId="15" r:id="rId12"/>
    <sheet name="PREENREGISTREES" sheetId="17" r:id="rId13"/>
  </sheets>
  <definedNames>
    <definedName name="feuilles">'RDV EQUIPE'!$T$1:$T$2</definedName>
    <definedName name="ventes">GRAPH!$Q$2:$Q$6</definedName>
  </definedNames>
  <calcPr calcId="162913"/>
</workbook>
</file>

<file path=xl/calcChain.xml><?xml version="1.0" encoding="utf-8"?>
<calcChain xmlns="http://schemas.openxmlformats.org/spreadsheetml/2006/main">
  <c r="O47" i="5" l="1"/>
  <c r="N47" i="5"/>
  <c r="M47" i="5"/>
  <c r="L47" i="5"/>
  <c r="K47" i="5"/>
  <c r="J47" i="5"/>
  <c r="I47" i="5"/>
  <c r="H47" i="5"/>
  <c r="G47" i="5"/>
  <c r="F47" i="5"/>
  <c r="E47" i="5"/>
  <c r="D47" i="5"/>
  <c r="O46" i="5"/>
  <c r="N46" i="5"/>
  <c r="M46" i="5"/>
  <c r="L46" i="5"/>
  <c r="K46" i="5"/>
  <c r="J46" i="5"/>
  <c r="I46" i="5"/>
  <c r="H46" i="5"/>
  <c r="G46" i="5"/>
  <c r="F46" i="5"/>
  <c r="E46" i="5"/>
  <c r="D46" i="5"/>
  <c r="O45" i="5"/>
  <c r="N45" i="5"/>
  <c r="M45" i="5"/>
  <c r="L45" i="5"/>
  <c r="K45" i="5"/>
  <c r="J45" i="5"/>
  <c r="I45" i="5"/>
  <c r="H45" i="5"/>
  <c r="G45" i="5"/>
  <c r="F45" i="5"/>
  <c r="E45" i="5"/>
  <c r="D45" i="5"/>
  <c r="O33" i="5"/>
  <c r="N33" i="5"/>
  <c r="M33" i="5"/>
  <c r="L33" i="5"/>
  <c r="K33" i="5"/>
  <c r="J33" i="5"/>
  <c r="I33" i="5"/>
  <c r="H33" i="5"/>
  <c r="G33" i="5"/>
  <c r="F33" i="5"/>
  <c r="E33" i="5"/>
  <c r="D33" i="5"/>
  <c r="O32" i="5"/>
  <c r="N32" i="5"/>
  <c r="M32" i="5"/>
  <c r="L32" i="5"/>
  <c r="K32" i="5"/>
  <c r="J32" i="5"/>
  <c r="I32" i="5"/>
  <c r="H32" i="5"/>
  <c r="G32" i="5"/>
  <c r="F32" i="5"/>
  <c r="E32" i="5"/>
  <c r="D32" i="5"/>
  <c r="O31" i="5"/>
  <c r="N31" i="5"/>
  <c r="M31" i="5"/>
  <c r="L31" i="5"/>
  <c r="K31" i="5"/>
  <c r="J31" i="5"/>
  <c r="I31" i="5"/>
  <c r="H31" i="5"/>
  <c r="G31" i="5"/>
  <c r="F31" i="5"/>
  <c r="E31" i="5"/>
  <c r="D31" i="5"/>
  <c r="O26" i="5"/>
  <c r="N26" i="5"/>
  <c r="M26" i="5"/>
  <c r="L26" i="5"/>
  <c r="K26" i="5"/>
  <c r="J26" i="5"/>
  <c r="I26" i="5"/>
  <c r="H26" i="5"/>
  <c r="G26" i="5"/>
  <c r="F26" i="5"/>
  <c r="E26" i="5"/>
  <c r="D26" i="5"/>
  <c r="O25" i="5"/>
  <c r="N25" i="5"/>
  <c r="M25" i="5"/>
  <c r="L25" i="5"/>
  <c r="K25" i="5"/>
  <c r="J25" i="5"/>
  <c r="I25" i="5"/>
  <c r="H25" i="5"/>
  <c r="G25" i="5"/>
  <c r="F25" i="5"/>
  <c r="E25" i="5"/>
  <c r="D25" i="5"/>
  <c r="O24" i="5"/>
  <c r="N24" i="5"/>
  <c r="M24" i="5"/>
  <c r="L24" i="5"/>
  <c r="K24" i="5"/>
  <c r="J24" i="5"/>
  <c r="I24" i="5"/>
  <c r="H24" i="5"/>
  <c r="G24" i="5"/>
  <c r="F24" i="5"/>
  <c r="E24" i="5"/>
  <c r="D24" i="5"/>
  <c r="O19" i="5"/>
  <c r="N19" i="5"/>
  <c r="M19" i="5"/>
  <c r="L19" i="5"/>
  <c r="K19" i="5"/>
  <c r="J19" i="5"/>
  <c r="I19" i="5"/>
  <c r="H19" i="5"/>
  <c r="G19" i="5"/>
  <c r="F19" i="5"/>
  <c r="E19" i="5"/>
  <c r="D19" i="5"/>
  <c r="O18" i="5"/>
  <c r="N18" i="5"/>
  <c r="M18" i="5"/>
  <c r="L18" i="5"/>
  <c r="K18" i="5"/>
  <c r="J18" i="5"/>
  <c r="I18" i="5"/>
  <c r="H18" i="5"/>
  <c r="G18" i="5"/>
  <c r="F18" i="5"/>
  <c r="E18" i="5"/>
  <c r="D18" i="5"/>
  <c r="O17" i="5"/>
  <c r="N17" i="5"/>
  <c r="M17" i="5"/>
  <c r="L17" i="5"/>
  <c r="K17" i="5"/>
  <c r="J17" i="5"/>
  <c r="I17" i="5"/>
  <c r="H17" i="5"/>
  <c r="G17" i="5"/>
  <c r="F17" i="5"/>
  <c r="E17" i="5"/>
  <c r="D17" i="5"/>
  <c r="O12" i="5"/>
  <c r="N12" i="5"/>
  <c r="M12" i="5"/>
  <c r="L12" i="5"/>
  <c r="K12" i="5"/>
  <c r="J12" i="5"/>
  <c r="I12" i="5"/>
  <c r="H12" i="5"/>
  <c r="G12" i="5"/>
  <c r="F12" i="5"/>
  <c r="E12" i="5"/>
  <c r="D12" i="5"/>
  <c r="O11" i="5"/>
  <c r="N11" i="5"/>
  <c r="M11" i="5"/>
  <c r="L11" i="5"/>
  <c r="K11" i="5"/>
  <c r="J11" i="5"/>
  <c r="I11" i="5"/>
  <c r="H11" i="5"/>
  <c r="G11" i="5"/>
  <c r="F11" i="5"/>
  <c r="E11" i="5"/>
  <c r="D11" i="5"/>
  <c r="O10" i="5"/>
  <c r="N10" i="5"/>
  <c r="M10" i="5"/>
  <c r="L10" i="5"/>
  <c r="K10" i="5"/>
  <c r="J10" i="5"/>
  <c r="I10" i="5"/>
  <c r="H10" i="5"/>
  <c r="G10" i="5"/>
  <c r="F10" i="5"/>
  <c r="E10" i="5"/>
  <c r="D10" i="5"/>
  <c r="O5" i="5"/>
  <c r="N5" i="5"/>
  <c r="M5" i="5"/>
  <c r="L5" i="5"/>
  <c r="K5" i="5"/>
  <c r="J5" i="5"/>
  <c r="I5" i="5"/>
  <c r="H5" i="5"/>
  <c r="G5" i="5"/>
  <c r="F5" i="5"/>
  <c r="E5" i="5"/>
  <c r="D5" i="5"/>
  <c r="O4" i="5"/>
  <c r="N4" i="5"/>
  <c r="M4" i="5"/>
  <c r="L4" i="5"/>
  <c r="K4" i="5"/>
  <c r="J4" i="5"/>
  <c r="I4" i="5"/>
  <c r="H4" i="5"/>
  <c r="G4" i="5"/>
  <c r="F4" i="5"/>
  <c r="E4" i="5"/>
  <c r="D4" i="5"/>
  <c r="O3" i="5"/>
  <c r="N3" i="5"/>
  <c r="M3" i="5"/>
  <c r="L3" i="5"/>
  <c r="K3" i="5"/>
  <c r="J3" i="5"/>
  <c r="I3" i="5"/>
  <c r="H3" i="5"/>
  <c r="G3" i="5"/>
  <c r="F3" i="5"/>
  <c r="E3" i="5"/>
  <c r="D3" i="5"/>
  <c r="N48" i="5"/>
  <c r="M49" i="5"/>
  <c r="E48" i="5"/>
  <c r="L49" i="5"/>
  <c r="O49" i="5"/>
  <c r="E49" i="5"/>
  <c r="F49" i="5"/>
  <c r="M48" i="5"/>
  <c r="G50" i="5"/>
  <c r="D49" i="5"/>
  <c r="J50" i="5"/>
  <c r="D50" i="5"/>
  <c r="E50" i="5"/>
  <c r="L48" i="5"/>
  <c r="I48" i="5"/>
  <c r="Q50" i="5"/>
  <c r="G49" i="5"/>
  <c r="O48" i="5"/>
  <c r="I49" i="5"/>
  <c r="H50" i="5"/>
  <c r="O50" i="5"/>
  <c r="J49" i="5"/>
  <c r="H49" i="5"/>
  <c r="J48" i="5"/>
  <c r="K49" i="5"/>
  <c r="H48" i="5"/>
  <c r="L50" i="5"/>
  <c r="Q49" i="5"/>
  <c r="K50" i="5"/>
  <c r="N50" i="5"/>
  <c r="N49" i="5"/>
  <c r="G48" i="5"/>
  <c r="F48" i="5"/>
  <c r="F50" i="5"/>
  <c r="I50" i="5"/>
  <c r="K48" i="5"/>
  <c r="M50" i="5"/>
  <c r="D48" i="5"/>
  <c r="P46" i="5" l="1"/>
  <c r="P47" i="5"/>
  <c r="P45" i="5"/>
  <c r="P49" i="5"/>
  <c r="Q48" i="5"/>
  <c r="P48" i="5"/>
  <c r="P50" i="5"/>
  <c r="H61" i="5"/>
  <c r="D61" i="5"/>
  <c r="O40" i="5"/>
  <c r="N40" i="5"/>
  <c r="N54" i="5" s="1"/>
  <c r="M40" i="5"/>
  <c r="L40" i="5"/>
  <c r="L54" i="5" s="1"/>
  <c r="K40" i="5"/>
  <c r="J40" i="5"/>
  <c r="J54" i="5" s="1"/>
  <c r="I40" i="5"/>
  <c r="I54" i="5" s="1"/>
  <c r="H40" i="5"/>
  <c r="H54" i="5" s="1"/>
  <c r="G40" i="5"/>
  <c r="F40" i="5"/>
  <c r="F54" i="5" s="1"/>
  <c r="E40" i="5"/>
  <c r="E54" i="5" s="1"/>
  <c r="D40" i="5"/>
  <c r="D54" i="5" s="1"/>
  <c r="O39" i="5"/>
  <c r="O53" i="5" s="1"/>
  <c r="N39" i="5"/>
  <c r="N53" i="5" s="1"/>
  <c r="M39" i="5"/>
  <c r="M53" i="5" s="1"/>
  <c r="L39" i="5"/>
  <c r="L53" i="5" s="1"/>
  <c r="K39" i="5"/>
  <c r="K53" i="5" s="1"/>
  <c r="J39" i="5"/>
  <c r="J53" i="5" s="1"/>
  <c r="I39" i="5"/>
  <c r="I53" i="5" s="1"/>
  <c r="H39" i="5"/>
  <c r="H53" i="5" s="1"/>
  <c r="G39" i="5"/>
  <c r="G53" i="5" s="1"/>
  <c r="F39" i="5"/>
  <c r="F53" i="5" s="1"/>
  <c r="E39" i="5"/>
  <c r="E53" i="5" s="1"/>
  <c r="D39" i="5"/>
  <c r="O38" i="5"/>
  <c r="N38" i="5"/>
  <c r="M38" i="5"/>
  <c r="L38" i="5"/>
  <c r="K38" i="5"/>
  <c r="J38" i="5"/>
  <c r="I38" i="5"/>
  <c r="H38" i="5"/>
  <c r="G38" i="5"/>
  <c r="F38" i="5"/>
  <c r="E38" i="5"/>
  <c r="D38" i="5"/>
  <c r="P24" i="5"/>
  <c r="O54" i="5"/>
  <c r="M54" i="5"/>
  <c r="K54" i="5"/>
  <c r="G54" i="5"/>
  <c r="H52" i="5"/>
  <c r="C36" i="9"/>
  <c r="P26" i="5"/>
  <c r="P25" i="5"/>
  <c r="P18" i="5"/>
  <c r="P40" i="5" l="1"/>
  <c r="P12" i="5"/>
  <c r="I52" i="5"/>
  <c r="J52" i="5"/>
  <c r="N52" i="5"/>
  <c r="F52" i="5"/>
  <c r="K52" i="5"/>
  <c r="P17" i="5"/>
  <c r="P31" i="5"/>
  <c r="P32" i="5"/>
  <c r="P33" i="5"/>
  <c r="G52" i="5"/>
  <c r="P11" i="5"/>
  <c r="P39" i="5"/>
  <c r="O52" i="5"/>
  <c r="P10" i="5"/>
  <c r="L52" i="5"/>
  <c r="P5" i="5"/>
  <c r="P3" i="5"/>
  <c r="D52" i="5"/>
  <c r="P4" i="5"/>
  <c r="E52" i="5"/>
  <c r="M52" i="5"/>
  <c r="P54" i="5"/>
  <c r="P19" i="5"/>
  <c r="P38" i="5"/>
  <c r="D53" i="5"/>
  <c r="P53" i="5" s="1"/>
  <c r="P52" i="5" l="1"/>
  <c r="D62" i="5" s="1"/>
  <c r="K6" i="5"/>
  <c r="D15" i="5"/>
  <c r="F8" i="5"/>
  <c r="G43" i="5"/>
  <c r="H13" i="5"/>
  <c r="J8" i="5"/>
  <c r="N34" i="5"/>
  <c r="G21" i="5"/>
  <c r="H41" i="5"/>
  <c r="J35" i="5"/>
  <c r="D36" i="5"/>
  <c r="F22" i="5"/>
  <c r="I28" i="5"/>
  <c r="K42" i="5"/>
  <c r="E21" i="5"/>
  <c r="I14" i="5"/>
  <c r="Q29" i="5"/>
  <c r="J20" i="5"/>
  <c r="I15" i="5"/>
  <c r="H27" i="5"/>
  <c r="K22" i="5"/>
  <c r="H36" i="5"/>
  <c r="N22" i="5"/>
  <c r="J28" i="5"/>
  <c r="Q15" i="5"/>
  <c r="K41" i="5"/>
  <c r="F15" i="5"/>
  <c r="E27" i="5"/>
  <c r="K35" i="5"/>
  <c r="J15" i="5"/>
  <c r="M41" i="5"/>
  <c r="J43" i="5"/>
  <c r="O6" i="5"/>
  <c r="D28" i="5"/>
  <c r="G14" i="5"/>
  <c r="M29" i="5"/>
  <c r="K20" i="5"/>
  <c r="D35" i="5"/>
  <c r="J21" i="5"/>
  <c r="H35" i="5"/>
  <c r="Q7" i="5"/>
  <c r="E41" i="5"/>
  <c r="F6" i="5"/>
  <c r="J13" i="5"/>
  <c r="E34" i="5"/>
  <c r="N20" i="5"/>
  <c r="K34" i="5"/>
  <c r="I42" i="5"/>
  <c r="L6" i="5"/>
  <c r="M27" i="5"/>
  <c r="L29" i="5"/>
  <c r="N13" i="5"/>
  <c r="L35" i="5"/>
  <c r="I36" i="5"/>
  <c r="N27" i="5"/>
  <c r="K29" i="5"/>
  <c r="E29" i="5"/>
  <c r="F14" i="5"/>
  <c r="G36" i="5"/>
  <c r="O29" i="5"/>
  <c r="M13" i="5"/>
  <c r="G42" i="5"/>
  <c r="L36" i="5"/>
  <c r="M7" i="5"/>
  <c r="M14" i="5"/>
  <c r="H29" i="5"/>
  <c r="O27" i="5"/>
  <c r="O21" i="5"/>
  <c r="E15" i="5"/>
  <c r="L15" i="5"/>
  <c r="L14" i="5"/>
  <c r="E43" i="5"/>
  <c r="H14" i="5"/>
  <c r="Q43" i="5"/>
  <c r="M15" i="5"/>
  <c r="G27" i="5"/>
  <c r="H28" i="5"/>
  <c r="D27" i="5"/>
  <c r="O42" i="5"/>
  <c r="I35" i="5"/>
  <c r="I29" i="5"/>
  <c r="E35" i="5"/>
  <c r="M35" i="5"/>
  <c r="K14" i="5"/>
  <c r="E7" i="5"/>
  <c r="F20" i="5"/>
  <c r="O20" i="5"/>
  <c r="Q28" i="5"/>
  <c r="K21" i="5"/>
  <c r="J29" i="5"/>
  <c r="O22" i="5"/>
  <c r="L22" i="5"/>
  <c r="N14" i="5"/>
  <c r="I41" i="5"/>
  <c r="K8" i="5"/>
  <c r="K13" i="5"/>
  <c r="L43" i="5"/>
  <c r="J22" i="5"/>
  <c r="L8" i="5"/>
  <c r="F35" i="5"/>
  <c r="I20" i="5"/>
  <c r="H20" i="5"/>
  <c r="N42" i="5"/>
  <c r="D29" i="5"/>
  <c r="I6" i="5"/>
  <c r="Q14" i="5"/>
  <c r="D14" i="5"/>
  <c r="I7" i="5"/>
  <c r="K15" i="5"/>
  <c r="D6" i="5"/>
  <c r="E22" i="5"/>
  <c r="F43" i="5"/>
  <c r="L27" i="5"/>
  <c r="M34" i="5"/>
  <c r="H42" i="5"/>
  <c r="I21" i="5"/>
  <c r="E36" i="5"/>
  <c r="D34" i="5"/>
  <c r="H22" i="5"/>
  <c r="M22" i="5"/>
  <c r="L41" i="5"/>
  <c r="O13" i="5"/>
  <c r="L13" i="5"/>
  <c r="J14" i="5"/>
  <c r="M20" i="5"/>
  <c r="N21" i="5"/>
  <c r="D13" i="5"/>
  <c r="F41" i="5"/>
  <c r="N6" i="5"/>
  <c r="G22" i="5"/>
  <c r="G28" i="5"/>
  <c r="L20" i="5"/>
  <c r="J42" i="5"/>
  <c r="G41" i="5"/>
  <c r="F21" i="5"/>
  <c r="D20" i="5"/>
  <c r="F28" i="5"/>
  <c r="N29" i="5"/>
  <c r="H34" i="5"/>
  <c r="N43" i="5"/>
  <c r="E8" i="5"/>
  <c r="K36" i="5"/>
  <c r="N15" i="5"/>
  <c r="G13" i="5"/>
  <c r="F7" i="5"/>
  <c r="M42" i="5"/>
  <c r="E28" i="5"/>
  <c r="J27" i="5"/>
  <c r="M6" i="5"/>
  <c r="O14" i="5"/>
  <c r="G15" i="5"/>
  <c r="O8" i="5"/>
  <c r="I8" i="5"/>
  <c r="D41" i="5"/>
  <c r="F36" i="5"/>
  <c r="I13" i="5"/>
  <c r="G7" i="5"/>
  <c r="M28" i="5"/>
  <c r="O35" i="5"/>
  <c r="N7" i="5"/>
  <c r="O34" i="5"/>
  <c r="N8" i="5"/>
  <c r="F34" i="5"/>
  <c r="F27" i="5"/>
  <c r="D42" i="5"/>
  <c r="F42" i="5"/>
  <c r="N28" i="5"/>
  <c r="H21" i="5"/>
  <c r="E14" i="5"/>
  <c r="L21" i="5"/>
  <c r="M36" i="5"/>
  <c r="J6" i="5"/>
  <c r="F13" i="5"/>
  <c r="Q21" i="5"/>
  <c r="H15" i="5"/>
  <c r="H43" i="5"/>
  <c r="O28" i="5"/>
  <c r="K43" i="5"/>
  <c r="E20" i="5"/>
  <c r="O41" i="5"/>
  <c r="O43" i="5"/>
  <c r="I34" i="5"/>
  <c r="H7" i="5"/>
  <c r="J7" i="5"/>
  <c r="E42" i="5"/>
  <c r="H8" i="5"/>
  <c r="D7" i="5"/>
  <c r="K27" i="5"/>
  <c r="J41" i="5"/>
  <c r="L28" i="5"/>
  <c r="M8" i="5"/>
  <c r="J36" i="5"/>
  <c r="D43" i="5"/>
  <c r="K7" i="5"/>
  <c r="L7" i="5"/>
  <c r="J34" i="5"/>
  <c r="D21" i="5"/>
  <c r="N35" i="5"/>
  <c r="I27" i="5"/>
  <c r="K28" i="5"/>
  <c r="D8" i="5"/>
  <c r="G34" i="5"/>
  <c r="F29" i="5"/>
  <c r="L42" i="5"/>
  <c r="G20" i="5"/>
  <c r="E13" i="5"/>
  <c r="O7" i="5"/>
  <c r="G6" i="5"/>
  <c r="I43" i="5"/>
  <c r="G35" i="5"/>
  <c r="Q22" i="5"/>
  <c r="E6" i="5"/>
  <c r="O15" i="5"/>
  <c r="M43" i="5"/>
  <c r="N36" i="5"/>
  <c r="N41" i="5"/>
  <c r="I22" i="5"/>
  <c r="O36" i="5"/>
  <c r="H6" i="5"/>
  <c r="M21" i="5"/>
  <c r="G29" i="5"/>
  <c r="D22" i="5"/>
  <c r="G8" i="5"/>
  <c r="L34" i="5"/>
  <c r="Q8" i="5"/>
  <c r="Q42" i="5"/>
  <c r="D57" i="5" l="1"/>
  <c r="P8" i="5"/>
  <c r="Q41" i="5"/>
  <c r="Q57" i="5"/>
  <c r="P21" i="5"/>
  <c r="L55" i="5"/>
  <c r="F56" i="5"/>
  <c r="P34" i="5"/>
  <c r="L56" i="5"/>
  <c r="K56" i="5"/>
  <c r="P43" i="5"/>
  <c r="G57" i="5"/>
  <c r="M57" i="5"/>
  <c r="F55" i="5"/>
  <c r="P22" i="5"/>
  <c r="Q6" i="5"/>
  <c r="Q56" i="5"/>
  <c r="M56" i="5"/>
  <c r="D55" i="5"/>
  <c r="P6" i="5"/>
  <c r="D56" i="5"/>
  <c r="P7" i="5"/>
  <c r="H57" i="5"/>
  <c r="I56" i="5"/>
  <c r="P35" i="5"/>
  <c r="P14" i="5"/>
  <c r="E57" i="5"/>
  <c r="J56" i="5"/>
  <c r="Q13" i="5"/>
  <c r="H56" i="5"/>
  <c r="I55" i="5"/>
  <c r="P29" i="5"/>
  <c r="P28" i="5"/>
  <c r="H55" i="5"/>
  <c r="O55" i="5"/>
  <c r="L57" i="5"/>
  <c r="Q20" i="5"/>
  <c r="K57" i="5"/>
  <c r="J55" i="5"/>
  <c r="P20" i="5"/>
  <c r="Q27" i="5"/>
  <c r="P42" i="5"/>
  <c r="E56" i="5"/>
  <c r="E55" i="5"/>
  <c r="N57" i="5"/>
  <c r="N56" i="5"/>
  <c r="P36" i="5"/>
  <c r="G56" i="5"/>
  <c r="P27" i="5"/>
  <c r="G55" i="5"/>
  <c r="P41" i="5"/>
  <c r="J57" i="5"/>
  <c r="N55" i="5"/>
  <c r="I57" i="5"/>
  <c r="O56" i="5"/>
  <c r="O57" i="5"/>
  <c r="F57" i="5"/>
  <c r="P15" i="5"/>
  <c r="P13" i="5"/>
  <c r="M55" i="5"/>
  <c r="K55" i="5"/>
  <c r="Q55" i="5" l="1"/>
  <c r="G62" i="5" s="1"/>
  <c r="J62" i="5" s="1"/>
  <c r="P57" i="5"/>
  <c r="P56" i="5"/>
  <c r="P55" i="5"/>
  <c r="R55" i="5" l="1"/>
</calcChain>
</file>

<file path=xl/sharedStrings.xml><?xml version="1.0" encoding="utf-8"?>
<sst xmlns="http://schemas.openxmlformats.org/spreadsheetml/2006/main" count="1535" uniqueCount="110">
  <si>
    <t>Événements Assigné à</t>
  </si>
  <si>
    <t>Événements Créé par</t>
  </si>
  <si>
    <t>Événements Sujet</t>
  </si>
  <si>
    <t>Événements Statut</t>
  </si>
  <si>
    <t>Dossier Client Origine</t>
  </si>
  <si>
    <t>Dossier Client Support</t>
  </si>
  <si>
    <t>Parrainage</t>
  </si>
  <si>
    <t>Relationnel</t>
  </si>
  <si>
    <t>-</t>
  </si>
  <si>
    <t>Valérie Bula</t>
  </si>
  <si>
    <t>Site Internet MDA</t>
  </si>
  <si>
    <t>N'a pas eu lieu</t>
  </si>
  <si>
    <t>Formulaire</t>
  </si>
  <si>
    <t>Autre</t>
  </si>
  <si>
    <t>Site Internet Partenaire</t>
  </si>
  <si>
    <t>site devis B2B</t>
  </si>
  <si>
    <t>A eu lieu</t>
  </si>
  <si>
    <t>Manifestation commerciale</t>
  </si>
  <si>
    <t>Faire construire sa maison</t>
  </si>
  <si>
    <t>Notoriete</t>
  </si>
  <si>
    <t>MFC - meilleur taux</t>
  </si>
  <si>
    <t>PA Internet Le Bon Coin</t>
  </si>
  <si>
    <t>Terrain construction</t>
  </si>
  <si>
    <t>Agence (visites et appels)</t>
  </si>
  <si>
    <t>Formulaire Contact Rapide</t>
  </si>
  <si>
    <t>Contact Agence</t>
  </si>
  <si>
    <t>Formulaire contact</t>
  </si>
  <si>
    <t>Formulaire Plan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</si>
  <si>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</si>
  <si>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</si>
  <si>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</si>
  <si>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</si>
  <si>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</si>
  <si>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</si>
  <si>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</si>
  <si>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</si>
  <si>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</si>
  <si>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</si>
  <si>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</si>
  <si>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</si>
  <si>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</si>
  <si>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</si>
  <si>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</si>
  <si>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Dossier Client Pre-enregistre pour le mois de</t>
  </si>
  <si>
    <t>TOTAL</t>
  </si>
  <si>
    <t>Dossier Client Date de Signature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</si>
  <si>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</si>
  <si>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</si>
  <si>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</si>
  <si>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</si>
  <si>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</si>
  <si>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</si>
  <si>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</si>
  <si>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</si>
  <si>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</si>
  <si>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feuilles</t>
  </si>
  <si>
    <t>février</t>
  </si>
  <si>
    <t>Telepro R1-</t>
  </si>
  <si>
    <t>pre enregistrees</t>
  </si>
  <si>
    <t>Événements Date et heure de début (System Date)</t>
  </si>
  <si>
    <t>Formulaire contact rapide</t>
  </si>
  <si>
    <t>rdv 2018</t>
  </si>
  <si>
    <t>Telepro R1-SCIELLER-ELEGOUET-Agence Carhaix</t>
  </si>
  <si>
    <t>Telepro R1-POULIQUEN-POULIQUEN-Pavillon Temoin Brest</t>
  </si>
  <si>
    <t>R1-FAIZA ET YOUSSOUF-MOHAMMED-Domicile</t>
  </si>
  <si>
    <t>R1-Marina-Cloarec--</t>
  </si>
  <si>
    <t>Telepro R1-Yann-PIRIOU-Domicile</t>
  </si>
  <si>
    <t>R1-LEMARCHAND-LEMARCHAND--</t>
  </si>
  <si>
    <t>R1-Emedy-Guigot--</t>
  </si>
  <si>
    <t>R1-Michel-Jacques--</t>
  </si>
  <si>
    <t>Telepro R1-BRUNET-BRUNET-Domicile</t>
  </si>
  <si>
    <t>Telepro R1-Nicolas-GOASDOUE-Agence Chateaulin</t>
  </si>
  <si>
    <t>Telepro R1-QUIGUER-TOUQUET-Pavillon Temoin Brest</t>
  </si>
  <si>
    <t>rdv 2017</t>
  </si>
  <si>
    <t>Contact Agence Mobile</t>
  </si>
  <si>
    <t>Telepro R1-COINE-COINE-Domicile</t>
  </si>
  <si>
    <t>Telepro R1-Virginie-VOYER-Pavillon Temoin Brest</t>
  </si>
  <si>
    <t>Telepro R1-Sylvie-BELLOUR-Pavillon Temoin Brest</t>
  </si>
  <si>
    <t>R1-BIZIEN-TREBAOL-Domicile</t>
  </si>
  <si>
    <t>R1-RAISIN-RAISIN-Agence</t>
  </si>
  <si>
    <t>Telepro R1-BECHEN-MORICO-Domicile</t>
  </si>
  <si>
    <t>Telepro R1-CARDINAL-CARDINAL-Domicile</t>
  </si>
  <si>
    <t>préenregistrees</t>
  </si>
  <si>
    <t>a enregistrer</t>
  </si>
  <si>
    <t xml:space="preserve">ventes </t>
  </si>
  <si>
    <t>RDV faits</t>
  </si>
  <si>
    <t>RDV N' a pas eu lieu</t>
  </si>
  <si>
    <t>télépro r1</t>
  </si>
  <si>
    <t>Telepro R1-RAISIN-RAISIN-Pavillon Temoin Brest</t>
  </si>
  <si>
    <t>Telepro R1-JONARD-RANDRIANANTENAINA-Domicile</t>
  </si>
  <si>
    <t>R1---</t>
  </si>
  <si>
    <t>Telepro R1-ROXO-ROXO-Domicile</t>
  </si>
  <si>
    <t>Telepro R1-PAUL et MADELEINE-DORVAL-Domicile</t>
  </si>
  <si>
    <t>R1-DIDIER-Bonamy-Domicile</t>
  </si>
  <si>
    <t>Telepro R1-COURTE-BERGOT-Pavillon Temoin Brest</t>
  </si>
  <si>
    <t>Telepro R1-PHILLIPPEKIN-PHILLIPPEKIN-Agence</t>
  </si>
  <si>
    <t>Telepro R1-Christophe-BATHANY-Pavillon Temoin Brest</t>
  </si>
  <si>
    <t>Site internet partenaire</t>
  </si>
  <si>
    <t>Telepro R1-Tullin-KEROAS-Pavillon Temoin Brest</t>
  </si>
  <si>
    <t>Arnaud JOLY</t>
  </si>
  <si>
    <t>Valérie</t>
  </si>
  <si>
    <t>Nathalie</t>
  </si>
  <si>
    <t>Jean DUBOIS</t>
  </si>
  <si>
    <t>Kévin DURAND</t>
  </si>
  <si>
    <t>Lou CHARLES</t>
  </si>
  <si>
    <t>Sami NICOLAS</t>
  </si>
  <si>
    <t>Z</t>
  </si>
  <si>
    <t>Julien OMNES</t>
  </si>
  <si>
    <t>Arthur</t>
  </si>
  <si>
    <t>R1-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</si>
</sst>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\ h:mm:ss"/>
    <numFmt numFmtId="165" formatCode="dd\-mm\-yyyy"/>
  </numFmts>
  <fonts count="12" x14ac:knownFonts="1">
    <font>
      <sz val="11"/>
      <color indexed="8"/>
      <name val="Calibri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70">
    <xf numFmtId="0" fontId="0" fillId="0" borderId="0" xfId="0" applyFill="1" applyProtection="1"/>
    <xf numFmtId="0" fontId="3" fillId="0" borderId="0" xfId="0" applyFont="1" applyFill="1" applyProtection="1"/>
    <xf numFmtId="165" fontId="0" fillId="0" borderId="0" xfId="0" applyNumberFormat="1" applyFill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Protection="1"/>
    <xf numFmtId="0" fontId="2" fillId="3" borderId="0" xfId="0" applyFont="1" applyFill="1" applyProtection="1"/>
    <xf numFmtId="0" fontId="0" fillId="3" borderId="0" xfId="0" applyFill="1" applyProtection="1"/>
    <xf numFmtId="0" fontId="3" fillId="3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4" borderId="0" xfId="0" applyFont="1" applyFill="1" applyProtection="1"/>
    <xf numFmtId="0" fontId="4" fillId="4" borderId="0" xfId="0" applyFont="1" applyFill="1" applyProtection="1"/>
    <xf numFmtId="0" fontId="2" fillId="5" borderId="0" xfId="0" applyFont="1" applyFill="1" applyProtection="1"/>
    <xf numFmtId="0" fontId="0" fillId="5" borderId="0" xfId="0" applyFill="1" applyProtection="1"/>
    <xf numFmtId="2" fontId="2" fillId="0" borderId="0" xfId="0" applyNumberFormat="1" applyFont="1" applyFill="1" applyProtection="1"/>
    <xf numFmtId="0" fontId="0" fillId="0" borderId="0" xfId="0" applyFill="1" applyBorder="1" applyProtection="1"/>
    <xf numFmtId="0" fontId="4" fillId="0" borderId="0" xfId="0" applyFont="1" applyFill="1" applyBorder="1" applyProtection="1"/>
    <xf numFmtId="0" fontId="4" fillId="0" borderId="1" xfId="0" applyFont="1" applyFill="1" applyBorder="1" applyProtection="1"/>
    <xf numFmtId="0" fontId="4" fillId="0" borderId="2" xfId="0" applyFont="1" applyFill="1" applyBorder="1" applyProtection="1"/>
    <xf numFmtId="0" fontId="4" fillId="0" borderId="3" xfId="0" applyFont="1" applyFill="1" applyBorder="1" applyProtection="1"/>
    <xf numFmtId="0" fontId="2" fillId="0" borderId="4" xfId="0" applyFont="1" applyFill="1" applyBorder="1" applyProtection="1"/>
    <xf numFmtId="0" fontId="2" fillId="0" borderId="5" xfId="0" applyFont="1" applyFill="1" applyBorder="1" applyProtection="1"/>
    <xf numFmtId="0" fontId="4" fillId="0" borderId="4" xfId="0" applyFont="1" applyFill="1" applyBorder="1" applyProtection="1"/>
    <xf numFmtId="0" fontId="2" fillId="0" borderId="6" xfId="0" applyFont="1" applyFill="1" applyBorder="1" applyProtection="1"/>
    <xf numFmtId="0" fontId="0" fillId="0" borderId="7" xfId="0" applyFill="1" applyBorder="1" applyProtection="1"/>
    <xf numFmtId="0" fontId="2" fillId="0" borderId="8" xfId="0" applyFont="1" applyFill="1" applyBorder="1" applyProtection="1"/>
    <xf numFmtId="0" fontId="5" fillId="0" borderId="0" xfId="0" applyFont="1" applyFill="1" applyProtection="1"/>
    <xf numFmtId="0" fontId="5" fillId="3" borderId="0" xfId="0" applyFont="1" applyFill="1" applyProtection="1"/>
    <xf numFmtId="0" fontId="4" fillId="3" borderId="0" xfId="0" applyFont="1" applyFill="1" applyProtection="1"/>
    <xf numFmtId="0" fontId="2" fillId="5" borderId="9" xfId="0" applyFont="1" applyFill="1" applyBorder="1" applyProtection="1"/>
    <xf numFmtId="0" fontId="4" fillId="3" borderId="9" xfId="0" applyFont="1" applyFill="1" applyBorder="1" applyProtection="1"/>
    <xf numFmtId="0" fontId="5" fillId="6" borderId="0" xfId="0" applyFont="1" applyFill="1" applyProtection="1"/>
    <xf numFmtId="0" fontId="2" fillId="6" borderId="0" xfId="0" applyFont="1" applyFill="1" applyProtection="1"/>
    <xf numFmtId="0" fontId="2" fillId="6" borderId="9" xfId="0" applyFont="1" applyFill="1" applyBorder="1" applyProtection="1"/>
    <xf numFmtId="0" fontId="6" fillId="0" borderId="0" xfId="0" applyFont="1" applyFill="1" applyProtection="1"/>
    <xf numFmtId="0" fontId="6" fillId="0" borderId="9" xfId="0" applyFont="1" applyFill="1" applyBorder="1" applyProtection="1"/>
    <xf numFmtId="0" fontId="4" fillId="6" borderId="0" xfId="0" applyFont="1" applyFill="1" applyProtection="1"/>
    <xf numFmtId="10" fontId="0" fillId="0" borderId="0" xfId="0" applyNumberFormat="1" applyFill="1" applyProtection="1"/>
    <xf numFmtId="0" fontId="1" fillId="2" borderId="0" xfId="0" applyFont="1" applyFill="1" applyProtection="1"/>
    <xf numFmtId="0" fontId="4" fillId="5" borderId="0" xfId="0" applyFont="1" applyFill="1" applyProtection="1"/>
    <xf numFmtId="0" fontId="6" fillId="7" borderId="0" xfId="0" applyFont="1" applyFill="1" applyProtection="1"/>
    <xf numFmtId="0" fontId="6" fillId="7" borderId="9" xfId="0" applyFont="1" applyFill="1" applyBorder="1" applyProtection="1"/>
    <xf numFmtId="0" fontId="7" fillId="0" borderId="0" xfId="0" applyFont="1" applyFill="1" applyProtection="1"/>
    <xf numFmtId="0" fontId="8" fillId="0" borderId="0" xfId="0" applyFont="1" applyFill="1" applyProtection="1"/>
    <xf numFmtId="0" fontId="8" fillId="0" borderId="9" xfId="0" applyFont="1" applyFill="1" applyBorder="1" applyProtection="1"/>
    <xf numFmtId="0" fontId="9" fillId="0" borderId="0" xfId="0" applyFont="1" applyFill="1" applyProtection="1"/>
    <xf numFmtId="0" fontId="10" fillId="6" borderId="0" xfId="0" applyFont="1" applyFill="1" applyProtection="1"/>
    <xf numFmtId="0" fontId="11" fillId="6" borderId="0" xfId="0" applyFont="1" applyFill="1" applyProtection="1"/>
    <xf numFmtId="0" fontId="7" fillId="6" borderId="0" xfId="0" applyFont="1" applyFill="1" applyProtection="1"/>
    <xf numFmtId="0" fontId="10" fillId="0" borderId="0" xfId="0" applyFont="1" applyFill="1" applyProtection="1"/>
    <xf numFmtId="0" fontId="11" fillId="5" borderId="0" xfId="0" applyFont="1" applyFill="1" applyProtection="1"/>
    <xf numFmtId="0" fontId="10" fillId="3" borderId="0" xfId="0" applyFont="1" applyFill="1" applyProtection="1"/>
    <xf numFmtId="0" fontId="7" fillId="3" borderId="0" xfId="0" applyFont="1" applyFill="1" applyProtection="1"/>
    <xf numFmtId="0" fontId="7" fillId="3" borderId="9" xfId="0" applyFont="1" applyFill="1" applyBorder="1" applyProtection="1"/>
    <xf numFmtId="10" fontId="9" fillId="0" borderId="0" xfId="0" applyNumberFormat="1" applyFont="1" applyFill="1" applyProtection="1"/>
    <xf numFmtId="0" fontId="2" fillId="8" borderId="0" xfId="0" applyFont="1" applyFill="1" applyAlignment="1" applyProtection="1">
      <alignment horizontal="center"/>
    </xf>
    <xf numFmtId="0" fontId="2" fillId="8" borderId="0" xfId="0" applyFont="1" applyFill="1" applyProtection="1"/>
    <xf numFmtId="0" fontId="0" fillId="8" borderId="0" xfId="0" applyFill="1" applyProtection="1"/>
    <xf numFmtId="0" fontId="2" fillId="0" borderId="0" xfId="0" applyFont="1" applyFill="1" applyBorder="1" applyProtection="1"/>
    <xf numFmtId="2" fontId="0" fillId="0" borderId="0" xfId="0" applyNumberFormat="1" applyFill="1" applyProtection="1"/>
    <xf numFmtId="14" fontId="0" fillId="0" borderId="0" xfId="0" applyNumberFormat="1" applyFill="1" applyProtection="1"/>
    <xf numFmtId="164" fontId="0" fillId="0" borderId="0" xfId="0" applyNumberFormat="1" applyFill="1" applyProtection="1"/>
    <xf numFmtId="0" fontId="4" fillId="8" borderId="0" xfId="0" applyFont="1" applyFill="1" applyBorder="1" applyProtection="1"/>
    <xf numFmtId="0" fontId="4" fillId="4" borderId="5" xfId="0" applyFont="1" applyFill="1" applyBorder="1" applyProtection="1"/>
    <xf numFmtId="22" fontId="0" fillId="0" borderId="0" xfId="0" applyNumberFormat="1" applyFill="1" applyProtection="1"/>
    <xf numFmtId="1" fontId="4" fillId="0" borderId="0" xfId="0" applyNumberFormat="1" applyFont="1" applyFill="1" applyProtection="1"/>
    <xf numFmtId="0" fontId="0" fillId="0" borderId="0" xfId="0" applyFill="1" applyAlignment="1" applyProtection="1">
      <alignment horizontal="right"/>
    </xf>
    <xf numFmtId="0" fontId="0" fillId="4" borderId="0" xfId="0" applyFill="1" applyProtection="1"/>
    <xf numFmtId="164" fontId="2" fillId="0" borderId="0" xfId="0" applyNumberFormat="1" applyFont="1" applyFill="1" applyProtection="1"/>
    <xf numFmtId="0" fontId="1" fillId="0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A1BB-4AC3-A03D-53A7ADE72F2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1BB-4AC3-A03D-53A7ADE72F2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A1BB-4AC3-A03D-53A7ADE72F2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1BB-4AC3-A03D-53A7ADE72F2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A1BB-4AC3-A03D-53A7ADE72F2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1BB-4AC3-A03D-53A7ADE72F2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A1BB-4AC3-A03D-53A7ADE72F2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A1BB-4AC3-A03D-53A7ADE72F2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A1BB-4AC3-A03D-53A7ADE72F2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A1BB-4AC3-A03D-53A7ADE72F2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A1BB-4AC3-A03D-53A7ADE72F2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A1BB-4AC3-A03D-53A7ADE72F2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A1BB-4AC3-A03D-53A7ADE72F2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A1BB-4AC3-A03D-53A7ADE72F2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E-A1BB-4AC3-A03D-53A7ADE72F23}"/>
              </c:ext>
            </c:extLst>
          </c:dPt>
          <c:dPt>
            <c:idx val="15"/>
            <c:bubble3D val="0"/>
            <c:extLst>
              <c:ext xmlns:c16="http://schemas.microsoft.com/office/drawing/2014/chart" uri="{C3380CC4-5D6E-409C-BE32-E72D297353CC}">
                <c16:uniqueId val="{0000000F-A1BB-4AC3-A03D-53A7ADE72F23}"/>
              </c:ext>
            </c:extLst>
          </c:dPt>
          <c:dLbls>
            <c:dLbl>
              <c:idx val="5"/>
              <c:layout>
                <c:manualLayout>
                  <c:x val="6.5104166666666588E-2"/>
                  <c:y val="-2.272210861167833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1BB-4AC3-A03D-53A7ADE72F23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>
            <c:ext xmlns:c16="http://schemas.microsoft.com/office/drawing/2014/chart" uri="{C3380CC4-5D6E-409C-BE32-E72D297353CC}">
              <c16:uniqueId val="{00000010-A1BB-4AC3-A03D-53A7ADE72F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1</xdr:row>
      <xdr:rowOff>137160</xdr:rowOff>
    </xdr:from>
    <xdr:to>
      <xdr:col>10</xdr:col>
      <xdr:colOff>137160</xdr:colOff>
      <xdr:row>21</xdr:row>
      <xdr:rowOff>106680</xdr:rowOff>
    </xdr:to>
    <xdr:graphicFrame macro="">
      <xdr:nvGraphicFramePr>
        <xdr:cNvPr id="18745" name="Graphique 2">
          <a:extLst>
            <a:ext uri="{FF2B5EF4-FFF2-40B4-BE49-F238E27FC236}">
              <a16:creationId xmlns:a16="http://schemas.microsoft.com/office/drawing/2014/main" id="{025E7C1C-2BFE-485A-B047-02E877913B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21"/>
  <sheetViews>
    <sheetView showRuler="0" topLeftCell="C1" zoomScaleNormal="100" workbookViewId="0">
      <selection activeCell="G7" sqref="G7"/>
    </sheetView>
  </sheetViews>
  <sheetFormatPr baseColWidth="10" defaultColWidth="6.88671875" defaultRowHeight="14.4" x14ac:dyDescent="0.3"/>
  <cols>
    <col min="1" max="1" width="21.33203125" customWidth="1"/>
    <col min="2" max="2" width="22.109375" customWidth="1"/>
    <col min="3" max="3" width="26.33203125" customWidth="1"/>
    <col min="4" max="4" width="17.6640625" customWidth="1"/>
    <col min="5" max="5" width="19.109375" customWidth="1"/>
    <col min="6" max="6" width="18.21875" customWidth="1"/>
    <col min="7" max="7" width="21" customWidth="1"/>
    <col min="8" max="9" width="33.77734375" customWidth="1"/>
    <col min="10" max="10" width="8.88671875" customWidth="1"/>
  </cols>
  <sheetData>
    <row r="1" spans="1:9" ht="19.95" customHeight="1" x14ac:dyDescent="0.3">
      <c r="A1" s="38" t="s">
        <v>0</v>
      </c>
      <c r="B1" s="38" t="s">
        <v>1</v>
      </c>
      <c r="C1" s="38" t="s">
        <v>59</v>
      </c>
      <c r="D1" s="38" t="s">
        <v>2</v>
      </c>
      <c r="E1" s="38" t="s">
        <v>3</v>
      </c>
      <c r="F1" s="38" t="s">
        <v>4</v>
      </c>
      <c r="G1" s="38" t="s">
        <v>5</v>
      </c>
      <c r="H1" s="38" t="s">
        <v>43</v>
      </c>
      <c r="I1" s="38" t="s">
        <v>45</v>
      </c>
    </row>
    <row r="2" spans="1:9" ht="19.95" customHeight="1" x14ac:dyDescent="0.3">
      <c r="A2" t="s">
        <v>99</v>
      </c>
      <c r="B2" t="s">
        <v>99</v>
      </c>
      <c r="C2" s="61">
        <v>43256.333333333336</v>
      </c>
      <c r="D2" t="s">
        <v>109</v>
      </c>
      <c r="H2" s="2" t="s">
        <v>8</v>
      </c>
      <c r="I2" s="2"/>
    </row>
    <row r="3" spans="1:9" ht="19.95" customHeight="1" x14ac:dyDescent="0.3">
      <c r="A3" t="s">
        <v>99</v>
      </c>
      <c r="B3" t="s">
        <v>99</v>
      </c>
      <c r="C3" s="61">
        <v>43130.770833333336</v>
      </c>
      <c r="D3" t="s">
        <v>109</v>
      </c>
      <c r="H3" s="2" t="s">
        <v>8</v>
      </c>
      <c r="I3" s="2" t="s">
        <v>8</v>
      </c>
    </row>
    <row r="4" spans="1:9" ht="19.95" customHeight="1" x14ac:dyDescent="0.3">
      <c r="A4" t="s">
        <v>99</v>
      </c>
      <c r="B4" t="s">
        <v>99</v>
      </c>
      <c r="C4" s="61">
        <v>43112.354166666664</v>
      </c>
      <c r="D4" t="s">
        <v>109</v>
      </c>
      <c r="H4" s="2" t="s">
        <v>8</v>
      </c>
      <c r="I4" s="2" t="s">
        <v>8</v>
      </c>
    </row>
    <row r="5" spans="1:9" ht="19.95" customHeight="1" x14ac:dyDescent="0.3">
      <c r="A5" t="s">
        <v>99</v>
      </c>
      <c r="B5" t="s">
        <v>99</v>
      </c>
      <c r="C5" s="61">
        <v>43180.375</v>
      </c>
      <c r="D5" t="s">
        <v>109</v>
      </c>
      <c r="H5" s="2" t="s">
        <v>8</v>
      </c>
      <c r="I5" s="2" t="s">
        <v>8</v>
      </c>
    </row>
    <row r="6" spans="1:9" ht="19.95" customHeight="1" x14ac:dyDescent="0.3">
      <c r="A6" t="s">
        <v>99</v>
      </c>
      <c r="B6" t="s">
        <v>99</v>
      </c>
      <c r="C6" s="61">
        <v>43151.729166666664</v>
      </c>
      <c r="D6" t="s">
        <v>109</v>
      </c>
      <c r="H6" s="2" t="s">
        <v>8</v>
      </c>
      <c r="I6" s="2" t="s">
        <v>8</v>
      </c>
    </row>
    <row r="7" spans="1:9" ht="19.95" customHeight="1" x14ac:dyDescent="0.3">
      <c r="A7" t="s">
        <v>99</v>
      </c>
      <c r="B7" t="s">
        <v>99</v>
      </c>
      <c r="C7" s="61">
        <v>43196.5</v>
      </c>
      <c r="D7" t="s">
        <v>109</v>
      </c>
      <c r="H7" s="2" t="s">
        <v>8</v>
      </c>
      <c r="I7" s="2" t="s">
        <v>8</v>
      </c>
    </row>
    <row r="8" spans="1:9" ht="19.95" customHeight="1" x14ac:dyDescent="0.3">
      <c r="A8" t="s">
        <v>99</v>
      </c>
      <c r="B8" t="s">
        <v>100</v>
      </c>
      <c r="C8" s="61">
        <v>43266.5</v>
      </c>
      <c r="D8" t="s">
        <v>57</v>
      </c>
      <c r="H8" s="2" t="s">
        <v>8</v>
      </c>
      <c r="I8" s="2" t="s">
        <v>8</v>
      </c>
    </row>
    <row r="9" spans="1:9" ht="19.95" customHeight="1" x14ac:dyDescent="0.3">
      <c r="A9" t="s">
        <v>99</v>
      </c>
      <c r="B9" t="s">
        <v>100</v>
      </c>
      <c r="C9" s="61">
        <v>43182.583333333336</v>
      </c>
      <c r="D9" t="s">
        <v>57</v>
      </c>
      <c r="H9" s="2" t="s">
        <v>8</v>
      </c>
      <c r="I9" s="2" t="s">
        <v>8</v>
      </c>
    </row>
    <row r="10" spans="1:9" ht="19.95" customHeight="1" x14ac:dyDescent="0.3">
      <c r="A10" t="s">
        <v>99</v>
      </c>
      <c r="B10" t="s">
        <v>100</v>
      </c>
      <c r="C10" s="61">
        <v>43279.520833333336</v>
      </c>
      <c r="D10" t="s">
        <v>57</v>
      </c>
      <c r="H10" s="2" t="s">
        <v>8</v>
      </c>
      <c r="I10" s="2" t="s">
        <v>8</v>
      </c>
    </row>
    <row r="11" spans="1:9" ht="19.95" customHeight="1" x14ac:dyDescent="0.3">
      <c r="A11" t="s">
        <v>99</v>
      </c>
      <c r="B11" t="s">
        <v>99</v>
      </c>
      <c r="C11" s="61">
        <v>43193.302083333336</v>
      </c>
      <c r="D11" t="s">
        <v>109</v>
      </c>
      <c r="H11" s="2" t="s">
        <v>8</v>
      </c>
      <c r="I11" s="2" t="s">
        <v>8</v>
      </c>
    </row>
    <row r="12" spans="1:9" ht="19.95" customHeight="1" x14ac:dyDescent="0.3">
      <c r="A12" t="s">
        <v>99</v>
      </c>
      <c r="B12" t="s">
        <v>99</v>
      </c>
      <c r="C12" s="61">
        <v>43112.520833333336</v>
      </c>
      <c r="D12" t="s">
        <v>109</v>
      </c>
      <c r="H12" s="2" t="s">
        <v>8</v>
      </c>
      <c r="I12" s="2" t="s">
        <v>8</v>
      </c>
    </row>
    <row r="13" spans="1:9" ht="19.95" customHeight="1" x14ac:dyDescent="0.3">
      <c r="A13" t="s">
        <v>99</v>
      </c>
      <c r="B13" t="s">
        <v>99</v>
      </c>
      <c r="C13" s="61">
        <v>43111.354166666664</v>
      </c>
      <c r="D13" t="s">
        <v>109</v>
      </c>
      <c r="H13" s="2" t="s">
        <v>8</v>
      </c>
      <c r="I13" s="2" t="s">
        <v>8</v>
      </c>
    </row>
    <row r="14" spans="1:9" ht="19.95" customHeight="1" x14ac:dyDescent="0.3">
      <c r="A14" t="s">
        <v>99</v>
      </c>
      <c r="B14" t="s">
        <v>99</v>
      </c>
      <c r="C14" s="61">
        <v>43174.354166666664</v>
      </c>
      <c r="D14" t="s">
        <v>109</v>
      </c>
      <c r="H14" s="2" t="s">
        <v>8</v>
      </c>
      <c r="I14" s="2" t="s">
        <v>8</v>
      </c>
    </row>
    <row r="15" spans="1:9" ht="19.95" customHeight="1" x14ac:dyDescent="0.3">
      <c r="A15" t="s">
        <v>99</v>
      </c>
      <c r="B15" t="s">
        <v>99</v>
      </c>
      <c r="C15" s="61">
        <v>43256.625</v>
      </c>
      <c r="D15" t="s">
        <v>109</v>
      </c>
      <c r="H15" s="2" t="s">
        <v>8</v>
      </c>
      <c r="I15" s="2" t="s">
        <v>8</v>
      </c>
    </row>
    <row r="16" spans="1:9" ht="19.95" customHeight="1" x14ac:dyDescent="0.3">
      <c r="A16" t="s">
        <v>99</v>
      </c>
      <c r="B16" t="s">
        <v>100</v>
      </c>
      <c r="C16" s="61">
        <v>43222.5</v>
      </c>
      <c r="D16" t="s">
        <v>57</v>
      </c>
      <c r="H16" s="2">
        <v>43284</v>
      </c>
      <c r="I16" s="2" t="s">
        <v>8</v>
      </c>
    </row>
    <row r="17" spans="1:9" ht="19.95" customHeight="1" x14ac:dyDescent="0.3">
      <c r="A17" t="s">
        <v>99</v>
      </c>
      <c r="B17" t="s">
        <v>100</v>
      </c>
      <c r="C17" s="61">
        <v>43129.677083333336</v>
      </c>
      <c r="D17" t="s">
        <v>57</v>
      </c>
      <c r="H17" s="2" t="s">
        <v>8</v>
      </c>
      <c r="I17" s="2" t="s">
        <v>8</v>
      </c>
    </row>
    <row r="18" spans="1:9" ht="19.95" customHeight="1" x14ac:dyDescent="0.3">
      <c r="A18" t="s">
        <v>99</v>
      </c>
      <c r="B18" t="s">
        <v>99</v>
      </c>
      <c r="C18" s="61">
        <v>43148.53125</v>
      </c>
      <c r="D18" t="s">
        <v>109</v>
      </c>
      <c r="H18" s="2" t="s">
        <v>8</v>
      </c>
      <c r="I18" s="2" t="s">
        <v>8</v>
      </c>
    </row>
    <row r="19" spans="1:9" ht="19.95" customHeight="1" x14ac:dyDescent="0.3">
      <c r="A19" t="s">
        <v>99</v>
      </c>
      <c r="B19" t="s">
        <v>99</v>
      </c>
      <c r="C19" s="61">
        <v>43124.375</v>
      </c>
      <c r="D19" t="s">
        <v>109</v>
      </c>
      <c r="H19" s="2" t="s">
        <v>8</v>
      </c>
      <c r="I19" s="2" t="s">
        <v>8</v>
      </c>
    </row>
    <row r="20" spans="1:9" ht="19.95" customHeight="1" x14ac:dyDescent="0.3">
      <c r="A20" t="s">
        <v>99</v>
      </c>
      <c r="B20" t="s">
        <v>100</v>
      </c>
      <c r="C20" s="61">
        <v>43171.541666666664</v>
      </c>
      <c r="D20" t="s">
        <v>57</v>
      </c>
      <c r="H20" s="2" t="s">
        <v>8</v>
      </c>
      <c r="I20" s="2" t="s">
        <v>8</v>
      </c>
    </row>
    <row r="21" spans="1:9" ht="19.95" customHeight="1" x14ac:dyDescent="0.3">
      <c r="A21" t="s">
        <v>99</v>
      </c>
      <c r="B21" t="s">
        <v>100</v>
      </c>
      <c r="C21" s="61">
        <v>43231.5</v>
      </c>
      <c r="D21" t="s">
        <v>57</v>
      </c>
      <c r="H21" s="2" t="s">
        <v>8</v>
      </c>
      <c r="I21" s="2" t="s">
        <v>8</v>
      </c>
    </row>
    <row r="22" spans="1:9" ht="19.95" customHeight="1" x14ac:dyDescent="0.3">
      <c r="A22" t="s">
        <v>99</v>
      </c>
      <c r="B22" t="s">
        <v>100</v>
      </c>
      <c r="C22" s="61">
        <v>43187.625</v>
      </c>
      <c r="D22" t="s">
        <v>57</v>
      </c>
      <c r="H22" s="2" t="s">
        <v>8</v>
      </c>
      <c r="I22" s="2" t="s">
        <v>8</v>
      </c>
    </row>
    <row r="23" spans="1:9" ht="19.95" customHeight="1" x14ac:dyDescent="0.3">
      <c r="A23" t="s">
        <v>99</v>
      </c>
      <c r="B23" t="s">
        <v>100</v>
      </c>
      <c r="C23" s="61">
        <v>43277.333333333336</v>
      </c>
      <c r="D23" t="s">
        <v>57</v>
      </c>
      <c r="H23" s="2" t="s">
        <v>8</v>
      </c>
      <c r="I23" s="2" t="s">
        <v>8</v>
      </c>
    </row>
    <row r="24" spans="1:9" ht="19.95" customHeight="1" x14ac:dyDescent="0.3">
      <c r="A24" t="s">
        <v>99</v>
      </c>
      <c r="B24" t="s">
        <v>99</v>
      </c>
      <c r="C24" s="61">
        <v>43193.666666666664</v>
      </c>
      <c r="D24" t="s">
        <v>109</v>
      </c>
      <c r="H24" s="2" t="s">
        <v>8</v>
      </c>
      <c r="I24" s="2" t="s">
        <v>8</v>
      </c>
    </row>
    <row r="25" spans="1:9" ht="19.95" customHeight="1" x14ac:dyDescent="0.3">
      <c r="A25" t="s">
        <v>99</v>
      </c>
      <c r="B25" t="s">
        <v>100</v>
      </c>
      <c r="C25" s="61">
        <v>43110.677083333336</v>
      </c>
      <c r="D25" t="s">
        <v>57</v>
      </c>
      <c r="H25" s="2" t="s">
        <v>8</v>
      </c>
      <c r="I25" s="2" t="s">
        <v>8</v>
      </c>
    </row>
    <row r="26" spans="1:9" ht="19.95" customHeight="1" x14ac:dyDescent="0.3">
      <c r="A26" t="s">
        <v>99</v>
      </c>
      <c r="B26" t="s">
        <v>100</v>
      </c>
      <c r="C26" s="61">
        <v>43148.416666666664</v>
      </c>
      <c r="D26" t="s">
        <v>57</v>
      </c>
      <c r="H26" s="2" t="s">
        <v>8</v>
      </c>
      <c r="I26" s="2" t="s">
        <v>8</v>
      </c>
    </row>
    <row r="27" spans="1:9" ht="19.95" customHeight="1" x14ac:dyDescent="0.3">
      <c r="A27" t="s">
        <v>99</v>
      </c>
      <c r="B27" t="s">
        <v>99</v>
      </c>
      <c r="C27" s="61">
        <v>43250.5</v>
      </c>
      <c r="D27" t="s">
        <v>109</v>
      </c>
      <c r="H27" s="2" t="s">
        <v>8</v>
      </c>
      <c r="I27" s="2" t="s">
        <v>8</v>
      </c>
    </row>
    <row r="28" spans="1:9" ht="19.95" customHeight="1" x14ac:dyDescent="0.3">
      <c r="A28" t="s">
        <v>99</v>
      </c>
      <c r="B28" t="s">
        <v>100</v>
      </c>
      <c r="C28" s="61">
        <v>43131.729166666664</v>
      </c>
      <c r="D28" t="s">
        <v>57</v>
      </c>
      <c r="H28" s="2">
        <v>43159</v>
      </c>
      <c r="I28" s="2">
        <v>43159</v>
      </c>
    </row>
    <row r="29" spans="1:9" ht="19.95" customHeight="1" x14ac:dyDescent="0.3">
      <c r="A29" t="s">
        <v>99</v>
      </c>
      <c r="B29" t="s">
        <v>99</v>
      </c>
      <c r="C29" s="61">
        <v>43106.541666666664</v>
      </c>
      <c r="D29" t="s">
        <v>109</v>
      </c>
      <c r="H29" s="2" t="s">
        <v>8</v>
      </c>
      <c r="I29" s="2" t="s">
        <v>8</v>
      </c>
    </row>
    <row r="30" spans="1:9" ht="19.95" customHeight="1" x14ac:dyDescent="0.3">
      <c r="A30" t="s">
        <v>99</v>
      </c>
      <c r="B30" t="s">
        <v>99</v>
      </c>
      <c r="C30" s="61">
        <v>43153.4375</v>
      </c>
      <c r="D30" t="s">
        <v>109</v>
      </c>
      <c r="H30" s="2" t="s">
        <v>8</v>
      </c>
      <c r="I30" s="2" t="s">
        <v>8</v>
      </c>
    </row>
    <row r="31" spans="1:9" ht="19.95" customHeight="1" x14ac:dyDescent="0.3">
      <c r="A31" t="s">
        <v>99</v>
      </c>
      <c r="B31" t="s">
        <v>101</v>
      </c>
      <c r="C31" s="61">
        <v>43276.5</v>
      </c>
      <c r="D31" t="s">
        <v>57</v>
      </c>
      <c r="H31" s="2" t="s">
        <v>8</v>
      </c>
      <c r="I31" s="2" t="s">
        <v>8</v>
      </c>
    </row>
    <row r="32" spans="1:9" ht="19.95" customHeight="1" x14ac:dyDescent="0.3">
      <c r="A32" t="s">
        <v>99</v>
      </c>
      <c r="B32" t="s">
        <v>100</v>
      </c>
      <c r="C32" s="61">
        <v>43118.375</v>
      </c>
      <c r="D32" t="s">
        <v>57</v>
      </c>
      <c r="H32" s="2" t="s">
        <v>8</v>
      </c>
      <c r="I32" s="2" t="s">
        <v>8</v>
      </c>
    </row>
    <row r="33" spans="1:9" ht="19.95" customHeight="1" x14ac:dyDescent="0.3">
      <c r="A33" t="s">
        <v>99</v>
      </c>
      <c r="B33" t="s">
        <v>99</v>
      </c>
      <c r="C33" s="61">
        <v>43169.375</v>
      </c>
      <c r="D33" t="s">
        <v>109</v>
      </c>
      <c r="H33" s="2">
        <v>43243</v>
      </c>
      <c r="I33" s="2">
        <v>43251</v>
      </c>
    </row>
    <row r="34" spans="1:9" ht="19.95" customHeight="1" x14ac:dyDescent="0.3">
      <c r="A34" t="s">
        <v>99</v>
      </c>
      <c r="B34" t="s">
        <v>100</v>
      </c>
      <c r="C34" s="61">
        <v>43244.520833333336</v>
      </c>
      <c r="D34" t="s">
        <v>57</v>
      </c>
      <c r="H34" s="2" t="s">
        <v>8</v>
      </c>
      <c r="I34" s="2" t="s">
        <v>8</v>
      </c>
    </row>
    <row r="35" spans="1:9" ht="19.95" customHeight="1" x14ac:dyDescent="0.3">
      <c r="A35" t="s">
        <v>99</v>
      </c>
      <c r="B35" t="s">
        <v>100</v>
      </c>
      <c r="C35" s="61">
        <v>43161.625</v>
      </c>
      <c r="D35" t="s">
        <v>57</v>
      </c>
      <c r="H35" s="2" t="s">
        <v>8</v>
      </c>
      <c r="I35" s="2" t="s">
        <v>8</v>
      </c>
    </row>
    <row r="36" spans="1:9" ht="19.95" customHeight="1" x14ac:dyDescent="0.3">
      <c r="A36" t="s">
        <v>99</v>
      </c>
      <c r="B36" t="s">
        <v>100</v>
      </c>
      <c r="C36" s="61">
        <v>43187.520833333336</v>
      </c>
      <c r="D36" t="s">
        <v>57</v>
      </c>
      <c r="H36" s="2" t="s">
        <v>8</v>
      </c>
      <c r="I36" s="2" t="s">
        <v>8</v>
      </c>
    </row>
    <row r="37" spans="1:9" ht="19.95" customHeight="1" x14ac:dyDescent="0.3">
      <c r="A37" t="s">
        <v>99</v>
      </c>
      <c r="B37" t="s">
        <v>100</v>
      </c>
      <c r="C37" s="61">
        <v>43120.666666666664</v>
      </c>
      <c r="D37" t="s">
        <v>57</v>
      </c>
      <c r="H37" s="2" t="s">
        <v>8</v>
      </c>
      <c r="I37" s="2" t="s">
        <v>8</v>
      </c>
    </row>
    <row r="38" spans="1:9" ht="19.95" customHeight="1" x14ac:dyDescent="0.3">
      <c r="A38" t="s">
        <v>102</v>
      </c>
      <c r="B38" t="s">
        <v>100</v>
      </c>
      <c r="C38" s="61">
        <v>43246.375</v>
      </c>
      <c r="D38" t="s">
        <v>57</v>
      </c>
      <c r="H38" s="2" t="s">
        <v>8</v>
      </c>
      <c r="I38" s="2" t="s">
        <v>8</v>
      </c>
    </row>
    <row r="39" spans="1:9" ht="19.95" customHeight="1" x14ac:dyDescent="0.3">
      <c r="A39" t="s">
        <v>102</v>
      </c>
      <c r="B39" t="s">
        <v>100</v>
      </c>
      <c r="C39" s="61">
        <v>43173.666666666664</v>
      </c>
      <c r="D39" t="s">
        <v>57</v>
      </c>
      <c r="H39" s="2" t="s">
        <v>8</v>
      </c>
      <c r="I39" s="2" t="s">
        <v>8</v>
      </c>
    </row>
    <row r="40" spans="1:9" ht="19.95" customHeight="1" x14ac:dyDescent="0.3">
      <c r="A40" t="s">
        <v>102</v>
      </c>
      <c r="B40" t="s">
        <v>100</v>
      </c>
      <c r="C40" s="61">
        <v>43176.375</v>
      </c>
      <c r="D40" t="s">
        <v>57</v>
      </c>
      <c r="H40" s="2" t="s">
        <v>8</v>
      </c>
      <c r="I40" s="2" t="s">
        <v>8</v>
      </c>
    </row>
    <row r="41" spans="1:9" ht="19.95" customHeight="1" x14ac:dyDescent="0.3">
      <c r="A41" t="s">
        <v>102</v>
      </c>
      <c r="B41" t="s">
        <v>100</v>
      </c>
      <c r="C41" s="61">
        <v>43186.6875</v>
      </c>
      <c r="D41" t="s">
        <v>57</v>
      </c>
      <c r="H41" s="2" t="s">
        <v>8</v>
      </c>
      <c r="I41" s="2" t="s">
        <v>8</v>
      </c>
    </row>
    <row r="42" spans="1:9" ht="19.95" customHeight="1" x14ac:dyDescent="0.3">
      <c r="A42" t="s">
        <v>102</v>
      </c>
      <c r="B42" t="s">
        <v>100</v>
      </c>
      <c r="C42" s="61">
        <v>43257.729166666664</v>
      </c>
      <c r="D42" t="s">
        <v>57</v>
      </c>
      <c r="H42" s="2" t="s">
        <v>8</v>
      </c>
      <c r="I42" s="2" t="s">
        <v>8</v>
      </c>
    </row>
    <row r="43" spans="1:9" ht="19.95" customHeight="1" x14ac:dyDescent="0.3">
      <c r="A43" t="s">
        <v>102</v>
      </c>
      <c r="B43" t="s">
        <v>100</v>
      </c>
      <c r="C43" s="61">
        <v>43115.666666666664</v>
      </c>
      <c r="D43" t="s">
        <v>57</v>
      </c>
      <c r="H43" s="2" t="s">
        <v>8</v>
      </c>
      <c r="I43" s="2" t="s">
        <v>8</v>
      </c>
    </row>
    <row r="44" spans="1:9" ht="19.95" customHeight="1" x14ac:dyDescent="0.3">
      <c r="A44" t="s">
        <v>102</v>
      </c>
      <c r="B44" t="s">
        <v>100</v>
      </c>
      <c r="C44" s="61">
        <v>43223.673611111109</v>
      </c>
      <c r="D44" t="s">
        <v>57</v>
      </c>
      <c r="H44" s="2" t="s">
        <v>8</v>
      </c>
      <c r="I44" s="2" t="s">
        <v>8</v>
      </c>
    </row>
    <row r="45" spans="1:9" ht="19.95" customHeight="1" x14ac:dyDescent="0.3">
      <c r="A45" t="s">
        <v>102</v>
      </c>
      <c r="B45" t="s">
        <v>100</v>
      </c>
      <c r="C45" s="61">
        <v>43138.541666666664</v>
      </c>
      <c r="D45" t="s">
        <v>57</v>
      </c>
      <c r="H45" s="2" t="s">
        <v>8</v>
      </c>
      <c r="I45" s="2" t="s">
        <v>8</v>
      </c>
    </row>
    <row r="46" spans="1:9" ht="19.95" customHeight="1" x14ac:dyDescent="0.3">
      <c r="A46" t="s">
        <v>102</v>
      </c>
      <c r="B46" t="s">
        <v>100</v>
      </c>
      <c r="C46" s="61">
        <v>43158.708333333336</v>
      </c>
      <c r="D46" t="s">
        <v>57</v>
      </c>
      <c r="H46" s="2" t="s">
        <v>8</v>
      </c>
      <c r="I46" s="2" t="s">
        <v>8</v>
      </c>
    </row>
    <row r="47" spans="1:9" ht="19.95" customHeight="1" x14ac:dyDescent="0.3">
      <c r="A47" t="s">
        <v>102</v>
      </c>
      <c r="B47" t="s">
        <v>100</v>
      </c>
      <c r="C47" s="61">
        <v>43203.625</v>
      </c>
      <c r="D47" t="s">
        <v>57</v>
      </c>
      <c r="H47" s="2" t="s">
        <v>8</v>
      </c>
      <c r="I47" s="2" t="s">
        <v>8</v>
      </c>
    </row>
    <row r="48" spans="1:9" ht="19.95" customHeight="1" x14ac:dyDescent="0.3">
      <c r="A48" t="s">
        <v>102</v>
      </c>
      <c r="B48" t="s">
        <v>100</v>
      </c>
      <c r="C48" s="61">
        <v>43200.520833333336</v>
      </c>
      <c r="D48" t="s">
        <v>57</v>
      </c>
      <c r="H48" s="2" t="s">
        <v>8</v>
      </c>
      <c r="I48" s="2" t="s">
        <v>8</v>
      </c>
    </row>
    <row r="49" spans="1:9" ht="19.95" customHeight="1" x14ac:dyDescent="0.3">
      <c r="A49" t="s">
        <v>102</v>
      </c>
      <c r="B49" t="s">
        <v>102</v>
      </c>
      <c r="C49" s="61">
        <v>43126.416666666664</v>
      </c>
      <c r="D49" t="s">
        <v>109</v>
      </c>
      <c r="H49" s="2" t="s">
        <v>8</v>
      </c>
      <c r="I49" s="2" t="s">
        <v>8</v>
      </c>
    </row>
    <row r="50" spans="1:9" ht="19.95" customHeight="1" x14ac:dyDescent="0.3">
      <c r="A50" t="s">
        <v>102</v>
      </c>
      <c r="B50" t="s">
        <v>100</v>
      </c>
      <c r="C50" s="61">
        <v>43179.583333333336</v>
      </c>
      <c r="D50" t="s">
        <v>57</v>
      </c>
      <c r="H50" s="2" t="s">
        <v>8</v>
      </c>
      <c r="I50" s="2" t="s">
        <v>8</v>
      </c>
    </row>
    <row r="51" spans="1:9" ht="19.95" customHeight="1" x14ac:dyDescent="0.3">
      <c r="A51" t="s">
        <v>102</v>
      </c>
      <c r="B51" t="s">
        <v>102</v>
      </c>
      <c r="C51" s="61">
        <v>43144.375</v>
      </c>
      <c r="D51" t="s">
        <v>109</v>
      </c>
      <c r="H51" s="2" t="s">
        <v>8</v>
      </c>
      <c r="I51" s="2" t="s">
        <v>8</v>
      </c>
    </row>
    <row r="52" spans="1:9" ht="19.95" customHeight="1" x14ac:dyDescent="0.3">
      <c r="A52" t="s">
        <v>102</v>
      </c>
      <c r="B52" t="s">
        <v>100</v>
      </c>
      <c r="C52" s="61">
        <v>43108.708333333336</v>
      </c>
      <c r="D52" t="s">
        <v>57</v>
      </c>
      <c r="H52" s="2" t="s">
        <v>8</v>
      </c>
      <c r="I52" s="2" t="s">
        <v>8</v>
      </c>
    </row>
    <row r="53" spans="1:9" ht="19.95" customHeight="1" x14ac:dyDescent="0.3">
      <c r="A53" t="s">
        <v>102</v>
      </c>
      <c r="B53" t="s">
        <v>101</v>
      </c>
      <c r="C53" s="61">
        <v>43171.6875</v>
      </c>
      <c r="D53" t="s">
        <v>57</v>
      </c>
      <c r="H53" s="2" t="s">
        <v>8</v>
      </c>
      <c r="I53" s="2" t="s">
        <v>8</v>
      </c>
    </row>
    <row r="54" spans="1:9" ht="19.95" customHeight="1" x14ac:dyDescent="0.3">
      <c r="A54" t="s">
        <v>102</v>
      </c>
      <c r="B54" t="s">
        <v>100</v>
      </c>
      <c r="C54" s="61">
        <v>43265.458333333336</v>
      </c>
      <c r="D54" t="s">
        <v>57</v>
      </c>
      <c r="H54" s="2" t="s">
        <v>8</v>
      </c>
      <c r="I54" s="2" t="s">
        <v>8</v>
      </c>
    </row>
    <row r="55" spans="1:9" ht="19.95" customHeight="1" x14ac:dyDescent="0.3">
      <c r="A55" t="s">
        <v>102</v>
      </c>
      <c r="B55" t="s">
        <v>102</v>
      </c>
      <c r="C55" s="61">
        <v>43222.6875</v>
      </c>
      <c r="D55" t="s">
        <v>109</v>
      </c>
      <c r="H55" s="2" t="s">
        <v>8</v>
      </c>
      <c r="I55" s="2" t="s">
        <v>8</v>
      </c>
    </row>
    <row r="56" spans="1:9" ht="19.95" customHeight="1" x14ac:dyDescent="0.3">
      <c r="A56" t="s">
        <v>102</v>
      </c>
      <c r="B56" t="s">
        <v>102</v>
      </c>
      <c r="C56" s="61">
        <v>43152.447916666664</v>
      </c>
      <c r="D56" t="s">
        <v>109</v>
      </c>
      <c r="H56" s="2" t="s">
        <v>8</v>
      </c>
      <c r="I56" s="2" t="s">
        <v>8</v>
      </c>
    </row>
    <row r="57" spans="1:9" ht="19.95" customHeight="1" x14ac:dyDescent="0.3">
      <c r="A57" t="s">
        <v>102</v>
      </c>
      <c r="B57" t="s">
        <v>100</v>
      </c>
      <c r="C57" s="61">
        <v>43237.666666666664</v>
      </c>
      <c r="D57" t="s">
        <v>57</v>
      </c>
      <c r="H57" s="2" t="s">
        <v>8</v>
      </c>
      <c r="I57" s="2" t="s">
        <v>8</v>
      </c>
    </row>
    <row r="58" spans="1:9" ht="19.95" customHeight="1" x14ac:dyDescent="0.3">
      <c r="A58" t="s">
        <v>102</v>
      </c>
      <c r="B58" t="s">
        <v>100</v>
      </c>
      <c r="C58" s="61">
        <v>43134.541666666664</v>
      </c>
      <c r="D58" t="s">
        <v>57</v>
      </c>
      <c r="H58" s="2" t="s">
        <v>8</v>
      </c>
      <c r="I58" s="2" t="s">
        <v>8</v>
      </c>
    </row>
    <row r="59" spans="1:9" ht="19.95" customHeight="1" x14ac:dyDescent="0.3">
      <c r="A59" t="s">
        <v>102</v>
      </c>
      <c r="B59" t="s">
        <v>101</v>
      </c>
      <c r="C59" s="61">
        <v>43109.583333333336</v>
      </c>
      <c r="D59" t="s">
        <v>57</v>
      </c>
      <c r="H59" s="2" t="s">
        <v>8</v>
      </c>
      <c r="I59" s="2" t="s">
        <v>8</v>
      </c>
    </row>
    <row r="60" spans="1:9" ht="19.95" customHeight="1" x14ac:dyDescent="0.3">
      <c r="A60" t="s">
        <v>102</v>
      </c>
      <c r="B60" t="s">
        <v>100</v>
      </c>
      <c r="C60" s="61">
        <v>43207.666666666664</v>
      </c>
      <c r="D60" t="s">
        <v>57</v>
      </c>
      <c r="H60" s="2" t="s">
        <v>8</v>
      </c>
      <c r="I60" s="2" t="s">
        <v>8</v>
      </c>
    </row>
    <row r="61" spans="1:9" ht="19.95" customHeight="1" x14ac:dyDescent="0.3">
      <c r="A61" t="s">
        <v>102</v>
      </c>
      <c r="B61" t="s">
        <v>100</v>
      </c>
      <c r="C61" s="61">
        <v>43274.333333333336</v>
      </c>
      <c r="D61" t="s">
        <v>57</v>
      </c>
      <c r="H61" s="2" t="s">
        <v>8</v>
      </c>
      <c r="I61" s="2" t="s">
        <v>8</v>
      </c>
    </row>
    <row r="62" spans="1:9" ht="19.95" customHeight="1" x14ac:dyDescent="0.3">
      <c r="A62" t="s">
        <v>102</v>
      </c>
      <c r="B62" t="s">
        <v>100</v>
      </c>
      <c r="C62" s="61">
        <v>43176.541666666664</v>
      </c>
      <c r="D62" t="s">
        <v>57</v>
      </c>
      <c r="H62" s="2" t="s">
        <v>8</v>
      </c>
      <c r="I62" s="2" t="s">
        <v>8</v>
      </c>
    </row>
    <row r="63" spans="1:9" ht="19.95" customHeight="1" x14ac:dyDescent="0.3">
      <c r="A63" t="s">
        <v>102</v>
      </c>
      <c r="B63" t="s">
        <v>102</v>
      </c>
      <c r="C63" s="61">
        <v>43195.541666666664</v>
      </c>
      <c r="D63" t="s">
        <v>109</v>
      </c>
      <c r="H63" s="2" t="s">
        <v>8</v>
      </c>
      <c r="I63" s="2" t="s">
        <v>8</v>
      </c>
    </row>
    <row r="64" spans="1:9" ht="19.95" customHeight="1" x14ac:dyDescent="0.3">
      <c r="A64" t="s">
        <v>102</v>
      </c>
      <c r="B64" t="s">
        <v>100</v>
      </c>
      <c r="C64" s="61">
        <v>43265.6875</v>
      </c>
      <c r="D64" t="s">
        <v>57</v>
      </c>
      <c r="H64" s="2" t="s">
        <v>8</v>
      </c>
      <c r="I64" s="2" t="s">
        <v>8</v>
      </c>
    </row>
    <row r="65" spans="1:9" ht="19.95" customHeight="1" x14ac:dyDescent="0.3">
      <c r="A65" t="s">
        <v>102</v>
      </c>
      <c r="B65" t="s">
        <v>100</v>
      </c>
      <c r="C65" s="61">
        <v>43185.666666666664</v>
      </c>
      <c r="D65" t="s">
        <v>57</v>
      </c>
      <c r="H65" s="2" t="s">
        <v>8</v>
      </c>
      <c r="I65" s="2" t="s">
        <v>8</v>
      </c>
    </row>
    <row r="66" spans="1:9" ht="19.95" customHeight="1" x14ac:dyDescent="0.3">
      <c r="A66" t="s">
        <v>102</v>
      </c>
      <c r="B66" t="s">
        <v>102</v>
      </c>
      <c r="C66" s="61">
        <v>43124.541666666664</v>
      </c>
      <c r="D66" t="s">
        <v>109</v>
      </c>
      <c r="H66" s="2" t="s">
        <v>8</v>
      </c>
      <c r="I66" s="2" t="s">
        <v>8</v>
      </c>
    </row>
    <row r="67" spans="1:9" ht="19.95" customHeight="1" x14ac:dyDescent="0.3">
      <c r="A67" t="s">
        <v>102</v>
      </c>
      <c r="B67" t="s">
        <v>100</v>
      </c>
      <c r="C67" s="61">
        <v>43129.541666666664</v>
      </c>
      <c r="D67" t="s">
        <v>57</v>
      </c>
      <c r="H67" s="2" t="s">
        <v>8</v>
      </c>
      <c r="I67" s="2" t="s">
        <v>8</v>
      </c>
    </row>
    <row r="68" spans="1:9" ht="19.95" customHeight="1" x14ac:dyDescent="0.3">
      <c r="A68" t="s">
        <v>102</v>
      </c>
      <c r="B68" t="s">
        <v>101</v>
      </c>
      <c r="C68" s="61">
        <v>43159.375</v>
      </c>
      <c r="D68" t="s">
        <v>57</v>
      </c>
      <c r="H68" s="2">
        <v>43243</v>
      </c>
      <c r="I68" s="2">
        <v>43251</v>
      </c>
    </row>
    <row r="69" spans="1:9" ht="19.95" customHeight="1" x14ac:dyDescent="0.3">
      <c r="A69" t="s">
        <v>102</v>
      </c>
      <c r="B69" t="s">
        <v>100</v>
      </c>
      <c r="C69" s="61">
        <v>43204.375</v>
      </c>
      <c r="D69" t="s">
        <v>57</v>
      </c>
      <c r="H69" s="2" t="s">
        <v>8</v>
      </c>
      <c r="I69" s="2" t="s">
        <v>8</v>
      </c>
    </row>
    <row r="70" spans="1:9" ht="19.95" customHeight="1" x14ac:dyDescent="0.3">
      <c r="A70" t="s">
        <v>102</v>
      </c>
      <c r="B70" t="s">
        <v>100</v>
      </c>
      <c r="C70" s="61">
        <v>43117.458333333336</v>
      </c>
      <c r="D70" t="s">
        <v>57</v>
      </c>
      <c r="H70" s="2" t="s">
        <v>8</v>
      </c>
      <c r="I70" s="2" t="s">
        <v>8</v>
      </c>
    </row>
    <row r="71" spans="1:9" ht="19.95" customHeight="1" x14ac:dyDescent="0.3">
      <c r="A71" t="s">
        <v>102</v>
      </c>
      <c r="B71" t="s">
        <v>100</v>
      </c>
      <c r="C71" s="61">
        <v>43138.729166666664</v>
      </c>
      <c r="D71" t="s">
        <v>57</v>
      </c>
      <c r="H71" s="2" t="s">
        <v>8</v>
      </c>
      <c r="I71" s="2" t="s">
        <v>8</v>
      </c>
    </row>
    <row r="72" spans="1:9" ht="19.95" customHeight="1" x14ac:dyDescent="0.3">
      <c r="A72" t="s">
        <v>102</v>
      </c>
      <c r="B72" t="s">
        <v>100</v>
      </c>
      <c r="C72" s="61">
        <v>43102.666666666664</v>
      </c>
      <c r="D72" t="s">
        <v>57</v>
      </c>
      <c r="H72" s="2" t="s">
        <v>8</v>
      </c>
      <c r="I72" s="2" t="s">
        <v>8</v>
      </c>
    </row>
    <row r="73" spans="1:9" ht="19.95" customHeight="1" x14ac:dyDescent="0.3">
      <c r="A73" t="s">
        <v>102</v>
      </c>
      <c r="B73" t="s">
        <v>100</v>
      </c>
      <c r="C73" s="61">
        <v>43173.458333333336</v>
      </c>
      <c r="D73" t="s">
        <v>57</v>
      </c>
      <c r="H73" s="2" t="s">
        <v>8</v>
      </c>
      <c r="I73" s="2" t="s">
        <v>8</v>
      </c>
    </row>
    <row r="74" spans="1:9" ht="19.95" customHeight="1" x14ac:dyDescent="0.3">
      <c r="A74" t="s">
        <v>102</v>
      </c>
      <c r="B74" t="s">
        <v>102</v>
      </c>
      <c r="C74" s="61">
        <v>43222.5</v>
      </c>
      <c r="D74" t="s">
        <v>109</v>
      </c>
      <c r="H74" s="2" t="s">
        <v>8</v>
      </c>
      <c r="I74" s="2" t="s">
        <v>8</v>
      </c>
    </row>
    <row r="75" spans="1:9" ht="19.95" customHeight="1" x14ac:dyDescent="0.3">
      <c r="A75" t="s">
        <v>102</v>
      </c>
      <c r="B75" t="s">
        <v>100</v>
      </c>
      <c r="C75" s="61">
        <v>43176.395833333336</v>
      </c>
      <c r="D75" t="s">
        <v>57</v>
      </c>
      <c r="H75" s="2" t="s">
        <v>8</v>
      </c>
      <c r="I75" s="2" t="s">
        <v>8</v>
      </c>
    </row>
    <row r="76" spans="1:9" ht="19.95" customHeight="1" x14ac:dyDescent="0.3">
      <c r="A76" t="s">
        <v>102</v>
      </c>
      <c r="B76" t="s">
        <v>100</v>
      </c>
      <c r="C76" s="61">
        <v>43148.375</v>
      </c>
      <c r="D76" t="s">
        <v>57</v>
      </c>
      <c r="H76" s="2" t="s">
        <v>8</v>
      </c>
      <c r="I76" s="2" t="s">
        <v>8</v>
      </c>
    </row>
    <row r="77" spans="1:9" ht="19.95" customHeight="1" x14ac:dyDescent="0.3">
      <c r="A77" t="s">
        <v>102</v>
      </c>
      <c r="B77" t="s">
        <v>100</v>
      </c>
      <c r="C77" s="61">
        <v>43264.6875</v>
      </c>
      <c r="D77" t="s">
        <v>57</v>
      </c>
      <c r="H77" s="2" t="s">
        <v>8</v>
      </c>
      <c r="I77" s="2" t="s">
        <v>8</v>
      </c>
    </row>
    <row r="78" spans="1:9" ht="19.95" customHeight="1" x14ac:dyDescent="0.3">
      <c r="A78" t="s">
        <v>102</v>
      </c>
      <c r="B78" t="s">
        <v>100</v>
      </c>
      <c r="C78" s="61">
        <v>43179.625</v>
      </c>
      <c r="D78" t="s">
        <v>57</v>
      </c>
      <c r="H78" s="2" t="s">
        <v>8</v>
      </c>
      <c r="I78" s="2" t="s">
        <v>8</v>
      </c>
    </row>
    <row r="79" spans="1:9" ht="19.95" customHeight="1" x14ac:dyDescent="0.3">
      <c r="A79" t="s">
        <v>102</v>
      </c>
      <c r="B79" t="s">
        <v>100</v>
      </c>
      <c r="C79" s="61">
        <v>43263.666666666664</v>
      </c>
      <c r="D79" t="s">
        <v>57</v>
      </c>
      <c r="H79" s="2">
        <v>43281</v>
      </c>
      <c r="I79" s="2">
        <v>43281</v>
      </c>
    </row>
    <row r="80" spans="1:9" ht="19.95" customHeight="1" x14ac:dyDescent="0.3">
      <c r="A80" t="s">
        <v>102</v>
      </c>
      <c r="B80" t="s">
        <v>100</v>
      </c>
      <c r="C80" s="61">
        <v>43187.625</v>
      </c>
      <c r="D80" t="s">
        <v>57</v>
      </c>
      <c r="H80" s="2" t="s">
        <v>8</v>
      </c>
      <c r="I80" s="2" t="s">
        <v>8</v>
      </c>
    </row>
    <row r="81" spans="1:9" ht="19.95" customHeight="1" x14ac:dyDescent="0.3">
      <c r="A81" t="s">
        <v>102</v>
      </c>
      <c r="B81" t="s">
        <v>100</v>
      </c>
      <c r="C81" s="61">
        <v>43148.354166666664</v>
      </c>
      <c r="D81" t="s">
        <v>57</v>
      </c>
      <c r="H81" s="2" t="s">
        <v>8</v>
      </c>
      <c r="I81" s="2" t="s">
        <v>8</v>
      </c>
    </row>
    <row r="82" spans="1:9" ht="19.95" customHeight="1" x14ac:dyDescent="0.3">
      <c r="A82" t="s">
        <v>102</v>
      </c>
      <c r="B82" t="s">
        <v>100</v>
      </c>
      <c r="C82" s="61">
        <v>43112.458333333336</v>
      </c>
      <c r="D82" t="s">
        <v>57</v>
      </c>
      <c r="H82" s="2" t="s">
        <v>8</v>
      </c>
      <c r="I82" s="2" t="s">
        <v>8</v>
      </c>
    </row>
    <row r="83" spans="1:9" ht="19.95" customHeight="1" x14ac:dyDescent="0.3">
      <c r="A83" t="s">
        <v>102</v>
      </c>
      <c r="B83" t="s">
        <v>102</v>
      </c>
      <c r="C83" s="61">
        <v>43236.583333333336</v>
      </c>
      <c r="D83" t="s">
        <v>109</v>
      </c>
      <c r="H83" s="2">
        <v>43238</v>
      </c>
      <c r="I83" s="2">
        <v>43238</v>
      </c>
    </row>
    <row r="84" spans="1:9" ht="19.95" customHeight="1" x14ac:dyDescent="0.3">
      <c r="A84" t="s">
        <v>102</v>
      </c>
      <c r="B84" t="s">
        <v>101</v>
      </c>
      <c r="C84" s="61">
        <v>43110.71875</v>
      </c>
      <c r="D84" t="s">
        <v>57</v>
      </c>
      <c r="H84" s="2" t="s">
        <v>8</v>
      </c>
      <c r="I84" s="2" t="s">
        <v>8</v>
      </c>
    </row>
    <row r="85" spans="1:9" ht="19.95" customHeight="1" x14ac:dyDescent="0.3">
      <c r="A85" t="s">
        <v>102</v>
      </c>
      <c r="B85" t="s">
        <v>100</v>
      </c>
      <c r="C85" s="61">
        <v>43190.5</v>
      </c>
      <c r="D85" t="s">
        <v>57</v>
      </c>
      <c r="H85" s="2" t="s">
        <v>8</v>
      </c>
      <c r="I85" s="2" t="s">
        <v>8</v>
      </c>
    </row>
    <row r="86" spans="1:9" ht="19.95" customHeight="1" x14ac:dyDescent="0.3">
      <c r="A86" t="s">
        <v>102</v>
      </c>
      <c r="B86" t="s">
        <v>100</v>
      </c>
      <c r="C86" s="61">
        <v>43280.635416666664</v>
      </c>
      <c r="D86" t="s">
        <v>57</v>
      </c>
      <c r="H86" s="2" t="s">
        <v>8</v>
      </c>
      <c r="I86" s="2" t="s">
        <v>8</v>
      </c>
    </row>
    <row r="87" spans="1:9" ht="19.95" customHeight="1" x14ac:dyDescent="0.3">
      <c r="A87" t="s">
        <v>102</v>
      </c>
      <c r="B87" t="s">
        <v>101</v>
      </c>
      <c r="C87" s="61">
        <v>43158.541666666664</v>
      </c>
      <c r="D87" t="s">
        <v>57</v>
      </c>
      <c r="H87" s="2" t="s">
        <v>8</v>
      </c>
      <c r="I87" s="2" t="s">
        <v>8</v>
      </c>
    </row>
    <row r="88" spans="1:9" ht="19.95" customHeight="1" x14ac:dyDescent="0.3">
      <c r="A88" t="s">
        <v>102</v>
      </c>
      <c r="B88" t="s">
        <v>100</v>
      </c>
      <c r="C88" s="61">
        <v>43197.375</v>
      </c>
      <c r="D88" t="s">
        <v>57</v>
      </c>
      <c r="H88" s="2" t="s">
        <v>8</v>
      </c>
      <c r="I88" s="2" t="s">
        <v>8</v>
      </c>
    </row>
    <row r="89" spans="1:9" ht="19.95" customHeight="1" x14ac:dyDescent="0.3">
      <c r="A89" t="s">
        <v>102</v>
      </c>
      <c r="B89" t="s">
        <v>100</v>
      </c>
      <c r="C89" s="61">
        <v>43201.666666666664</v>
      </c>
      <c r="D89" t="s">
        <v>57</v>
      </c>
      <c r="H89" s="2" t="s">
        <v>8</v>
      </c>
      <c r="I89" s="2" t="s">
        <v>8</v>
      </c>
    </row>
    <row r="90" spans="1:9" ht="19.95" customHeight="1" x14ac:dyDescent="0.3">
      <c r="A90" t="s">
        <v>102</v>
      </c>
      <c r="B90" t="s">
        <v>102</v>
      </c>
      <c r="C90" s="61">
        <v>43123.666666666664</v>
      </c>
      <c r="D90" t="s">
        <v>109</v>
      </c>
      <c r="H90" s="2" t="s">
        <v>8</v>
      </c>
      <c r="I90" s="2" t="s">
        <v>8</v>
      </c>
    </row>
    <row r="91" spans="1:9" ht="19.95" customHeight="1" x14ac:dyDescent="0.3">
      <c r="A91" t="s">
        <v>102</v>
      </c>
      <c r="B91" t="s">
        <v>102</v>
      </c>
      <c r="C91" s="61">
        <v>43143.375</v>
      </c>
      <c r="D91" t="s">
        <v>109</v>
      </c>
      <c r="H91" s="2">
        <v>43158</v>
      </c>
      <c r="I91" s="2" t="s">
        <v>8</v>
      </c>
    </row>
    <row r="92" spans="1:9" ht="19.95" customHeight="1" x14ac:dyDescent="0.3">
      <c r="A92" t="s">
        <v>102</v>
      </c>
      <c r="B92" t="s">
        <v>100</v>
      </c>
      <c r="C92" s="61">
        <v>43110.5625</v>
      </c>
      <c r="D92" t="s">
        <v>57</v>
      </c>
      <c r="H92" s="2">
        <v>43117</v>
      </c>
      <c r="I92" s="2">
        <v>43131</v>
      </c>
    </row>
    <row r="93" spans="1:9" ht="19.95" customHeight="1" x14ac:dyDescent="0.3">
      <c r="A93" t="s">
        <v>102</v>
      </c>
      <c r="B93" t="s">
        <v>100</v>
      </c>
      <c r="C93" s="61">
        <v>43104.541666666664</v>
      </c>
      <c r="D93" t="s">
        <v>57</v>
      </c>
      <c r="H93" s="2" t="s">
        <v>8</v>
      </c>
      <c r="I93" s="2" t="s">
        <v>8</v>
      </c>
    </row>
    <row r="94" spans="1:9" ht="19.95" customHeight="1" x14ac:dyDescent="0.3">
      <c r="A94" t="s">
        <v>102</v>
      </c>
      <c r="B94" t="s">
        <v>100</v>
      </c>
      <c r="C94" s="61">
        <v>43154.53125</v>
      </c>
      <c r="D94" t="s">
        <v>57</v>
      </c>
      <c r="H94" s="2" t="s">
        <v>8</v>
      </c>
      <c r="I94" s="2" t="s">
        <v>8</v>
      </c>
    </row>
    <row r="95" spans="1:9" ht="19.95" customHeight="1" x14ac:dyDescent="0.3">
      <c r="A95" t="s">
        <v>102</v>
      </c>
      <c r="B95" t="s">
        <v>100</v>
      </c>
      <c r="C95" s="61">
        <v>43270.666666666664</v>
      </c>
      <c r="D95" t="s">
        <v>57</v>
      </c>
      <c r="H95" s="2" t="s">
        <v>8</v>
      </c>
      <c r="I95" s="2" t="s">
        <v>8</v>
      </c>
    </row>
    <row r="96" spans="1:9" ht="19.95" customHeight="1" x14ac:dyDescent="0.3">
      <c r="A96" t="s">
        <v>107</v>
      </c>
      <c r="B96" t="s">
        <v>100</v>
      </c>
      <c r="C96" s="61">
        <v>43258.583333333336</v>
      </c>
      <c r="D96" t="s">
        <v>57</v>
      </c>
      <c r="H96" s="2" t="s">
        <v>8</v>
      </c>
      <c r="I96" s="2" t="s">
        <v>8</v>
      </c>
    </row>
    <row r="97" spans="1:9" ht="19.95" customHeight="1" x14ac:dyDescent="0.3">
      <c r="A97" t="s">
        <v>107</v>
      </c>
      <c r="B97" t="s">
        <v>107</v>
      </c>
      <c r="C97" s="61">
        <v>43265.635416666664</v>
      </c>
      <c r="D97" t="s">
        <v>109</v>
      </c>
      <c r="H97" s="2" t="s">
        <v>8</v>
      </c>
      <c r="I97" s="2" t="s">
        <v>8</v>
      </c>
    </row>
    <row r="98" spans="1:9" ht="19.95" customHeight="1" x14ac:dyDescent="0.3">
      <c r="A98" t="s">
        <v>107</v>
      </c>
      <c r="B98" t="s">
        <v>100</v>
      </c>
      <c r="C98" s="61">
        <v>43250.645833333336</v>
      </c>
      <c r="D98" t="s">
        <v>57</v>
      </c>
      <c r="H98" s="2" t="s">
        <v>8</v>
      </c>
      <c r="I98" s="2" t="s">
        <v>8</v>
      </c>
    </row>
    <row r="99" spans="1:9" ht="19.95" customHeight="1" x14ac:dyDescent="0.3">
      <c r="A99" t="s">
        <v>107</v>
      </c>
      <c r="B99" t="s">
        <v>100</v>
      </c>
      <c r="C99" s="61">
        <v>43269.5</v>
      </c>
      <c r="D99" t="s">
        <v>57</v>
      </c>
      <c r="H99" s="2" t="s">
        <v>8</v>
      </c>
      <c r="I99" s="2" t="s">
        <v>8</v>
      </c>
    </row>
    <row r="100" spans="1:9" ht="19.95" customHeight="1" x14ac:dyDescent="0.3">
      <c r="A100" t="s">
        <v>107</v>
      </c>
      <c r="B100" t="s">
        <v>107</v>
      </c>
      <c r="C100" s="61">
        <v>43276.3125</v>
      </c>
      <c r="D100" t="s">
        <v>109</v>
      </c>
      <c r="H100" s="2" t="s">
        <v>8</v>
      </c>
      <c r="I100" s="2" t="s">
        <v>8</v>
      </c>
    </row>
    <row r="101" spans="1:9" ht="19.95" customHeight="1" x14ac:dyDescent="0.3">
      <c r="A101" t="s">
        <v>103</v>
      </c>
      <c r="B101" t="s">
        <v>100</v>
      </c>
      <c r="C101" s="61">
        <v>43218.354166666664</v>
      </c>
      <c r="D101" t="s">
        <v>57</v>
      </c>
      <c r="H101" s="2" t="s">
        <v>8</v>
      </c>
      <c r="I101" s="2" t="s">
        <v>8</v>
      </c>
    </row>
    <row r="102" spans="1:9" ht="19.95" customHeight="1" x14ac:dyDescent="0.3">
      <c r="A102" t="s">
        <v>103</v>
      </c>
      <c r="B102" t="s">
        <v>103</v>
      </c>
      <c r="C102" s="61">
        <v>43201.708333333336</v>
      </c>
      <c r="D102" t="s">
        <v>90</v>
      </c>
      <c r="H102" s="2" t="s">
        <v>8</v>
      </c>
      <c r="I102" s="2" t="s">
        <v>8</v>
      </c>
    </row>
    <row r="103" spans="1:9" ht="19.95" customHeight="1" x14ac:dyDescent="0.3">
      <c r="A103" t="s">
        <v>103</v>
      </c>
      <c r="B103" t="s">
        <v>103</v>
      </c>
      <c r="C103" s="61">
        <v>43263.5</v>
      </c>
      <c r="D103" t="s">
        <v>109</v>
      </c>
      <c r="H103" s="2" t="s">
        <v>8</v>
      </c>
      <c r="I103" s="2" t="s">
        <v>8</v>
      </c>
    </row>
    <row r="104" spans="1:9" ht="19.95" customHeight="1" x14ac:dyDescent="0.3">
      <c r="A104" t="s">
        <v>103</v>
      </c>
      <c r="B104" t="s">
        <v>100</v>
      </c>
      <c r="C104" s="61">
        <v>43252.645833333336</v>
      </c>
      <c r="D104" t="s">
        <v>57</v>
      </c>
      <c r="H104" s="2" t="s">
        <v>8</v>
      </c>
      <c r="I104" s="2" t="s">
        <v>8</v>
      </c>
    </row>
    <row r="105" spans="1:9" ht="19.95" customHeight="1" x14ac:dyDescent="0.3">
      <c r="A105" t="s">
        <v>103</v>
      </c>
      <c r="B105" t="s">
        <v>100</v>
      </c>
      <c r="C105" s="61">
        <v>43146.75</v>
      </c>
      <c r="D105" t="s">
        <v>57</v>
      </c>
      <c r="H105" s="2" t="s">
        <v>8</v>
      </c>
      <c r="I105" s="2" t="s">
        <v>8</v>
      </c>
    </row>
    <row r="106" spans="1:9" ht="19.95" customHeight="1" x14ac:dyDescent="0.3">
      <c r="A106" t="s">
        <v>103</v>
      </c>
      <c r="B106" t="s">
        <v>103</v>
      </c>
      <c r="C106" s="61">
        <v>43116.729166666664</v>
      </c>
      <c r="D106" t="s">
        <v>109</v>
      </c>
      <c r="H106" s="2" t="s">
        <v>8</v>
      </c>
      <c r="I106" s="2" t="s">
        <v>8</v>
      </c>
    </row>
    <row r="107" spans="1:9" ht="19.95" customHeight="1" x14ac:dyDescent="0.3">
      <c r="A107" t="s">
        <v>103</v>
      </c>
      <c r="B107" t="s">
        <v>103</v>
      </c>
      <c r="C107" s="61">
        <v>43227.625</v>
      </c>
      <c r="D107" t="s">
        <v>109</v>
      </c>
      <c r="H107" s="2" t="s">
        <v>8</v>
      </c>
      <c r="I107" s="2" t="s">
        <v>8</v>
      </c>
    </row>
    <row r="108" spans="1:9" ht="19.95" customHeight="1" x14ac:dyDescent="0.3">
      <c r="A108" t="s">
        <v>103</v>
      </c>
      <c r="B108" t="s">
        <v>101</v>
      </c>
      <c r="C108" s="61">
        <v>43112.375</v>
      </c>
      <c r="D108" t="s">
        <v>57</v>
      </c>
      <c r="H108" s="2" t="s">
        <v>8</v>
      </c>
      <c r="I108" s="2" t="s">
        <v>8</v>
      </c>
    </row>
    <row r="109" spans="1:9" ht="19.95" customHeight="1" x14ac:dyDescent="0.3">
      <c r="A109" t="s">
        <v>103</v>
      </c>
      <c r="B109" t="s">
        <v>103</v>
      </c>
      <c r="C109" s="61">
        <v>43182.583333333336</v>
      </c>
      <c r="D109" t="s">
        <v>109</v>
      </c>
      <c r="H109" s="2" t="s">
        <v>8</v>
      </c>
      <c r="I109" s="2" t="s">
        <v>8</v>
      </c>
    </row>
    <row r="110" spans="1:9" ht="19.95" customHeight="1" x14ac:dyDescent="0.3">
      <c r="A110" t="s">
        <v>103</v>
      </c>
      <c r="B110" t="s">
        <v>103</v>
      </c>
      <c r="C110" s="61">
        <v>43117.75</v>
      </c>
      <c r="D110" t="s">
        <v>109</v>
      </c>
      <c r="H110" s="2">
        <v>43127</v>
      </c>
      <c r="I110" s="2" t="s">
        <v>8</v>
      </c>
    </row>
    <row r="111" spans="1:9" ht="19.95" customHeight="1" x14ac:dyDescent="0.3">
      <c r="A111" t="s">
        <v>103</v>
      </c>
      <c r="B111" t="s">
        <v>100</v>
      </c>
      <c r="C111" s="61">
        <v>43169.416666666664</v>
      </c>
      <c r="D111" t="s">
        <v>57</v>
      </c>
      <c r="H111" s="2" t="s">
        <v>8</v>
      </c>
      <c r="I111" s="2" t="s">
        <v>8</v>
      </c>
    </row>
    <row r="112" spans="1:9" ht="19.95" customHeight="1" x14ac:dyDescent="0.3">
      <c r="A112" t="s">
        <v>103</v>
      </c>
      <c r="B112" t="s">
        <v>101</v>
      </c>
      <c r="C112" s="61">
        <v>43133.541666666664</v>
      </c>
      <c r="D112" t="s">
        <v>57</v>
      </c>
      <c r="H112" s="2" t="s">
        <v>8</v>
      </c>
      <c r="I112" s="2" t="s">
        <v>8</v>
      </c>
    </row>
    <row r="113" spans="1:9" ht="19.95" customHeight="1" x14ac:dyDescent="0.3">
      <c r="A113" t="s">
        <v>103</v>
      </c>
      <c r="B113" t="s">
        <v>100</v>
      </c>
      <c r="C113" s="61">
        <v>43183.645833333336</v>
      </c>
      <c r="D113" t="s">
        <v>57</v>
      </c>
      <c r="H113" s="2">
        <v>43183</v>
      </c>
      <c r="I113" s="2">
        <v>43190</v>
      </c>
    </row>
    <row r="114" spans="1:9" ht="19.95" customHeight="1" x14ac:dyDescent="0.3">
      <c r="A114" t="s">
        <v>103</v>
      </c>
      <c r="B114" t="s">
        <v>100</v>
      </c>
      <c r="C114" s="61">
        <v>43277.645833333336</v>
      </c>
      <c r="D114" t="s">
        <v>57</v>
      </c>
      <c r="H114" s="2" t="s">
        <v>8</v>
      </c>
      <c r="I114" s="2" t="s">
        <v>8</v>
      </c>
    </row>
    <row r="115" spans="1:9" ht="19.95" customHeight="1" x14ac:dyDescent="0.3">
      <c r="A115" t="s">
        <v>103</v>
      </c>
      <c r="B115" t="s">
        <v>100</v>
      </c>
      <c r="C115" s="61">
        <v>43106.583333333336</v>
      </c>
      <c r="D115" t="s">
        <v>57</v>
      </c>
      <c r="H115" s="2" t="s">
        <v>8</v>
      </c>
      <c r="I115" s="2" t="s">
        <v>8</v>
      </c>
    </row>
    <row r="116" spans="1:9" ht="19.95" customHeight="1" x14ac:dyDescent="0.3">
      <c r="A116" t="s">
        <v>103</v>
      </c>
      <c r="B116" t="s">
        <v>100</v>
      </c>
      <c r="C116" s="61">
        <v>43229.520833333336</v>
      </c>
      <c r="D116" t="s">
        <v>57</v>
      </c>
      <c r="H116" s="2" t="s">
        <v>8</v>
      </c>
      <c r="I116" s="2" t="s">
        <v>8</v>
      </c>
    </row>
    <row r="117" spans="1:9" ht="19.95" customHeight="1" x14ac:dyDescent="0.3">
      <c r="A117" t="s">
        <v>103</v>
      </c>
      <c r="B117" t="s">
        <v>100</v>
      </c>
      <c r="C117" s="61">
        <v>43164.666666666664</v>
      </c>
      <c r="D117" t="s">
        <v>57</v>
      </c>
      <c r="H117" s="2" t="s">
        <v>8</v>
      </c>
      <c r="I117" s="2" t="s">
        <v>8</v>
      </c>
    </row>
    <row r="118" spans="1:9" ht="19.95" customHeight="1" x14ac:dyDescent="0.3">
      <c r="A118" t="s">
        <v>103</v>
      </c>
      <c r="B118" t="s">
        <v>100</v>
      </c>
      <c r="C118" s="61">
        <v>43147.375</v>
      </c>
      <c r="D118" t="s">
        <v>57</v>
      </c>
      <c r="H118" s="2" t="s">
        <v>8</v>
      </c>
      <c r="I118" s="2" t="s">
        <v>8</v>
      </c>
    </row>
    <row r="119" spans="1:9" ht="19.95" customHeight="1" x14ac:dyDescent="0.3">
      <c r="A119" t="s">
        <v>103</v>
      </c>
      <c r="B119" t="s">
        <v>100</v>
      </c>
      <c r="C119" s="61">
        <v>43136.729166666664</v>
      </c>
      <c r="D119" t="s">
        <v>57</v>
      </c>
      <c r="H119" s="2" t="s">
        <v>8</v>
      </c>
      <c r="I119" s="2" t="s">
        <v>8</v>
      </c>
    </row>
    <row r="120" spans="1:9" ht="19.95" customHeight="1" x14ac:dyDescent="0.3">
      <c r="A120" t="s">
        <v>103</v>
      </c>
      <c r="B120" t="s">
        <v>100</v>
      </c>
      <c r="C120" s="61">
        <v>43242.5</v>
      </c>
      <c r="D120" t="s">
        <v>57</v>
      </c>
      <c r="H120" s="2" t="s">
        <v>8</v>
      </c>
      <c r="I120" s="2" t="s">
        <v>8</v>
      </c>
    </row>
    <row r="121" spans="1:9" ht="19.95" customHeight="1" x14ac:dyDescent="0.3">
      <c r="A121" t="s">
        <v>103</v>
      </c>
      <c r="B121" t="s">
        <v>103</v>
      </c>
      <c r="C121" s="61">
        <v>43195.5</v>
      </c>
      <c r="D121" t="s">
        <v>109</v>
      </c>
      <c r="H121" s="2" t="s">
        <v>8</v>
      </c>
      <c r="I121" s="2" t="s">
        <v>8</v>
      </c>
    </row>
    <row r="122" spans="1:9" ht="19.95" customHeight="1" x14ac:dyDescent="0.3">
      <c r="A122" t="s">
        <v>103</v>
      </c>
      <c r="B122" t="s">
        <v>103</v>
      </c>
      <c r="C122" s="61">
        <v>43175.666666666664</v>
      </c>
      <c r="D122" t="s">
        <v>109</v>
      </c>
      <c r="H122" s="2" t="s">
        <v>8</v>
      </c>
      <c r="I122" s="2" t="s">
        <v>8</v>
      </c>
    </row>
    <row r="123" spans="1:9" ht="19.95" customHeight="1" x14ac:dyDescent="0.3">
      <c r="A123" t="s">
        <v>103</v>
      </c>
      <c r="B123" t="s">
        <v>100</v>
      </c>
      <c r="C123" s="61">
        <v>43271.479166666664</v>
      </c>
      <c r="D123" t="s">
        <v>57</v>
      </c>
      <c r="H123" s="2" t="s">
        <v>8</v>
      </c>
      <c r="I123" s="2" t="s">
        <v>8</v>
      </c>
    </row>
    <row r="124" spans="1:9" ht="19.95" customHeight="1" x14ac:dyDescent="0.3">
      <c r="A124" t="s">
        <v>103</v>
      </c>
      <c r="B124" t="s">
        <v>100</v>
      </c>
      <c r="C124" s="61">
        <v>43209.604166666664</v>
      </c>
      <c r="D124" t="s">
        <v>57</v>
      </c>
      <c r="H124" s="2" t="s">
        <v>8</v>
      </c>
      <c r="I124" s="2" t="s">
        <v>8</v>
      </c>
    </row>
    <row r="125" spans="1:9" ht="19.95" customHeight="1" x14ac:dyDescent="0.3">
      <c r="A125" t="s">
        <v>103</v>
      </c>
      <c r="B125" t="s">
        <v>100</v>
      </c>
      <c r="C125" s="61">
        <v>43195.645833333336</v>
      </c>
      <c r="D125" t="s">
        <v>57</v>
      </c>
      <c r="H125" s="2" t="s">
        <v>8</v>
      </c>
      <c r="I125" s="2" t="s">
        <v>8</v>
      </c>
    </row>
    <row r="126" spans="1:9" ht="19.95" customHeight="1" x14ac:dyDescent="0.3">
      <c r="A126" t="s">
        <v>103</v>
      </c>
      <c r="B126" t="s">
        <v>100</v>
      </c>
      <c r="C126" s="61">
        <v>43155.541666666664</v>
      </c>
      <c r="D126" t="s">
        <v>57</v>
      </c>
      <c r="H126" s="2" t="s">
        <v>8</v>
      </c>
      <c r="I126" s="2" t="s">
        <v>8</v>
      </c>
    </row>
    <row r="127" spans="1:9" ht="19.95" customHeight="1" x14ac:dyDescent="0.3">
      <c r="A127" t="s">
        <v>103</v>
      </c>
      <c r="B127" t="s">
        <v>100</v>
      </c>
      <c r="C127" s="61">
        <v>43251.666666666664</v>
      </c>
      <c r="D127" t="s">
        <v>57</v>
      </c>
      <c r="H127" s="2" t="s">
        <v>8</v>
      </c>
      <c r="I127" s="2" t="s">
        <v>8</v>
      </c>
    </row>
    <row r="128" spans="1:9" ht="19.95" customHeight="1" x14ac:dyDescent="0.3">
      <c r="A128" t="s">
        <v>103</v>
      </c>
      <c r="B128" t="s">
        <v>100</v>
      </c>
      <c r="C128" s="61">
        <v>43141.541666666664</v>
      </c>
      <c r="D128" t="s">
        <v>57</v>
      </c>
      <c r="H128" s="2" t="s">
        <v>8</v>
      </c>
      <c r="I128" s="2" t="s">
        <v>8</v>
      </c>
    </row>
    <row r="129" spans="1:9" ht="19.95" customHeight="1" x14ac:dyDescent="0.3">
      <c r="A129" t="s">
        <v>103</v>
      </c>
      <c r="B129" t="s">
        <v>100</v>
      </c>
      <c r="C129" s="61">
        <v>43183.416666666664</v>
      </c>
      <c r="D129" t="s">
        <v>57</v>
      </c>
      <c r="H129" s="2" t="s">
        <v>8</v>
      </c>
      <c r="I129" s="2" t="s">
        <v>8</v>
      </c>
    </row>
    <row r="130" spans="1:9" ht="19.95" customHeight="1" x14ac:dyDescent="0.3">
      <c r="A130" t="s">
        <v>103</v>
      </c>
      <c r="B130" t="s">
        <v>100</v>
      </c>
      <c r="C130" s="61">
        <v>43209.541666666664</v>
      </c>
      <c r="D130" t="s">
        <v>57</v>
      </c>
      <c r="H130" s="2">
        <v>43229</v>
      </c>
      <c r="I130" s="2">
        <v>43251</v>
      </c>
    </row>
    <row r="131" spans="1:9" ht="19.95" customHeight="1" x14ac:dyDescent="0.3">
      <c r="A131" t="s">
        <v>103</v>
      </c>
      <c r="B131" t="s">
        <v>100</v>
      </c>
      <c r="C131" s="61">
        <v>43265.5</v>
      </c>
      <c r="D131" t="s">
        <v>57</v>
      </c>
      <c r="H131" s="2" t="s">
        <v>8</v>
      </c>
      <c r="I131" s="2" t="s">
        <v>8</v>
      </c>
    </row>
    <row r="132" spans="1:9" ht="19.95" customHeight="1" x14ac:dyDescent="0.3">
      <c r="A132" t="s">
        <v>103</v>
      </c>
      <c r="B132" t="s">
        <v>100</v>
      </c>
      <c r="C132" s="61">
        <v>43236.645833333336</v>
      </c>
      <c r="D132" t="s">
        <v>57</v>
      </c>
      <c r="H132" s="2" t="s">
        <v>8</v>
      </c>
      <c r="I132" s="2" t="s">
        <v>8</v>
      </c>
    </row>
    <row r="133" spans="1:9" ht="19.95" customHeight="1" x14ac:dyDescent="0.3">
      <c r="A133" t="s">
        <v>103</v>
      </c>
      <c r="B133" t="s">
        <v>101</v>
      </c>
      <c r="C133" s="61">
        <v>43118.6875</v>
      </c>
      <c r="D133" t="s">
        <v>57</v>
      </c>
      <c r="H133" s="2" t="s">
        <v>8</v>
      </c>
      <c r="I133" s="2" t="s">
        <v>8</v>
      </c>
    </row>
    <row r="134" spans="1:9" ht="19.95" customHeight="1" x14ac:dyDescent="0.3">
      <c r="A134" t="s">
        <v>103</v>
      </c>
      <c r="B134" t="s">
        <v>100</v>
      </c>
      <c r="C134" s="61">
        <v>43217.333333333336</v>
      </c>
      <c r="D134" t="s">
        <v>57</v>
      </c>
      <c r="H134" s="2" t="s">
        <v>8</v>
      </c>
      <c r="I134" s="2" t="s">
        <v>8</v>
      </c>
    </row>
    <row r="135" spans="1:9" ht="19.95" customHeight="1" x14ac:dyDescent="0.3">
      <c r="A135" t="s">
        <v>103</v>
      </c>
      <c r="B135" t="s">
        <v>100</v>
      </c>
      <c r="C135" s="61">
        <v>43112.6875</v>
      </c>
      <c r="D135" t="s">
        <v>57</v>
      </c>
      <c r="H135" s="2" t="s">
        <v>8</v>
      </c>
      <c r="I135" s="2" t="s">
        <v>8</v>
      </c>
    </row>
    <row r="136" spans="1:9" ht="19.95" customHeight="1" x14ac:dyDescent="0.3">
      <c r="A136" t="s">
        <v>103</v>
      </c>
      <c r="B136" t="s">
        <v>100</v>
      </c>
      <c r="C136" s="61">
        <v>43220.677083333336</v>
      </c>
      <c r="D136" t="s">
        <v>57</v>
      </c>
      <c r="H136" s="2" t="s">
        <v>8</v>
      </c>
      <c r="I136" s="2" t="s">
        <v>8</v>
      </c>
    </row>
    <row r="137" spans="1:9" ht="19.95" customHeight="1" x14ac:dyDescent="0.3">
      <c r="A137" t="s">
        <v>103</v>
      </c>
      <c r="B137" t="s">
        <v>103</v>
      </c>
      <c r="C137" s="61">
        <v>43159.708333333336</v>
      </c>
      <c r="D137" t="s">
        <v>109</v>
      </c>
      <c r="H137" s="2" t="s">
        <v>8</v>
      </c>
      <c r="I137" s="2" t="s">
        <v>8</v>
      </c>
    </row>
    <row r="138" spans="1:9" ht="19.95" customHeight="1" x14ac:dyDescent="0.3">
      <c r="A138" t="s">
        <v>103</v>
      </c>
      <c r="B138" t="s">
        <v>100</v>
      </c>
      <c r="C138" s="61">
        <v>43132.541666666664</v>
      </c>
      <c r="D138" t="s">
        <v>57</v>
      </c>
      <c r="H138" s="2" t="s">
        <v>8</v>
      </c>
      <c r="I138" s="2" t="s">
        <v>8</v>
      </c>
    </row>
    <row r="139" spans="1:9" ht="19.95" customHeight="1" x14ac:dyDescent="0.3">
      <c r="A139" t="s">
        <v>103</v>
      </c>
      <c r="B139" t="s">
        <v>101</v>
      </c>
      <c r="C139" s="61">
        <v>43109.729166666664</v>
      </c>
      <c r="D139" t="s">
        <v>57</v>
      </c>
      <c r="H139" s="2" t="s">
        <v>8</v>
      </c>
      <c r="I139" s="2" t="s">
        <v>8</v>
      </c>
    </row>
    <row r="140" spans="1:9" ht="19.95" customHeight="1" x14ac:dyDescent="0.3">
      <c r="A140" t="s">
        <v>103</v>
      </c>
      <c r="B140" t="s">
        <v>100</v>
      </c>
      <c r="C140" s="61">
        <v>43181.541666666664</v>
      </c>
      <c r="D140" t="s">
        <v>57</v>
      </c>
      <c r="H140" s="2" t="s">
        <v>8</v>
      </c>
      <c r="I140" s="2" t="s">
        <v>8</v>
      </c>
    </row>
    <row r="141" spans="1:9" ht="19.95" customHeight="1" x14ac:dyDescent="0.3">
      <c r="A141" t="s">
        <v>103</v>
      </c>
      <c r="B141" t="s">
        <v>100</v>
      </c>
      <c r="C141" s="61">
        <v>43237.4375</v>
      </c>
      <c r="D141" t="s">
        <v>57</v>
      </c>
      <c r="H141" s="2" t="s">
        <v>8</v>
      </c>
      <c r="I141" s="2" t="s">
        <v>8</v>
      </c>
    </row>
    <row r="142" spans="1:9" ht="19.95" customHeight="1" x14ac:dyDescent="0.3">
      <c r="A142" t="s">
        <v>103</v>
      </c>
      <c r="B142" t="s">
        <v>100</v>
      </c>
      <c r="C142" s="61">
        <v>43237.583333333336</v>
      </c>
      <c r="D142" t="s">
        <v>57</v>
      </c>
      <c r="H142" s="2" t="s">
        <v>8</v>
      </c>
      <c r="I142" s="2" t="s">
        <v>8</v>
      </c>
    </row>
    <row r="143" spans="1:9" ht="19.95" customHeight="1" x14ac:dyDescent="0.3">
      <c r="A143" t="s">
        <v>103</v>
      </c>
      <c r="B143" t="s">
        <v>100</v>
      </c>
      <c r="C143" s="61">
        <v>43197.375</v>
      </c>
      <c r="D143" t="s">
        <v>57</v>
      </c>
      <c r="H143" s="2" t="s">
        <v>8</v>
      </c>
      <c r="I143" s="2" t="s">
        <v>8</v>
      </c>
    </row>
    <row r="144" spans="1:9" ht="19.95" customHeight="1" x14ac:dyDescent="0.3">
      <c r="A144" t="s">
        <v>103</v>
      </c>
      <c r="B144" t="s">
        <v>100</v>
      </c>
      <c r="C144" s="61">
        <v>43242.604166666664</v>
      </c>
      <c r="D144" t="s">
        <v>57</v>
      </c>
      <c r="H144" s="2" t="s">
        <v>8</v>
      </c>
      <c r="I144" s="2" t="s">
        <v>8</v>
      </c>
    </row>
    <row r="145" spans="1:9" ht="19.95" customHeight="1" x14ac:dyDescent="0.3">
      <c r="A145" t="s">
        <v>103</v>
      </c>
      <c r="B145" t="s">
        <v>100</v>
      </c>
      <c r="C145" s="61">
        <v>43146.541666666664</v>
      </c>
      <c r="D145" t="s">
        <v>57</v>
      </c>
      <c r="H145" s="2" t="s">
        <v>8</v>
      </c>
      <c r="I145" s="2" t="s">
        <v>8</v>
      </c>
    </row>
    <row r="146" spans="1:9" ht="19.95" customHeight="1" x14ac:dyDescent="0.3">
      <c r="A146" t="s">
        <v>103</v>
      </c>
      <c r="B146" t="s">
        <v>103</v>
      </c>
      <c r="C146" s="61">
        <v>43264.6875</v>
      </c>
      <c r="D146" t="s">
        <v>109</v>
      </c>
      <c r="H146" s="2" t="s">
        <v>8</v>
      </c>
      <c r="I146" s="2" t="s">
        <v>8</v>
      </c>
    </row>
    <row r="147" spans="1:9" ht="19.95" customHeight="1" x14ac:dyDescent="0.3">
      <c r="A147" t="s">
        <v>103</v>
      </c>
      <c r="B147" t="s">
        <v>100</v>
      </c>
      <c r="C147" s="61">
        <v>43118.416666666664</v>
      </c>
      <c r="D147" t="s">
        <v>57</v>
      </c>
      <c r="H147" s="2" t="s">
        <v>8</v>
      </c>
      <c r="I147" s="2" t="s">
        <v>8</v>
      </c>
    </row>
    <row r="148" spans="1:9" ht="19.95" customHeight="1" x14ac:dyDescent="0.3">
      <c r="A148" t="s">
        <v>103</v>
      </c>
      <c r="B148" t="s">
        <v>103</v>
      </c>
      <c r="C148" s="61">
        <v>43229.354166666664</v>
      </c>
      <c r="D148" t="s">
        <v>109</v>
      </c>
      <c r="H148" s="2" t="s">
        <v>8</v>
      </c>
      <c r="I148" s="2" t="s">
        <v>8</v>
      </c>
    </row>
    <row r="149" spans="1:9" ht="19.95" customHeight="1" x14ac:dyDescent="0.3">
      <c r="A149" t="s">
        <v>103</v>
      </c>
      <c r="B149" t="s">
        <v>101</v>
      </c>
      <c r="C149" s="61">
        <v>43111.729166666664</v>
      </c>
      <c r="D149" t="s">
        <v>57</v>
      </c>
      <c r="H149" s="2" t="s">
        <v>8</v>
      </c>
      <c r="I149" s="2" t="s">
        <v>8</v>
      </c>
    </row>
    <row r="150" spans="1:9" ht="19.95" customHeight="1" x14ac:dyDescent="0.3">
      <c r="A150" t="s">
        <v>103</v>
      </c>
      <c r="B150" t="s">
        <v>103</v>
      </c>
      <c r="C150" s="61">
        <v>43188.666666666664</v>
      </c>
      <c r="D150" t="s">
        <v>109</v>
      </c>
      <c r="H150" s="2" t="s">
        <v>8</v>
      </c>
      <c r="I150" s="2" t="s">
        <v>8</v>
      </c>
    </row>
    <row r="151" spans="1:9" ht="19.95" customHeight="1" x14ac:dyDescent="0.3">
      <c r="A151" t="s">
        <v>103</v>
      </c>
      <c r="B151" t="s">
        <v>100</v>
      </c>
      <c r="C151" s="61">
        <v>43123.6875</v>
      </c>
      <c r="D151" t="s">
        <v>57</v>
      </c>
      <c r="H151" s="2" t="s">
        <v>8</v>
      </c>
      <c r="I151" s="2" t="s">
        <v>8</v>
      </c>
    </row>
    <row r="152" spans="1:9" ht="19.95" customHeight="1" x14ac:dyDescent="0.3">
      <c r="A152" t="s">
        <v>103</v>
      </c>
      <c r="B152" t="s">
        <v>101</v>
      </c>
      <c r="C152" s="61">
        <v>43165.416666666664</v>
      </c>
      <c r="D152" t="s">
        <v>57</v>
      </c>
      <c r="H152" s="2" t="s">
        <v>8</v>
      </c>
      <c r="I152" s="2" t="s">
        <v>8</v>
      </c>
    </row>
    <row r="153" spans="1:9" ht="19.95" customHeight="1" x14ac:dyDescent="0.3">
      <c r="A153" t="s">
        <v>103</v>
      </c>
      <c r="B153" t="s">
        <v>100</v>
      </c>
      <c r="C153" s="61">
        <v>43217.625</v>
      </c>
      <c r="D153" t="s">
        <v>57</v>
      </c>
      <c r="H153" s="2" t="s">
        <v>8</v>
      </c>
      <c r="I153" s="2" t="s">
        <v>8</v>
      </c>
    </row>
    <row r="154" spans="1:9" ht="19.95" customHeight="1" x14ac:dyDescent="0.3">
      <c r="A154" t="s">
        <v>103</v>
      </c>
      <c r="B154" t="s">
        <v>100</v>
      </c>
      <c r="C154" s="61">
        <v>43161.583333333336</v>
      </c>
      <c r="D154" t="s">
        <v>57</v>
      </c>
      <c r="H154" s="2" t="s">
        <v>8</v>
      </c>
      <c r="I154" s="2" t="s">
        <v>8</v>
      </c>
    </row>
    <row r="155" spans="1:9" ht="19.95" customHeight="1" x14ac:dyDescent="0.3">
      <c r="A155" t="s">
        <v>103</v>
      </c>
      <c r="B155" t="s">
        <v>103</v>
      </c>
      <c r="C155" s="61">
        <v>43113.6875</v>
      </c>
      <c r="D155" t="s">
        <v>57</v>
      </c>
      <c r="H155" s="2">
        <v>43278</v>
      </c>
      <c r="I155" s="2">
        <v>43281</v>
      </c>
    </row>
    <row r="156" spans="1:9" ht="19.95" customHeight="1" x14ac:dyDescent="0.3">
      <c r="A156" t="s">
        <v>103</v>
      </c>
      <c r="B156" t="s">
        <v>100</v>
      </c>
      <c r="C156" s="61">
        <v>43126.354166666664</v>
      </c>
      <c r="D156" t="s">
        <v>57</v>
      </c>
      <c r="H156" s="2">
        <v>43174</v>
      </c>
      <c r="I156" s="2">
        <v>43190</v>
      </c>
    </row>
    <row r="157" spans="1:9" ht="19.95" customHeight="1" x14ac:dyDescent="0.3">
      <c r="A157" t="s">
        <v>103</v>
      </c>
      <c r="B157" t="s">
        <v>100</v>
      </c>
      <c r="C157" s="61">
        <v>43105.375</v>
      </c>
      <c r="D157" t="s">
        <v>57</v>
      </c>
      <c r="H157" s="2" t="s">
        <v>8</v>
      </c>
      <c r="I157" s="2" t="s">
        <v>8</v>
      </c>
    </row>
    <row r="158" spans="1:9" ht="19.95" customHeight="1" x14ac:dyDescent="0.3">
      <c r="A158" t="s">
        <v>103</v>
      </c>
      <c r="B158" t="s">
        <v>100</v>
      </c>
      <c r="C158" s="61">
        <v>43179.75</v>
      </c>
      <c r="D158" t="s">
        <v>57</v>
      </c>
      <c r="H158" s="2">
        <v>43186</v>
      </c>
      <c r="I158" s="2">
        <v>43190</v>
      </c>
    </row>
    <row r="159" spans="1:9" ht="19.95" customHeight="1" x14ac:dyDescent="0.3">
      <c r="A159" t="s">
        <v>103</v>
      </c>
      <c r="B159" t="s">
        <v>100</v>
      </c>
      <c r="C159" s="61">
        <v>43155.354166666664</v>
      </c>
      <c r="D159" t="s">
        <v>57</v>
      </c>
      <c r="H159" s="2" t="s">
        <v>8</v>
      </c>
      <c r="I159" s="2" t="s">
        <v>8</v>
      </c>
    </row>
    <row r="160" spans="1:9" ht="19.95" customHeight="1" x14ac:dyDescent="0.3">
      <c r="A160" t="s">
        <v>103</v>
      </c>
      <c r="B160" t="s">
        <v>100</v>
      </c>
      <c r="C160" s="61">
        <v>43250.520833333336</v>
      </c>
      <c r="D160" t="s">
        <v>57</v>
      </c>
      <c r="H160" s="2" t="s">
        <v>8</v>
      </c>
      <c r="I160" s="2" t="s">
        <v>8</v>
      </c>
    </row>
    <row r="161" spans="1:9" ht="19.95" customHeight="1" x14ac:dyDescent="0.3">
      <c r="A161" t="s">
        <v>103</v>
      </c>
      <c r="B161" t="s">
        <v>103</v>
      </c>
      <c r="C161" s="61">
        <v>43151.572916666664</v>
      </c>
      <c r="D161" t="s">
        <v>109</v>
      </c>
      <c r="H161" s="2" t="s">
        <v>8</v>
      </c>
      <c r="I161" s="2" t="s">
        <v>8</v>
      </c>
    </row>
    <row r="162" spans="1:9" ht="19.95" customHeight="1" x14ac:dyDescent="0.3">
      <c r="A162" t="s">
        <v>103</v>
      </c>
      <c r="B162" t="s">
        <v>103</v>
      </c>
      <c r="C162" s="61">
        <v>43237.770833333336</v>
      </c>
      <c r="D162" t="s">
        <v>109</v>
      </c>
      <c r="H162" s="2" t="s">
        <v>8</v>
      </c>
      <c r="I162" s="2" t="s">
        <v>8</v>
      </c>
    </row>
    <row r="163" spans="1:9" ht="19.95" customHeight="1" x14ac:dyDescent="0.3">
      <c r="A163" t="s">
        <v>103</v>
      </c>
      <c r="B163" t="s">
        <v>100</v>
      </c>
      <c r="C163" s="61">
        <v>43193.375</v>
      </c>
      <c r="D163" t="s">
        <v>57</v>
      </c>
      <c r="H163" s="2" t="s">
        <v>8</v>
      </c>
      <c r="I163" s="2" t="s">
        <v>8</v>
      </c>
    </row>
    <row r="164" spans="1:9" ht="19.95" customHeight="1" x14ac:dyDescent="0.3">
      <c r="A164" t="s">
        <v>103</v>
      </c>
      <c r="B164" t="s">
        <v>100</v>
      </c>
      <c r="C164" s="61">
        <v>43181.708333333336</v>
      </c>
      <c r="D164" t="s">
        <v>57</v>
      </c>
      <c r="H164" s="2" t="s">
        <v>8</v>
      </c>
      <c r="I164" s="2" t="s">
        <v>8</v>
      </c>
    </row>
    <row r="165" spans="1:9" ht="19.95" customHeight="1" x14ac:dyDescent="0.3">
      <c r="A165" t="s">
        <v>104</v>
      </c>
      <c r="B165" t="s">
        <v>100</v>
      </c>
      <c r="C165" s="61">
        <v>43138.541666666664</v>
      </c>
      <c r="D165" t="s">
        <v>57</v>
      </c>
      <c r="H165" s="2">
        <v>43154</v>
      </c>
      <c r="I165" s="2">
        <v>43159</v>
      </c>
    </row>
    <row r="166" spans="1:9" ht="19.95" customHeight="1" x14ac:dyDescent="0.3">
      <c r="A166" t="s">
        <v>104</v>
      </c>
      <c r="B166" t="s">
        <v>104</v>
      </c>
      <c r="C166" s="61">
        <v>43110.375</v>
      </c>
      <c r="D166" t="s">
        <v>109</v>
      </c>
      <c r="H166" s="2">
        <v>43159</v>
      </c>
      <c r="I166" s="2">
        <v>43159</v>
      </c>
    </row>
    <row r="167" spans="1:9" ht="19.95" customHeight="1" x14ac:dyDescent="0.3">
      <c r="A167" t="s">
        <v>104</v>
      </c>
      <c r="B167" t="s">
        <v>100</v>
      </c>
      <c r="C167" s="61">
        <v>43147.541666666664</v>
      </c>
      <c r="D167" t="s">
        <v>57</v>
      </c>
      <c r="H167" s="2" t="s">
        <v>8</v>
      </c>
      <c r="I167" s="2" t="s">
        <v>8</v>
      </c>
    </row>
    <row r="168" spans="1:9" ht="19.95" customHeight="1" x14ac:dyDescent="0.3">
      <c r="A168" t="s">
        <v>104</v>
      </c>
      <c r="B168" t="s">
        <v>100</v>
      </c>
      <c r="C168" s="61">
        <v>43144.708333333336</v>
      </c>
      <c r="D168" t="s">
        <v>57</v>
      </c>
      <c r="H168" s="2" t="s">
        <v>8</v>
      </c>
      <c r="I168" s="2" t="s">
        <v>8</v>
      </c>
    </row>
    <row r="169" spans="1:9" ht="19.95" customHeight="1" x14ac:dyDescent="0.3">
      <c r="A169" t="s">
        <v>104</v>
      </c>
      <c r="B169" t="s">
        <v>100</v>
      </c>
      <c r="C169" s="61">
        <v>43211.354166666664</v>
      </c>
      <c r="D169" t="s">
        <v>57</v>
      </c>
      <c r="H169" s="2" t="s">
        <v>8</v>
      </c>
      <c r="I169" s="2" t="s">
        <v>8</v>
      </c>
    </row>
    <row r="170" spans="1:9" ht="19.95" customHeight="1" x14ac:dyDescent="0.3">
      <c r="A170" t="s">
        <v>104</v>
      </c>
      <c r="B170" t="s">
        <v>100</v>
      </c>
      <c r="C170" s="61">
        <v>43176.375</v>
      </c>
      <c r="D170" t="s">
        <v>57</v>
      </c>
      <c r="H170" s="2" t="s">
        <v>8</v>
      </c>
      <c r="I170" s="2" t="s">
        <v>8</v>
      </c>
    </row>
    <row r="171" spans="1:9" ht="19.95" customHeight="1" x14ac:dyDescent="0.3">
      <c r="A171" t="s">
        <v>104</v>
      </c>
      <c r="B171" t="s">
        <v>104</v>
      </c>
      <c r="C171" s="61">
        <v>43130.666666666664</v>
      </c>
      <c r="D171" t="s">
        <v>109</v>
      </c>
      <c r="H171" s="2">
        <v>43137</v>
      </c>
      <c r="I171" s="2">
        <v>43159</v>
      </c>
    </row>
    <row r="172" spans="1:9" ht="19.95" customHeight="1" x14ac:dyDescent="0.3">
      <c r="A172" t="s">
        <v>104</v>
      </c>
      <c r="B172" t="s">
        <v>100</v>
      </c>
      <c r="C172" s="61">
        <v>43134.5625</v>
      </c>
      <c r="D172" t="s">
        <v>57</v>
      </c>
      <c r="H172" s="2" t="s">
        <v>8</v>
      </c>
      <c r="I172" s="2" t="s">
        <v>8</v>
      </c>
    </row>
    <row r="173" spans="1:9" ht="19.95" customHeight="1" x14ac:dyDescent="0.3">
      <c r="A173" t="s">
        <v>104</v>
      </c>
      <c r="B173" t="s">
        <v>100</v>
      </c>
      <c r="C173" s="61">
        <v>43256.604166666664</v>
      </c>
      <c r="D173" t="s">
        <v>57</v>
      </c>
      <c r="H173" s="2">
        <v>43288</v>
      </c>
      <c r="I173" s="2" t="s">
        <v>8</v>
      </c>
    </row>
    <row r="174" spans="1:9" ht="19.95" customHeight="1" x14ac:dyDescent="0.3">
      <c r="A174" t="s">
        <v>104</v>
      </c>
      <c r="B174" t="s">
        <v>100</v>
      </c>
      <c r="C174" s="61">
        <v>43243.677083333336</v>
      </c>
      <c r="D174" t="s">
        <v>57</v>
      </c>
      <c r="H174" s="2" t="s">
        <v>8</v>
      </c>
      <c r="I174" s="2" t="s">
        <v>8</v>
      </c>
    </row>
    <row r="175" spans="1:9" ht="19.95" customHeight="1" x14ac:dyDescent="0.3">
      <c r="A175" t="s">
        <v>104</v>
      </c>
      <c r="B175" t="s">
        <v>100</v>
      </c>
      <c r="C175" s="61">
        <v>43202.708333333336</v>
      </c>
      <c r="D175" t="s">
        <v>57</v>
      </c>
      <c r="H175" s="2" t="s">
        <v>8</v>
      </c>
      <c r="I175" s="2" t="s">
        <v>8</v>
      </c>
    </row>
    <row r="176" spans="1:9" ht="19.95" customHeight="1" x14ac:dyDescent="0.3">
      <c r="A176" t="s">
        <v>104</v>
      </c>
      <c r="B176" t="s">
        <v>101</v>
      </c>
      <c r="C176" s="61">
        <v>43164.75</v>
      </c>
      <c r="D176" t="s">
        <v>57</v>
      </c>
      <c r="H176" s="2" t="s">
        <v>8</v>
      </c>
      <c r="I176" s="2" t="s">
        <v>8</v>
      </c>
    </row>
    <row r="177" spans="1:9" ht="19.95" customHeight="1" x14ac:dyDescent="0.3">
      <c r="A177" t="s">
        <v>104</v>
      </c>
      <c r="B177" t="s">
        <v>100</v>
      </c>
      <c r="C177" s="61">
        <v>43165.375</v>
      </c>
      <c r="D177" t="s">
        <v>57</v>
      </c>
      <c r="H177" s="2" t="s">
        <v>8</v>
      </c>
      <c r="I177" s="2" t="s">
        <v>8</v>
      </c>
    </row>
    <row r="178" spans="1:9" ht="19.95" customHeight="1" x14ac:dyDescent="0.3">
      <c r="A178" t="s">
        <v>104</v>
      </c>
      <c r="B178" t="s">
        <v>100</v>
      </c>
      <c r="C178" s="61">
        <v>43116.625</v>
      </c>
      <c r="D178" t="s">
        <v>57</v>
      </c>
      <c r="H178" s="2" t="s">
        <v>8</v>
      </c>
      <c r="I178" s="2" t="s">
        <v>8</v>
      </c>
    </row>
    <row r="179" spans="1:9" ht="19.95" customHeight="1" x14ac:dyDescent="0.3">
      <c r="A179" t="s">
        <v>104</v>
      </c>
      <c r="B179" t="s">
        <v>101</v>
      </c>
      <c r="C179" s="61">
        <v>43115.729166666664</v>
      </c>
      <c r="D179" t="s">
        <v>57</v>
      </c>
      <c r="H179" s="2" t="s">
        <v>8</v>
      </c>
      <c r="I179" s="2" t="s">
        <v>8</v>
      </c>
    </row>
    <row r="180" spans="1:9" ht="19.95" customHeight="1" x14ac:dyDescent="0.3">
      <c r="A180" t="s">
        <v>104</v>
      </c>
      <c r="B180" t="s">
        <v>101</v>
      </c>
      <c r="C180" s="61">
        <v>43161.520833333336</v>
      </c>
      <c r="D180" t="s">
        <v>57</v>
      </c>
      <c r="H180" s="2" t="s">
        <v>8</v>
      </c>
      <c r="I180" s="2" t="s">
        <v>8</v>
      </c>
    </row>
    <row r="181" spans="1:9" ht="19.95" customHeight="1" x14ac:dyDescent="0.3">
      <c r="A181" t="s">
        <v>104</v>
      </c>
      <c r="B181" t="s">
        <v>104</v>
      </c>
      <c r="C181" s="61">
        <v>43127.333333333336</v>
      </c>
      <c r="D181" t="s">
        <v>109</v>
      </c>
      <c r="H181" s="2" t="s">
        <v>8</v>
      </c>
      <c r="I181" s="2" t="s">
        <v>8</v>
      </c>
    </row>
    <row r="182" spans="1:9" ht="19.95" customHeight="1" x14ac:dyDescent="0.3">
      <c r="A182" t="s">
        <v>104</v>
      </c>
      <c r="B182" t="s">
        <v>100</v>
      </c>
      <c r="C182" s="61">
        <v>43138.666666666664</v>
      </c>
      <c r="D182" t="s">
        <v>57</v>
      </c>
      <c r="H182" s="2" t="s">
        <v>8</v>
      </c>
      <c r="I182" s="2" t="s">
        <v>8</v>
      </c>
    </row>
    <row r="183" spans="1:9" ht="19.95" customHeight="1" x14ac:dyDescent="0.3">
      <c r="A183" t="s">
        <v>104</v>
      </c>
      <c r="B183" t="s">
        <v>100</v>
      </c>
      <c r="C183" s="61">
        <v>43133.416666666664</v>
      </c>
      <c r="D183" t="s">
        <v>57</v>
      </c>
      <c r="H183" s="2" t="s">
        <v>8</v>
      </c>
      <c r="I183" s="2" t="s">
        <v>8</v>
      </c>
    </row>
    <row r="184" spans="1:9" ht="19.95" customHeight="1" x14ac:dyDescent="0.3">
      <c r="A184" t="s">
        <v>104</v>
      </c>
      <c r="B184" t="s">
        <v>100</v>
      </c>
      <c r="C184" s="61">
        <v>43173.604166666664</v>
      </c>
      <c r="D184" t="s">
        <v>57</v>
      </c>
      <c r="H184" s="2" t="s">
        <v>8</v>
      </c>
      <c r="I184" s="2" t="s">
        <v>8</v>
      </c>
    </row>
    <row r="185" spans="1:9" ht="19.95" customHeight="1" x14ac:dyDescent="0.3">
      <c r="A185" t="s">
        <v>104</v>
      </c>
      <c r="B185" t="s">
        <v>104</v>
      </c>
      <c r="C185" s="61">
        <v>43166.729166666664</v>
      </c>
      <c r="D185" t="s">
        <v>109</v>
      </c>
      <c r="H185" s="2" t="s">
        <v>8</v>
      </c>
      <c r="I185" s="2" t="s">
        <v>8</v>
      </c>
    </row>
    <row r="186" spans="1:9" ht="19.95" customHeight="1" x14ac:dyDescent="0.3">
      <c r="A186" t="s">
        <v>104</v>
      </c>
      <c r="B186" t="s">
        <v>100</v>
      </c>
      <c r="C186" s="61">
        <v>43272.458333333336</v>
      </c>
      <c r="D186" t="s">
        <v>57</v>
      </c>
      <c r="H186" s="2" t="s">
        <v>8</v>
      </c>
      <c r="I186" s="2" t="s">
        <v>8</v>
      </c>
    </row>
    <row r="187" spans="1:9" ht="19.95" customHeight="1" x14ac:dyDescent="0.3">
      <c r="A187" t="s">
        <v>104</v>
      </c>
      <c r="B187" t="s">
        <v>100</v>
      </c>
      <c r="C187" s="61">
        <v>43206.5</v>
      </c>
      <c r="D187" t="s">
        <v>57</v>
      </c>
      <c r="H187" s="2" t="s">
        <v>8</v>
      </c>
      <c r="I187" s="2" t="s">
        <v>8</v>
      </c>
    </row>
    <row r="188" spans="1:9" ht="19.95" customHeight="1" x14ac:dyDescent="0.3">
      <c r="A188" t="s">
        <v>104</v>
      </c>
      <c r="B188" t="s">
        <v>100</v>
      </c>
      <c r="C188" s="61">
        <v>43200.5</v>
      </c>
      <c r="D188" t="s">
        <v>57</v>
      </c>
      <c r="H188" s="2" t="s">
        <v>8</v>
      </c>
      <c r="I188" s="2" t="s">
        <v>8</v>
      </c>
    </row>
    <row r="189" spans="1:9" ht="19.95" customHeight="1" x14ac:dyDescent="0.3">
      <c r="A189" t="s">
        <v>104</v>
      </c>
      <c r="B189" t="s">
        <v>100</v>
      </c>
      <c r="C189" s="61">
        <v>43122.583333333336</v>
      </c>
      <c r="D189" t="s">
        <v>57</v>
      </c>
      <c r="H189" s="2" t="s">
        <v>8</v>
      </c>
      <c r="I189" s="2" t="s">
        <v>8</v>
      </c>
    </row>
    <row r="190" spans="1:9" ht="19.95" customHeight="1" x14ac:dyDescent="0.3">
      <c r="A190" t="s">
        <v>104</v>
      </c>
      <c r="B190" t="s">
        <v>100</v>
      </c>
      <c r="C190" s="61">
        <v>43147.6875</v>
      </c>
      <c r="D190" t="s">
        <v>57</v>
      </c>
      <c r="H190" s="2">
        <v>43202</v>
      </c>
      <c r="I190" s="2">
        <v>43220</v>
      </c>
    </row>
    <row r="191" spans="1:9" ht="19.95" customHeight="1" x14ac:dyDescent="0.3">
      <c r="A191" t="s">
        <v>104</v>
      </c>
      <c r="B191" t="s">
        <v>100</v>
      </c>
      <c r="C191" s="61">
        <v>43113.3125</v>
      </c>
      <c r="D191" t="s">
        <v>57</v>
      </c>
      <c r="H191" s="2" t="s">
        <v>8</v>
      </c>
      <c r="I191" s="2" t="s">
        <v>8</v>
      </c>
    </row>
    <row r="192" spans="1:9" ht="19.95" customHeight="1" x14ac:dyDescent="0.3">
      <c r="A192" t="s">
        <v>104</v>
      </c>
      <c r="B192" t="s">
        <v>100</v>
      </c>
      <c r="C192" s="61">
        <v>43180.541666666664</v>
      </c>
      <c r="D192" t="s">
        <v>57</v>
      </c>
      <c r="H192" s="2" t="s">
        <v>8</v>
      </c>
      <c r="I192" s="2" t="s">
        <v>8</v>
      </c>
    </row>
    <row r="193" spans="1:9" ht="19.95" customHeight="1" x14ac:dyDescent="0.3">
      <c r="A193" t="s">
        <v>104</v>
      </c>
      <c r="B193" t="s">
        <v>104</v>
      </c>
      <c r="C193" s="61">
        <v>43193.666666666664</v>
      </c>
      <c r="D193" t="s">
        <v>109</v>
      </c>
      <c r="H193" s="2" t="s">
        <v>8</v>
      </c>
      <c r="I193" s="2" t="s">
        <v>8</v>
      </c>
    </row>
    <row r="194" spans="1:9" ht="19.95" customHeight="1" x14ac:dyDescent="0.3">
      <c r="A194" t="s">
        <v>104</v>
      </c>
      <c r="B194" t="s">
        <v>104</v>
      </c>
      <c r="C194" s="61">
        <v>43124.375</v>
      </c>
      <c r="D194" t="s">
        <v>109</v>
      </c>
      <c r="H194" s="2">
        <v>43101</v>
      </c>
      <c r="I194" s="2">
        <v>43130</v>
      </c>
    </row>
    <row r="195" spans="1:9" ht="19.95" customHeight="1" x14ac:dyDescent="0.3">
      <c r="A195" t="s">
        <v>104</v>
      </c>
      <c r="B195" t="s">
        <v>100</v>
      </c>
      <c r="C195" s="61">
        <v>43105.625</v>
      </c>
      <c r="D195" t="s">
        <v>57</v>
      </c>
      <c r="H195" s="2" t="s">
        <v>8</v>
      </c>
      <c r="I195" s="2" t="s">
        <v>8</v>
      </c>
    </row>
    <row r="196" spans="1:9" ht="19.95" customHeight="1" x14ac:dyDescent="0.3">
      <c r="A196" t="s">
        <v>104</v>
      </c>
      <c r="B196" t="s">
        <v>100</v>
      </c>
      <c r="C196" s="61">
        <v>43224.5</v>
      </c>
      <c r="D196" t="s">
        <v>57</v>
      </c>
      <c r="H196" s="2" t="s">
        <v>8</v>
      </c>
      <c r="I196" s="2" t="s">
        <v>8</v>
      </c>
    </row>
    <row r="197" spans="1:9" ht="19.95" customHeight="1" x14ac:dyDescent="0.3">
      <c r="A197" t="s">
        <v>104</v>
      </c>
      <c r="B197" t="s">
        <v>104</v>
      </c>
      <c r="C197" s="61">
        <v>43133.5625</v>
      </c>
      <c r="D197" t="s">
        <v>109</v>
      </c>
      <c r="H197" s="2" t="s">
        <v>8</v>
      </c>
      <c r="I197" s="2" t="s">
        <v>8</v>
      </c>
    </row>
    <row r="198" spans="1:9" ht="19.95" customHeight="1" x14ac:dyDescent="0.3">
      <c r="A198" t="s">
        <v>104</v>
      </c>
      <c r="B198" t="s">
        <v>104</v>
      </c>
      <c r="C198" s="61">
        <v>43223.666666666664</v>
      </c>
      <c r="D198" t="s">
        <v>109</v>
      </c>
      <c r="H198" s="2" t="s">
        <v>8</v>
      </c>
      <c r="I198" s="2" t="s">
        <v>8</v>
      </c>
    </row>
    <row r="199" spans="1:9" ht="19.95" customHeight="1" x14ac:dyDescent="0.3">
      <c r="A199" t="s">
        <v>104</v>
      </c>
      <c r="B199" t="s">
        <v>100</v>
      </c>
      <c r="C199" s="61">
        <v>43269.5</v>
      </c>
      <c r="D199" t="s">
        <v>57</v>
      </c>
      <c r="H199" s="2" t="s">
        <v>8</v>
      </c>
      <c r="I199" s="2" t="s">
        <v>8</v>
      </c>
    </row>
    <row r="200" spans="1:9" ht="19.95" customHeight="1" x14ac:dyDescent="0.3">
      <c r="A200" t="s">
        <v>104</v>
      </c>
      <c r="B200" t="s">
        <v>100</v>
      </c>
      <c r="C200" s="61">
        <v>43203.333333333336</v>
      </c>
      <c r="D200" t="s">
        <v>57</v>
      </c>
      <c r="H200" s="2" t="s">
        <v>8</v>
      </c>
      <c r="I200" s="2" t="s">
        <v>8</v>
      </c>
    </row>
    <row r="201" spans="1:9" ht="19.95" customHeight="1" x14ac:dyDescent="0.3">
      <c r="A201" t="s">
        <v>105</v>
      </c>
      <c r="B201" t="s">
        <v>100</v>
      </c>
      <c r="C201" s="61">
        <v>43178.666666666664</v>
      </c>
      <c r="D201" t="s">
        <v>57</v>
      </c>
      <c r="H201" s="2" t="s">
        <v>8</v>
      </c>
      <c r="I201" s="2" t="s">
        <v>8</v>
      </c>
    </row>
    <row r="202" spans="1:9" ht="19.95" customHeight="1" x14ac:dyDescent="0.3">
      <c r="A202" t="s">
        <v>105</v>
      </c>
      <c r="B202" t="s">
        <v>100</v>
      </c>
      <c r="C202" s="61">
        <v>43265.625</v>
      </c>
      <c r="D202" t="s">
        <v>57</v>
      </c>
      <c r="H202" s="2" t="s">
        <v>8</v>
      </c>
      <c r="I202" s="2" t="s">
        <v>8</v>
      </c>
    </row>
    <row r="203" spans="1:9" ht="19.95" customHeight="1" x14ac:dyDescent="0.3">
      <c r="A203" t="s">
        <v>105</v>
      </c>
      <c r="B203" t="s">
        <v>100</v>
      </c>
      <c r="C203" s="61">
        <v>43190.333333333336</v>
      </c>
      <c r="D203" t="s">
        <v>57</v>
      </c>
      <c r="H203" s="2" t="s">
        <v>8</v>
      </c>
      <c r="I203" s="2" t="s">
        <v>8</v>
      </c>
    </row>
    <row r="204" spans="1:9" ht="19.95" customHeight="1" x14ac:dyDescent="0.3">
      <c r="A204" t="s">
        <v>105</v>
      </c>
      <c r="B204" t="s">
        <v>100</v>
      </c>
      <c r="C204" s="61">
        <v>43279.6875</v>
      </c>
      <c r="D204" t="s">
        <v>57</v>
      </c>
      <c r="H204" s="2" t="s">
        <v>8</v>
      </c>
      <c r="I204" s="2" t="s">
        <v>8</v>
      </c>
    </row>
    <row r="205" spans="1:9" ht="19.95" customHeight="1" x14ac:dyDescent="0.3">
      <c r="A205" t="s">
        <v>105</v>
      </c>
      <c r="B205" t="s">
        <v>100</v>
      </c>
      <c r="C205" s="61">
        <v>43218.333333333336</v>
      </c>
      <c r="D205" t="s">
        <v>57</v>
      </c>
      <c r="H205" s="2" t="s">
        <v>8</v>
      </c>
      <c r="I205" s="2" t="s">
        <v>8</v>
      </c>
    </row>
    <row r="206" spans="1:9" ht="19.95" customHeight="1" x14ac:dyDescent="0.3">
      <c r="A206" t="s">
        <v>105</v>
      </c>
      <c r="B206" t="s">
        <v>100</v>
      </c>
      <c r="C206" s="61">
        <v>43200.604166666664</v>
      </c>
      <c r="D206" t="s">
        <v>57</v>
      </c>
      <c r="H206" s="2" t="s">
        <v>8</v>
      </c>
      <c r="I206" s="2" t="s">
        <v>8</v>
      </c>
    </row>
    <row r="207" spans="1:9" ht="19.95" customHeight="1" x14ac:dyDescent="0.3">
      <c r="A207" t="s">
        <v>105</v>
      </c>
      <c r="B207" t="s">
        <v>100</v>
      </c>
      <c r="C207" s="61">
        <v>43263.666666666664</v>
      </c>
      <c r="D207" t="s">
        <v>57</v>
      </c>
      <c r="H207" s="2" t="s">
        <v>8</v>
      </c>
      <c r="I207" s="2" t="s">
        <v>8</v>
      </c>
    </row>
    <row r="208" spans="1:9" ht="19.95" customHeight="1" x14ac:dyDescent="0.3">
      <c r="A208" t="s">
        <v>105</v>
      </c>
      <c r="B208" t="s">
        <v>100</v>
      </c>
      <c r="C208" s="61">
        <v>43124.666666666664</v>
      </c>
      <c r="D208" t="s">
        <v>57</v>
      </c>
      <c r="H208" s="2" t="s">
        <v>8</v>
      </c>
      <c r="I208" s="2" t="s">
        <v>8</v>
      </c>
    </row>
    <row r="209" spans="1:9" ht="19.95" customHeight="1" x14ac:dyDescent="0.3">
      <c r="A209" t="s">
        <v>105</v>
      </c>
      <c r="B209" t="s">
        <v>100</v>
      </c>
      <c r="C209" s="61">
        <v>43223.6875</v>
      </c>
      <c r="D209" t="s">
        <v>57</v>
      </c>
      <c r="H209" s="2" t="s">
        <v>8</v>
      </c>
      <c r="I209" s="2" t="s">
        <v>8</v>
      </c>
    </row>
    <row r="210" spans="1:9" ht="19.95" customHeight="1" x14ac:dyDescent="0.3">
      <c r="A210" t="s">
        <v>105</v>
      </c>
      <c r="B210" t="s">
        <v>100</v>
      </c>
      <c r="C210" s="61">
        <v>43168.583333333336</v>
      </c>
      <c r="D210" t="s">
        <v>57</v>
      </c>
      <c r="H210" s="2" t="s">
        <v>8</v>
      </c>
      <c r="I210" s="2" t="s">
        <v>8</v>
      </c>
    </row>
    <row r="211" spans="1:9" ht="19.95" customHeight="1" x14ac:dyDescent="0.3">
      <c r="A211" t="s">
        <v>105</v>
      </c>
      <c r="B211" t="s">
        <v>100</v>
      </c>
      <c r="C211" s="61">
        <v>43256.375</v>
      </c>
      <c r="D211" t="s">
        <v>57</v>
      </c>
      <c r="H211" s="2" t="s">
        <v>8</v>
      </c>
      <c r="I211" s="2" t="s">
        <v>8</v>
      </c>
    </row>
    <row r="212" spans="1:9" ht="19.95" customHeight="1" x14ac:dyDescent="0.3">
      <c r="A212" t="s">
        <v>105</v>
      </c>
      <c r="B212" t="s">
        <v>100</v>
      </c>
      <c r="C212" s="61">
        <v>43193.5</v>
      </c>
      <c r="D212" t="s">
        <v>57</v>
      </c>
      <c r="H212" s="2" t="s">
        <v>8</v>
      </c>
      <c r="I212" s="2" t="s">
        <v>8</v>
      </c>
    </row>
    <row r="213" spans="1:9" ht="19.95" customHeight="1" x14ac:dyDescent="0.3">
      <c r="A213" t="s">
        <v>105</v>
      </c>
      <c r="B213" t="s">
        <v>100</v>
      </c>
      <c r="C213" s="61">
        <v>43167.333333333336</v>
      </c>
      <c r="D213" t="s">
        <v>57</v>
      </c>
      <c r="H213" s="2" t="s">
        <v>8</v>
      </c>
      <c r="I213" s="2" t="s">
        <v>8</v>
      </c>
    </row>
    <row r="214" spans="1:9" ht="19.95" customHeight="1" x14ac:dyDescent="0.3">
      <c r="A214" t="s">
        <v>105</v>
      </c>
      <c r="B214" t="s">
        <v>105</v>
      </c>
      <c r="C214" s="61">
        <v>43197.375</v>
      </c>
      <c r="D214" t="s">
        <v>109</v>
      </c>
      <c r="H214" s="2" t="s">
        <v>8</v>
      </c>
      <c r="I214" s="2" t="s">
        <v>8</v>
      </c>
    </row>
    <row r="215" spans="1:9" ht="19.95" customHeight="1" x14ac:dyDescent="0.3">
      <c r="A215" t="s">
        <v>105</v>
      </c>
      <c r="B215" t="s">
        <v>100</v>
      </c>
      <c r="C215" s="61">
        <v>43194.3125</v>
      </c>
      <c r="D215" t="s">
        <v>57</v>
      </c>
      <c r="H215" s="2" t="s">
        <v>8</v>
      </c>
      <c r="I215" s="2" t="s">
        <v>8</v>
      </c>
    </row>
    <row r="216" spans="1:9" ht="19.95" customHeight="1" x14ac:dyDescent="0.3">
      <c r="A216" t="s">
        <v>105</v>
      </c>
      <c r="B216" t="s">
        <v>100</v>
      </c>
      <c r="C216" s="61">
        <v>43264.666666666664</v>
      </c>
      <c r="D216" t="s">
        <v>57</v>
      </c>
      <c r="H216" s="2" t="s">
        <v>8</v>
      </c>
      <c r="I216" s="2" t="s">
        <v>8</v>
      </c>
    </row>
    <row r="217" spans="1:9" ht="19.95" customHeight="1" x14ac:dyDescent="0.3">
      <c r="A217" t="s">
        <v>105</v>
      </c>
      <c r="B217" t="s">
        <v>100</v>
      </c>
      <c r="C217" s="61">
        <v>43174.333333333336</v>
      </c>
      <c r="D217" t="s">
        <v>57</v>
      </c>
      <c r="H217" s="2" t="s">
        <v>8</v>
      </c>
      <c r="I217" s="2" t="s">
        <v>8</v>
      </c>
    </row>
    <row r="218" spans="1:9" ht="19.95" customHeight="1" x14ac:dyDescent="0.3">
      <c r="A218" t="s">
        <v>105</v>
      </c>
      <c r="B218" t="s">
        <v>100</v>
      </c>
      <c r="C218" s="61">
        <v>43218.5</v>
      </c>
      <c r="D218" t="s">
        <v>57</v>
      </c>
      <c r="H218" s="2" t="s">
        <v>8</v>
      </c>
      <c r="I218" s="2" t="s">
        <v>8</v>
      </c>
    </row>
    <row r="219" spans="1:9" ht="19.95" customHeight="1" x14ac:dyDescent="0.3">
      <c r="A219" t="s">
        <v>105</v>
      </c>
      <c r="B219" t="s">
        <v>100</v>
      </c>
      <c r="C219" s="61">
        <v>43245.5</v>
      </c>
      <c r="D219" t="s">
        <v>57</v>
      </c>
      <c r="H219" s="2">
        <v>43251</v>
      </c>
      <c r="I219" s="2">
        <v>43251</v>
      </c>
    </row>
    <row r="220" spans="1:9" ht="19.95" customHeight="1" x14ac:dyDescent="0.3">
      <c r="A220" t="s">
        <v>105</v>
      </c>
      <c r="B220" t="s">
        <v>100</v>
      </c>
      <c r="C220" s="61">
        <v>43124.354166666664</v>
      </c>
      <c r="D220" t="s">
        <v>57</v>
      </c>
      <c r="H220" s="2" t="s">
        <v>8</v>
      </c>
      <c r="I220" s="2" t="s">
        <v>8</v>
      </c>
    </row>
    <row r="221" spans="1:9" ht="19.95" customHeight="1" x14ac:dyDescent="0.3">
      <c r="A221" t="s">
        <v>105</v>
      </c>
      <c r="B221" t="s">
        <v>100</v>
      </c>
      <c r="C221" s="61">
        <v>43161.541666666664</v>
      </c>
      <c r="D221" t="s">
        <v>57</v>
      </c>
      <c r="H221" s="2" t="s">
        <v>8</v>
      </c>
      <c r="I221" s="2" t="s">
        <v>8</v>
      </c>
    </row>
    <row r="222" spans="1:9" ht="19.95" customHeight="1" x14ac:dyDescent="0.3">
      <c r="A222" t="s">
        <v>105</v>
      </c>
      <c r="B222" t="s">
        <v>100</v>
      </c>
      <c r="C222" s="61">
        <v>43115.40625</v>
      </c>
      <c r="D222" t="s">
        <v>57</v>
      </c>
      <c r="H222" s="2" t="s">
        <v>8</v>
      </c>
      <c r="I222" s="2" t="s">
        <v>8</v>
      </c>
    </row>
    <row r="223" spans="1:9" ht="19.95" customHeight="1" x14ac:dyDescent="0.3">
      <c r="A223" t="s">
        <v>105</v>
      </c>
      <c r="B223" t="s">
        <v>100</v>
      </c>
      <c r="C223" s="61">
        <v>43187.520833333336</v>
      </c>
      <c r="D223" t="s">
        <v>57</v>
      </c>
      <c r="H223" s="2" t="s">
        <v>8</v>
      </c>
      <c r="I223" s="2" t="s">
        <v>8</v>
      </c>
    </row>
    <row r="224" spans="1:9" ht="19.95" customHeight="1" x14ac:dyDescent="0.3">
      <c r="A224" t="s">
        <v>105</v>
      </c>
      <c r="B224" t="s">
        <v>100</v>
      </c>
      <c r="C224" s="61">
        <v>43139.708333333336</v>
      </c>
      <c r="D224" t="s">
        <v>57</v>
      </c>
      <c r="H224" s="2" t="s">
        <v>8</v>
      </c>
      <c r="I224" s="2" t="s">
        <v>8</v>
      </c>
    </row>
    <row r="225" spans="1:9" ht="19.95" customHeight="1" x14ac:dyDescent="0.3">
      <c r="A225" t="s">
        <v>105</v>
      </c>
      <c r="B225" t="s">
        <v>100</v>
      </c>
      <c r="C225" s="61">
        <v>43224.583333333336</v>
      </c>
      <c r="D225" t="s">
        <v>57</v>
      </c>
      <c r="H225" s="2" t="s">
        <v>8</v>
      </c>
      <c r="I225" s="2" t="s">
        <v>8</v>
      </c>
    </row>
    <row r="226" spans="1:9" ht="19.95" customHeight="1" x14ac:dyDescent="0.3">
      <c r="A226" t="s">
        <v>105</v>
      </c>
      <c r="B226" t="s">
        <v>105</v>
      </c>
      <c r="C226" s="61">
        <v>43150.625</v>
      </c>
      <c r="D226" t="s">
        <v>109</v>
      </c>
      <c r="H226" s="2" t="s">
        <v>8</v>
      </c>
      <c r="I226" s="2" t="s">
        <v>8</v>
      </c>
    </row>
    <row r="227" spans="1:9" ht="19.95" customHeight="1" x14ac:dyDescent="0.3">
      <c r="A227" t="s">
        <v>105</v>
      </c>
      <c r="B227" t="s">
        <v>100</v>
      </c>
      <c r="C227" s="61">
        <v>43143.541666666664</v>
      </c>
      <c r="D227" t="s">
        <v>57</v>
      </c>
      <c r="H227" s="2">
        <v>43153</v>
      </c>
      <c r="I227" s="2" t="s">
        <v>8</v>
      </c>
    </row>
    <row r="228" spans="1:9" ht="19.95" customHeight="1" x14ac:dyDescent="0.3">
      <c r="A228" t="s">
        <v>105</v>
      </c>
      <c r="B228" t="s">
        <v>100</v>
      </c>
      <c r="C228" s="61">
        <v>43252.666666666664</v>
      </c>
      <c r="D228" t="s">
        <v>57</v>
      </c>
      <c r="H228" s="2" t="s">
        <v>8</v>
      </c>
      <c r="I228" s="2" t="s">
        <v>8</v>
      </c>
    </row>
    <row r="229" spans="1:9" ht="19.95" customHeight="1" x14ac:dyDescent="0.3">
      <c r="A229" t="s">
        <v>105</v>
      </c>
      <c r="B229" t="s">
        <v>100</v>
      </c>
      <c r="C229" s="61">
        <v>43190.479166666664</v>
      </c>
      <c r="D229" t="s">
        <v>57</v>
      </c>
      <c r="H229" s="2">
        <v>43207</v>
      </c>
      <c r="I229" s="2">
        <v>43220</v>
      </c>
    </row>
    <row r="230" spans="1:9" ht="19.95" customHeight="1" x14ac:dyDescent="0.3">
      <c r="A230" t="s">
        <v>105</v>
      </c>
      <c r="B230" t="s">
        <v>100</v>
      </c>
      <c r="C230" s="61">
        <v>43129.583333333336</v>
      </c>
      <c r="D230" t="s">
        <v>57</v>
      </c>
      <c r="H230" s="2" t="s">
        <v>8</v>
      </c>
      <c r="I230" s="2" t="s">
        <v>8</v>
      </c>
    </row>
    <row r="231" spans="1:9" ht="19.95" customHeight="1" x14ac:dyDescent="0.3">
      <c r="A231" t="s">
        <v>105</v>
      </c>
      <c r="B231" t="s">
        <v>100</v>
      </c>
      <c r="C231" s="61">
        <v>43167.708333333336</v>
      </c>
      <c r="D231" t="s">
        <v>57</v>
      </c>
      <c r="H231" s="2" t="s">
        <v>8</v>
      </c>
      <c r="I231" s="2" t="s">
        <v>8</v>
      </c>
    </row>
    <row r="232" spans="1:9" ht="19.95" customHeight="1" x14ac:dyDescent="0.3">
      <c r="A232" t="s">
        <v>105</v>
      </c>
      <c r="B232" t="s">
        <v>100</v>
      </c>
      <c r="C232" s="61">
        <v>43195.333333333336</v>
      </c>
      <c r="D232" t="s">
        <v>57</v>
      </c>
      <c r="H232" s="2" t="s">
        <v>8</v>
      </c>
      <c r="I232" s="2" t="s">
        <v>8</v>
      </c>
    </row>
    <row r="233" spans="1:9" ht="19.95" customHeight="1" x14ac:dyDescent="0.3">
      <c r="A233" t="s">
        <v>105</v>
      </c>
      <c r="B233" t="s">
        <v>100</v>
      </c>
      <c r="C233" s="61">
        <v>43281.375</v>
      </c>
      <c r="D233" t="s">
        <v>57</v>
      </c>
      <c r="H233" s="2" t="s">
        <v>8</v>
      </c>
      <c r="I233" s="2" t="s">
        <v>8</v>
      </c>
    </row>
    <row r="234" spans="1:9" ht="19.95" customHeight="1" x14ac:dyDescent="0.3">
      <c r="A234" t="s">
        <v>105</v>
      </c>
      <c r="B234" t="s">
        <v>100</v>
      </c>
      <c r="C234" s="61">
        <v>43172.75</v>
      </c>
      <c r="D234" t="s">
        <v>57</v>
      </c>
      <c r="H234" s="2" t="s">
        <v>8</v>
      </c>
      <c r="I234" s="2" t="s">
        <v>8</v>
      </c>
    </row>
    <row r="235" spans="1:9" ht="19.95" customHeight="1" x14ac:dyDescent="0.3">
      <c r="A235" t="s">
        <v>105</v>
      </c>
      <c r="B235" t="s">
        <v>100</v>
      </c>
      <c r="C235" s="61">
        <v>43214.354166666664</v>
      </c>
      <c r="D235" t="s">
        <v>57</v>
      </c>
      <c r="H235" s="2" t="s">
        <v>8</v>
      </c>
      <c r="I235" s="2" t="s">
        <v>8</v>
      </c>
    </row>
    <row r="236" spans="1:9" ht="19.95" customHeight="1" x14ac:dyDescent="0.3">
      <c r="A236" t="s">
        <v>105</v>
      </c>
      <c r="B236" t="s">
        <v>100</v>
      </c>
      <c r="C236" s="61">
        <v>43267.333333333336</v>
      </c>
      <c r="D236" t="s">
        <v>57</v>
      </c>
      <c r="H236" s="2" t="s">
        <v>8</v>
      </c>
      <c r="I236" s="2" t="s">
        <v>8</v>
      </c>
    </row>
    <row r="237" spans="1:9" ht="19.95" customHeight="1" x14ac:dyDescent="0.3">
      <c r="A237" t="s">
        <v>105</v>
      </c>
      <c r="B237" t="s">
        <v>105</v>
      </c>
      <c r="C237" s="61">
        <v>43136.666666666664</v>
      </c>
      <c r="D237" t="s">
        <v>109</v>
      </c>
      <c r="H237" s="2" t="s">
        <v>8</v>
      </c>
      <c r="I237" s="2" t="s">
        <v>8</v>
      </c>
    </row>
    <row r="238" spans="1:9" ht="19.95" customHeight="1" x14ac:dyDescent="0.3">
      <c r="A238" t="s">
        <v>105</v>
      </c>
      <c r="B238" t="s">
        <v>100</v>
      </c>
      <c r="C238" s="61">
        <v>43204.625</v>
      </c>
      <c r="D238" t="s">
        <v>57</v>
      </c>
      <c r="H238" s="2" t="s">
        <v>8</v>
      </c>
      <c r="I238" s="2" t="s">
        <v>8</v>
      </c>
    </row>
    <row r="239" spans="1:9" ht="19.95" customHeight="1" x14ac:dyDescent="0.3">
      <c r="A239" t="s">
        <v>105</v>
      </c>
      <c r="B239" t="s">
        <v>100</v>
      </c>
      <c r="C239" s="61">
        <v>43183.375</v>
      </c>
      <c r="D239" t="s">
        <v>57</v>
      </c>
      <c r="H239" s="2" t="s">
        <v>8</v>
      </c>
      <c r="I239" s="2" t="s">
        <v>8</v>
      </c>
    </row>
    <row r="240" spans="1:9" ht="19.95" customHeight="1" x14ac:dyDescent="0.3">
      <c r="A240" t="s">
        <v>105</v>
      </c>
      <c r="B240" t="s">
        <v>100</v>
      </c>
      <c r="C240" s="61">
        <v>43243.354166666664</v>
      </c>
      <c r="D240" t="s">
        <v>57</v>
      </c>
      <c r="H240" s="2" t="s">
        <v>8</v>
      </c>
      <c r="I240" s="2" t="s">
        <v>8</v>
      </c>
    </row>
    <row r="241" spans="1:9" ht="19.95" customHeight="1" x14ac:dyDescent="0.3">
      <c r="A241" t="s">
        <v>105</v>
      </c>
      <c r="B241" t="s">
        <v>100</v>
      </c>
      <c r="C241" s="61">
        <v>43152.541666666664</v>
      </c>
      <c r="D241" t="s">
        <v>57</v>
      </c>
      <c r="H241" s="2" t="s">
        <v>8</v>
      </c>
      <c r="I241" s="2" t="s">
        <v>8</v>
      </c>
    </row>
    <row r="242" spans="1:9" ht="19.95" customHeight="1" x14ac:dyDescent="0.3">
      <c r="A242" t="s">
        <v>105</v>
      </c>
      <c r="B242" t="s">
        <v>100</v>
      </c>
      <c r="C242" s="61">
        <v>43137.416666666664</v>
      </c>
      <c r="D242" t="s">
        <v>57</v>
      </c>
      <c r="H242" s="2" t="s">
        <v>8</v>
      </c>
      <c r="I242" s="2" t="s">
        <v>8</v>
      </c>
    </row>
    <row r="243" spans="1:9" ht="19.95" customHeight="1" x14ac:dyDescent="0.3">
      <c r="A243" t="s">
        <v>105</v>
      </c>
      <c r="B243" t="s">
        <v>100</v>
      </c>
      <c r="C243" s="61">
        <v>43186.333333333336</v>
      </c>
      <c r="D243" t="s">
        <v>57</v>
      </c>
      <c r="H243" s="2" t="s">
        <v>8</v>
      </c>
      <c r="I243" s="2" t="s">
        <v>8</v>
      </c>
    </row>
    <row r="244" spans="1:9" ht="19.95" customHeight="1" x14ac:dyDescent="0.3">
      <c r="A244" t="s">
        <v>105</v>
      </c>
      <c r="B244" t="s">
        <v>100</v>
      </c>
      <c r="C244" s="61">
        <v>43131.708333333336</v>
      </c>
      <c r="D244" t="s">
        <v>57</v>
      </c>
      <c r="H244" s="2" t="s">
        <v>8</v>
      </c>
      <c r="I244" s="2" t="s">
        <v>8</v>
      </c>
    </row>
    <row r="245" spans="1:9" ht="19.95" customHeight="1" x14ac:dyDescent="0.3">
      <c r="A245" t="s">
        <v>105</v>
      </c>
      <c r="B245" t="s">
        <v>100</v>
      </c>
      <c r="C245" s="61">
        <v>43223.5</v>
      </c>
      <c r="D245" t="s">
        <v>57</v>
      </c>
      <c r="H245" s="2" t="s">
        <v>8</v>
      </c>
      <c r="I245" s="2" t="s">
        <v>8</v>
      </c>
    </row>
    <row r="246" spans="1:9" ht="19.95" customHeight="1" x14ac:dyDescent="0.3">
      <c r="A246" t="s">
        <v>106</v>
      </c>
      <c r="B246" t="s">
        <v>106</v>
      </c>
      <c r="C246" s="61">
        <v>43169.395833333336</v>
      </c>
      <c r="D246" t="s">
        <v>109</v>
      </c>
      <c r="H246" s="2" t="s">
        <v>8</v>
      </c>
      <c r="I246" s="2" t="s">
        <v>8</v>
      </c>
    </row>
    <row r="247" spans="1:9" ht="19.95" customHeight="1" x14ac:dyDescent="0.3">
      <c r="A247" t="s">
        <v>106</v>
      </c>
      <c r="B247" t="s">
        <v>100</v>
      </c>
      <c r="C247" s="61">
        <v>43146.666666666664</v>
      </c>
      <c r="D247" t="s">
        <v>57</v>
      </c>
      <c r="H247" s="2" t="s">
        <v>8</v>
      </c>
      <c r="I247" s="2" t="s">
        <v>8</v>
      </c>
    </row>
    <row r="248" spans="1:9" ht="19.95" customHeight="1" x14ac:dyDescent="0.3">
      <c r="A248" t="s">
        <v>106</v>
      </c>
      <c r="B248" t="s">
        <v>101</v>
      </c>
      <c r="C248" s="61">
        <v>43165.71875</v>
      </c>
      <c r="D248" t="s">
        <v>57</v>
      </c>
      <c r="H248" s="2" t="s">
        <v>8</v>
      </c>
      <c r="I248" s="2" t="s">
        <v>8</v>
      </c>
    </row>
    <row r="249" spans="1:9" ht="19.95" customHeight="1" x14ac:dyDescent="0.3">
      <c r="A249" t="s">
        <v>106</v>
      </c>
      <c r="B249" t="s">
        <v>100</v>
      </c>
      <c r="C249" s="61">
        <v>43138.541666666664</v>
      </c>
      <c r="D249" t="s">
        <v>57</v>
      </c>
      <c r="H249" s="2" t="s">
        <v>8</v>
      </c>
      <c r="I249" s="2" t="s">
        <v>8</v>
      </c>
    </row>
    <row r="250" spans="1:9" ht="19.95" customHeight="1" x14ac:dyDescent="0.3">
      <c r="A250" t="s">
        <v>106</v>
      </c>
      <c r="B250" t="s">
        <v>101</v>
      </c>
      <c r="C250" s="61">
        <v>43109.375</v>
      </c>
      <c r="D250" t="s">
        <v>57</v>
      </c>
      <c r="H250" s="2" t="s">
        <v>8</v>
      </c>
      <c r="I250" s="2" t="s">
        <v>8</v>
      </c>
    </row>
    <row r="251" spans="1:9" ht="19.95" customHeight="1" x14ac:dyDescent="0.3">
      <c r="A251" t="s">
        <v>106</v>
      </c>
      <c r="B251" t="s">
        <v>100</v>
      </c>
      <c r="C251" s="61">
        <v>43134.71875</v>
      </c>
      <c r="D251" t="s">
        <v>57</v>
      </c>
      <c r="H251" s="2" t="s">
        <v>8</v>
      </c>
      <c r="I251" s="2" t="s">
        <v>8</v>
      </c>
    </row>
    <row r="252" spans="1:9" ht="19.95" customHeight="1" x14ac:dyDescent="0.3">
      <c r="A252" t="s">
        <v>106</v>
      </c>
      <c r="B252" t="s">
        <v>106</v>
      </c>
      <c r="C252" s="61">
        <v>43129.375</v>
      </c>
      <c r="D252" t="s">
        <v>109</v>
      </c>
      <c r="H252" s="2" t="s">
        <v>8</v>
      </c>
      <c r="I252" s="2" t="s">
        <v>8</v>
      </c>
    </row>
    <row r="253" spans="1:9" ht="19.95" customHeight="1" x14ac:dyDescent="0.3">
      <c r="A253" t="s">
        <v>106</v>
      </c>
      <c r="B253" t="s">
        <v>100</v>
      </c>
      <c r="C253" s="61">
        <v>43159.666666666664</v>
      </c>
      <c r="D253" t="s">
        <v>57</v>
      </c>
      <c r="H253" s="2" t="s">
        <v>8</v>
      </c>
      <c r="I253" s="2" t="s">
        <v>8</v>
      </c>
    </row>
    <row r="254" spans="1:9" ht="19.95" customHeight="1" x14ac:dyDescent="0.3">
      <c r="A254" t="s">
        <v>106</v>
      </c>
      <c r="B254" t="s">
        <v>100</v>
      </c>
      <c r="C254" s="61">
        <v>43138.71875</v>
      </c>
      <c r="D254" t="s">
        <v>57</v>
      </c>
      <c r="H254" s="2" t="s">
        <v>8</v>
      </c>
      <c r="I254" s="2" t="s">
        <v>8</v>
      </c>
    </row>
    <row r="255" spans="1:9" ht="19.95" customHeight="1" x14ac:dyDescent="0.3">
      <c r="A255" t="s">
        <v>106</v>
      </c>
      <c r="B255" t="s">
        <v>100</v>
      </c>
      <c r="C255" s="61">
        <v>43116.71875</v>
      </c>
      <c r="D255" t="s">
        <v>57</v>
      </c>
      <c r="H255" s="2" t="s">
        <v>8</v>
      </c>
      <c r="I255" s="2" t="s">
        <v>8</v>
      </c>
    </row>
    <row r="256" spans="1:9" ht="19.95" customHeight="1" x14ac:dyDescent="0.3">
      <c r="A256" t="s">
        <v>106</v>
      </c>
      <c r="B256" t="s">
        <v>101</v>
      </c>
      <c r="C256" s="61">
        <v>43158.541666666664</v>
      </c>
      <c r="D256" t="s">
        <v>57</v>
      </c>
      <c r="H256" s="2" t="s">
        <v>8</v>
      </c>
      <c r="I256" s="2" t="s">
        <v>8</v>
      </c>
    </row>
    <row r="257" spans="1:9" ht="19.95" customHeight="1" x14ac:dyDescent="0.3">
      <c r="A257" t="s">
        <v>106</v>
      </c>
      <c r="B257" t="s">
        <v>100</v>
      </c>
      <c r="C257" s="61">
        <v>43155.541666666664</v>
      </c>
      <c r="D257" t="s">
        <v>57</v>
      </c>
      <c r="H257" s="2" t="s">
        <v>8</v>
      </c>
      <c r="I257" s="2" t="s">
        <v>8</v>
      </c>
    </row>
    <row r="258" spans="1:9" ht="19.95" customHeight="1" x14ac:dyDescent="0.3">
      <c r="A258" t="s">
        <v>106</v>
      </c>
      <c r="B258" t="s">
        <v>101</v>
      </c>
      <c r="C258" s="61">
        <v>43161.729166666664</v>
      </c>
      <c r="D258" t="s">
        <v>57</v>
      </c>
      <c r="H258" s="2" t="s">
        <v>8</v>
      </c>
      <c r="I258" s="2" t="s">
        <v>8</v>
      </c>
    </row>
    <row r="259" spans="1:9" ht="19.95" customHeight="1" x14ac:dyDescent="0.3">
      <c r="A259" s="3" t="s">
        <v>107</v>
      </c>
      <c r="B259" t="s">
        <v>100</v>
      </c>
      <c r="C259" s="68">
        <v>43273.697916666664</v>
      </c>
      <c r="D259" t="s">
        <v>57</v>
      </c>
      <c r="H259" s="2">
        <v>43279</v>
      </c>
      <c r="I259" s="2">
        <v>43281</v>
      </c>
    </row>
    <row r="260" spans="1:9" ht="19.95" customHeight="1" x14ac:dyDescent="0.3"/>
    <row r="261" spans="1:9" ht="19.95" customHeight="1" x14ac:dyDescent="0.3"/>
    <row r="262" spans="1:9" ht="19.95" customHeight="1" x14ac:dyDescent="0.3"/>
    <row r="263" spans="1:9" ht="19.95" customHeight="1" x14ac:dyDescent="0.3"/>
    <row r="264" spans="1:9" ht="19.95" customHeight="1" x14ac:dyDescent="0.3"/>
    <row r="265" spans="1:9" ht="19.95" customHeight="1" x14ac:dyDescent="0.3"/>
    <row r="266" spans="1:9" ht="19.95" customHeight="1" x14ac:dyDescent="0.3"/>
    <row r="267" spans="1:9" ht="19.95" customHeight="1" x14ac:dyDescent="0.3"/>
    <row r="268" spans="1:9" ht="19.95" customHeight="1" x14ac:dyDescent="0.3"/>
    <row r="269" spans="1:9" ht="19.95" customHeight="1" x14ac:dyDescent="0.3"/>
    <row r="270" spans="1:9" ht="19.95" customHeight="1" x14ac:dyDescent="0.3"/>
    <row r="271" spans="1:9" ht="19.95" customHeight="1" x14ac:dyDescent="0.3"/>
    <row r="272" spans="1:9" ht="19.95" customHeight="1" x14ac:dyDescent="0.3"/>
    <row r="273" ht="19.95" customHeight="1" x14ac:dyDescent="0.3"/>
    <row r="274" ht="19.95" customHeight="1" x14ac:dyDescent="0.3"/>
    <row r="275" ht="19.95" customHeight="1" x14ac:dyDescent="0.3"/>
    <row r="276" ht="19.95" customHeight="1" x14ac:dyDescent="0.3"/>
    <row r="277" ht="19.95" customHeight="1" x14ac:dyDescent="0.3"/>
    <row r="278" ht="19.95" customHeight="1" x14ac:dyDescent="0.3"/>
    <row r="279" ht="19.95" customHeight="1" x14ac:dyDescent="0.3"/>
    <row r="280" ht="19.95" customHeight="1" x14ac:dyDescent="0.3"/>
    <row r="281" ht="19.95" customHeight="1" x14ac:dyDescent="0.3"/>
    <row r="282" ht="19.95" customHeight="1" x14ac:dyDescent="0.3"/>
    <row r="283" ht="19.95" customHeight="1" x14ac:dyDescent="0.3"/>
    <row r="284" ht="19.95" customHeight="1" x14ac:dyDescent="0.3"/>
    <row r="285" ht="19.95" customHeight="1" x14ac:dyDescent="0.3"/>
    <row r="286" ht="19.95" customHeight="1" x14ac:dyDescent="0.3"/>
    <row r="287" ht="19.95" customHeight="1" x14ac:dyDescent="0.3"/>
    <row r="288" ht="19.95" customHeight="1" x14ac:dyDescent="0.3"/>
    <row r="289" ht="19.95" customHeight="1" x14ac:dyDescent="0.3"/>
    <row r="290" ht="19.95" customHeight="1" x14ac:dyDescent="0.3"/>
    <row r="291" ht="19.95" customHeight="1" x14ac:dyDescent="0.3"/>
    <row r="292" ht="19.95" customHeight="1" x14ac:dyDescent="0.3"/>
    <row r="293" ht="19.95" customHeight="1" x14ac:dyDescent="0.3"/>
    <row r="294" ht="19.95" customHeight="1" x14ac:dyDescent="0.3"/>
    <row r="295" ht="19.95" customHeight="1" x14ac:dyDescent="0.3"/>
    <row r="296" ht="19.95" customHeight="1" x14ac:dyDescent="0.3"/>
    <row r="297" ht="19.95" customHeight="1" x14ac:dyDescent="0.3"/>
    <row r="298" ht="19.95" customHeight="1" x14ac:dyDescent="0.3"/>
    <row r="299" ht="19.95" customHeight="1" x14ac:dyDescent="0.3"/>
    <row r="300" ht="19.95" customHeight="1" x14ac:dyDescent="0.3"/>
    <row r="301" ht="19.95" customHeight="1" x14ac:dyDescent="0.3"/>
    <row r="302" ht="19.95" customHeight="1" x14ac:dyDescent="0.3"/>
    <row r="303" ht="19.95" customHeight="1" x14ac:dyDescent="0.3"/>
    <row r="304" ht="19.95" customHeight="1" x14ac:dyDescent="0.3"/>
    <row r="305" ht="19.95" customHeight="1" x14ac:dyDescent="0.3"/>
    <row r="306" ht="19.95" customHeight="1" x14ac:dyDescent="0.3"/>
    <row r="307" ht="19.95" customHeight="1" x14ac:dyDescent="0.3"/>
    <row r="308" ht="19.95" customHeight="1" x14ac:dyDescent="0.3"/>
    <row r="309" ht="19.95" customHeight="1" x14ac:dyDescent="0.3"/>
    <row r="310" ht="19.95" customHeight="1" x14ac:dyDescent="0.3"/>
    <row r="311" ht="19.95" customHeight="1" x14ac:dyDescent="0.3"/>
    <row r="312" ht="19.95" customHeight="1" x14ac:dyDescent="0.3"/>
    <row r="313" ht="19.95" customHeight="1" x14ac:dyDescent="0.3"/>
    <row r="314" ht="19.95" customHeight="1" x14ac:dyDescent="0.3"/>
    <row r="315" ht="19.95" customHeight="1" x14ac:dyDescent="0.3"/>
    <row r="316" ht="19.95" customHeight="1" x14ac:dyDescent="0.3"/>
    <row r="317" ht="19.95" customHeight="1" x14ac:dyDescent="0.3"/>
    <row r="318" ht="19.95" customHeight="1" x14ac:dyDescent="0.3"/>
    <row r="319" ht="19.95" customHeight="1" x14ac:dyDescent="0.3"/>
    <row r="320" ht="19.95" customHeight="1" x14ac:dyDescent="0.3"/>
    <row r="321" ht="19.95" customHeight="1" x14ac:dyDescent="0.3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4"/>
  <sheetViews>
    <sheetView workbookViewId="0">
      <selection activeCell="D11" sqref="D11"/>
    </sheetView>
  </sheetViews>
  <sheetFormatPr baseColWidth="10" defaultRowHeight="14.4" x14ac:dyDescent="0.3"/>
  <cols>
    <col min="1" max="1" width="19.21875" customWidth="1"/>
    <col min="2" max="2" width="18.21875" customWidth="1"/>
    <col min="3" max="4" width="44" customWidth="1"/>
    <col min="5" max="5" width="16.44140625" customWidth="1"/>
    <col min="6" max="7" width="24.6640625" customWidth="1"/>
    <col min="8" max="8" width="42.109375" customWidth="1"/>
    <col min="9" max="9" width="30.21875" customWidth="1"/>
  </cols>
  <sheetData>
    <row r="1" spans="1:9" x14ac:dyDescent="0.3">
      <c r="A1" s="38" t="s">
        <v>0</v>
      </c>
      <c r="B1" s="38" t="s">
        <v>1</v>
      </c>
      <c r="C1" s="38" t="s">
        <v>59</v>
      </c>
      <c r="D1" s="38" t="s">
        <v>2</v>
      </c>
      <c r="E1" s="38" t="s">
        <v>3</v>
      </c>
      <c r="F1" s="38" t="s">
        <v>4</v>
      </c>
      <c r="G1" s="38" t="s">
        <v>5</v>
      </c>
      <c r="H1" s="38" t="s">
        <v>43</v>
      </c>
      <c r="I1" s="38" t="s">
        <v>45</v>
      </c>
    </row>
    <row r="2" spans="1:9" x14ac:dyDescent="0.3">
      <c r="A2" t="s">
        <v>103</v>
      </c>
      <c r="B2" t="s">
        <v>9</v>
      </c>
      <c r="C2" s="61">
        <v>43047.708333333336</v>
      </c>
      <c r="D2" t="s">
        <v>57</v>
      </c>
      <c r="H2" s="2">
        <v>43159</v>
      </c>
      <c r="I2" s="2">
        <v>43159</v>
      </c>
    </row>
    <row r="3" spans="1:9" x14ac:dyDescent="0.3">
      <c r="A3" t="s">
        <v>105</v>
      </c>
      <c r="B3" t="s">
        <v>9</v>
      </c>
      <c r="C3" s="61">
        <v>43043.541666666664</v>
      </c>
      <c r="D3" t="s">
        <v>57</v>
      </c>
      <c r="H3" s="2">
        <v>43152</v>
      </c>
      <c r="I3" s="2">
        <v>43159</v>
      </c>
    </row>
    <row r="4" spans="1:9" x14ac:dyDescent="0.3">
      <c r="A4" t="s">
        <v>105</v>
      </c>
      <c r="B4" t="s">
        <v>105</v>
      </c>
      <c r="C4" s="61">
        <v>43081.6875</v>
      </c>
      <c r="D4" t="s">
        <v>109</v>
      </c>
      <c r="H4" s="2">
        <v>43152</v>
      </c>
      <c r="I4" s="2">
        <v>43159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T62"/>
  <sheetViews>
    <sheetView topLeftCell="A37" workbookViewId="0">
      <selection activeCell="R6" sqref="R6"/>
    </sheetView>
  </sheetViews>
  <sheetFormatPr baseColWidth="10" defaultRowHeight="14.4" x14ac:dyDescent="0.3"/>
  <cols>
    <col min="1" max="1" width="12.21875" customWidth="1"/>
    <col min="2" max="2" width="11.44140625" customWidth="1"/>
    <col min="3" max="3" width="13.33203125" customWidth="1"/>
    <col min="4" max="15" width="6.77734375" customWidth="1"/>
    <col min="17" max="17" width="16.109375" customWidth="1"/>
    <col min="18" max="18" width="12.77734375" customWidth="1"/>
  </cols>
  <sheetData>
    <row r="1" spans="1:20" x14ac:dyDescent="0.3">
      <c r="D1" s="9" t="s">
        <v>30</v>
      </c>
      <c r="E1" s="9" t="s">
        <v>56</v>
      </c>
      <c r="F1" s="9" t="s">
        <v>31</v>
      </c>
      <c r="G1" s="9" t="s">
        <v>32</v>
      </c>
      <c r="H1" s="9" t="s">
        <v>33</v>
      </c>
      <c r="I1" s="9" t="s">
        <v>34</v>
      </c>
      <c r="J1" s="9" t="s">
        <v>35</v>
      </c>
      <c r="K1" s="9" t="s">
        <v>36</v>
      </c>
      <c r="L1" s="9" t="s">
        <v>37</v>
      </c>
      <c r="M1" s="9" t="s">
        <v>38</v>
      </c>
      <c r="N1" s="9" t="s">
        <v>39</v>
      </c>
      <c r="O1" s="9" t="s">
        <v>40</v>
      </c>
      <c r="P1" s="9" t="s">
        <v>44</v>
      </c>
      <c r="Q1" s="55" t="s">
        <v>58</v>
      </c>
      <c r="R1" s="4"/>
      <c r="S1" s="9" t="s">
        <v>55</v>
      </c>
      <c r="T1" s="3" t="s">
        <v>73</v>
      </c>
    </row>
    <row r="2" spans="1:20" x14ac:dyDescent="0.3">
      <c r="T2" s="3" t="s">
        <v>61</v>
      </c>
    </row>
    <row r="3" spans="1:20" x14ac:dyDescent="0.3">
      <c r="A3" s="1" t="s">
        <v>29</v>
      </c>
      <c r="B3" s="5" t="s">
        <v>102</v>
      </c>
      <c r="C3" s="1"/>
      <c r="D3" s="5">
        <f>SUMPRODUCT(('rdv 2018'!A1:A2994="Jean DUBOIS")*('rdv 2018'!C1:C2994&gt;=DATEVALUE("01-01-2018"))*('rdv 2018'!C1:C2994&lt;DATEVALUE("01-02-2018")))</f>
        <v>13</v>
      </c>
      <c r="E3" s="5">
        <f>SUMPRODUCT(('rdv 2018'!A1:A2994="Jean DUBOIS")*('rdv 2018'!C1:C2994&gt;=DATEVALUE("01-02-2018"))*('rdv 2018'!C1:C2994&lt;DATEVALUE("01-03-2018")))</f>
        <v>12</v>
      </c>
      <c r="F3" s="5">
        <f>SUMPRODUCT(('rdv 2018'!A1:A2994="Jean DUBOIS")*('rdv 2018'!C1:C2994&gt;=DATEVALUE("01-03-2018"))*('rdv 2018'!C1:C2994&lt;DATEVALUE("01-04-2018")))</f>
        <v>12</v>
      </c>
      <c r="G3" s="5">
        <f>SUMPRODUCT(('rdv 2018'!A1:A2994="Jean DUBOIS")*('rdv 2018'!C1:C2994&gt;=DATEVALUE("01-04-2018"))*('rdv 2018'!C1:C2994&lt;DATEVALUE("01-05-2018")))</f>
        <v>7</v>
      </c>
      <c r="H3" s="5">
        <f>SUMPRODUCT(('rdv 2018'!A1:A2994="Jean DUBOIS")*('rdv 2018'!C1:C2994&gt;=DATEVALUE("01-05-2018"))*('rdv 2018'!C1:C2994&lt;DATEVALUE("01-06-2018")))</f>
        <v>6</v>
      </c>
      <c r="I3" s="5">
        <f>SUMPRODUCT(('rdv 2018'!A1:A2994="Jean DUBOIS")*('rdv 2018'!C1:C2994&gt;=DATEVALUE("01-06-2018"))*('rdv 2018'!C1:C2994&lt;DATEVALUE("01-07-2018")))</f>
        <v>8</v>
      </c>
      <c r="J3" s="5">
        <f>SUMPRODUCT(('rdv 2018'!A1:A2994="Jean DUBOIS")*('rdv 2018'!C1:C2994&gt;=DATEVALUE("01-07-2018"))*('rdv 2018'!C1:C2994&lt;DATEVALUE("01-08-2018")))</f>
        <v>0</v>
      </c>
      <c r="K3" s="5">
        <f>SUMPRODUCT(('rdv 2018'!A1:A2994="Jean DUBOIS")*('rdv 2018'!C1:C2994&gt;=DATEVALUE("01-08-2018"))*('rdv 2018'!C1:C2994&lt;=DATEVALUE("01-09-2018")))</f>
        <v>0</v>
      </c>
      <c r="L3" s="5">
        <f>SUMPRODUCT(('rdv 2018'!A1:A2994="Jean DUBOIS")*('rdv 2018'!C1:C2994&gt;=DATEVALUE("01-09-2018"))*('rdv 2018'!C1:C2994&lt;=DATEVALUE("01-10-2018")))</f>
        <v>0</v>
      </c>
      <c r="M3" s="5">
        <f>SUMPRODUCT(('rdv 2018'!A1:A2994="Jean DUBOIS")*('rdv 2018'!C1:C2994&gt;=DATEVALUE("01-10-2018"))*('rdv 2018'!C1:C2994&lt;=DATEVALUE("01-11-2018")))</f>
        <v>0</v>
      </c>
      <c r="N3" s="5">
        <f>SUMPRODUCT(('rdv 2018'!A1:A2994="Jean DUBOIS")*('rdv 2018'!C1:C2994&gt;=DATEVALUE("01-11-2018"))*('rdv 2018'!C1:C2994&lt;DATEVALUE("01-12-2018")))</f>
        <v>0</v>
      </c>
      <c r="O3" s="5">
        <f>SUMPRODUCT(('rdv 2018'!A1:A2994="Jean DUBOIS")*('rdv 2018'!C1:C2994&gt;=DATEVALUE("01-12-2018"))*('rdv 2018'!C1:C2994&lt;DATEVALUE("01-01-2018")))</f>
        <v>0</v>
      </c>
      <c r="P3" s="5">
        <f t="shared" ref="P3:P8" si="0">SUM(D3:O3)</f>
        <v>58</v>
      </c>
      <c r="Q3" s="3"/>
    </row>
    <row r="4" spans="1:20" x14ac:dyDescent="0.3">
      <c r="C4" s="3" t="s">
        <v>57</v>
      </c>
      <c r="D4" s="3">
        <f>COUNTIFS('rdv 2018'!A1:A1994,"Jean DUBOIS",'rdv 2018'!D1:D1994,"*Telepro R1*",'rdv 2018'!C1:C1994,"&gt;01-01-2018",'rdv 2018'!C1:C1994,"&lt;01-02-2018")</f>
        <v>10</v>
      </c>
      <c r="E4" s="3">
        <f>COUNTIFS('rdv 2018'!A1:A1994,"Jean DUBOIS",'rdv 2018'!D1:D1994,"*Telepro R1*",'rdv 2018'!C1:C1994,"&gt;=01-02-2018",'rdv 2018'!C1:C1994,"&lt;01-03-2018")</f>
        <v>9</v>
      </c>
      <c r="F4" s="3">
        <f>COUNTIFS('rdv 2018'!A1:A1994,"Jean DUBOIS",'rdv 2018'!D1:D1994,"*Telepro R1*",'rdv 2018'!C1:C1994,"&gt;=01-03-2018",'rdv 2018'!C1:C1994,"&lt;01-04-2018")</f>
        <v>12</v>
      </c>
      <c r="G4" s="3">
        <f>COUNTIFS('rdv 2018'!A1:A1994,"Jean DUBOIS",'rdv 2018'!D1:D1994,"*Telepro R1*",'rdv 2018'!C1:C1994,"&gt;=01-04-2018",'rdv 2018'!C1:C1994,"&lt;01-5-2018")</f>
        <v>6</v>
      </c>
      <c r="H4" s="3">
        <f>COUNTIFS('rdv 2018'!A1:A1994,"Jean DUBOIS",'rdv 2018'!D1:D1994,"*Telepro R1*",'rdv 2018'!C1:C1994,"&gt;=01-05-2018",'rdv 2018'!C1:C1994,"&lt;01-06-2018")</f>
        <v>3</v>
      </c>
      <c r="I4" s="3">
        <f>COUNTIFS('rdv 2018'!A1:A1994,"Jean DUBOIS",'rdv 2018'!D1:D1994,"*Telepro R1*",'rdv 2018'!C1:C1994,"&gt;=01-06-2018",'rdv 2018'!C1:C1994,"&lt;01-07-2018")</f>
        <v>8</v>
      </c>
      <c r="J4" s="3">
        <f>COUNTIFS('rdv 2018'!A1:A1994,"Jean DUBOIS",'rdv 2018'!D1:D1994,"*Telepro R1*",'rdv 2018'!C1:C1994,"&gt;=01-07-2018",'rdv 2018'!C1:C1994,"&lt;01-08-2018")</f>
        <v>0</v>
      </c>
      <c r="K4" s="3">
        <f>COUNTIFS('rdv 2018'!A1:A1994,"Jean DUBOIS",'rdv 2018'!D1:D1994,"*Telepro R1*",'rdv 2018'!C1:C1994,"&gt;=01-08-2018",'rdv 2018'!C1:C1994,"&lt;01-09-2018")</f>
        <v>0</v>
      </c>
      <c r="L4" s="3">
        <f>COUNTIFS('rdv 2018'!A1:A1994,"Jean DUBOIS",'rdv 2018'!D1:D1994,"*Telepro R1*",'rdv 2018'!C1:C1994,"&gt;=01-09-2018",'rdv 2018'!C1:C1994,"&lt;01-10-2018")</f>
        <v>0</v>
      </c>
      <c r="M4" s="3">
        <f>COUNTIFS('rdv 2018'!A1:A1994,"Jean DUBOIS",'rdv 2018'!D1:D1994,"*Telepro R1*",'rdv 2018'!C1:C1994,"&gt;=01-10-2018",'rdv 2018'!C1:C1994,"&lt;01-11-2018")</f>
        <v>0</v>
      </c>
      <c r="N4" s="3">
        <f>COUNTIFS('rdv 2018'!A1:A1994,"Jean DUBOIS",'rdv 2018'!D1:D1994,"*Telepro R1*",'rdv 2018'!C1:C1994,"&gt;=01-11-2018",'rdv 2018'!C1:C1994,"&lt;01-12-2018")</f>
        <v>0</v>
      </c>
      <c r="O4" s="3">
        <f>COUNTIFS('rdv 2018'!A1:A1994,"Jean DUBOIS",'rdv 2018'!D1:D1994,"*Telepro R1*",'rdv 2018'!C1:C1994,"&gt;=01-12-2018",'rdv 2018'!C1:C1994,"&lt;01-01-2018")</f>
        <v>0</v>
      </c>
      <c r="P4">
        <f t="shared" si="0"/>
        <v>48</v>
      </c>
    </row>
    <row r="5" spans="1:20" x14ac:dyDescent="0.3">
      <c r="C5" s="3" t="s">
        <v>28</v>
      </c>
      <c r="D5" s="3">
        <f>COUNTIFS('rdv 2018'!A1:A1994,"Jean DUBOIS",'rdv 2018'!D1:D1994,"&lt;&gt;*Telepro*",'rdv 2018'!C1:C1994,"&gt;01-01-2018",'rdv 2018'!C1:C1994,"&lt;01-02-2018")</f>
        <v>3</v>
      </c>
      <c r="E5" s="3">
        <f>COUNTIFS('rdv 2018'!A1:A1994,"Jean DUBOIS",'rdv 2018'!D1:D1994,"&lt;&gt;*Telepro*",'rdv 2018'!C1:C1994,"&gt;=01-02-2018",'rdv 2018'!C1:C1994,"&lt;01-03-2018")</f>
        <v>3</v>
      </c>
      <c r="F5" s="3">
        <f>COUNTIFS('rdv 2018'!A1:A1994,"Jean DUBOIS",'rdv 2018'!D1:D1994,"&lt;&gt;*Telepro*",'rdv 2018'!C1:C1994,"&gt;=01-03-2018",'rdv 2018'!C1:C1994,"&lt;01-04-2018")</f>
        <v>0</v>
      </c>
      <c r="G5" s="3">
        <f>COUNTIFS('rdv 2018'!A1:A1994,"Jean DUBOIS",'rdv 2018'!D1:D1994,"&lt;&gt;*Telepro*",'rdv 2018'!C1:C1994,"&gt;=01-04-2018",'rdv 2018'!C1:C1994,"&lt;01-05-2018")</f>
        <v>1</v>
      </c>
      <c r="H5" s="3">
        <f>COUNTIFS('rdv 2018'!A1:A1994,"Jean DUBOIS",'rdv 2018'!D1:D1994,"&lt;&gt;*Telepro*",'rdv 2018'!C1:C1994,"&gt;=01-05-2018",'rdv 2018'!C1:C1994,"&lt;01-06-2018")</f>
        <v>3</v>
      </c>
      <c r="I5" s="3">
        <f>COUNTIFS('rdv 2018'!A1:A1994,"Jean DUBOIS",'rdv 2018'!D1:D1994,"&lt;&gt;*Telepro*",'rdv 2018'!C1:C1994,"&gt;=01-06-2018",'rdv 2018'!C1:C1994,"&lt;01-07-2018")</f>
        <v>0</v>
      </c>
      <c r="J5" s="3">
        <f>COUNTIFS('rdv 2018'!A1:A1994,"Jean DUBOIS",'rdv 2018'!D1:D1994,"&lt;&gt;*Telepro*",'rdv 2018'!C1:C1994,"&gt;=01-07-2018",'rdv 2018'!C1:C1994,"&lt;01-08-2018")</f>
        <v>0</v>
      </c>
      <c r="K5" s="3">
        <f>COUNTIFS('rdv 2018'!A1:A1994,"Jean DUBOIS",'rdv 2018'!D1:D1994,"&lt;&gt;*Telepro*",'rdv 2018'!C1:C1994,"&gt;01-08-2018",'rdv 2018'!C1:C1994,"&lt;01-09-2018")</f>
        <v>0</v>
      </c>
      <c r="L5" s="3">
        <f>COUNTIFS('rdv 2018'!A1:A1994,"Jean DUBOIS",'rdv 2018'!D1:D1994,"&lt;&gt;*Telepro*",'rdv 2018'!C1:C1994,"&gt;01-09-2018",'rdv 2018'!C1:C1994,"&lt;01-10-2018")</f>
        <v>0</v>
      </c>
      <c r="M5" s="3">
        <f>COUNTIFS('rdv 2018'!A1:A1994,"Jean DUBOIS",'rdv 2018'!D1:D1994,"&lt;&gt;*Telepro*",'rdv 2018'!C1:C1994,"&gt;01-10-2018",'rdv 2018'!C1:C1994,"&lt;01-11-2018")</f>
        <v>0</v>
      </c>
      <c r="N5" s="3">
        <f>COUNTIFS('rdv 2018'!A1:A1994,"Jean DUBOIS",'rdv 2018'!D1:D1994,"&lt;&gt;*Telepro*",'rdv 2018'!C1:C1994,"&gt;=01-11-2018",'rdv 2018'!C1:C1994,"&lt;01-12-2018")</f>
        <v>0</v>
      </c>
      <c r="O5" s="3">
        <f>COUNTIFS('rdv 2018'!A1:A1994,"Jean DUBOIS",'rdv 2018'!D1:D1994,"&lt;&gt;*Telepro*",'rdv 2018'!C1:C1994,"&gt;=01-12-2018",'rdv 2018'!C1:C1994,"&lt;01-01-2018")</f>
        <v>0</v>
      </c>
      <c r="P5">
        <f t="shared" si="0"/>
        <v>10</v>
      </c>
    </row>
    <row r="6" spans="1:20" x14ac:dyDescent="0.3">
      <c r="C6" s="10" t="s">
        <v>47</v>
      </c>
      <c r="D6" s="11">
        <f ca="1">SUMPRODUCT(COUNTIFS(INDIRECT("'"&amp;feuilles&amp;"'!A2:A2000"),$B$3,INDIRECT("'"&amp;feuilles&amp;"'!I2:I2000"),"&lt;01-02-2018"))</f>
        <v>1</v>
      </c>
      <c r="E6" s="11">
        <f ca="1">SUMPRODUCT(COUNTIFS(INDIRECT("'"&amp;feuilles&amp;"'!A2:A2000"),$B$3,INDIRECT("'"&amp;feuilles&amp;"'!I2:I2000"),"&gt;01-02-2018",INDIRECT("'"&amp;feuilles&amp;"'!I2:I2000"),"&lt;01-03-2018"))</f>
        <v>0</v>
      </c>
      <c r="F6" s="11">
        <f ca="1">SUMPRODUCT(COUNTIFS(INDIRECT("'"&amp;feuilles&amp;"'!A2:A2000"),$B$3,INDIRECT("'"&amp;feuilles&amp;"'!I2:I2000"),"&gt;01-03-2018",INDIRECT("'"&amp;feuilles&amp;"'!I2:I2000"),"&lt;01-04-2018"))</f>
        <v>0</v>
      </c>
      <c r="G6" s="11">
        <f ca="1">SUMPRODUCT(COUNTIFS(INDIRECT("'"&amp;feuilles&amp;"'!A2:A2000"),$B$3,INDIRECT("'"&amp;feuilles&amp;"'!I2:I2000"),"&gt;01-04-2018",INDIRECT("'"&amp;feuilles&amp;"'!I2:I2000"),"&lt;01-05-2018"))</f>
        <v>0</v>
      </c>
      <c r="H6" s="11">
        <f ca="1">SUMPRODUCT(COUNTIFS(INDIRECT("'"&amp;feuilles&amp;"'!A2:A2000"),$B$3,INDIRECT("'"&amp;feuilles&amp;"'!I2:I2000"),"&gt;01-05-2018",INDIRECT("'"&amp;feuilles&amp;"'!I2:I2000"),"&lt;01-06-2018"))</f>
        <v>2</v>
      </c>
      <c r="I6" s="11">
        <f ca="1">SUMPRODUCT(COUNTIFS(INDIRECT("'"&amp;feuilles&amp;"'!A2:A2000"),$B$3,INDIRECT("'"&amp;feuilles&amp;"'!I2:I2000"),"&gt;01-06-2018",INDIRECT("'"&amp;feuilles&amp;"'!I2:I2000"),"&lt;01-07-2018"))</f>
        <v>1</v>
      </c>
      <c r="J6" s="11">
        <f ca="1">SUMPRODUCT(COUNTIFS(INDIRECT("'"&amp;feuilles&amp;"'!A2:A2000"),$B$3,INDIRECT("'"&amp;feuilles&amp;"'!I2:I2000"),"&gt;01-07-2018",INDIRECT("'"&amp;feuilles&amp;"'!I2:I2000"),"&lt;01-08-2018"))</f>
        <v>0</v>
      </c>
      <c r="K6" s="11">
        <f ca="1">SUMPRODUCT(COUNTIFS(INDIRECT("'"&amp;feuilles&amp;"'!A2:A2000"),$B$3,INDIRECT("'"&amp;feuilles&amp;"'!I2:I2000"),"&gt;01-08-2018",INDIRECT("'"&amp;feuilles&amp;"'!I2:I2000"),"&lt;01-09-2018"))</f>
        <v>0</v>
      </c>
      <c r="L6" s="11">
        <f ca="1">SUMPRODUCT(COUNTIFS(INDIRECT("'"&amp;feuilles&amp;"'!A2:A2000"),$B$3,INDIRECT("'"&amp;feuilles&amp;"'!I2:I2000"),"&gt;01-09-2018",INDIRECT("'"&amp;feuilles&amp;"'!I2:I2000"),"&lt;01-10-2018"))</f>
        <v>0</v>
      </c>
      <c r="M6" s="11">
        <f ca="1">SUMPRODUCT(COUNTIFS(INDIRECT("'"&amp;feuilles&amp;"'!A2:A2000"),$B$3,INDIRECT("'"&amp;feuilles&amp;"'!I2:I2000"),"&gt;01-10-2018",INDIRECT("'"&amp;feuilles&amp;"'!I2:I2000"),"&lt;01-11-2018"))</f>
        <v>0</v>
      </c>
      <c r="N6" s="11">
        <f ca="1">SUMPRODUCT(COUNTIFS(INDIRECT("'"&amp;feuilles&amp;"'!A2:A2000"),$B$3,INDIRECT("'"&amp;feuilles&amp;"'!I2:I2000"),"&gt;01-11-2018",INDIRECT("'"&amp;feuilles&amp;"'!I2:I2000"),"&lt;01-12-2018"))</f>
        <v>0</v>
      </c>
      <c r="O6" s="11">
        <f ca="1">SUMPRODUCT(COUNTIFS(INDIRECT("'"&amp;feuilles&amp;"'!A2:A2000"),$B$3,INDIRECT("'"&amp;feuilles&amp;"'!I2:I2000"),"&gt;01-12-2018",INDIRECT("'"&amp;feuilles&amp;"'!I2:I2000"),"&lt;01-01-2018"))</f>
        <v>0</v>
      </c>
      <c r="P6" s="11">
        <f t="shared" ca="1" si="0"/>
        <v>4</v>
      </c>
      <c r="Q6" s="56">
        <f ca="1">SUM(Q7:Q8)</f>
        <v>5</v>
      </c>
    </row>
    <row r="7" spans="1:20" x14ac:dyDescent="0.3">
      <c r="C7" s="3" t="s">
        <v>48</v>
      </c>
      <c r="D7" s="12">
        <f ca="1">SUMPRODUCT(COUNTIFS(INDIRECT("'"&amp;feuilles&amp;"'!A2:A2000"),$B$3,INDIRECT("'"&amp;feuilles&amp;"'!I2:I2000"),"&lt;01-02-2018",INDIRECT("'"&amp;feuilles&amp;"'!D2:D2000"),"*Telepro R1*"))</f>
        <v>1</v>
      </c>
      <c r="E7" s="39">
        <f ca="1">SUMPRODUCT(COUNTIFS(INDIRECT("'"&amp;feuilles&amp;"'!A2:A2000"),$B$3,INDIRECT("'"&amp;feuilles&amp;"'!I2:I2000"),"&gt;01-02-2018",INDIRECT("'"&amp;feuilles&amp;"'!I2:I2000"),"&lt;01-03-2018",INDIRECT("'"&amp;feuilles&amp;"'!D2:D2000"),"*Telepro R1*"))</f>
        <v>0</v>
      </c>
      <c r="F7" s="39">
        <f ca="1">SUMPRODUCT(COUNTIFS(INDIRECT("'"&amp;feuilles&amp;"'!A2:A2000"),$B$3,INDIRECT("'"&amp;feuilles&amp;"'!I2:I2000"),"&gt;01-03-2018",INDIRECT("'"&amp;feuilles&amp;"'!I2:I2000"),"&lt;01-04-2018",INDIRECT("'"&amp;feuilles&amp;"'!D2:D2000"),"*Telepro R1*"))</f>
        <v>0</v>
      </c>
      <c r="G7" s="39">
        <f ca="1">SUMPRODUCT(COUNTIFS(INDIRECT("'"&amp;feuilles&amp;"'!A2:A2000"),$B$3,INDIRECT("'"&amp;feuilles&amp;"'!I2:I2000"),"&gt;01-04-2018",INDIRECT("'"&amp;feuilles&amp;"'!I2:I2000"),"&lt;01-05-2018",INDIRECT("'"&amp;feuilles&amp;"'!D2:D2000"),"*Telepro R1*"))</f>
        <v>0</v>
      </c>
      <c r="H7" s="39">
        <f ca="1">SUMPRODUCT(COUNTIFS(INDIRECT("'"&amp;feuilles&amp;"'!A2:A2000"),$B$3,INDIRECT("'"&amp;feuilles&amp;"'!I2:I2000"),"&gt;01-05-2018",INDIRECT("'"&amp;feuilles&amp;"'!I2:I2000"),"&lt;01-06-2018",INDIRECT("'"&amp;feuilles&amp;"'!D2:D2000"),"*Telepro R1*"))</f>
        <v>1</v>
      </c>
      <c r="I7" s="39">
        <f ca="1">SUMPRODUCT(COUNTIFS(INDIRECT("'"&amp;feuilles&amp;"'!A2:A2000"),$B$3,INDIRECT("'"&amp;feuilles&amp;"'!I2:I2000"),"&gt;01-06-2018",INDIRECT("'"&amp;feuilles&amp;"'!I2:I2000"),"&lt;01-07-2018",INDIRECT("'"&amp;feuilles&amp;"'!D2:D2000"),"*Telepro R1*"))</f>
        <v>1</v>
      </c>
      <c r="J7" s="39">
        <f ca="1">SUMPRODUCT(COUNTIFS(INDIRECT("'"&amp;feuilles&amp;"'!A2:A2000"),$B$3,INDIRECT("'"&amp;feuilles&amp;"'!I2:I2000"),"&gt;01-07-2018",INDIRECT("'"&amp;feuilles&amp;"'!I2:I2000"),"&lt;01-08-2018",INDIRECT("'"&amp;feuilles&amp;"'!D2:D2000"),"*Telepro R1*"))</f>
        <v>0</v>
      </c>
      <c r="K7" s="39">
        <f ca="1">SUMPRODUCT(COUNTIFS(INDIRECT("'"&amp;feuilles&amp;"'!A2:A2000"),$B$3,INDIRECT("'"&amp;feuilles&amp;"'!I2:I2000"),"&gt;01-08-2018",INDIRECT("'"&amp;feuilles&amp;"'!I2:I2000"),"&lt;01-09-2018",INDIRECT("'"&amp;feuilles&amp;"'!D2:D2000"),"*Telepro R1*"))</f>
        <v>0</v>
      </c>
      <c r="L7" s="39">
        <f ca="1">SUMPRODUCT(COUNTIFS(INDIRECT("'"&amp;feuilles&amp;"'!A2:A2000"),$B$3,INDIRECT("'"&amp;feuilles&amp;"'!I2:I2000"),"&gt;01-09-2018",INDIRECT("'"&amp;feuilles&amp;"'!I2:I2000"),"&lt;01-10-2018",INDIRECT("'"&amp;feuilles&amp;"'!D2:D2000"),"*Telepro R1*"))</f>
        <v>0</v>
      </c>
      <c r="M7" s="39">
        <f ca="1">SUMPRODUCT(COUNTIFS(INDIRECT("'"&amp;feuilles&amp;"'!A2:A2000"),$B$3,INDIRECT("'"&amp;feuilles&amp;"'!I2:I2000"),"&gt;01-10-2018",INDIRECT("'"&amp;feuilles&amp;"'!I2:I2000"),"&lt;01-11-2018",INDIRECT("'"&amp;feuilles&amp;"'!D2:D2000"),"*Telepro R1*"))</f>
        <v>0</v>
      </c>
      <c r="N7" s="39">
        <f ca="1">SUMPRODUCT(COUNTIFS(INDIRECT("'"&amp;feuilles&amp;"'!A2:A2000"),$B$3,INDIRECT("'"&amp;feuilles&amp;"'!I2:I2000"),"&gt;01-11-2018",INDIRECT("'"&amp;feuilles&amp;"'!I2:I2000"),"&lt;01-12-2018",INDIRECT("'"&amp;feuilles&amp;"'!D2:D2000"),"*Telepro R1*"))</f>
        <v>0</v>
      </c>
      <c r="O7" s="39">
        <f ca="1">SUMPRODUCT(COUNTIFS(INDIRECT("'"&amp;feuilles&amp;"'!A2:A2000"),$B$3,INDIRECT("'"&amp;feuilles&amp;"'!I2:I2000"),"&gt;01-12-2018",INDIRECT("'"&amp;feuilles&amp;"'!I2:I2000"),"&lt;01-01-2018",INDIRECT("'"&amp;feuilles&amp;"'!D2:D2000"),"*Telepro R1*"))</f>
        <v>0</v>
      </c>
      <c r="P7" s="12">
        <f t="shared" ca="1" si="0"/>
        <v>3</v>
      </c>
      <c r="Q7" s="12">
        <f ca="1">SUMPRODUCT(COUNTIFS(INDIRECT("'"&amp;feuilles&amp;"'!A2:A2000"),$B$3,INDIRECT("'"&amp;feuilles&amp;"'!H2:H2000"),"&gt;01-01-2018",INDIRECT("'"&amp;feuilles&amp;"'!H2:H2000"),"&lt;01-01-2019",INDIRECT("'"&amp;feuilles&amp;"'!D2:D2000"),"*Telepro R1*"))</f>
        <v>3</v>
      </c>
    </row>
    <row r="8" spans="1:20" x14ac:dyDescent="0.3">
      <c r="C8" s="3" t="s">
        <v>49</v>
      </c>
      <c r="D8" s="12">
        <f ca="1">SUMPRODUCT(COUNTIFS(INDIRECT("'"&amp;feuilles&amp;"'!A2:A2000"),$B$3,INDIRECT("'"&amp;feuilles&amp;"'!I2:I2000"),"&lt;01-02-2018",INDIRECT("'"&amp;feuilles&amp;"'!D2:D2000"),"&lt;&gt;*Telepro R1*"))</f>
        <v>0</v>
      </c>
      <c r="E8" s="39">
        <f ca="1">SUMPRODUCT(COUNTIFS(INDIRECT("'"&amp;feuilles&amp;"'!A2:A2000"),$B$3,INDIRECT("'"&amp;feuilles&amp;"'!I2:I2000"),"&gt;01-02-2018",INDIRECT("'"&amp;feuilles&amp;"'!I2:I2000"),"&lt;01-03-2018",INDIRECT("'"&amp;feuilles&amp;"'!D2:D2000"),"&lt;&gt;*Telepro R1*"))</f>
        <v>0</v>
      </c>
      <c r="F8" s="39">
        <f ca="1">SUMPRODUCT(COUNTIFS(INDIRECT("'"&amp;feuilles&amp;"'!A2:A2000"),$B$3,INDIRECT("'"&amp;feuilles&amp;"'!I2:I2000"),"&gt;01-03-2018",INDIRECT("'"&amp;feuilles&amp;"'!I2:I2000"),"&lt;01-04-2018",INDIRECT("'"&amp;feuilles&amp;"'!D2:D2000"),"&lt;&gt;*Telepro R1*"))</f>
        <v>0</v>
      </c>
      <c r="G8" s="39">
        <f ca="1">SUMPRODUCT(COUNTIFS(INDIRECT("'"&amp;feuilles&amp;"'!A2:A2000"),$B$3,INDIRECT("'"&amp;feuilles&amp;"'!I2:I2000"),"&gt;01-04-2018",INDIRECT("'"&amp;feuilles&amp;"'!I2:I2000"),"&lt;01-05-2018",INDIRECT("'"&amp;feuilles&amp;"'!D2:D2000"),"&lt;&gt;*Telepro R1*"))</f>
        <v>0</v>
      </c>
      <c r="H8" s="39">
        <f ca="1">SUMPRODUCT(COUNTIFS(INDIRECT("'"&amp;feuilles&amp;"'!A2:A2000"),$B$3,INDIRECT("'"&amp;feuilles&amp;"'!I2:I2000"),"&gt;01-05-2018",INDIRECT("'"&amp;feuilles&amp;"'!I2:I2000"),"&lt;01-06-2018",INDIRECT("'"&amp;feuilles&amp;"'!D2:D2000"),"&lt;&gt;*Telepro R1*"))</f>
        <v>1</v>
      </c>
      <c r="I8" s="39">
        <f ca="1">SUMPRODUCT(COUNTIFS(INDIRECT("'"&amp;feuilles&amp;"'!A2:A2000"),$B$3,INDIRECT("'"&amp;feuilles&amp;"'!I2:I2000"),"&gt;01-06-2018",INDIRECT("'"&amp;feuilles&amp;"'!I2:I2000"),"&lt;01-07-2018",INDIRECT("'"&amp;feuilles&amp;"'!D2:D2000"),"&lt;&gt;*Telepro R1*"))</f>
        <v>0</v>
      </c>
      <c r="J8" s="39">
        <f ca="1">SUMPRODUCT(COUNTIFS(INDIRECT("'"&amp;feuilles&amp;"'!A2:A2000"),$B$3,INDIRECT("'"&amp;feuilles&amp;"'!I2:I2000"),"&gt;01-07-2018",INDIRECT("'"&amp;feuilles&amp;"'!I2:I2000"),"&lt;01-08-2018",INDIRECT("'"&amp;feuilles&amp;"'!D2:D2000"),"&lt;&gt;*Telepro R1*"))</f>
        <v>0</v>
      </c>
      <c r="K8" s="39">
        <f ca="1">SUMPRODUCT(COUNTIFS(INDIRECT("'"&amp;feuilles&amp;"'!A2:A2000"),$B$3,INDIRECT("'"&amp;feuilles&amp;"'!I2:I2000"),"&gt;01-08-2018",INDIRECT("'"&amp;feuilles&amp;"'!I2:I2000"),"&lt;01-09-2018",INDIRECT("'"&amp;feuilles&amp;"'!D2:D2000"),"&lt;&gt;*Telepro R1*"))</f>
        <v>0</v>
      </c>
      <c r="L8" s="39">
        <f ca="1">SUMPRODUCT(COUNTIFS(INDIRECT("'"&amp;feuilles&amp;"'!A2:A2000"),$B$3,INDIRECT("'"&amp;feuilles&amp;"'!I2:I2000"),"&gt;01-09-2018",INDIRECT("'"&amp;feuilles&amp;"'!I2:I2000"),"&lt;01-10-2018",INDIRECT("'"&amp;feuilles&amp;"'!D2:D2000"),"&lt;&gt;*Telepro R1*"))</f>
        <v>0</v>
      </c>
      <c r="M8" s="39">
        <f ca="1">SUMPRODUCT(COUNTIFS(INDIRECT("'"&amp;feuilles&amp;"'!A2:A2000"),$B$3,INDIRECT("'"&amp;feuilles&amp;"'!I2:I2000"),"&gt;01-10-2018",INDIRECT("'"&amp;feuilles&amp;"'!I2:I2000"),"&lt;01-11-2018",INDIRECT("'"&amp;feuilles&amp;"'!D2:D2000"),"&lt;&gt;*Telepro R1*"))</f>
        <v>0</v>
      </c>
      <c r="N8" s="39">
        <f ca="1">SUMPRODUCT(COUNTIFS(INDIRECT("'"&amp;feuilles&amp;"'!A2:A2000"),$B$3,INDIRECT("'"&amp;feuilles&amp;"'!I2:I2000"),"&gt;01-11-2018",INDIRECT("'"&amp;feuilles&amp;"'!I2:I2000"),"&lt;01-12-2018",INDIRECT("'"&amp;feuilles&amp;"'!D2:D2000"),"&lt;&gt;*Telepro R1*"))</f>
        <v>0</v>
      </c>
      <c r="O8" s="39">
        <f ca="1">SUMPRODUCT(COUNTIFS(INDIRECT("'"&amp;feuilles&amp;"'!A2:A2000"),$B$3,INDIRECT("'"&amp;feuilles&amp;"'!I2:I2000"),"&gt;01-12-2018",INDIRECT("'"&amp;feuilles&amp;"'!I2:I2000"),"&lt;01-01-2018",INDIRECT("'"&amp;feuilles&amp;"'!D2:D2000"),"&lt;&gt;*Telepro R1*"))</f>
        <v>0</v>
      </c>
      <c r="P8" s="12">
        <f t="shared" ca="1" si="0"/>
        <v>1</v>
      </c>
      <c r="Q8" s="12">
        <f ca="1">SUMPRODUCT(COUNTIFS(INDIRECT("'"&amp;feuilles&amp;"'!A2:A2000"),$B$3,INDIRECT("'"&amp;feuilles&amp;"'!H2:H2000"),"&gt;01-01-2018",INDIRECT("'"&amp;feuilles&amp;"'!H2:H2000"),"&lt;01-01-2019",INDIRECT("'"&amp;feuilles&amp;"'!D2:D2000"),"&lt;&gt;*Telepro R1*"))</f>
        <v>2</v>
      </c>
    </row>
    <row r="9" spans="1:20" x14ac:dyDescent="0.3">
      <c r="B9" s="7"/>
      <c r="C9" s="6"/>
      <c r="D9" s="7"/>
      <c r="E9" s="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3"/>
    </row>
    <row r="10" spans="1:20" x14ac:dyDescent="0.3">
      <c r="A10" s="1" t="s">
        <v>29</v>
      </c>
      <c r="B10" s="5" t="s">
        <v>103</v>
      </c>
      <c r="C10" s="1"/>
      <c r="D10" s="5">
        <f>SUMPRODUCT(('rdv 2018'!A1:A2994="Kévin DURAND")*('rdv 2018'!C1:C2994&gt;=DATEVALUE("01-01-2018"))*('rdv 2018'!C1:C2994&lt;DATEVALUE("01-02-2018")))</f>
        <v>13</v>
      </c>
      <c r="E10" s="5">
        <f>SUMPRODUCT(('rdv 2018'!A1:A2994="Kévin DURAND")*('rdv 2018'!C1:C2994&gt;=DATEVALUE("01-02-2018"))*('rdv 2018'!C1:C2994&lt;DATEVALUE("01-03-2018")))</f>
        <v>11</v>
      </c>
      <c r="F10" s="5">
        <f>SUMPRODUCT(('rdv 2018'!A1:A2994="Kévin DURAND")*('rdv 2018'!C1:C2994&gt;=DATEVALUE("01-03-2018"))*('rdv 2018'!C1:C2994&lt;DATEVALUE("01-04-2018")))</f>
        <v>12</v>
      </c>
      <c r="G10" s="5">
        <f>SUMPRODUCT(('rdv 2018'!A1:A2994="Kévin DURAND")*('rdv 2018'!C1:C2994&gt;=DATEVALUE("01-04-2018"))*('rdv 2018'!C1:C2994&lt;DATEVALUE("01-05-2018")))</f>
        <v>11</v>
      </c>
      <c r="H10" s="5">
        <f>SUMPRODUCT(('rdv 2018'!A1:A2994="Kévin DURAND")*('rdv 2018'!C1:C2994&gt;=DATEVALUE("01-05-2018"))*('rdv 2018'!C1:C2994&lt;DATEVALUE("01-06-2018")))</f>
        <v>11</v>
      </c>
      <c r="I10" s="5">
        <f>SUMPRODUCT(('rdv 2018'!A1:A2994="Kévin DURAND")*('rdv 2018'!C1:C2994&gt;=DATEVALUE("01-06-2018"))*('rdv 2018'!C1:C2994&lt;DATEVALUE("01-07-2018")))</f>
        <v>6</v>
      </c>
      <c r="J10" s="5">
        <f>SUMPRODUCT(('rdv 2018'!A1:A2994="Kévin DURAND")*('rdv 2018'!C1:C2994&gt;=DATEVALUE("01-07-2018"))*('rdv 2018'!C1:C2994&lt;DATEVALUE("01-08-2018")))</f>
        <v>0</v>
      </c>
      <c r="K10" s="5">
        <f>SUMPRODUCT(('rdv 2018'!A1:A2994="Kévin DURAND")*('rdv 2018'!C1:C2994&gt;=DATEVALUE("01-08-2018"))*('rdv 2018'!C1:C2994&lt;=DATEVALUE("01-09-2018")))</f>
        <v>0</v>
      </c>
      <c r="L10" s="5">
        <f>SUMPRODUCT(('rdv 2018'!A1:A2994="Kévin DURAND")*('rdv 2018'!C1:C2994&gt;=DATEVALUE("01-09-2018"))*('rdv 2018'!C1:C2994&lt;=DATEVALUE("01-10-2018")))</f>
        <v>0</v>
      </c>
      <c r="M10" s="5">
        <f>SUMPRODUCT(('rdv 2018'!A1:A2994="Kévin DURAND")*('rdv 2018'!C1:C2994&gt;=DATEVALUE("01-10-2018"))*('rdv 2018'!C1:C2994&lt;=DATEVALUE("01-11-2018")))</f>
        <v>0</v>
      </c>
      <c r="N10" s="5">
        <f>SUMPRODUCT(('rdv 2018'!A1:A2994="Kévin DURAND")*('rdv 2018'!C1:C2994&gt;=DATEVALUE("01-11-2018"))*('rdv 2018'!C1:C2994&lt;DATEVALUE("01-12-2018")))</f>
        <v>0</v>
      </c>
      <c r="O10" s="5">
        <f>SUMPRODUCT(('rdv 2018'!A1:A2994="Kévin DURAND")*('rdv 2018'!C1:C2994&gt;=DATEVALUE("01-12-2018"))*('rdv 2018'!C1:C2994&lt;DATEVALUE("01-01-2018")))</f>
        <v>0</v>
      </c>
      <c r="P10" s="5">
        <f t="shared" ref="P10:P15" si="1">SUM(D10:O10)</f>
        <v>64</v>
      </c>
      <c r="Q10" s="3"/>
    </row>
    <row r="11" spans="1:20" x14ac:dyDescent="0.3">
      <c r="A11" s="1"/>
      <c r="B11" s="1"/>
      <c r="C11" s="3" t="s">
        <v>46</v>
      </c>
      <c r="D11" s="3">
        <f>COUNTIFS('rdv 2018'!A1:A1994,"Kévin DURAND",'rdv 2018'!D1:D1994,"*Telepro R1*",'rdv 2018'!C1:C1994,"&gt;=01-01-2018",'rdv 2018'!C1:C1994,"&lt;01-02-2018")</f>
        <v>11</v>
      </c>
      <c r="E11" s="3">
        <f>COUNTIFS('rdv 2018'!A1:A1994,"Kévin DURAND",'rdv 2018'!D1:D1994,"*Telepro R1*",'rdv 2018'!C1:C1994,"&gt;=01-02-2018",'rdv 2018'!C1:C1994,"&lt;01-03-2018")</f>
        <v>9</v>
      </c>
      <c r="F11" s="3">
        <f>COUNTIFS('rdv 2018'!A1:A1994,"Kévin DURAND",'rdv 2018'!D1:D1994,"*Telepro R1*",'rdv 2018'!C1:C1994,"&gt;=01-03-2018",'rdv 2018'!C1:C1994,"&lt;01-04-2018")</f>
        <v>9</v>
      </c>
      <c r="G11" s="3">
        <f>COUNTIFS('rdv 2018'!A1:A1994,"Kévin DURAND",'rdv 2018'!D1:D1994,"*Telepro R1*",'rdv 2018'!C1:C1994,"&gt;=01-04-2018",'rdv 2018'!C1:C1994,"&lt;01-5-2018")</f>
        <v>9</v>
      </c>
      <c r="H11" s="3">
        <f>COUNTIFS('rdv 2018'!A1:A1994,"Kévin DURAND",'rdv 2018'!D1:D1994,"*Telepro R1*",'rdv 2018'!C1:C1994,"&gt;=01-05-2018",'rdv 2018'!C1:C1994,"&lt;01-06-2018")</f>
        <v>8</v>
      </c>
      <c r="I11" s="3">
        <f>COUNTIFS('rdv 2018'!A1:A1994,"Kévin DURAND",'rdv 2018'!D1:D1994,"*Telepro R1*",'rdv 2018'!C1:C1994,"&gt;=01-06-2018",'rdv 2018'!C1:C1994,"&lt;01-07-2018")</f>
        <v>4</v>
      </c>
      <c r="J11" s="3">
        <f>COUNTIFS('rdv 2018'!A1:A1994,"Kévin DURAND",'rdv 2018'!D1:D1994,"*Telepro R1*",'rdv 2018'!C1:C1994,"&gt;=01-07-2018",'rdv 2018'!C1:C1994,"&lt;01-08-2018")</f>
        <v>0</v>
      </c>
      <c r="K11" s="3">
        <f>COUNTIFS('rdv 2018'!A1:A1994,"Kévin DURAND",'rdv 2018'!D1:D1994,"*Telepro R1*",'rdv 2018'!C1:C1994,"&gt;=01-08-2018",'rdv 2018'!C1:C1994,"&lt;01-09-2018")</f>
        <v>0</v>
      </c>
      <c r="L11" s="3">
        <f>COUNTIFS('rdv 2018'!A1:A1994,"Kévin DURAND",'rdv 2018'!D1:D1994,"*Telepro R1*",'rdv 2018'!C1:C1994,"&gt;=01-09-2018",'rdv 2018'!C1:C1994,"&lt;01-10-2018")</f>
        <v>0</v>
      </c>
      <c r="M11" s="3">
        <f>COUNTIFS('rdv 2018'!A1:A1994,"Kévin DURAND",'rdv 2018'!D1:D1994,"*Telepro R1*",'rdv 2018'!C1:C1994,"&gt;=01-10-2018",'rdv 2018'!C1:C1994,"&lt;01-11-2018")</f>
        <v>0</v>
      </c>
      <c r="N11" s="3">
        <f>COUNTIFS('rdv 2018'!A1:A1994,"Kévin DURAND",'rdv 2018'!D1:D1994,"*Telepro R1*",'rdv 2018'!C1:C1994,"&gt;=01-11-2018",'rdv 2018'!C1:C1994,"&lt;01-12-2018")</f>
        <v>0</v>
      </c>
      <c r="O11" s="3">
        <f>COUNTIFS('rdv 2018'!A1:A1994,"Kévin DURAND",'rdv 2018'!D1:D1994,"*Telepro R1*",'rdv 2018'!C1:C1994,"&gt;=01-12-2018",'rdv 2018'!C1:C1994,"&lt;01-01-2018")</f>
        <v>0</v>
      </c>
      <c r="P11">
        <f t="shared" si="1"/>
        <v>50</v>
      </c>
      <c r="Q11" s="3"/>
    </row>
    <row r="12" spans="1:20" x14ac:dyDescent="0.3">
      <c r="A12" s="1"/>
      <c r="B12" s="1"/>
      <c r="C12" s="3" t="s">
        <v>28</v>
      </c>
      <c r="D12" s="3">
        <f>COUNTIFS('rdv 2018'!A1:A1994,"Kévin DURAND",'rdv 2018'!D1:D1994,"&lt;&gt;*Telepro*",'rdv 2018'!C1:C1994,"&gt;=01-01-2018",'rdv 2018'!C1:C1994,"&lt;01-02-2018")</f>
        <v>2</v>
      </c>
      <c r="E12" s="3">
        <f>COUNTIFS('rdv 2018'!A1:A1994,"Kévin DURAND",'rdv 2018'!D1:D1994,"&lt;&gt;*Telepro*",'rdv 2018'!C1:C1994,"&gt;=01-02-2018",'rdv 2018'!C1:C1994,"&lt;01-03-2018")</f>
        <v>2</v>
      </c>
      <c r="F12" s="3">
        <f>COUNTIFS('rdv 2018'!A1:A1994,"Kévin DURAND",'rdv 2018'!D1:D1994,"&lt;&gt;*Telepro*",'rdv 2018'!C1:C1994,"&gt;=01-03-2018",'rdv 2018'!C1:C1994,"&lt;01-04-2018")</f>
        <v>3</v>
      </c>
      <c r="G12" s="3">
        <f>COUNTIFS('rdv 2018'!A1:A1994,"Kévin DURAND",'rdv 2018'!D1:D1994,"&lt;&gt;*Telepro*",'rdv 2018'!C1:C1994,"&gt;=01-04-2018",'rdv 2018'!C1:C1994,"&lt;01-05-2018")</f>
        <v>2</v>
      </c>
      <c r="H12" s="3">
        <f>COUNTIFS('rdv 2018'!A1:A1994,"Kévin DURAND",'rdv 2018'!D1:D1994,"&lt;&gt;*Telepro*",'rdv 2018'!C1:C1994,"&gt;=01-05-2018",'rdv 2018'!C1:C1994,"&lt;01-06-2018")</f>
        <v>3</v>
      </c>
      <c r="I12" s="3">
        <f>COUNTIFS('rdv 2018'!A1:A1994,"Kévin DURAND",'rdv 2018'!D1:D1994,"&lt;&gt;*Telepro*",'rdv 2018'!C1:C1994,"&gt;=01-06-2018",'rdv 2018'!C1:C1994,"&lt;01-07-2018")</f>
        <v>2</v>
      </c>
      <c r="J12" s="3">
        <f>COUNTIFS('rdv 2018'!A1:A1994,"Kévin DURAND",'rdv 2018'!D1:D1994,"&lt;&gt;*Telepro*",'rdv 2018'!C1:C1994,"&gt;=01-07-2018",'rdv 2018'!C1:C1994,"&lt;01-08-2018")</f>
        <v>0</v>
      </c>
      <c r="K12" s="3">
        <f>COUNTIFS('rdv 2018'!A1:A1994,"Kévin DURAND",'rdv 2018'!D1:D1994,"&lt;&gt;*Telepro*",'rdv 2018'!C1:C1994,"&gt;01-08-2018",'rdv 2018'!C1:C1994,"&lt;01-09-2018")</f>
        <v>0</v>
      </c>
      <c r="L12" s="3">
        <f>COUNTIFS('rdv 2018'!A1:A1994,"Kévin DURAND",'rdv 2018'!D1:D1994,"&lt;&gt;*Telepro*",'rdv 2018'!C1:C1994,"&gt;01-09-2018",'rdv 2018'!C1:C1994,"&lt;01-10-2018")</f>
        <v>0</v>
      </c>
      <c r="M12" s="3">
        <f>COUNTIFS('rdv 2018'!A1:A1994,"Kévin DURAND",'rdv 2018'!D1:D1994,"&lt;&gt;*Telepro*",'rdv 2018'!C1:C1994,"&gt;01-10-2018",'rdv 2018'!C1:C1994,"&lt;01-11-2018")</f>
        <v>0</v>
      </c>
      <c r="N12" s="3">
        <f>COUNTIFS('rdv 2018'!A1:A1994,"Kévin DURAND",'rdv 2018'!D1:D1994,"&lt;&gt;*Telepro*",'rdv 2018'!C1:C1994,"&gt;=01-11-2018",'rdv 2018'!C1:C1994,"&lt;01-12-2018")</f>
        <v>0</v>
      </c>
      <c r="O12" s="3">
        <f>COUNTIFS('rdv 2018'!A1:A1994,"Kévin DURAND",'rdv 2018'!D1:D1994,"&lt;&gt;*Telepro*",'rdv 2018'!C1:C1994,"&gt;=01-12-2018",'rdv 2018'!C1:C1994,"&lt;01-01-2018")</f>
        <v>0</v>
      </c>
      <c r="P12" s="3">
        <f t="shared" si="1"/>
        <v>14</v>
      </c>
      <c r="Q12" s="3"/>
    </row>
    <row r="13" spans="1:20" x14ac:dyDescent="0.3">
      <c r="A13" s="1"/>
      <c r="B13" s="1"/>
      <c r="C13" s="10" t="s">
        <v>47</v>
      </c>
      <c r="D13" s="11">
        <f ca="1">SUMPRODUCT(COUNTIFS(INDIRECT("'"&amp;feuilles&amp;"'!A2:A2000"),$B$10,INDIRECT("'"&amp;feuilles&amp;"'!I2:I2000"),"&lt;01-02-2018"))</f>
        <v>0</v>
      </c>
      <c r="E13" s="11">
        <f ca="1">SUMPRODUCT(COUNTIFS(INDIRECT("'"&amp;feuilles&amp;"'!A2:A2000"),$B$10,INDIRECT("'"&amp;feuilles&amp;"'!I2:I2000"),"&gt;01-02-2018",INDIRECT("'"&amp;feuilles&amp;"'!I2:I2000"),"&lt;01-03-2018"))</f>
        <v>1</v>
      </c>
      <c r="F13" s="11">
        <f ca="1">SUMPRODUCT(COUNTIFS(INDIRECT("'"&amp;feuilles&amp;"'!A2:A2000"),$B$10,INDIRECT("'"&amp;feuilles&amp;"'!I2:I2000"),"&gt;01-03-2018",INDIRECT("'"&amp;feuilles&amp;"'!I2:I2000"),"&lt;01-04-2018"))</f>
        <v>3</v>
      </c>
      <c r="G13" s="11">
        <f ca="1">SUMPRODUCT(COUNTIFS(INDIRECT("'"&amp;feuilles&amp;"'!A2:A2000"),$B$10,INDIRECT("'"&amp;feuilles&amp;"'!I2:I2000"),"&gt;01-04-2018",INDIRECT("'"&amp;feuilles&amp;"'!I2:I2000"),"&lt;01-05-2018"))</f>
        <v>0</v>
      </c>
      <c r="H13" s="11">
        <f ca="1">SUMPRODUCT(COUNTIFS(INDIRECT("'"&amp;feuilles&amp;"'!A2:A2000"),$B$10,INDIRECT("'"&amp;feuilles&amp;"'!I2:I2000"),"&gt;01-05-2018",INDIRECT("'"&amp;feuilles&amp;"'!I2:I2000"),"&lt;01-06-2018"))</f>
        <v>1</v>
      </c>
      <c r="I13" s="11">
        <f ca="1">SUMPRODUCT(COUNTIFS(INDIRECT("'"&amp;feuilles&amp;"'!A2:A2000"),$B$10,INDIRECT("'"&amp;feuilles&amp;"'!I2:I2000"),"&gt;01-06-2018",INDIRECT("'"&amp;feuilles&amp;"'!I2:I2000"),"&lt;01-07-2018"))</f>
        <v>1</v>
      </c>
      <c r="J13" s="11">
        <f ca="1">SUMPRODUCT(COUNTIFS(INDIRECT("'"&amp;feuilles&amp;"'!A2:A2000"),$B$10,INDIRECT("'"&amp;feuilles&amp;"'!I2:I2000"),"&gt;01-07-2018",INDIRECT("'"&amp;feuilles&amp;"'!I2:I2000"),"&lt;01-08-2018"))</f>
        <v>0</v>
      </c>
      <c r="K13" s="11">
        <f ca="1">SUMPRODUCT(COUNTIFS(INDIRECT("'"&amp;feuilles&amp;"'!A2:A2000"),$B$10,INDIRECT("'"&amp;feuilles&amp;"'!I2:I2000"),"&gt;01-08-2018",INDIRECT("'"&amp;feuilles&amp;"'!I2:I2000"),"&lt;01-09-2018"))</f>
        <v>0</v>
      </c>
      <c r="L13" s="11">
        <f ca="1">SUMPRODUCT(COUNTIFS(INDIRECT("'"&amp;feuilles&amp;"'!A2:A2000"),$B$10,INDIRECT("'"&amp;feuilles&amp;"'!I2:I2000"),"&gt;01-09-2018",INDIRECT("'"&amp;feuilles&amp;"'!I2:I2000"),"&lt;01-10-2018"))</f>
        <v>0</v>
      </c>
      <c r="M13" s="11">
        <f ca="1">SUMPRODUCT(COUNTIFS(INDIRECT("'"&amp;feuilles&amp;"'!A2:A2000"),$B$10,INDIRECT("'"&amp;feuilles&amp;"'!I2:I2000"),"&gt;01-10-2018",INDIRECT("'"&amp;feuilles&amp;"'!I2:I2000"),"&lt;01-11-2018"))</f>
        <v>0</v>
      </c>
      <c r="N13" s="11">
        <f ca="1">SUMPRODUCT(COUNTIFS(INDIRECT("'"&amp;feuilles&amp;"'!A2:A2000"),$B$10,INDIRECT("'"&amp;feuilles&amp;"'!I2:I2000"),"&gt;01-11-2018",INDIRECT("'"&amp;feuilles&amp;"'!I2:I2000"),"&lt;01-12-2018"))</f>
        <v>0</v>
      </c>
      <c r="O13" s="11">
        <f ca="1">SUMPRODUCT(COUNTIFS(INDIRECT("'"&amp;feuilles&amp;"'!A2:A2000"),$B$10,INDIRECT("'"&amp;feuilles&amp;"'!I2:I2000"),"&gt;01-12-2018",INDIRECT("'"&amp;feuilles&amp;"'!I2:I2000"),"&lt;01-01-2018"))</f>
        <v>0</v>
      </c>
      <c r="P13" s="11">
        <f t="shared" ca="1" si="1"/>
        <v>6</v>
      </c>
      <c r="Q13" s="56">
        <f ca="1">SUM(Q14:Q15)</f>
        <v>7</v>
      </c>
    </row>
    <row r="14" spans="1:20" x14ac:dyDescent="0.3">
      <c r="A14" s="1"/>
      <c r="B14" s="1"/>
      <c r="C14" s="3" t="s">
        <v>48</v>
      </c>
      <c r="D14" s="12">
        <f ca="1">SUMPRODUCT(COUNTIFS(INDIRECT("'"&amp;feuilles&amp;"'!A2:A2000"),$B$10,INDIRECT("'"&amp;feuilles&amp;"'!I2:I2000"),"&lt;01-02-2018",INDIRECT("'"&amp;feuilles&amp;"'!D2:D2000"),"*Telepro R1*"))</f>
        <v>0</v>
      </c>
      <c r="E14" s="39">
        <f ca="1">SUMPRODUCT(COUNTIFS(INDIRECT("'"&amp;feuilles&amp;"'!A2:A2000"),$B$10,INDIRECT("'"&amp;feuilles&amp;"'!I2:I2000"),"&gt;01-02-2018",INDIRECT("'"&amp;feuilles&amp;"'!I2:I2000"),"&lt;01-03-2018",INDIRECT("'"&amp;feuilles&amp;"'!D2:D2000"),"*Telepro R1*"))</f>
        <v>1</v>
      </c>
      <c r="F14" s="39">
        <f ca="1">SUMPRODUCT(COUNTIFS(INDIRECT("'"&amp;feuilles&amp;"'!A2:A2000"),$B$10,INDIRECT("'"&amp;feuilles&amp;"'!I2:I2000"),"&gt;01-03-2018",INDIRECT("'"&amp;feuilles&amp;"'!I2:I2000"),"&lt;01-04-2018",INDIRECT("'"&amp;feuilles&amp;"'!D2:D2000"),"*Telepro R1*"))</f>
        <v>3</v>
      </c>
      <c r="G14" s="39">
        <f ca="1">SUMPRODUCT(COUNTIFS(INDIRECT("'"&amp;feuilles&amp;"'!A2:A2000"),$B$10,INDIRECT("'"&amp;feuilles&amp;"'!I2:I2000"),"&gt;01-04-2018",INDIRECT("'"&amp;feuilles&amp;"'!I2:I2000"),"&lt;01-05-2018",INDIRECT("'"&amp;feuilles&amp;"'!D2:D2000"),"*Telepro R1*"))</f>
        <v>0</v>
      </c>
      <c r="H14" s="39">
        <f ca="1">SUMPRODUCT(COUNTIFS(INDIRECT("'"&amp;feuilles&amp;"'!A2:A2000"),$B$10,INDIRECT("'"&amp;feuilles&amp;"'!I2:I2000"),"&gt;01-05-2018",INDIRECT("'"&amp;feuilles&amp;"'!I2:I2000"),"&lt;01-06-2018",INDIRECT("'"&amp;feuilles&amp;"'!D2:D2000"),"*Telepro R1*"))</f>
        <v>1</v>
      </c>
      <c r="I14" s="39">
        <f ca="1">SUMPRODUCT(COUNTIFS(INDIRECT("'"&amp;feuilles&amp;"'!A2:A2000"),$B$10,INDIRECT("'"&amp;feuilles&amp;"'!I2:I2000"),"&gt;01-06-2018",INDIRECT("'"&amp;feuilles&amp;"'!I2:I2000"),"&lt;01-07-2018",INDIRECT("'"&amp;feuilles&amp;"'!D2:D2000"),"*Telepro R1*"))</f>
        <v>1</v>
      </c>
      <c r="J14" s="39">
        <f ca="1">SUMPRODUCT(COUNTIFS(INDIRECT("'"&amp;feuilles&amp;"'!A2:A2000"),$B$10,INDIRECT("'"&amp;feuilles&amp;"'!I2:I2000"),"&gt;01-07-2018",INDIRECT("'"&amp;feuilles&amp;"'!I2:I2000"),"&lt;01-08-2018",INDIRECT("'"&amp;feuilles&amp;"'!D2:D2000"),"*Telepro R1*"))</f>
        <v>0</v>
      </c>
      <c r="K14" s="39">
        <f ca="1">SUMPRODUCT(COUNTIFS(INDIRECT("'"&amp;feuilles&amp;"'!A2:A2000"),$B$10,INDIRECT("'"&amp;feuilles&amp;"'!I2:I2000"),"&gt;01-08-2018",INDIRECT("'"&amp;feuilles&amp;"'!I2:I2000"),"&lt;01-09-2018",INDIRECT("'"&amp;feuilles&amp;"'!D2:D2000"),"*Telepro R1*"))</f>
        <v>0</v>
      </c>
      <c r="L14" s="39">
        <f ca="1">SUMPRODUCT(COUNTIFS(INDIRECT("'"&amp;feuilles&amp;"'!A2:A2000"),$B$10,INDIRECT("'"&amp;feuilles&amp;"'!I2:I2000"),"&gt;01-09-2018",INDIRECT("'"&amp;feuilles&amp;"'!I2:I2000"),"&lt;01-10-2018",INDIRECT("'"&amp;feuilles&amp;"'!D2:D2000"),"*Telepro R1*"))</f>
        <v>0</v>
      </c>
      <c r="M14" s="39">
        <f ca="1">SUMPRODUCT(COUNTIFS(INDIRECT("'"&amp;feuilles&amp;"'!A2:A2000"),$B$10,INDIRECT("'"&amp;feuilles&amp;"'!I2:I2000"),"&gt;01-10-2018",INDIRECT("'"&amp;feuilles&amp;"'!I2:I2000"),"&lt;01-11-2018",INDIRECT("'"&amp;feuilles&amp;"'!D2:D2000"),"*Telepro R1*"))</f>
        <v>0</v>
      </c>
      <c r="N14" s="39">
        <f ca="1">SUMPRODUCT(COUNTIFS(INDIRECT("'"&amp;feuilles&amp;"'!A2:A2000"),$B$10,INDIRECT("'"&amp;feuilles&amp;"'!I2:I2000"),"&gt;01-11-2018",INDIRECT("'"&amp;feuilles&amp;"'!I2:I2000"),"&lt;01-12-2018",INDIRECT("'"&amp;feuilles&amp;"'!D2:D2000"),"*Telepro R1*"))</f>
        <v>0</v>
      </c>
      <c r="O14" s="39">
        <f ca="1">SUMPRODUCT(COUNTIFS(INDIRECT("'"&amp;feuilles&amp;"'!A2:A2000"),$B$10,INDIRECT("'"&amp;feuilles&amp;"'!I2:I2000"),"&gt;01-12-2018",INDIRECT("'"&amp;feuilles&amp;"'!I2:I2000"),"&lt;01-01-2018",INDIRECT("'"&amp;feuilles&amp;"'!D2:D2000"),"*Telepro R1*"))</f>
        <v>0</v>
      </c>
      <c r="P14" s="12">
        <f t="shared" ca="1" si="1"/>
        <v>6</v>
      </c>
      <c r="Q14" s="12">
        <f ca="1">SUMPRODUCT(COUNTIFS(INDIRECT("'"&amp;feuilles&amp;"'!A2:A2000"),$B$10,INDIRECT("'"&amp;feuilles&amp;"'!H2:H2000"),"&gt;01-01-2018",INDIRECT("'"&amp;feuilles&amp;"'!H2:H2000"),"&lt;01-01-2019",INDIRECT("'"&amp;feuilles&amp;"'!D2:D2000"),"*Telepro R1*"))</f>
        <v>6</v>
      </c>
    </row>
    <row r="15" spans="1:20" x14ac:dyDescent="0.3">
      <c r="A15" s="1"/>
      <c r="B15" s="1"/>
      <c r="C15" s="3" t="s">
        <v>49</v>
      </c>
      <c r="D15" s="12">
        <f ca="1">SUMPRODUCT(COUNTIFS(INDIRECT("'"&amp;feuilles&amp;"'!A2:A2000"),$B$10,INDIRECT("'"&amp;feuilles&amp;"'!I2:I2000"),"&lt;01-02-2018",INDIRECT("'"&amp;feuilles&amp;"'!D2:D2000"),"&lt;&gt;*Telepro R1*"))</f>
        <v>0</v>
      </c>
      <c r="E15" s="39">
        <f ca="1">SUMPRODUCT(COUNTIFS(INDIRECT("'"&amp;feuilles&amp;"'!A2:A2000"),$B$10,INDIRECT("'"&amp;feuilles&amp;"'!I2:I2000"),"&gt;01-02-2018",INDIRECT("'"&amp;feuilles&amp;"'!I2:I2000"),"&lt;01-03-2018",INDIRECT("'"&amp;feuilles&amp;"'!D2:D2000"),"&lt;&gt;*Telepro R1*"))</f>
        <v>0</v>
      </c>
      <c r="F15" s="39">
        <f ca="1">SUMPRODUCT(COUNTIFS(INDIRECT("'"&amp;feuilles&amp;"'!A2:A2000"),$B$10,INDIRECT("'"&amp;feuilles&amp;"'!I2:I2000"),"&gt;01-03-2018",INDIRECT("'"&amp;feuilles&amp;"'!I2:I2000"),"&lt;01-04-2018",INDIRECT("'"&amp;feuilles&amp;"'!D2:D2000"),"&lt;&gt;*Telepro R1*"))</f>
        <v>0</v>
      </c>
      <c r="G15" s="39">
        <f ca="1">SUMPRODUCT(COUNTIFS(INDIRECT("'"&amp;feuilles&amp;"'!A2:A2000"),$B$10,INDIRECT("'"&amp;feuilles&amp;"'!I2:I2000"),"&gt;01-04-2018",INDIRECT("'"&amp;feuilles&amp;"'!I2:I2000"),"&lt;01-05-2018",INDIRECT("'"&amp;feuilles&amp;"'!D2:D2000"),"&lt;&gt;*Telepro R1*"))</f>
        <v>0</v>
      </c>
      <c r="H15" s="39">
        <f ca="1">SUMPRODUCT(COUNTIFS(INDIRECT("'"&amp;feuilles&amp;"'!A2:A2000"),$B$10,INDIRECT("'"&amp;feuilles&amp;"'!I2:I2000"),"&gt;01-05-2018",INDIRECT("'"&amp;feuilles&amp;"'!I2:I2000"),"&lt;01-06-2018",INDIRECT("'"&amp;feuilles&amp;"'!D2:D2000"),"&lt;&gt;*Telepro R1*"))</f>
        <v>0</v>
      </c>
      <c r="I15" s="39">
        <f ca="1">SUMPRODUCT(COUNTIFS(INDIRECT("'"&amp;feuilles&amp;"'!A2:A2000"),$B$10,INDIRECT("'"&amp;feuilles&amp;"'!I2:I2000"),"&gt;01-06-2018",INDIRECT("'"&amp;feuilles&amp;"'!I2:I2000"),"&lt;01-07-2018",INDIRECT("'"&amp;feuilles&amp;"'!D2:D2000"),"&lt;&gt;*Telepro R1*"))</f>
        <v>0</v>
      </c>
      <c r="J15" s="39">
        <f ca="1">SUMPRODUCT(COUNTIFS(INDIRECT("'"&amp;feuilles&amp;"'!A2:A2000"),$B$10,INDIRECT("'"&amp;feuilles&amp;"'!I2:I2000"),"&gt;01-07-2018",INDIRECT("'"&amp;feuilles&amp;"'!I2:I2000"),"&lt;01-08-2018",INDIRECT("'"&amp;feuilles&amp;"'!D2:D2000"),"&lt;&gt;*Telepro R1*"))</f>
        <v>0</v>
      </c>
      <c r="K15" s="39">
        <f ca="1">SUMPRODUCT(COUNTIFS(INDIRECT("'"&amp;feuilles&amp;"'!A2:A2000"),$B$10,INDIRECT("'"&amp;feuilles&amp;"'!I2:I2000"),"&gt;01-08-2018",INDIRECT("'"&amp;feuilles&amp;"'!I2:I2000"),"&lt;01-09-2018",INDIRECT("'"&amp;feuilles&amp;"'!D2:D2000"),"&lt;&gt;*Telepro R1*"))</f>
        <v>0</v>
      </c>
      <c r="L15" s="39">
        <f ca="1">SUMPRODUCT(COUNTIFS(INDIRECT("'"&amp;feuilles&amp;"'!A2:A2000"),$B$10,INDIRECT("'"&amp;feuilles&amp;"'!I2:I2000"),"&gt;01-09-2018",INDIRECT("'"&amp;feuilles&amp;"'!I2:I2000"),"&lt;01-10-2018",INDIRECT("'"&amp;feuilles&amp;"'!D2:D2000"),"&lt;&gt;*Telepro R1*"))</f>
        <v>0</v>
      </c>
      <c r="M15" s="39">
        <f ca="1">SUMPRODUCT(COUNTIFS(INDIRECT("'"&amp;feuilles&amp;"'!A2:A2000"),$B$10,INDIRECT("'"&amp;feuilles&amp;"'!I2:I2000"),"&gt;01-10-2018",INDIRECT("'"&amp;feuilles&amp;"'!I2:I2000"),"&lt;01-11-2018",INDIRECT("'"&amp;feuilles&amp;"'!D2:D2000"),"&lt;&gt;*Telepro R1*"))</f>
        <v>0</v>
      </c>
      <c r="N15" s="39">
        <f ca="1">SUMPRODUCT(COUNTIFS(INDIRECT("'"&amp;feuilles&amp;"'!A2:A2000"),$B$10,INDIRECT("'"&amp;feuilles&amp;"'!I2:I2000"),"&gt;01-11-2018",INDIRECT("'"&amp;feuilles&amp;"'!I2:I2000"),"&lt;01-12-2018",INDIRECT("'"&amp;feuilles&amp;"'!D2:D2000"),"&lt;&gt;*Telepro R1*"))</f>
        <v>0</v>
      </c>
      <c r="O15" s="39">
        <f ca="1">SUMPRODUCT(COUNTIFS(INDIRECT("'"&amp;feuilles&amp;"'!A2:A2000"),$B$10,INDIRECT("'"&amp;feuilles&amp;"'!I2:I2000"),"&gt;01-12-2018",INDIRECT("'"&amp;feuilles&amp;"'!I2:I2000"),"&lt;01-01-2018",INDIRECT("'"&amp;feuilles&amp;"'!D2:D2000"),"&lt;&gt;*Telepro R1*"))</f>
        <v>0</v>
      </c>
      <c r="P15" s="12">
        <f t="shared" ca="1" si="1"/>
        <v>0</v>
      </c>
      <c r="Q15" s="12">
        <f ca="1">SUMPRODUCT(COUNTIFS(INDIRECT("'"&amp;feuilles&amp;"'!A2:A2000"),$B$10,INDIRECT("'"&amp;feuilles&amp;"'!H2:H2000"),"&gt;01-01-2018",INDIRECT("'"&amp;feuilles&amp;"'!H2:H2000"),"&lt;01-01-2019",INDIRECT("'"&amp;feuilles&amp;"'!D2:D2000"),"&lt;&gt;*Telepro R1*"))</f>
        <v>1</v>
      </c>
    </row>
    <row r="16" spans="1:20" x14ac:dyDescent="0.3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  <c r="Q16" s="7"/>
      <c r="R16" s="13"/>
    </row>
    <row r="17" spans="1:18" x14ac:dyDescent="0.3">
      <c r="A17" s="1" t="s">
        <v>41</v>
      </c>
      <c r="B17" s="5" t="s">
        <v>104</v>
      </c>
      <c r="C17" s="1"/>
      <c r="D17" s="5">
        <f>SUMPRODUCT(('rdv 2018'!A1:A2994="Lou CHARLES")*('rdv 2018'!C1:C2994&gt;=DATEVALUE("01-01-2018"))*('rdv 2018'!C1:C2994&lt;DATEVALUE("01-02-2018")))</f>
        <v>9</v>
      </c>
      <c r="E17" s="5">
        <f>SUMPRODUCT(('rdv 2018'!A1:A2994="Lou CHARLES")*('rdv 2018'!C1:C2994&gt;=DATEVALUE("01-02-2018"))*('rdv 2018'!C1:C2994&lt;DATEVALUE("01-03-2018")))</f>
        <v>8</v>
      </c>
      <c r="F17" s="5">
        <f>SUMPRODUCT(('rdv 2018'!A1:A2994="Lou CHARLES")*('rdv 2018'!C1:C2994&gt;=DATEVALUE("01-03-2018"))*('rdv 2018'!C1:C2994&lt;DATEVALUE("01-04-2018")))</f>
        <v>7</v>
      </c>
      <c r="G17" s="5">
        <f>SUMPRODUCT(('rdv 2018'!A1:A2994="Lou CHARLES")*('rdv 2018'!C1:C2994&gt;=DATEVALUE("01-04-2018"))*('rdv 2018'!C1:C2994&lt;DATEVALUE("01-05-2018")))</f>
        <v>6</v>
      </c>
      <c r="H17" s="5">
        <f>SUMPRODUCT(('rdv 2018'!A1:A2994="Lou CHARLES")*('rdv 2018'!C1:C2994&gt;=DATEVALUE("01-05-2018"))*('rdv 2018'!C1:C2994&lt;DATEVALUE("01-06-2018")))</f>
        <v>3</v>
      </c>
      <c r="I17" s="5">
        <f>SUMPRODUCT(('rdv 2018'!A1:A2994="Lou CHARLES")*('rdv 2018'!C1:C2994&gt;=DATEVALUE("01-06-2018"))*('rdv 2018'!C1:C2994&lt;DATEVALUE("01-07-2018")))</f>
        <v>3</v>
      </c>
      <c r="J17" s="5">
        <f>SUMPRODUCT(('rdv 2018'!A1:A2994="Lou CHARLES")*('rdv 2018'!C1:C2994&gt;=DATEVALUE("01-07-2018"))*('rdv 2018'!C1:C2994&lt;DATEVALUE("01-08-2018")))</f>
        <v>0</v>
      </c>
      <c r="K17" s="5">
        <f>SUMPRODUCT(('rdv 2018'!A1:A2994="Lou CHARLES")*('rdv 2018'!C1:C2994&gt;=DATEVALUE("01-08-2018"))*('rdv 2018'!C1:C2994&lt;=DATEVALUE("01-09-2018")))</f>
        <v>0</v>
      </c>
      <c r="L17" s="5">
        <f>SUMPRODUCT(('rdv 2018'!A1:A2994="Lou CHARLES")*('rdv 2018'!C1:C2994&gt;=DATEVALUE("01-09-2018"))*('rdv 2018'!C1:C2994&lt;=DATEVALUE("01-10-2018")))</f>
        <v>0</v>
      </c>
      <c r="M17" s="5">
        <f>SUMPRODUCT(('rdv 2018'!A1:A2994="Lou CHARLES")*('rdv 2018'!C1:C2994&gt;=DATEVALUE("01-10-2018"))*('rdv 2018'!C1:C2994&lt;=DATEVALUE("01-11-2018")))</f>
        <v>0</v>
      </c>
      <c r="N17" s="5">
        <f>SUMPRODUCT(('rdv 2018'!A1:A2994="Lou CHARLES")*('rdv 2018'!C1:C2994&gt;=DATEVALUE("01-11-2018"))*('rdv 2018'!C1:C2994&lt;DATEVALUE("01-12-2018")))</f>
        <v>0</v>
      </c>
      <c r="O17" s="5">
        <f>SUMPRODUCT(('rdv 2018'!A1:A2994="Lou CHARLES")*('rdv 2018'!C1:C2994&gt;=DATEVALUE("01-12-2018"))*('rdv 2018'!C1:C2994&lt;DATEVALUE("01-01-2018")))</f>
        <v>0</v>
      </c>
      <c r="P17" s="5">
        <f t="shared" ref="P17:P22" si="2">SUM(D17:O17)</f>
        <v>36</v>
      </c>
      <c r="Q17" s="3"/>
    </row>
    <row r="18" spans="1:18" x14ac:dyDescent="0.3">
      <c r="A18" s="1"/>
      <c r="B18" s="1"/>
      <c r="C18" s="3" t="s">
        <v>46</v>
      </c>
      <c r="D18" s="3">
        <f>COUNTIFS('rdv 2018'!A1:A1994,"Lou CHARLES",'rdv 2018'!D1:D1994,"*Telepro R1*",'rdv 2018'!C1:C1994,"&gt;01-01-2018",'rdv 2018'!C1:C1994,"&lt;01-02-2018")</f>
        <v>5</v>
      </c>
      <c r="E18" s="3">
        <f>COUNTIFS('rdv 2018'!A1:A1994,"Lou CHARLES",'rdv 2018'!D1:D1994,"*Telepro R1*",'rdv 2018'!C1:C1994,"&gt;=01-02-2018",'rdv 2018'!C1:C1994,"&lt;01-03-2018")</f>
        <v>7</v>
      </c>
      <c r="F18" s="3">
        <f>COUNTIFS('rdv 2018'!A1:A1994,"Lou CHARLES",'rdv 2018'!D1:D1994,"*Telepro R1*",'rdv 2018'!C1:C1994,"&gt;=01-03-2018",'rdv 2018'!C1:C1994,"&lt;01-04-2018")</f>
        <v>6</v>
      </c>
      <c r="G18" s="3">
        <f>COUNTIFS('rdv 2018'!A1:A1994,"Lou CHARLES",'rdv 2018'!D1:D1994,"*Telepro R1*",'rdv 2018'!C1:C1994,"&gt;=01-04-2018",'rdv 2018'!C1:C1994,"&lt;01-5-2018")</f>
        <v>5</v>
      </c>
      <c r="H18" s="3">
        <f>COUNTIFS('rdv 2018'!A1:A1994,"Lou CHARLES",'rdv 2018'!D1:D1994,"*Telepro R1*",'rdv 2018'!C1:C1994,"&gt;=01-05-2018",'rdv 2018'!C1:C1994,"&lt;01-06-2018")</f>
        <v>2</v>
      </c>
      <c r="I18" s="3">
        <f>COUNTIFS('rdv 2018'!A1:A1994,"Lou CHARLES",'rdv 2018'!D1:D1994,"*Telepro R1*",'rdv 2018'!C1:C1994,"&gt;=01-06-2018",'rdv 2018'!C1:C1994,"&lt;01-07-2018")</f>
        <v>3</v>
      </c>
      <c r="J18" s="3">
        <f>COUNTIFS('rdv 2018'!A1:A1994,"Lou CHARLES",'rdv 2018'!D1:D1994,"*Telepro R1*",'rdv 2018'!C1:C1994,"&gt;=01-07-2018",'rdv 2018'!C1:C1994,"&lt;01-08-2018")</f>
        <v>0</v>
      </c>
      <c r="K18" s="3">
        <f>COUNTIFS('rdv 2018'!A1:A1994,"Lou CHARLES",'rdv 2018'!D1:D1994,"*Telepro R1*",'rdv 2018'!C1:C1994,"&gt;=01-08-2018",'rdv 2018'!C1:C1994,"&lt;01-09-2018")</f>
        <v>0</v>
      </c>
      <c r="L18" s="3">
        <f>COUNTIFS('rdv 2018'!A1:A1994,"Lou CHARLES",'rdv 2018'!D1:D1994,"*Telepro R1*",'rdv 2018'!C1:C1994,"&gt;=01-09-2018",'rdv 2018'!C1:C1994,"&lt;01-10-2018")</f>
        <v>0</v>
      </c>
      <c r="M18" s="3">
        <f>COUNTIFS('rdv 2018'!A1:A1994,"Lou CHARLES",'rdv 2018'!D1:D1994,"*Telepro R1*",'rdv 2018'!C1:C1994,"&gt;=01-10-2018",'rdv 2018'!C1:C1994,"&lt;01-11-2018")</f>
        <v>0</v>
      </c>
      <c r="N18" s="3">
        <f>COUNTIFS('rdv 2018'!A1:A1994,"Lou CHARLES",'rdv 2018'!D1:D1994,"*Telepro R1*",'rdv 2018'!C1:C1994,"&gt;=01-11-2018",'rdv 2018'!C1:C1994,"&lt;01-12-2018")</f>
        <v>0</v>
      </c>
      <c r="O18" s="3">
        <f>COUNTIFS('rdv 2018'!A1:A1994,"Lou CHARLES",'rdv 2018'!D1:D1994,"*Telepro R1*",'rdv 2018'!C1:C1994,"&gt;=01-12-2018",'rdv 2018'!C1:C1994,"&lt;01-01-2018")</f>
        <v>0</v>
      </c>
      <c r="P18" s="3">
        <f t="shared" si="2"/>
        <v>28</v>
      </c>
      <c r="Q18" s="3"/>
    </row>
    <row r="19" spans="1:18" x14ac:dyDescent="0.3">
      <c r="A19" s="1"/>
      <c r="B19" s="1"/>
      <c r="C19" s="3" t="s">
        <v>28</v>
      </c>
      <c r="D19" s="3">
        <f>COUNTIFS('rdv 2018'!A1:A1994,"Lou CHARLES",'rdv 2018'!D1:D1994,"&lt;&gt;*Telepro*",'rdv 2018'!C1:C1994,"&gt;01-01-2018",'rdv 2018'!C1:C1994,"&lt;01-02-2018")</f>
        <v>4</v>
      </c>
      <c r="E19" s="3">
        <f>COUNTIFS('rdv 2018'!A1:A1994,"Lou CHARLES",'rdv 2018'!D1:D1994,"&lt;&gt;*Telepro*",'rdv 2018'!C1:C1994,"&gt;=01-02-2018",'rdv 2018'!C1:C1994,"&lt;01-03-2018")</f>
        <v>1</v>
      </c>
      <c r="F19" s="3">
        <f>COUNTIFS('rdv 2018'!A1:A1994,"Lou CHARLES",'rdv 2018'!D1:D1994,"&lt;&gt;*Telepro*",'rdv 2018'!C1:C1994,"&gt;=01-03-2018",'rdv 2018'!C1:C1994,"&lt;01-04-2018")</f>
        <v>1</v>
      </c>
      <c r="G19" s="3">
        <f>COUNTIFS('rdv 2018'!A1:A1994,"Lou CHARLES",'rdv 2018'!D1:D1994,"&lt;&gt;*Telepro*",'rdv 2018'!C1:C1994,"&gt;=01-04-2018",'rdv 2018'!C1:C1994,"&lt;01-05-2018")</f>
        <v>1</v>
      </c>
      <c r="H19" s="3">
        <f>COUNTIFS('rdv 2018'!A1:A1994,"Lou CHARLES",'rdv 2018'!D1:D1994,"&lt;&gt;*Telepro*",'rdv 2018'!C1:C1994,"&gt;=01-05-2018",'rdv 2018'!C1:C1994,"&lt;01-06-2018")</f>
        <v>1</v>
      </c>
      <c r="I19" s="3">
        <f>COUNTIFS('rdv 2018'!A1:A1994,"Lou CHARLES",'rdv 2018'!D1:D1994,"&lt;&gt;*Telepro*",'rdv 2018'!C1:C1994,"&gt;=01-06-2018",'rdv 2018'!C1:C1994,"&lt;01-07-2018")</f>
        <v>0</v>
      </c>
      <c r="J19" s="3">
        <f>COUNTIFS('rdv 2018'!A1:A1994,"Lou CHARLES",'rdv 2018'!D1:D1994,"&lt;&gt;*Telepro*",'rdv 2018'!C1:C1994,"&gt;=01-07-2018",'rdv 2018'!C1:C1994,"&lt;01-08-2018")</f>
        <v>0</v>
      </c>
      <c r="K19" s="3">
        <f>COUNTIFS('rdv 2018'!A1:A1994,"Lou CHARLES",'rdv 2018'!D1:D1994,"&lt;&gt;*Telepro*",'rdv 2018'!C1:C1994,"&gt;01-08-2018",'rdv 2018'!C1:C1994,"&lt;01-09-2018")</f>
        <v>0</v>
      </c>
      <c r="L19" s="3">
        <f>COUNTIFS('rdv 2018'!A1:A1994,"Lou CHARLES",'rdv 2018'!D1:D1994,"&lt;&gt;*Telepro*",'rdv 2018'!C1:C1994,"&gt;01-09-2018",'rdv 2018'!C1:C1994,"&lt;01-10-2018")</f>
        <v>0</v>
      </c>
      <c r="M19" s="3">
        <f>COUNTIFS('rdv 2018'!A1:A1994,"Lou CHARLES",'rdv 2018'!D1:D1994,"&lt;&gt;*Telepro*",'rdv 2018'!C1:C1994,"&gt;01-10-2018",'rdv 2018'!C1:C1994,"&lt;01-11-2018")</f>
        <v>0</v>
      </c>
      <c r="N19" s="3">
        <f>COUNTIFS('rdv 2018'!A1:A1994,"Lou CHARLES",'rdv 2018'!D1:D1994,"&lt;&gt;*Telepro*",'rdv 2018'!C1:C1994,"&gt;=01-11-2018",'rdv 2018'!C1:C1994,"&lt;01-12-2018")</f>
        <v>0</v>
      </c>
      <c r="O19" s="3">
        <f>COUNTIFS('rdv 2018'!A1:A1994,"Lou CHARLES",'rdv 2018'!D1:D1994,"&lt;&gt;*Telepro*",'rdv 2018'!C1:C1994,"&gt;=01-12-2018",'rdv 2018'!C1:C1994,"&lt;01-01-2018")</f>
        <v>0</v>
      </c>
      <c r="P19" s="3">
        <f t="shared" si="2"/>
        <v>8</v>
      </c>
      <c r="Q19" s="3"/>
    </row>
    <row r="20" spans="1:18" x14ac:dyDescent="0.3">
      <c r="A20" s="1"/>
      <c r="B20" s="1"/>
      <c r="C20" s="10" t="s">
        <v>47</v>
      </c>
      <c r="D20" s="11">
        <f ca="1">SUMPRODUCT(COUNTIFS(INDIRECT("'"&amp;feuilles&amp;"'!A2:A2000"),$B$17,INDIRECT("'"&amp;feuilles&amp;"'!I2:I2000"),"&lt;01-02-2018"))</f>
        <v>1</v>
      </c>
      <c r="E20" s="11">
        <f ca="1">SUMPRODUCT(COUNTIFS(INDIRECT("'"&amp;feuilles&amp;"'!A2:A2000"),$B$17,INDIRECT("'"&amp;feuilles&amp;"'!I2:I2000"),"&gt;01-02-2018",INDIRECT("'"&amp;feuilles&amp;"'!I2:I2000"),"&lt;01-03-2018"))</f>
        <v>3</v>
      </c>
      <c r="F20" s="11">
        <f ca="1">SUMPRODUCT(COUNTIFS(INDIRECT("'"&amp;feuilles&amp;"'!A2:A2000"),$B$17,INDIRECT("'"&amp;feuilles&amp;"'!I2:I2000"),"&gt;01-03-2018",INDIRECT("'"&amp;feuilles&amp;"'!I2:I2000"),"&lt;01-04-2018"))</f>
        <v>0</v>
      </c>
      <c r="G20" s="11">
        <f ca="1">SUMPRODUCT(COUNTIFS(INDIRECT("'"&amp;feuilles&amp;"'!A2:A2000"),$B$17,INDIRECT("'"&amp;feuilles&amp;"'!I2:I2000"),"&gt;01-04-2018",INDIRECT("'"&amp;feuilles&amp;"'!I2:I2000"),"&lt;01-05-2018"))</f>
        <v>1</v>
      </c>
      <c r="H20" s="11">
        <f ca="1">SUMPRODUCT(COUNTIFS(INDIRECT("'"&amp;feuilles&amp;"'!A2:A2000"),$B$17,INDIRECT("'"&amp;feuilles&amp;"'!I2:I2000"),"&gt;01-05-2018",INDIRECT("'"&amp;feuilles&amp;"'!I2:I2000"),"&lt;01-06-2018"))</f>
        <v>0</v>
      </c>
      <c r="I20" s="11">
        <f ca="1">SUMPRODUCT(COUNTIFS(INDIRECT("'"&amp;feuilles&amp;"'!A2:A2000"),$B$17,INDIRECT("'"&amp;feuilles&amp;"'!I2:I2000"),"&gt;01-06-2018",INDIRECT("'"&amp;feuilles&amp;"'!I2:I2000"),"&lt;01-07-2018"))</f>
        <v>0</v>
      </c>
      <c r="J20" s="11">
        <f ca="1">SUMPRODUCT(COUNTIFS(INDIRECT("'"&amp;feuilles&amp;"'!A2:A2000"),$B$17,INDIRECT("'"&amp;feuilles&amp;"'!I2:I2000"),"&gt;01-07-2018",INDIRECT("'"&amp;feuilles&amp;"'!I2:I2000"),"&lt;01-08-2018"))</f>
        <v>0</v>
      </c>
      <c r="K20" s="11">
        <f ca="1">SUMPRODUCT(COUNTIFS(INDIRECT("'"&amp;feuilles&amp;"'!A2:A2000"),$B$17,INDIRECT("'"&amp;feuilles&amp;"'!I2:I2000"),"&gt;01-08-2018",INDIRECT("'"&amp;feuilles&amp;"'!I2:I2000"),"&lt;01-09-2018"))</f>
        <v>0</v>
      </c>
      <c r="L20" s="11">
        <f ca="1">SUMPRODUCT(COUNTIFS(INDIRECT("'"&amp;feuilles&amp;"'!A2:A2000"),$B$17,INDIRECT("'"&amp;feuilles&amp;"'!I2:I2000"),"&gt;01-09-2018",INDIRECT("'"&amp;feuilles&amp;"'!I2:I2000"),"&lt;01-10-2018"))</f>
        <v>0</v>
      </c>
      <c r="M20" s="11">
        <f ca="1">SUMPRODUCT(COUNTIFS(INDIRECT("'"&amp;feuilles&amp;"'!A2:A2000"),$B$17,INDIRECT("'"&amp;feuilles&amp;"'!I2:I2000"),"&gt;01-10-2018",INDIRECT("'"&amp;feuilles&amp;"'!I2:I2000"),"&lt;01-11-2018"))</f>
        <v>0</v>
      </c>
      <c r="N20" s="11">
        <f ca="1">SUMPRODUCT(COUNTIFS(INDIRECT("'"&amp;feuilles&amp;"'!A2:A2000"),$B$17,INDIRECT("'"&amp;feuilles&amp;"'!I2:I2000"),"&gt;01-11-2018",INDIRECT("'"&amp;feuilles&amp;"'!I2:I2000"),"&lt;01-12-2018"))</f>
        <v>0</v>
      </c>
      <c r="O20" s="11">
        <f ca="1">SUMPRODUCT(COUNTIFS(INDIRECT("'"&amp;feuilles&amp;"'!A2:A2000"),$B$17,INDIRECT("'"&amp;feuilles&amp;"'!I2:I2000"),"&gt;01-12-2018",INDIRECT("'"&amp;feuilles&amp;"'!I2:I2000"),"&lt;01-01-2018"))</f>
        <v>0</v>
      </c>
      <c r="P20" s="11">
        <f t="shared" ca="1" si="2"/>
        <v>5</v>
      </c>
      <c r="Q20" s="56">
        <f ca="1">SUM(Q21:Q22)</f>
        <v>6</v>
      </c>
    </row>
    <row r="21" spans="1:18" x14ac:dyDescent="0.3">
      <c r="A21" s="1"/>
      <c r="B21" s="1"/>
      <c r="C21" s="3" t="s">
        <v>48</v>
      </c>
      <c r="D21" s="12">
        <f ca="1">SUMPRODUCT(COUNTIFS(INDIRECT("'"&amp;feuilles&amp;"'!A2:A2000"),$B$17,INDIRECT("'"&amp;feuilles&amp;"'!I2:I2000"),"&lt;01-02-2018",INDIRECT("'"&amp;feuilles&amp;"'!D2:D2000"),"*Telepro R1*"))</f>
        <v>0</v>
      </c>
      <c r="E21" s="39">
        <f ca="1">SUMPRODUCT(COUNTIFS(INDIRECT("'"&amp;feuilles&amp;"'!A2:A2000"),$B$17,INDIRECT("'"&amp;feuilles&amp;"'!I2:I2000"),"&gt;01-02-2018",INDIRECT("'"&amp;feuilles&amp;"'!I2:I2000"),"&lt;01-03-2018",INDIRECT("'"&amp;feuilles&amp;"'!D2:D2000"),"*Telepro R1*"))</f>
        <v>1</v>
      </c>
      <c r="F21" s="39">
        <f ca="1">SUMPRODUCT(COUNTIFS(INDIRECT("'"&amp;feuilles&amp;"'!A2:A2000"),$B$17,INDIRECT("'"&amp;feuilles&amp;"'!I2:I2000"),"&gt;01-03-2018",INDIRECT("'"&amp;feuilles&amp;"'!I2:I2000"),"&lt;01-04-2018",INDIRECT("'"&amp;feuilles&amp;"'!D2:D2000"),"*Telepro R1*"))</f>
        <v>0</v>
      </c>
      <c r="G21" s="39">
        <f ca="1">SUMPRODUCT(COUNTIFS(INDIRECT("'"&amp;feuilles&amp;"'!A2:A2000"),$B$17,INDIRECT("'"&amp;feuilles&amp;"'!I2:I2000"),"&gt;01-04-2018",INDIRECT("'"&amp;feuilles&amp;"'!I2:I2000"),"&lt;01-05-2018",INDIRECT("'"&amp;feuilles&amp;"'!D2:D2000"),"*Telepro R1*"))</f>
        <v>1</v>
      </c>
      <c r="H21" s="39">
        <f ca="1">SUMPRODUCT(COUNTIFS(INDIRECT("'"&amp;feuilles&amp;"'!A2:A2000"),$B$17,INDIRECT("'"&amp;feuilles&amp;"'!I2:I2000"),"&gt;01-05-2018",INDIRECT("'"&amp;feuilles&amp;"'!I2:I2000"),"&lt;01-06-2018",INDIRECT("'"&amp;feuilles&amp;"'!D2:D2000"),"*Telepro R1*"))</f>
        <v>0</v>
      </c>
      <c r="I21" s="39">
        <f ca="1">SUMPRODUCT(COUNTIFS(INDIRECT("'"&amp;feuilles&amp;"'!A2:A2000"),$B$17,INDIRECT("'"&amp;feuilles&amp;"'!I2:I2000"),"&gt;01-06-2018",INDIRECT("'"&amp;feuilles&amp;"'!I2:I2000"),"&lt;01-07-2018",INDIRECT("'"&amp;feuilles&amp;"'!D2:D2000"),"*Telepro R1*"))</f>
        <v>0</v>
      </c>
      <c r="J21" s="39">
        <f ca="1">SUMPRODUCT(COUNTIFS(INDIRECT("'"&amp;feuilles&amp;"'!A2:A2000"),$B$17,INDIRECT("'"&amp;feuilles&amp;"'!I2:I2000"),"&gt;01-07-2018",INDIRECT("'"&amp;feuilles&amp;"'!I2:I2000"),"&lt;01-08-2018",INDIRECT("'"&amp;feuilles&amp;"'!D2:D2000"),"*Telepro R1*"))</f>
        <v>0</v>
      </c>
      <c r="K21" s="39">
        <f ca="1">SUMPRODUCT(COUNTIFS(INDIRECT("'"&amp;feuilles&amp;"'!A2:A2000"),$B$17,INDIRECT("'"&amp;feuilles&amp;"'!I2:I2000"),"&gt;01-08-2018",INDIRECT("'"&amp;feuilles&amp;"'!I2:I2000"),"&lt;01-09-2018",INDIRECT("'"&amp;feuilles&amp;"'!D2:D2000"),"*Telepro R1*"))</f>
        <v>0</v>
      </c>
      <c r="L21" s="39">
        <f ca="1">SUMPRODUCT(COUNTIFS(INDIRECT("'"&amp;feuilles&amp;"'!A2:A2000"),$B$17,INDIRECT("'"&amp;feuilles&amp;"'!I2:I2000"),"&gt;01-09-2018",INDIRECT("'"&amp;feuilles&amp;"'!I2:I2000"),"&lt;01-10-2018",INDIRECT("'"&amp;feuilles&amp;"'!D2:D2000"),"*Telepro R1*"))</f>
        <v>0</v>
      </c>
      <c r="M21" s="39">
        <f ca="1">SUMPRODUCT(COUNTIFS(INDIRECT("'"&amp;feuilles&amp;"'!A2:A2000"),$B$17,INDIRECT("'"&amp;feuilles&amp;"'!I2:I2000"),"&gt;01-10-2018",INDIRECT("'"&amp;feuilles&amp;"'!I2:I2000"),"&lt;01-11-2018",INDIRECT("'"&amp;feuilles&amp;"'!D2:D2000"),"*Telepro R1*"))</f>
        <v>0</v>
      </c>
      <c r="N21" s="39">
        <f ca="1">SUMPRODUCT(COUNTIFS(INDIRECT("'"&amp;feuilles&amp;"'!A2:A2000"),$B$17,INDIRECT("'"&amp;feuilles&amp;"'!I2:I2000"),"&gt;01-11-2018",INDIRECT("'"&amp;feuilles&amp;"'!I2:I2000"),"&lt;01-12-2018",INDIRECT("'"&amp;feuilles&amp;"'!D2:D2000"),"*Telepro R1*"))</f>
        <v>0</v>
      </c>
      <c r="O21" s="39">
        <f ca="1">SUMPRODUCT(COUNTIFS(INDIRECT("'"&amp;feuilles&amp;"'!A2:A2000"),$B$17,INDIRECT("'"&amp;feuilles&amp;"'!I2:I2000"),"&gt;01-12-2018",INDIRECT("'"&amp;feuilles&amp;"'!I2:I2000"),"&lt;01-01-2018",INDIRECT("'"&amp;feuilles&amp;"'!D2:D2000"),"*Telepro R1*"))</f>
        <v>0</v>
      </c>
      <c r="P21" s="12">
        <f t="shared" ca="1" si="2"/>
        <v>2</v>
      </c>
      <c r="Q21" s="12">
        <f ca="1">SUMPRODUCT(COUNTIFS(INDIRECT("'"&amp;feuilles&amp;"'!A2:A2000"),$B$17,INDIRECT("'"&amp;feuilles&amp;"'!H2:H2000"),"&gt;01-01-2018",INDIRECT("'"&amp;feuilles&amp;"'!H2:H2000"),"&lt;01-01-2019",INDIRECT("'"&amp;feuilles&amp;"'!D2:D2000"),"*Telepro R1*"))</f>
        <v>3</v>
      </c>
    </row>
    <row r="22" spans="1:18" x14ac:dyDescent="0.3">
      <c r="A22" s="1"/>
      <c r="B22" s="1"/>
      <c r="C22" s="3" t="s">
        <v>49</v>
      </c>
      <c r="D22" s="12">
        <f ca="1">SUMPRODUCT(COUNTIFS(INDIRECT("'"&amp;feuilles&amp;"'!A2:A2000"),$B$17,INDIRECT("'"&amp;feuilles&amp;"'!I2:I2000"),"&lt;01-02-2018",INDIRECT("'"&amp;feuilles&amp;"'!D2:D2000"),"&lt;&gt;*Telepro R1*"))</f>
        <v>1</v>
      </c>
      <c r="E22" s="39">
        <f ca="1">SUMPRODUCT(COUNTIFS(INDIRECT("'"&amp;feuilles&amp;"'!A2:A2000"),$B$17,INDIRECT("'"&amp;feuilles&amp;"'!I2:I2000"),"&gt;01-02-2018",INDIRECT("'"&amp;feuilles&amp;"'!I2:I2000"),"&lt;01-03-2018",INDIRECT("'"&amp;feuilles&amp;"'!D2:D2000"),"&lt;&gt;*Telepro R1*"))</f>
        <v>2</v>
      </c>
      <c r="F22" s="39">
        <f ca="1">SUMPRODUCT(COUNTIFS(INDIRECT("'"&amp;feuilles&amp;"'!A2:A2000"),$B$17,INDIRECT("'"&amp;feuilles&amp;"'!I2:I2000"),"&gt;01-03-2018",INDIRECT("'"&amp;feuilles&amp;"'!I2:I2000"),"&lt;01-04-2018",INDIRECT("'"&amp;feuilles&amp;"'!D2:D2000"),"&lt;&gt;*Telepro R1*"))</f>
        <v>0</v>
      </c>
      <c r="G22" s="39">
        <f ca="1">SUMPRODUCT(COUNTIFS(INDIRECT("'"&amp;feuilles&amp;"'!A2:A2000"),$B$17,INDIRECT("'"&amp;feuilles&amp;"'!I2:I2000"),"&gt;01-04-2018",INDIRECT("'"&amp;feuilles&amp;"'!I2:I2000"),"&lt;01-05-2018",INDIRECT("'"&amp;feuilles&amp;"'!D2:D2000"),"&lt;&gt;*Telepro R1*"))</f>
        <v>0</v>
      </c>
      <c r="H22" s="39">
        <f ca="1">SUMPRODUCT(COUNTIFS(INDIRECT("'"&amp;feuilles&amp;"'!A2:A2000"),$B$17,INDIRECT("'"&amp;feuilles&amp;"'!I2:I2000"),"&gt;01-05-2018",INDIRECT("'"&amp;feuilles&amp;"'!I2:I2000"),"&lt;01-06-2018",INDIRECT("'"&amp;feuilles&amp;"'!D2:D2000"),"&lt;&gt;*Telepro R1*"))</f>
        <v>0</v>
      </c>
      <c r="I22" s="39">
        <f ca="1">SUMPRODUCT(COUNTIFS(INDIRECT("'"&amp;feuilles&amp;"'!A2:A2000"),$B$17,INDIRECT("'"&amp;feuilles&amp;"'!I2:I2000"),"&gt;01-06-2018",INDIRECT("'"&amp;feuilles&amp;"'!I2:I2000"),"&lt;01-07-2018",INDIRECT("'"&amp;feuilles&amp;"'!D2:D2000"),"&lt;&gt;*Telepro R1*"))</f>
        <v>0</v>
      </c>
      <c r="J22" s="39">
        <f ca="1">SUMPRODUCT(COUNTIFS(INDIRECT("'"&amp;feuilles&amp;"'!A2:A2000"),$B$17,INDIRECT("'"&amp;feuilles&amp;"'!I2:I2000"),"&gt;01-07-2018",INDIRECT("'"&amp;feuilles&amp;"'!I2:I2000"),"&lt;01-08-2018",INDIRECT("'"&amp;feuilles&amp;"'!D2:D2000"),"&lt;&gt;*Telepro R1*"))</f>
        <v>0</v>
      </c>
      <c r="K22" s="39">
        <f ca="1">SUMPRODUCT(COUNTIFS(INDIRECT("'"&amp;feuilles&amp;"'!A2:A2000"),$B$17,INDIRECT("'"&amp;feuilles&amp;"'!I2:I2000"),"&gt;01-08-2018",INDIRECT("'"&amp;feuilles&amp;"'!I2:I2000"),"&lt;01-09-2018",INDIRECT("'"&amp;feuilles&amp;"'!D2:D2000"),"&lt;&gt;*Telepro R1*"))</f>
        <v>0</v>
      </c>
      <c r="L22" s="39">
        <f ca="1">SUMPRODUCT(COUNTIFS(INDIRECT("'"&amp;feuilles&amp;"'!A2:A2000"),$B$17,INDIRECT("'"&amp;feuilles&amp;"'!I2:I2000"),"&gt;01-09-2018",INDIRECT("'"&amp;feuilles&amp;"'!I2:I2000"),"&lt;01-10-2018",INDIRECT("'"&amp;feuilles&amp;"'!D2:D2000"),"&lt;&gt;*Telepro R1*"))</f>
        <v>0</v>
      </c>
      <c r="M22" s="39">
        <f ca="1">SUMPRODUCT(COUNTIFS(INDIRECT("'"&amp;feuilles&amp;"'!A2:A2000"),$B$17,INDIRECT("'"&amp;feuilles&amp;"'!I2:I2000"),"&gt;01-10-2018",INDIRECT("'"&amp;feuilles&amp;"'!I2:I2000"),"&lt;01-11-2018",INDIRECT("'"&amp;feuilles&amp;"'!D2:D2000"),"&lt;&gt;*Telepro R1*"))</f>
        <v>0</v>
      </c>
      <c r="N22" s="39">
        <f ca="1">SUMPRODUCT(COUNTIFS(INDIRECT("'"&amp;feuilles&amp;"'!A2:A2000"),$B$17,INDIRECT("'"&amp;feuilles&amp;"'!I2:I2000"),"&gt;01-11-2018",INDIRECT("'"&amp;feuilles&amp;"'!I2:I2000"),"&lt;01-12-2018",INDIRECT("'"&amp;feuilles&amp;"'!D2:D2000"),"&lt;&gt;*Telepro R1*"))</f>
        <v>0</v>
      </c>
      <c r="O22" s="39">
        <f ca="1">SUMPRODUCT(COUNTIFS(INDIRECT("'"&amp;feuilles&amp;"'!A2:A2000"),$B$17,INDIRECT("'"&amp;feuilles&amp;"'!I2:I2000"),"&gt;01-12-2018",INDIRECT("'"&amp;feuilles&amp;"'!I2:I2000"),"&lt;01-01-2018",INDIRECT("'"&amp;feuilles&amp;"'!D2:D2000"),"&lt;&gt;*Telepro R1*"))</f>
        <v>0</v>
      </c>
      <c r="P22" s="12">
        <f t="shared" ca="1" si="2"/>
        <v>3</v>
      </c>
      <c r="Q22" s="12">
        <f ca="1">SUMPRODUCT(COUNTIFS(INDIRECT("'"&amp;feuilles&amp;"'!A2:A2000"),$B$17,INDIRECT("'"&amp;feuilles&amp;"'!H2:H2000"),"&gt;=01-01-2018",INDIRECT("'"&amp;feuilles&amp;"'!H2:H2000"),"&lt;01-01-2019",INDIRECT("'"&amp;feuilles&amp;"'!D2:D2000"),"&lt;&gt;*Telepro R1*"))</f>
        <v>3</v>
      </c>
    </row>
    <row r="23" spans="1:18" x14ac:dyDescent="0.3">
      <c r="B23" s="7"/>
      <c r="C23" s="7"/>
      <c r="D23" s="7"/>
      <c r="E23" s="7"/>
      <c r="F23" s="7"/>
      <c r="G23" s="7"/>
      <c r="H23" s="7"/>
      <c r="I23" s="7"/>
      <c r="J23" s="7"/>
      <c r="K23" s="6"/>
      <c r="L23" s="7"/>
      <c r="M23" s="7"/>
      <c r="N23" s="7"/>
      <c r="O23" s="7"/>
      <c r="P23" s="7"/>
      <c r="Q23" s="7"/>
      <c r="R23" s="13"/>
    </row>
    <row r="24" spans="1:18" x14ac:dyDescent="0.3">
      <c r="A24" s="1" t="s">
        <v>41</v>
      </c>
      <c r="B24" s="5" t="s">
        <v>105</v>
      </c>
      <c r="C24" s="1"/>
      <c r="D24" s="5">
        <f>SUMPRODUCT(('rdv 2018'!A1:A2994="Sami NICOLAS")*('rdv 2018'!C1:C2994&gt;=DATEVALUE("01-01-2018"))*('rdv 2018'!C1:C2994&lt;DATEVALUE("01-02-2018")))</f>
        <v>5</v>
      </c>
      <c r="E24" s="5">
        <f>SUMPRODUCT(('rdv 2018'!A1:A2994="Sami NICOLAS")*('rdv 2018'!C1:C2994&gt;=DATEVALUE("01-02-2018"))*('rdv 2018'!C1:C2994&lt;DATEVALUE("01-03-2018")))</f>
        <v>6</v>
      </c>
      <c r="F24" s="5">
        <f>SUMPRODUCT(('rdv 2018'!A1:A2994="Sami NICOLAS")*('rdv 2018'!C1:C2994&gt;=DATEVALUE("01-03-2018"))*('rdv 2018'!C1:C2994&lt;DATEVALUE("01-04-2018")))</f>
        <v>12</v>
      </c>
      <c r="G24" s="5">
        <f>SUMPRODUCT(('rdv 2018'!A1:A2994="Sami NICOLAS")*('rdv 2018'!C1:C2994&gt;=DATEVALUE("01-04-2018"))*('rdv 2018'!C1:C2994&lt;DATEVALUE("01-05-2018")))</f>
        <v>9</v>
      </c>
      <c r="H24" s="5">
        <f>SUMPRODUCT(('rdv 2018'!A1:A2994="Sami NICOLAS")*('rdv 2018'!C1:C2994&gt;=DATEVALUE("01-05-2018"))*('rdv 2018'!C1:C2994&lt;DATEVALUE("01-06-2018")))</f>
        <v>5</v>
      </c>
      <c r="I24" s="5">
        <f>SUMPRODUCT(('rdv 2018'!A1:A2994="Sami NICOLAS")*('rdv 2018'!C1:C2994&gt;=DATEVALUE("01-06-2018"))*('rdv 2018'!C1:C2994&lt;DATEVALUE("01-07-2018")))</f>
        <v>8</v>
      </c>
      <c r="J24" s="5">
        <f>SUMPRODUCT(('rdv 2018'!A1:A2994="Sami NICOLAS")*('rdv 2018'!C1:C2994&gt;=DATEVALUE("01-07-2018"))*('rdv 2018'!C1:C2994&lt;DATEVALUE("01-08-2018")))</f>
        <v>0</v>
      </c>
      <c r="K24" s="5">
        <f>SUMPRODUCT(('rdv 2018'!A1:A2994="Sami NICOLAS")*('rdv 2018'!C1:C2994&gt;=DATEVALUE("01-08-2018"))*('rdv 2018'!C1:C2994&lt;=DATEVALUE("01-09-2018")))</f>
        <v>0</v>
      </c>
      <c r="L24" s="5">
        <f>SUMPRODUCT(('rdv 2018'!A1:A2994="Sami NICOLAS")*('rdv 2018'!C1:C2994&gt;=DATEVALUE("01-09-2018"))*('rdv 2018'!C1:C2994&lt;=DATEVALUE("01-10-2018")))</f>
        <v>0</v>
      </c>
      <c r="M24" s="5">
        <f>SUMPRODUCT(('rdv 2018'!A1:A2994="Sami NICOLAS")*('rdv 2018'!C1:C2994&gt;=DATEVALUE("01-10-2018"))*('rdv 2018'!C1:C2994&lt;=DATEVALUE("01-11-2018")))</f>
        <v>0</v>
      </c>
      <c r="N24" s="5">
        <f>SUMPRODUCT(('rdv 2018'!A1:A2994="Sami NICOLAS")*('rdv 2018'!C1:C2994&gt;=DATEVALUE("01-11-2018"))*('rdv 2018'!C1:C2994&lt;DATEVALUE("01-12-2018")))</f>
        <v>0</v>
      </c>
      <c r="O24" s="5">
        <f>SUMPRODUCT(('rdv 2018'!A1:A2994="Sami NICOLAS")*('rdv 2018'!C1:C2994&gt;=DATEVALUE("01-12-2018"))*('rdv 2018'!C1:C2994&lt;DATEVALUE("01-01-2018")))</f>
        <v>0</v>
      </c>
      <c r="P24" s="5">
        <f t="shared" ref="P24:P29" si="3">SUM(D24:O24)</f>
        <v>45</v>
      </c>
      <c r="Q24" s="3"/>
    </row>
    <row r="25" spans="1:18" x14ac:dyDescent="0.3">
      <c r="C25" s="3" t="s">
        <v>46</v>
      </c>
      <c r="D25" s="3">
        <f>COUNTIFS('rdv 2018'!A1:A1994,"Sami NICOLAS",'rdv 2018'!D1:D1994,"*Telepro R1*",'rdv 2018'!C1:C1994,"&gt;01-01-2018",'rdv 2018'!C1:C1994,"&lt;01-02-2018")</f>
        <v>5</v>
      </c>
      <c r="E25" s="3">
        <f>COUNTIFS('rdv 2018'!A1:A1994,"Sami NICOLAS",'rdv 2018'!D1:D1994,"*Telepro R1*",'rdv 2018'!C1:C1994,"&gt;=01-02-2018",'rdv 2018'!C1:C1994,"&lt;01-03-2018")</f>
        <v>4</v>
      </c>
      <c r="F25" s="3">
        <f>COUNTIFS('rdv 2018'!A1:A1994,"Sami NICOLAS",'rdv 2018'!D1:D1994,"*Telepro R1*",'rdv 2018'!C1:C1994,"&gt;=01-03-2018",'rdv 2018'!C1:C1994,"&lt;01-04-2018")</f>
        <v>12</v>
      </c>
      <c r="G25" s="3">
        <f>COUNTIFS('rdv 2018'!A1:A1994,"Sami NICOLAS",'rdv 2018'!D1:D1994,"*Telepro R1*",'rdv 2018'!C1:C1994,"&gt;=01-04-2018",'rdv 2018'!C1:C1994,"&lt;01-5-2018")</f>
        <v>8</v>
      </c>
      <c r="H25" s="3">
        <f>COUNTIFS('rdv 2018'!A1:A1994,"Sami NICOLAS",'rdv 2018'!D1:D1994,"*Telepro R1*",'rdv 2018'!C1:C1994,"&gt;=01-05-2018",'rdv 2018'!C1:C1994,"&lt;01-06-2018")</f>
        <v>5</v>
      </c>
      <c r="I25" s="3">
        <f>COUNTIFS('rdv 2018'!A1:A1994,"Sami NICOLAS",'rdv 2018'!D1:D1994,"*Telepro R1*",'rdv 2018'!C1:C1994,"&gt;=01-06-2018",'rdv 2018'!C1:C1994,"&lt;01-07-2018")</f>
        <v>8</v>
      </c>
      <c r="J25" s="3">
        <f>COUNTIFS('rdv 2018'!A1:A1994,"Sami NICOLAS",'rdv 2018'!D1:D1994,"*Telepro R1*",'rdv 2018'!C1:C1994,"&gt;=01-07-2018",'rdv 2018'!C1:C1994,"&lt;01-08-2018")</f>
        <v>0</v>
      </c>
      <c r="K25" s="3">
        <f>COUNTIFS('rdv 2018'!A1:A1994,"Sami NICOLAS",'rdv 2018'!D1:D1994,"*Telepro R1*",'rdv 2018'!C1:C1994,"&gt;=01-08-2018",'rdv 2018'!C1:C1994,"&lt;01-09-2018")</f>
        <v>0</v>
      </c>
      <c r="L25" s="3">
        <f>COUNTIFS('rdv 2018'!A1:A1994,"Sami NICOLAS",'rdv 2018'!D1:D1994,"*Telepro R1*",'rdv 2018'!C1:C1994,"&gt;=01-09-2018",'rdv 2018'!C1:C1994,"&lt;01-10-2018")</f>
        <v>0</v>
      </c>
      <c r="M25" s="3">
        <f>COUNTIFS('rdv 2018'!A1:A1994,"Sami NICOLAS",'rdv 2018'!D1:D1994,"*Telepro R1*",'rdv 2018'!C1:C1994,"&gt;=01-10-2018",'rdv 2018'!C1:C1994,"&lt;01-11-2018")</f>
        <v>0</v>
      </c>
      <c r="N25" s="3">
        <f>COUNTIFS('rdv 2018'!A1:A1994,"Sami NICOLAS",'rdv 2018'!D1:D1994,"*Telepro R1*",'rdv 2018'!C1:C1994,"&gt;=01-11-2018",'rdv 2018'!C1:C1994,"&lt;01-12-2018")</f>
        <v>0</v>
      </c>
      <c r="O25" s="3">
        <f>COUNTIFS('rdv 2018'!A1:A1994,"Sami NICOLAS",'rdv 2018'!D1:D1994,"*Telepro R1*",'rdv 2018'!C1:C1994,"&gt;=01-12-2018",'rdv 2018'!C1:C1994,"&lt;01-01-2018")</f>
        <v>0</v>
      </c>
      <c r="P25" s="3">
        <f t="shared" si="3"/>
        <v>42</v>
      </c>
    </row>
    <row r="26" spans="1:18" x14ac:dyDescent="0.3">
      <c r="C26" s="3" t="s">
        <v>28</v>
      </c>
      <c r="D26" s="3">
        <f>COUNTIFS('rdv 2018'!A1:A1994,"Sami NICOLAS",'rdv 2018'!D1:D1994,"&lt;&gt;*Telepro*",'rdv 2018'!C1:C1994,"&gt;01-01-2018",'rdv 2018'!C1:C1994,"&lt;01-02-2018")</f>
        <v>0</v>
      </c>
      <c r="E26" s="3">
        <f>COUNTIFS('rdv 2018'!A1:A1994,"Sami NICOLAS",'rdv 2018'!D1:D1994,"&lt;&gt;*Telepro*",'rdv 2018'!C1:C1994,"&gt;=01-02-2018",'rdv 2018'!C1:C1994,"&lt;01-03-2018")</f>
        <v>2</v>
      </c>
      <c r="F26" s="3">
        <f>COUNTIFS('rdv 2018'!A1:A1994,"Sami NICOLAS",'rdv 2018'!D1:D1994,"&lt;&gt;*Telepro*",'rdv 2018'!C1:C1994,"&gt;=01-03-2018",'rdv 2018'!C1:C1994,"&lt;01-04-2018")</f>
        <v>0</v>
      </c>
      <c r="G26" s="3">
        <f>COUNTIFS('rdv 2018'!A1:A1994,"Sami NICOLAS",'rdv 2018'!D1:D1994,"&lt;&gt;*Telepro*",'rdv 2018'!C1:C1994,"&gt;=01-04-2018",'rdv 2018'!C1:C1994,"&lt;01-05-2018")</f>
        <v>1</v>
      </c>
      <c r="H26" s="3">
        <f>COUNTIFS('rdv 2018'!A1:A1994,"Sami NICOLAS",'rdv 2018'!D1:D1994,"&lt;&gt;*Telepro*",'rdv 2018'!C1:C1994,"&gt;=01-05-2018",'rdv 2018'!C1:C1994,"&lt;01-06-2018")</f>
        <v>0</v>
      </c>
      <c r="I26" s="3">
        <f>COUNTIFS('rdv 2018'!A1:A1994,"Sami NICOLAS",'rdv 2018'!D1:D1994,"&lt;&gt;*Telepro*",'rdv 2018'!C1:C1994,"&gt;=01-06-2018",'rdv 2018'!C1:C1994,"&lt;01-07-2018")</f>
        <v>0</v>
      </c>
      <c r="J26" s="3">
        <f>COUNTIFS('rdv 2018'!A1:A1994,"Sami NICOLAS",'rdv 2018'!D1:D1994,"&lt;&gt;*Telepro*",'rdv 2018'!C1:C1994,"&gt;=01-07-2018",'rdv 2018'!C1:C1994,"&lt;01-08-2018")</f>
        <v>0</v>
      </c>
      <c r="K26" s="3">
        <f>COUNTIFS('rdv 2018'!A1:A1994,"Sami NICOLAS",'rdv 2018'!D1:D1994,"&lt;&gt;*Telepro*",'rdv 2018'!C1:C1994,"&gt;01-08-2018",'rdv 2018'!C1:C1994,"&lt;01-09-2018")</f>
        <v>0</v>
      </c>
      <c r="L26" s="3">
        <f>COUNTIFS('rdv 2018'!A1:A1994,"Sami NICOLAS",'rdv 2018'!D1:D1994,"&lt;&gt;*Telepro*",'rdv 2018'!C1:C1994,"&gt;01-09-2018",'rdv 2018'!C1:C1994,"&lt;01-10-2018")</f>
        <v>0</v>
      </c>
      <c r="M26" s="3">
        <f>COUNTIFS('rdv 2018'!A1:A1994,"Sami NICOLAS",'rdv 2018'!D1:D1994,"&lt;&gt;*Telepro*",'rdv 2018'!C1:C1994,"&gt;01-10-2018",'rdv 2018'!C1:C1994,"&lt;01-11-2018")</f>
        <v>0</v>
      </c>
      <c r="N26" s="3">
        <f>COUNTIFS('rdv 2018'!A1:A1994,"Sami NICOLAS",'rdv 2018'!D1:D1994,"&lt;&gt;*Telepro*",'rdv 2018'!C1:C1994,"&gt;=01-11-2018",'rdv 2018'!C1:C1994,"&lt;01-12-2018")</f>
        <v>0</v>
      </c>
      <c r="O26" s="3">
        <f>COUNTIFS('rdv 2018'!A1:A1994,"Sami NICOLAS",'rdv 2018'!D1:D1994,"&lt;&gt;*Telepro*",'rdv 2018'!C1:C1994,"&gt;=01-12-2018",'rdv 2018'!C1:C1994,"&lt;01-01-2018")</f>
        <v>0</v>
      </c>
      <c r="P26" s="3">
        <f t="shared" si="3"/>
        <v>3</v>
      </c>
    </row>
    <row r="27" spans="1:18" x14ac:dyDescent="0.3">
      <c r="C27" s="10" t="s">
        <v>47</v>
      </c>
      <c r="D27" s="11">
        <f ca="1">SUMPRODUCT(COUNTIFS(INDIRECT("'"&amp;feuilles&amp;"'!A2:A2000"),$B$24,INDIRECT("'"&amp;feuilles&amp;"'!I2:I2000"),"&lt;01-02-2018"))</f>
        <v>0</v>
      </c>
      <c r="E27" s="11">
        <f ca="1">SUMPRODUCT(COUNTIFS(INDIRECT("'"&amp;feuilles&amp;"'!A2:A2000"),$B$24,INDIRECT("'"&amp;feuilles&amp;"'!I2:I2000"),"&gt;01-02-2018",INDIRECT("'"&amp;feuilles&amp;"'!I2:I2000"),"&lt;01-03-2018"))</f>
        <v>2</v>
      </c>
      <c r="F27" s="11">
        <f ca="1">SUMPRODUCT(COUNTIFS(INDIRECT("'"&amp;feuilles&amp;"'!A2:A2000"),$B$24,INDIRECT("'"&amp;feuilles&amp;"'!I2:I2000"),"&gt;01-03-2018",INDIRECT("'"&amp;feuilles&amp;"'!I2:I2000"),"&lt;01-04-2018"))</f>
        <v>0</v>
      </c>
      <c r="G27" s="11">
        <f ca="1">SUMPRODUCT(COUNTIFS(INDIRECT("'"&amp;feuilles&amp;"'!A2:A2000"),$B$24,INDIRECT("'"&amp;feuilles&amp;"'!I2:I2000"),"&gt;01-04-2018",INDIRECT("'"&amp;feuilles&amp;"'!I2:I2000"),"&lt;01-05-2018"))</f>
        <v>1</v>
      </c>
      <c r="H27" s="11">
        <f ca="1">SUMPRODUCT(COUNTIFS(INDIRECT("'"&amp;feuilles&amp;"'!A2:A2000"),$B$24,INDIRECT("'"&amp;feuilles&amp;"'!I2:I2000"),"&gt;01-05-2018",INDIRECT("'"&amp;feuilles&amp;"'!I2:I2000"),"&lt;01-06-2018"))</f>
        <v>1</v>
      </c>
      <c r="I27" s="11">
        <f ca="1">SUMPRODUCT(COUNTIFS(INDIRECT("'"&amp;feuilles&amp;"'!A2:A2000"),$B$24,INDIRECT("'"&amp;feuilles&amp;"'!I2:I2000"),"&gt;01-06-2018",INDIRECT("'"&amp;feuilles&amp;"'!I2:I2000"),"&lt;01-07-2018"))</f>
        <v>0</v>
      </c>
      <c r="J27" s="11">
        <f ca="1">SUMPRODUCT(COUNTIFS(INDIRECT("'"&amp;feuilles&amp;"'!A2:A2000"),$B$24,INDIRECT("'"&amp;feuilles&amp;"'!I2:I2000"),"&gt;01-07-2018",INDIRECT("'"&amp;feuilles&amp;"'!I2:I2000"),"&lt;01-08-2018"))</f>
        <v>0</v>
      </c>
      <c r="K27" s="11">
        <f ca="1">SUMPRODUCT(COUNTIFS(INDIRECT("'"&amp;feuilles&amp;"'!A2:A2000"),$B$24,INDIRECT("'"&amp;feuilles&amp;"'!I2:I2000"),"&gt;01-08-2018",INDIRECT("'"&amp;feuilles&amp;"'!I2:I2000"),"&lt;01-09-2018"))</f>
        <v>0</v>
      </c>
      <c r="L27" s="11">
        <f ca="1">SUMPRODUCT(COUNTIFS(INDIRECT("'"&amp;feuilles&amp;"'!A2:A2000"),$B$24,INDIRECT("'"&amp;feuilles&amp;"'!I2:I2000"),"&gt;01-09-2018",INDIRECT("'"&amp;feuilles&amp;"'!I2:I2000"),"&lt;01-10-2018"))</f>
        <v>0</v>
      </c>
      <c r="M27" s="11">
        <f ca="1">SUMPRODUCT(COUNTIFS(INDIRECT("'"&amp;feuilles&amp;"'!A2:A2000"),$B$24,INDIRECT("'"&amp;feuilles&amp;"'!I2:I2000"),"&gt;01-10-2018",INDIRECT("'"&amp;feuilles&amp;"'!I2:I2000"),"&lt;01-11-2018"))</f>
        <v>0</v>
      </c>
      <c r="N27" s="11">
        <f ca="1">SUMPRODUCT(COUNTIFS(INDIRECT("'"&amp;feuilles&amp;"'!A2:A2000"),$B$24,INDIRECT("'"&amp;feuilles&amp;"'!I2:I2000"),"&gt;01-11-2018",INDIRECT("'"&amp;feuilles&amp;"'!I2:I2000"),"&lt;01-12-2018"))</f>
        <v>0</v>
      </c>
      <c r="O27" s="11">
        <f ca="1">SUMPRODUCT(COUNTIFS(INDIRECT("'"&amp;feuilles&amp;"'!A2:A2000"),$B$24,INDIRECT("'"&amp;feuilles&amp;"'!I2:I2000"),"&gt;01-12-2018",INDIRECT("'"&amp;feuilles&amp;"'!I2:I2000"),"&lt;01-01-2018"))</f>
        <v>0</v>
      </c>
      <c r="P27" s="11">
        <f t="shared" ca="1" si="3"/>
        <v>4</v>
      </c>
      <c r="Q27" s="57">
        <f ca="1">SUM(Q28:Q29)</f>
        <v>5</v>
      </c>
    </row>
    <row r="28" spans="1:18" x14ac:dyDescent="0.3">
      <c r="C28" s="3" t="s">
        <v>48</v>
      </c>
      <c r="D28" s="12">
        <f ca="1">SUMPRODUCT(COUNTIFS(INDIRECT("'"&amp;feuilles&amp;"'!A2:A2000"),$B$24,INDIRECT("'"&amp;feuilles&amp;"'!I2:I2000"),"&lt;01-02-2018",INDIRECT("'"&amp;feuilles&amp;"'!D2:D2000"),"*Telepro R1*"))</f>
        <v>0</v>
      </c>
      <c r="E28" s="39">
        <f ca="1">SUMPRODUCT(COUNTIFS(INDIRECT("'"&amp;feuilles&amp;"'!A2:A2000"),$B$24,INDIRECT("'"&amp;feuilles&amp;"'!I2:I2000"),"&gt;01-02-2018",INDIRECT("'"&amp;feuilles&amp;"'!I2:I2000"),"&lt;01-03-2018",INDIRECT("'"&amp;feuilles&amp;"'!D2:D2000"),"*Telepro R1*"))</f>
        <v>1</v>
      </c>
      <c r="F28" s="39">
        <f ca="1">SUMPRODUCT(COUNTIFS(INDIRECT("'"&amp;feuilles&amp;"'!A2:A2000"),$B$24,INDIRECT("'"&amp;feuilles&amp;"'!I2:I2000"),"&gt;01-03-2018",INDIRECT("'"&amp;feuilles&amp;"'!I2:I2000"),"&lt;01-04-2018",INDIRECT("'"&amp;feuilles&amp;"'!D2:D2000"),"*Telepro R1*"))</f>
        <v>0</v>
      </c>
      <c r="G28" s="39">
        <f ca="1">SUMPRODUCT(COUNTIFS(INDIRECT("'"&amp;feuilles&amp;"'!A2:A2000"),$B$24,INDIRECT("'"&amp;feuilles&amp;"'!I2:I2000"),"&gt;01-04-2018",INDIRECT("'"&amp;feuilles&amp;"'!I2:I2000"),"&lt;01-05-2018",INDIRECT("'"&amp;feuilles&amp;"'!D2:D2000"),"*Telepro R1*"))</f>
        <v>1</v>
      </c>
      <c r="H28" s="39">
        <f ca="1">SUMPRODUCT(COUNTIFS(INDIRECT("'"&amp;feuilles&amp;"'!A2:A2000"),$B$24,INDIRECT("'"&amp;feuilles&amp;"'!I2:I2000"),"&gt;01-05-2018",INDIRECT("'"&amp;feuilles&amp;"'!I2:I2000"),"&lt;01-06-2018",INDIRECT("'"&amp;feuilles&amp;"'!D2:D2000"),"*Telepro R1*"))</f>
        <v>1</v>
      </c>
      <c r="I28" s="39">
        <f ca="1">SUMPRODUCT(COUNTIFS(INDIRECT("'"&amp;feuilles&amp;"'!A2:A2000"),$B$24,INDIRECT("'"&amp;feuilles&amp;"'!I2:I2000"),"&gt;01-06-2018",INDIRECT("'"&amp;feuilles&amp;"'!I2:I2000"),"&lt;01-07-2018",INDIRECT("'"&amp;feuilles&amp;"'!D2:D2000"),"*Telepro R1*"))</f>
        <v>0</v>
      </c>
      <c r="J28" s="39">
        <f ca="1">SUMPRODUCT(COUNTIFS(INDIRECT("'"&amp;feuilles&amp;"'!A2:A2000"),$B$24,INDIRECT("'"&amp;feuilles&amp;"'!I2:I2000"),"&gt;01-07-2018",INDIRECT("'"&amp;feuilles&amp;"'!I2:I2000"),"&lt;01-08-2018",INDIRECT("'"&amp;feuilles&amp;"'!D2:D2000"),"*Telepro R1*"))</f>
        <v>0</v>
      </c>
      <c r="K28" s="39">
        <f ca="1">SUMPRODUCT(COUNTIFS(INDIRECT("'"&amp;feuilles&amp;"'!A2:A2000"),$B$24,INDIRECT("'"&amp;feuilles&amp;"'!I2:I2000"),"&gt;01-08-2018",INDIRECT("'"&amp;feuilles&amp;"'!I2:I2000"),"&lt;01-09-2018",INDIRECT("'"&amp;feuilles&amp;"'!D2:D2000"),"*Telepro R1*"))</f>
        <v>0</v>
      </c>
      <c r="L28" s="39">
        <f ca="1">SUMPRODUCT(COUNTIFS(INDIRECT("'"&amp;feuilles&amp;"'!A2:A2000"),$B$24,INDIRECT("'"&amp;feuilles&amp;"'!I2:I2000"),"&gt;01-09-2018",INDIRECT("'"&amp;feuilles&amp;"'!I2:I2000"),"&lt;01-10-2018",INDIRECT("'"&amp;feuilles&amp;"'!D2:D2000"),"*Telepro R1*"))</f>
        <v>0</v>
      </c>
      <c r="M28" s="39">
        <f ca="1">SUMPRODUCT(COUNTIFS(INDIRECT("'"&amp;feuilles&amp;"'!A2:A2000"),$B$24,INDIRECT("'"&amp;feuilles&amp;"'!I2:I2000"),"&gt;01-10-2018",INDIRECT("'"&amp;feuilles&amp;"'!I2:I2000"),"&lt;01-11-2018",INDIRECT("'"&amp;feuilles&amp;"'!D2:D2000"),"*Telepro R1*"))</f>
        <v>0</v>
      </c>
      <c r="N28" s="39">
        <f ca="1">SUMPRODUCT(COUNTIFS(INDIRECT("'"&amp;feuilles&amp;"'!A2:A2000"),$B$24,INDIRECT("'"&amp;feuilles&amp;"'!I2:I2000"),"&gt;01-11-2018",INDIRECT("'"&amp;feuilles&amp;"'!I2:I2000"),"&lt;01-12-2018",INDIRECT("'"&amp;feuilles&amp;"'!D2:D2000"),"*Telepro R1*"))</f>
        <v>0</v>
      </c>
      <c r="O28" s="39">
        <f ca="1">SUMPRODUCT(COUNTIFS(INDIRECT("'"&amp;feuilles&amp;"'!A2:A2000"),$B$24,INDIRECT("'"&amp;feuilles&amp;"'!I2:I2000"),"&gt;01-12-2018",INDIRECT("'"&amp;feuilles&amp;"'!I2:I2000"),"&lt;01-01-2018",INDIRECT("'"&amp;feuilles&amp;"'!D2:D2000"),"*Telepro R1*"))</f>
        <v>0</v>
      </c>
      <c r="P28" s="12">
        <f t="shared" ca="1" si="3"/>
        <v>3</v>
      </c>
      <c r="Q28" s="12">
        <f ca="1">SUMPRODUCT(COUNTIFS(INDIRECT("'"&amp;feuilles&amp;"'!A2:A2000"),$B$24,INDIRECT("'"&amp;feuilles&amp;"'!H2:H2000"),"&gt;01-01-2018",INDIRECT("'"&amp;feuilles&amp;"'!H2:H2000"),"&lt;01-01-2019",INDIRECT("'"&amp;feuilles&amp;"'!D2:D2000"),"*Telepro R1*"))</f>
        <v>4</v>
      </c>
    </row>
    <row r="29" spans="1:18" x14ac:dyDescent="0.3">
      <c r="C29" s="3" t="s">
        <v>49</v>
      </c>
      <c r="D29" s="12">
        <f ca="1">SUMPRODUCT(COUNTIFS(INDIRECT("'"&amp;feuilles&amp;"'!A2:A2000"),$B$24,INDIRECT("'"&amp;feuilles&amp;"'!I2:I2000"),"&lt;01-02-2018",INDIRECT("'"&amp;feuilles&amp;"'!D2:D2000"),"&lt;&gt;*Telepro R1*"))</f>
        <v>0</v>
      </c>
      <c r="E29" s="39">
        <f ca="1">SUMPRODUCT(COUNTIFS(INDIRECT("'"&amp;feuilles&amp;"'!A2:A2000"),$B$24,INDIRECT("'"&amp;feuilles&amp;"'!I2:I2000"),"&gt;01-02-2018",INDIRECT("'"&amp;feuilles&amp;"'!I2:I2000"),"&lt;01-03-2018",INDIRECT("'"&amp;feuilles&amp;"'!D2:D2000"),"&lt;&gt;*Telepro R1*"))</f>
        <v>1</v>
      </c>
      <c r="F29" s="39">
        <f ca="1">SUMPRODUCT(COUNTIFS(INDIRECT("'"&amp;feuilles&amp;"'!A2:A2000"),$B$24,INDIRECT("'"&amp;feuilles&amp;"'!I2:I2000"),"&gt;01-03-2018",INDIRECT("'"&amp;feuilles&amp;"'!I2:I2000"),"&lt;01-04-2018",INDIRECT("'"&amp;feuilles&amp;"'!D2:D2000"),"&lt;&gt;*Telepro R1*"))</f>
        <v>0</v>
      </c>
      <c r="G29" s="39">
        <f ca="1">SUMPRODUCT(COUNTIFS(INDIRECT("'"&amp;feuilles&amp;"'!A2:A2000"),$B$24,INDIRECT("'"&amp;feuilles&amp;"'!I2:I2000"),"&gt;01-04-2018",INDIRECT("'"&amp;feuilles&amp;"'!I2:I2000"),"&lt;01-05-2018",INDIRECT("'"&amp;feuilles&amp;"'!D2:D2000"),"&lt;&gt;*Telepro R1*"))</f>
        <v>0</v>
      </c>
      <c r="H29" s="39">
        <f ca="1">SUMPRODUCT(COUNTIFS(INDIRECT("'"&amp;feuilles&amp;"'!A2:A2000"),$B$24,INDIRECT("'"&amp;feuilles&amp;"'!I2:I2000"),"&gt;01-05-2018",INDIRECT("'"&amp;feuilles&amp;"'!I2:I2000"),"&lt;01-06-2018",INDIRECT("'"&amp;feuilles&amp;"'!D2:D2000"),"&lt;&gt;*Telepro R1*"))</f>
        <v>0</v>
      </c>
      <c r="I29" s="39">
        <f ca="1">SUMPRODUCT(COUNTIFS(INDIRECT("'"&amp;feuilles&amp;"'!A2:A2000"),$B$24,INDIRECT("'"&amp;feuilles&amp;"'!I2:I2000"),"&gt;01-06-2018",INDIRECT("'"&amp;feuilles&amp;"'!I2:I2000"),"&lt;01-07-2018",INDIRECT("'"&amp;feuilles&amp;"'!D2:D2000"),"&lt;&gt;*Telepro R1*"))</f>
        <v>0</v>
      </c>
      <c r="J29" s="39">
        <f ca="1">SUMPRODUCT(COUNTIFS(INDIRECT("'"&amp;feuilles&amp;"'!A2:A2000"),$B$24,INDIRECT("'"&amp;feuilles&amp;"'!I2:I2000"),"&gt;01-07-2018",INDIRECT("'"&amp;feuilles&amp;"'!I2:I2000"),"&lt;01-08-2018",INDIRECT("'"&amp;feuilles&amp;"'!D2:D2000"),"&lt;&gt;*Telepro R1*"))</f>
        <v>0</v>
      </c>
      <c r="K29" s="39">
        <f ca="1">SUMPRODUCT(COUNTIFS(INDIRECT("'"&amp;feuilles&amp;"'!A2:A2000"),$B$24,INDIRECT("'"&amp;feuilles&amp;"'!I2:I2000"),"&gt;01-08-2018",INDIRECT("'"&amp;feuilles&amp;"'!I2:I2000"),"&lt;01-09-2018",INDIRECT("'"&amp;feuilles&amp;"'!D2:D2000"),"&lt;&gt;*Telepro R1*"))</f>
        <v>0</v>
      </c>
      <c r="L29" s="39">
        <f ca="1">SUMPRODUCT(COUNTIFS(INDIRECT("'"&amp;feuilles&amp;"'!A2:A2000"),$B$24,INDIRECT("'"&amp;feuilles&amp;"'!I2:I2000"),"&gt;01-09-2018",INDIRECT("'"&amp;feuilles&amp;"'!I2:I2000"),"&lt;01-10-2018",INDIRECT("'"&amp;feuilles&amp;"'!D2:D2000"),"&lt;&gt;*Telepro R1*"))</f>
        <v>0</v>
      </c>
      <c r="M29" s="39">
        <f ca="1">SUMPRODUCT(COUNTIFS(INDIRECT("'"&amp;feuilles&amp;"'!A2:A2000"),$B$24,INDIRECT("'"&amp;feuilles&amp;"'!I2:I2000"),"&gt;01-10-2018",INDIRECT("'"&amp;feuilles&amp;"'!I2:I2000"),"&lt;01-11-2018",INDIRECT("'"&amp;feuilles&amp;"'!D2:D2000"),"&lt;&gt;*Telepro R1*"))</f>
        <v>0</v>
      </c>
      <c r="N29" s="39">
        <f ca="1">SUMPRODUCT(COUNTIFS(INDIRECT("'"&amp;feuilles&amp;"'!A2:A2000"),$B$24,INDIRECT("'"&amp;feuilles&amp;"'!I2:I2000"),"&gt;01-11-2018",INDIRECT("'"&amp;feuilles&amp;"'!I2:I2000"),"&lt;01-12-2018",INDIRECT("'"&amp;feuilles&amp;"'!D2:D2000"),"&lt;&gt;*Telepro R1*"))</f>
        <v>0</v>
      </c>
      <c r="O29" s="39">
        <f ca="1">SUMPRODUCT(COUNTIFS(INDIRECT("'"&amp;feuilles&amp;"'!A2:A2000"),$B$24,INDIRECT("'"&amp;feuilles&amp;"'!I2:I2000"),"&gt;01-12-2018",INDIRECT("'"&amp;feuilles&amp;"'!I2:I2000"),"&lt;01-01-2018",INDIRECT("'"&amp;feuilles&amp;"'!D2:D2000"),"&lt;&gt;*Telepro R1*"))</f>
        <v>0</v>
      </c>
      <c r="P29" s="12">
        <f t="shared" ca="1" si="3"/>
        <v>1</v>
      </c>
      <c r="Q29" s="12">
        <f ca="1">SUMPRODUCT(COUNTIFS(INDIRECT("'"&amp;feuilles&amp;"'!A2:A2000"),$B$24,INDIRECT("'"&amp;feuilles&amp;"'!H2:H2000"),"&gt;01-01-2018",INDIRECT("'"&amp;feuilles&amp;"'!H2:H2000"),"&lt;01-01-2019",INDIRECT("'"&amp;feuilles&amp;"'!D2:D2000"),"&lt;&gt;*Telepro R1*"))</f>
        <v>1</v>
      </c>
    </row>
    <row r="30" spans="1:18" x14ac:dyDescent="0.3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13"/>
    </row>
    <row r="31" spans="1:18" x14ac:dyDescent="0.3">
      <c r="A31" s="1" t="s">
        <v>42</v>
      </c>
      <c r="B31" s="5" t="s">
        <v>108</v>
      </c>
      <c r="C31" s="3"/>
      <c r="D31" s="5">
        <f>SUMPRODUCT(('rdv 2018'!A1:A2994="Z")*('rdv 2018'!C1:C2994&gt;=DATEVALUE("01-01-2018"))*('rdv 2018'!C1:C2994&lt;DATEVALUE("01-02-2018")))</f>
        <v>3</v>
      </c>
      <c r="E31" s="5">
        <f>SUMPRODUCT(('rdv 2018'!A1:A2994="Z")*('rdv 2018'!C1:C2994&gt;=DATEVALUE("01-02-2018"))*('rdv 2018'!C1:C2994&lt;DATEVALUE("01-03-2018")))</f>
        <v>7</v>
      </c>
      <c r="F31" s="5">
        <f>SUMPRODUCT(('rdv 2018'!A1:A2994="Z")*('rdv 2018'!C1:C2994&gt;=DATEVALUE("01-03-2018"))*('rdv 2018'!C1:C2994&lt;DATEVALUE("01-04-2018")))</f>
        <v>3</v>
      </c>
      <c r="G31" s="5">
        <f>SUMPRODUCT(('rdv 2018'!A1:A2994="Z")*('rdv 2018'!C1:C2994&gt;=DATEVALUE("01-04-2018"))*('rdv 2018'!C1:C2994&lt;DATEVALUE("01-05-2018")))</f>
        <v>0</v>
      </c>
      <c r="H31" s="5">
        <f>SUMPRODUCT(('rdv 2018'!A1:A2994="Z")*('rdv 2018'!C1:C2994&gt;=DATEVALUE("01-05-2018"))*('rdv 2018'!C1:C2994&lt;DATEVALUE("01-06-2018")))</f>
        <v>0</v>
      </c>
      <c r="I31" s="5">
        <f>SUMPRODUCT(('rdv 2018'!A1:A2994="Z")*('rdv 2018'!C1:C2994&gt;=DATEVALUE("01-06-2018"))*('rdv 2018'!C1:C2994&lt;DATEVALUE("01-07-2018")))</f>
        <v>0</v>
      </c>
      <c r="J31" s="5">
        <f>SUMPRODUCT(('rdv 2018'!A1:A2994="Z")*('rdv 2018'!C1:C2994&gt;=DATEVALUE("01-07-2018"))*('rdv 2018'!C1:C2994&lt;DATEVALUE("01-08-2018")))</f>
        <v>0</v>
      </c>
      <c r="K31" s="5">
        <f>SUMPRODUCT(('rdv 2018'!A1:A2994="Z")*('rdv 2018'!C1:C2994&gt;=DATEVALUE("01-08-2018"))*('rdv 2018'!C1:C2994&lt;=DATEVALUE("01-09-2018")))</f>
        <v>0</v>
      </c>
      <c r="L31" s="5">
        <f>SUMPRODUCT(('rdv 2018'!A1:A2994="Z")*('rdv 2018'!C1:C2994&gt;=DATEVALUE("01-09-2018"))*('rdv 2018'!C1:C2994&lt;=DATEVALUE("01-10-2018")))</f>
        <v>0</v>
      </c>
      <c r="M31" s="5">
        <f>SUMPRODUCT(('rdv 2018'!A1:A2994="Z")*('rdv 2018'!C1:C2994&gt;=DATEVALUE("01-10-2018"))*('rdv 2018'!C1:C2994&lt;=DATEVALUE("01-11-2018")))</f>
        <v>0</v>
      </c>
      <c r="N31" s="5">
        <f>SUMPRODUCT(('rdv 2018'!A1:A2994="Z")*('rdv 2018'!C1:C2994&gt;=DATEVALUE("01-11-2018"))*('rdv 2018'!C1:C2994&lt;DATEVALUE("01-12-2018")))</f>
        <v>0</v>
      </c>
      <c r="O31" s="5">
        <f>SUMPRODUCT(('rdv 2018'!A1:A2994="Z")*('rdv 2018'!C1:C2994&gt;=DATEVALUE("01-12-2018"))*('rdv 2018'!C1:C2994&lt;DATEVALUE("01-01-2018")))</f>
        <v>0</v>
      </c>
      <c r="P31" s="5">
        <f t="shared" ref="P31:P36" si="4">SUM(D31:O31)</f>
        <v>13</v>
      </c>
      <c r="Q31" s="3"/>
    </row>
    <row r="32" spans="1:18" x14ac:dyDescent="0.3">
      <c r="A32" s="1"/>
      <c r="B32" s="3"/>
      <c r="C32" s="3" t="s">
        <v>46</v>
      </c>
      <c r="D32" s="3">
        <f>COUNTIFS('rdv 2018'!A1:A1994,"Z",'rdv 2018'!D1:D1994,"*Telepro R1*",'rdv 2018'!C1:C1994,"&gt;01-01-2018",'rdv 2018'!C1:C1994,"&lt;01-02-2018")</f>
        <v>2</v>
      </c>
      <c r="E32" s="3">
        <f>COUNTIFS('rdv 2018'!A1:A1994,"Z",'rdv 2018'!D1:D1994,"*Telepro R1*",'rdv 2018'!C1:C1994,"&gt;=01-02-2018",'rdv 2018'!C1:C1994,"&lt;01-03-2018")</f>
        <v>7</v>
      </c>
      <c r="F32" s="3">
        <f>COUNTIFS('rdv 2018'!A1:A1994,"Z",'rdv 2018'!D1:D1994,"*Telepro R1*",'rdv 2018'!C1:C1994,"&gt;=01-03-2018",'rdv 2018'!C1:C1994,"&lt;01-04-2018")</f>
        <v>2</v>
      </c>
      <c r="G32" s="3">
        <f>COUNTIFS('rdv 2018'!A1:A1994,"Z",'rdv 2018'!D1:D1994,"*Telepro R1*",'rdv 2018'!C1:C1994,"&gt;=01-04-2018",'rdv 2018'!C1:C1994,"&lt;01-5-2018")</f>
        <v>0</v>
      </c>
      <c r="H32" s="3">
        <f>COUNTIFS('rdv 2018'!A1:A1994,"Z",'rdv 2018'!D1:D1994,"*Telepro R1*",'rdv 2018'!C1:C1994,"&gt;=01-05-2018",'rdv 2018'!C1:C1994,"&lt;01-06-2018")</f>
        <v>0</v>
      </c>
      <c r="I32" s="3">
        <f>COUNTIFS('rdv 2018'!A1:A1994,"Z",'rdv 2018'!D1:D1994,"*Telepro R1*",'rdv 2018'!C1:C1994,"&gt;=01-06-2018",'rdv 2018'!C1:C1994,"&lt;01-07-2018")</f>
        <v>0</v>
      </c>
      <c r="J32" s="3">
        <f>COUNTIFS('rdv 2018'!A1:A1994,"Z",'rdv 2018'!D1:D1994,"*Telepro R1*",'rdv 2018'!C1:C1994,"&gt;=01-07-2018",'rdv 2018'!C1:C1994,"&lt;01-08-2018")</f>
        <v>0</v>
      </c>
      <c r="K32" s="3">
        <f>COUNTIFS('rdv 2018'!A1:A1994,"Z",'rdv 2018'!D1:D1994,"*Telepro R1*",'rdv 2018'!C1:C1994,"&gt;=01-08-2018",'rdv 2018'!C1:C1994,"&lt;01-09-2018")</f>
        <v>0</v>
      </c>
      <c r="L32" s="3">
        <f>COUNTIFS('rdv 2018'!A1:A1994,"Z",'rdv 2018'!D1:D1994,"*Telepro R1*",'rdv 2018'!C1:C1994,"&gt;=01-09-2018",'rdv 2018'!C1:C1994,"&lt;01-10-2018")</f>
        <v>0</v>
      </c>
      <c r="M32" s="3">
        <f>COUNTIFS('rdv 2018'!A1:A1994,"Z",'rdv 2018'!D1:D1994,"*Telepro R1*",'rdv 2018'!C1:C1994,"&gt;=01-10-2018",'rdv 2018'!C1:C1994,"&lt;01-11-2018")</f>
        <v>0</v>
      </c>
      <c r="N32" s="3">
        <f>COUNTIFS('rdv 2018'!A1:A1994,"Z",'rdv 2018'!D1:D1994,"*Telepro R1*",'rdv 2018'!C1:C1994,"&gt;=01-11-2018",'rdv 2018'!C1:C1994,"&lt;01-12-2018")</f>
        <v>0</v>
      </c>
      <c r="O32" s="3">
        <f>COUNTIFS('rdv 2018'!A1:A1994,"Z",'rdv 2018'!D1:D1994,"*Telepro R1*",'rdv 2018'!C1:C1994,"&gt;=01-12-2018",'rdv 2018'!C1:C1994,"&lt;01-01-2018")</f>
        <v>0</v>
      </c>
      <c r="P32">
        <f t="shared" si="4"/>
        <v>11</v>
      </c>
      <c r="Q32" s="3"/>
    </row>
    <row r="33" spans="1:17" x14ac:dyDescent="0.3">
      <c r="A33" s="1"/>
      <c r="B33" s="3"/>
      <c r="C33" s="3" t="s">
        <v>28</v>
      </c>
      <c r="D33" s="3">
        <f>COUNTIFS('rdv 2018'!A1:A1994,"Z",'rdv 2018'!D1:D1994,"&lt;&gt;*Telepro*",'rdv 2018'!C1:C1994,"&gt;01-01-2018",'rdv 2018'!C1:C1994,"&lt;01-02-2018")</f>
        <v>1</v>
      </c>
      <c r="E33" s="3">
        <f>COUNTIFS('rdv 2018'!A1:A1994,"Z",'rdv 2018'!D1:D1994,"&lt;&gt;*Telepro*",'rdv 2018'!C1:C1994,"&gt;=01-02-2018",'rdv 2018'!C1:C1994,"&lt;01-03-2018")</f>
        <v>0</v>
      </c>
      <c r="F33" s="3">
        <f>COUNTIFS('rdv 2018'!A1:A1994,"Z",'rdv 2018'!D1:D1994,"&lt;&gt;*Telepro*",'rdv 2018'!C1:C1994,"&gt;=01-03-2018",'rdv 2018'!C1:C1994,"&lt;01-04-2018")</f>
        <v>1</v>
      </c>
      <c r="G33" s="3">
        <f>COUNTIFS('rdv 2018'!A1:A1994,"Z",'rdv 2018'!D1:D1994,"&lt;&gt;*Telepro*",'rdv 2018'!C1:C1994,"&gt;=01-04-2018",'rdv 2018'!C1:C1994,"&lt;01-05-2018")</f>
        <v>0</v>
      </c>
      <c r="H33" s="3">
        <f>COUNTIFS('rdv 2018'!A1:A1994,"Z",'rdv 2018'!D1:D1994,"&lt;&gt;*Telepro*",'rdv 2018'!C1:C1994,"&gt;=01-05-2018",'rdv 2018'!C1:C1994,"&lt;01-06-2018")</f>
        <v>0</v>
      </c>
      <c r="I33" s="3">
        <f>COUNTIFS('rdv 2018'!A1:A1994,"Z",'rdv 2018'!D1:D1994,"&lt;&gt;*Telepro*",'rdv 2018'!C1:C1994,"&gt;=01-06-2018",'rdv 2018'!C1:C1994,"&lt;01-07-2018")</f>
        <v>0</v>
      </c>
      <c r="J33" s="3">
        <f>COUNTIFS('rdv 2018'!A1:A1994,"Z",'rdv 2018'!D1:D1994,"&lt;&gt;*Telepro*",'rdv 2018'!C1:C1994,"&gt;=01-07-2018",'rdv 2018'!C1:C1994,"&lt;01-08-2018")</f>
        <v>0</v>
      </c>
      <c r="K33" s="3">
        <f>COUNTIFS('rdv 2018'!A1:A1994,"Z",'rdv 2018'!D1:D1994,"&lt;&gt;*Telepro*",'rdv 2018'!C1:C1994,"&gt;01-08-2018",'rdv 2018'!C1:C1994,"&lt;01-09-2018")</f>
        <v>0</v>
      </c>
      <c r="L33" s="3">
        <f>COUNTIFS('rdv 2018'!A1:A1994,"Z",'rdv 2018'!D1:D1994,"&lt;&gt;*Telepro*",'rdv 2018'!C1:C1994,"&gt;01-09-2018",'rdv 2018'!C1:C1994,"&lt;01-10-2018")</f>
        <v>0</v>
      </c>
      <c r="M33" s="3">
        <f>COUNTIFS('rdv 2018'!A1:A1994,"Z",'rdv 2018'!D1:D1994,"&lt;&gt;*Telepro*",'rdv 2018'!C1:C1994,"&gt;01-10-2018",'rdv 2018'!C1:C1994,"&lt;01-11-2018")</f>
        <v>0</v>
      </c>
      <c r="N33" s="3">
        <f>COUNTIFS('rdv 2018'!A1:A1994,"Z",'rdv 2018'!D1:D1994,"&lt;&gt;*Telepro*",'rdv 2018'!C1:C1994,"&gt;=01-11-2018",'rdv 2018'!C1:C1994,"&lt;01-12-2018")</f>
        <v>0</v>
      </c>
      <c r="O33" s="3">
        <f>COUNTIFS('rdv 2018'!A1:A1994,"Z",'rdv 2018'!D1:D1994,"&lt;&gt;*Telepro*",'rdv 2018'!C1:C1994,"&gt;=01-12-2018",'rdv 2018'!C1:C1994,"&lt;01-01-2018")</f>
        <v>0</v>
      </c>
      <c r="P33">
        <f t="shared" si="4"/>
        <v>2</v>
      </c>
    </row>
    <row r="34" spans="1:17" x14ac:dyDescent="0.3">
      <c r="C34" s="10" t="s">
        <v>47</v>
      </c>
      <c r="D34" s="11">
        <f ca="1">SUMPRODUCT(COUNTIFS(INDIRECT("'"&amp;feuilles&amp;"'!A2:A2000"),$B$31,INDIRECT("'"&amp;feuilles&amp;"'!I2:I2000"),"&lt;01-02-2018"))</f>
        <v>0</v>
      </c>
      <c r="E34" s="11">
        <f ca="1">SUMPRODUCT(COUNTIFS(INDIRECT("'"&amp;feuilles&amp;"'!A2:A2000"),$B$31,INDIRECT("'"&amp;feuilles&amp;"'!I2:I2000"),"&gt;01-02-2018",INDIRECT("'"&amp;feuilles&amp;"'!I2:I2000"),"&lt;01-03-2018"))</f>
        <v>0</v>
      </c>
      <c r="F34" s="11">
        <f ca="1">SUMPRODUCT(COUNTIFS(INDIRECT("'"&amp;feuilles&amp;"'!A2:A2000"),$B$31,INDIRECT("'"&amp;feuilles&amp;"'!I2:I2000"),"&gt;01-03-2018",INDIRECT("'"&amp;feuilles&amp;"'!I2:I2000"),"&lt;01-04-2018"))</f>
        <v>0</v>
      </c>
      <c r="G34" s="11">
        <f ca="1">SUMPRODUCT(COUNTIFS(INDIRECT("'"&amp;feuilles&amp;"'!A2:A2000"),$B$31,INDIRECT("'"&amp;feuilles&amp;"'!I2:I2000"),"&gt;01-04-2018",INDIRECT("'"&amp;feuilles&amp;"'!I2:I2000"),"&lt;01-05-2018"))</f>
        <v>0</v>
      </c>
      <c r="H34" s="11">
        <f ca="1">SUMPRODUCT(COUNTIFS(INDIRECT("'"&amp;feuilles&amp;"'!A2:A2000"),$B$31,INDIRECT("'"&amp;feuilles&amp;"'!I2:I2000"),"&gt;01-05-2018",INDIRECT("'"&amp;feuilles&amp;"'!I2:I2000"),"&lt;01-06-2018"))</f>
        <v>0</v>
      </c>
      <c r="I34" s="11">
        <f ca="1">SUMPRODUCT(COUNTIFS(INDIRECT("'"&amp;feuilles&amp;"'!A2:A2000"),$B$31,INDIRECT("'"&amp;feuilles&amp;"'!I2:I2000"),"&gt;01-06-2018",INDIRECT("'"&amp;feuilles&amp;"'!I2:I2000"),"&lt;01-07-2018"))</f>
        <v>0</v>
      </c>
      <c r="J34" s="11">
        <f ca="1">SUMPRODUCT(COUNTIFS(INDIRECT("'"&amp;feuilles&amp;"'!A2:A2000"),$B$31,INDIRECT("'"&amp;feuilles&amp;"'!I2:I2000"),"&gt;01-07-2018",INDIRECT("'"&amp;feuilles&amp;"'!I2:I2000"),"&lt;01-08-2018"))</f>
        <v>0</v>
      </c>
      <c r="K34" s="11">
        <f ca="1">SUMPRODUCT(COUNTIFS(INDIRECT("'"&amp;feuilles&amp;"'!A2:A2000"),$B$31,INDIRECT("'"&amp;feuilles&amp;"'!I2:I2000"),"&gt;01-08-2018",INDIRECT("'"&amp;feuilles&amp;"'!I2:I2000"),"&lt;01-09-2018"))</f>
        <v>0</v>
      </c>
      <c r="L34" s="11">
        <f ca="1">SUMPRODUCT(COUNTIFS(INDIRECT("'"&amp;feuilles&amp;"'!A2:A2000"),$B$31,INDIRECT("'"&amp;feuilles&amp;"'!I2:I2000"),"&gt;01-09-2018",INDIRECT("'"&amp;feuilles&amp;"'!I2:I2000"),"&lt;01-10-2018"))</f>
        <v>0</v>
      </c>
      <c r="M34" s="11">
        <f ca="1">SUMPRODUCT(COUNTIFS(INDIRECT("'"&amp;feuilles&amp;"'!A2:A2000"),$B$31,INDIRECT("'"&amp;feuilles&amp;"'!I2:I2000"),"&gt;01-10-2018",INDIRECT("'"&amp;feuilles&amp;"'!I2:I2000"),"&lt;01-11-2018"))</f>
        <v>0</v>
      </c>
      <c r="N34" s="11">
        <f ca="1">SUMPRODUCT(COUNTIFS(INDIRECT("'"&amp;feuilles&amp;"'!A2:A2000"),$B$31,INDIRECT("'"&amp;feuilles&amp;"'!I2:I2000"),"&gt;01-11-2018",INDIRECT("'"&amp;feuilles&amp;"'!I2:I2000"),"&lt;01-12-2018"))</f>
        <v>0</v>
      </c>
      <c r="O34" s="11">
        <f ca="1">SUMPRODUCT(COUNTIFS(INDIRECT("'"&amp;feuilles&amp;"'!A2:A2000"),$B$31,INDIRECT("'"&amp;feuilles&amp;"'!I2:I2000"),"&gt;01-12-2018",INDIRECT("'"&amp;feuilles&amp;"'!I2:I2000"),"&lt;01-01-2018"))</f>
        <v>0</v>
      </c>
      <c r="P34" s="11">
        <f t="shared" ca="1" si="4"/>
        <v>0</v>
      </c>
      <c r="Q34" s="57"/>
    </row>
    <row r="35" spans="1:17" x14ac:dyDescent="0.3">
      <c r="C35" s="3" t="s">
        <v>48</v>
      </c>
      <c r="D35" s="12">
        <f ca="1">SUMPRODUCT(COUNTIFS(INDIRECT("'"&amp;feuilles&amp;"'!A2:A2000"),$B$31,INDIRECT("'"&amp;feuilles&amp;"'!I2:I2000"),"&lt;01-02-2018",INDIRECT("'"&amp;feuilles&amp;"'!D2:D2000"),"*Telepro R1*"))</f>
        <v>0</v>
      </c>
      <c r="E35" s="39">
        <f ca="1">SUMPRODUCT(COUNTIFS(INDIRECT("'"&amp;feuilles&amp;"'!A2:A2000"),$B$31,INDIRECT("'"&amp;feuilles&amp;"'!I2:I2000"),"&gt;01-02-2018",INDIRECT("'"&amp;feuilles&amp;"'!I2:I2000"),"&lt;01-03-2018",INDIRECT("'"&amp;feuilles&amp;"'!D2:D2000"),"*Telepro R1*"))</f>
        <v>0</v>
      </c>
      <c r="F35" s="39">
        <f ca="1">SUMPRODUCT(COUNTIFS(INDIRECT("'"&amp;feuilles&amp;"'!A2:A2000"),$B$31,INDIRECT("'"&amp;feuilles&amp;"'!I2:I2000"),"&gt;01-03-2018",INDIRECT("'"&amp;feuilles&amp;"'!I2:I2000"),"&lt;01-04-2018",INDIRECT("'"&amp;feuilles&amp;"'!D2:D2000"),"*Telepro R1*"))</f>
        <v>0</v>
      </c>
      <c r="G35" s="39">
        <f ca="1">SUMPRODUCT(COUNTIFS(INDIRECT("'"&amp;feuilles&amp;"'!A2:A2000"),$B$31,INDIRECT("'"&amp;feuilles&amp;"'!I2:I2000"),"&gt;01-04-2018",INDIRECT("'"&amp;feuilles&amp;"'!I2:I2000"),"&lt;01-05-2018",INDIRECT("'"&amp;feuilles&amp;"'!D2:D2000"),"*Telepro R1*"))</f>
        <v>0</v>
      </c>
      <c r="H35" s="39">
        <f ca="1">SUMPRODUCT(COUNTIFS(INDIRECT("'"&amp;feuilles&amp;"'!A2:A2000"),$B$31,INDIRECT("'"&amp;feuilles&amp;"'!I2:I2000"),"&gt;01-05-2018",INDIRECT("'"&amp;feuilles&amp;"'!I2:I2000"),"&lt;01-06-2018",INDIRECT("'"&amp;feuilles&amp;"'!D2:D2000"),"*Telepro R1*"))</f>
        <v>0</v>
      </c>
      <c r="I35" s="39">
        <f ca="1">SUMPRODUCT(COUNTIFS(INDIRECT("'"&amp;feuilles&amp;"'!A2:A2000"),$B$31,INDIRECT("'"&amp;feuilles&amp;"'!I2:I2000"),"&gt;01-06-2018",INDIRECT("'"&amp;feuilles&amp;"'!I2:I2000"),"&lt;01-07-2018",INDIRECT("'"&amp;feuilles&amp;"'!D2:D2000"),"*Telepro R1*"))</f>
        <v>0</v>
      </c>
      <c r="J35" s="39">
        <f ca="1">SUMPRODUCT(COUNTIFS(INDIRECT("'"&amp;feuilles&amp;"'!A2:A2000"),$B$31,INDIRECT("'"&amp;feuilles&amp;"'!I2:I2000"),"&gt;01-07-2018",INDIRECT("'"&amp;feuilles&amp;"'!I2:I2000"),"&lt;01-08-2018",INDIRECT("'"&amp;feuilles&amp;"'!D2:D2000"),"*Telepro R1*"))</f>
        <v>0</v>
      </c>
      <c r="K35" s="39">
        <f ca="1">SUMPRODUCT(COUNTIFS(INDIRECT("'"&amp;feuilles&amp;"'!A2:A2000"),$B$31,INDIRECT("'"&amp;feuilles&amp;"'!I2:I2000"),"&gt;01-08-2018",INDIRECT("'"&amp;feuilles&amp;"'!I2:I2000"),"&lt;01-09-2018",INDIRECT("'"&amp;feuilles&amp;"'!D2:D2000"),"*Telepro R1*"))</f>
        <v>0</v>
      </c>
      <c r="L35" s="39">
        <f ca="1">SUMPRODUCT(COUNTIFS(INDIRECT("'"&amp;feuilles&amp;"'!A2:A2000"),$B$31,INDIRECT("'"&amp;feuilles&amp;"'!I2:I2000"),"&gt;01-09-2018",INDIRECT("'"&amp;feuilles&amp;"'!I2:I2000"),"&lt;01-10-2018",INDIRECT("'"&amp;feuilles&amp;"'!D2:D2000"),"*Telepro R1*"))</f>
        <v>0</v>
      </c>
      <c r="M35" s="39">
        <f ca="1">SUMPRODUCT(COUNTIFS(INDIRECT("'"&amp;feuilles&amp;"'!A2:A2000"),$B$31,INDIRECT("'"&amp;feuilles&amp;"'!I2:I2000"),"&gt;01-10-2018",INDIRECT("'"&amp;feuilles&amp;"'!I2:I2000"),"&lt;01-11-2018",INDIRECT("'"&amp;feuilles&amp;"'!D2:D2000"),"*Telepro R1*"))</f>
        <v>0</v>
      </c>
      <c r="N35" s="39">
        <f ca="1">SUMPRODUCT(COUNTIFS(INDIRECT("'"&amp;feuilles&amp;"'!A2:A2000"),$B$31,INDIRECT("'"&amp;feuilles&amp;"'!I2:I2000"),"&gt;01-11-2018",INDIRECT("'"&amp;feuilles&amp;"'!I2:I2000"),"&lt;01-12-2018",INDIRECT("'"&amp;feuilles&amp;"'!D2:D2000"),"*Telepro R1*"))</f>
        <v>0</v>
      </c>
      <c r="O35" s="39">
        <f ca="1">SUMPRODUCT(COUNTIFS(INDIRECT("'"&amp;feuilles&amp;"'!A2:A2000"),$B$31,INDIRECT("'"&amp;feuilles&amp;"'!I2:I2000"),"&gt;01-12-2018",INDIRECT("'"&amp;feuilles&amp;"'!I2:I2000"),"&lt;01-01-2018",INDIRECT("'"&amp;feuilles&amp;"'!D2:D2000"),"*Telepro R1*"))</f>
        <v>0</v>
      </c>
      <c r="P35" s="12">
        <f t="shared" ca="1" si="4"/>
        <v>0</v>
      </c>
    </row>
    <row r="36" spans="1:17" x14ac:dyDescent="0.3">
      <c r="C36" s="3" t="s">
        <v>49</v>
      </c>
      <c r="D36" s="12">
        <f ca="1">SUMPRODUCT(COUNTIFS(INDIRECT("'"&amp;feuilles&amp;"'!A2:A2000"),$B$31,INDIRECT("'"&amp;feuilles&amp;"'!I2:I2000"),"&lt;01-02-2018",INDIRECT("'"&amp;feuilles&amp;"'!D2:D2000"),"&lt;&gt;*Telepro R1*"))</f>
        <v>0</v>
      </c>
      <c r="E36" s="39">
        <f ca="1">SUMPRODUCT(COUNTIFS(INDIRECT("'"&amp;feuilles&amp;"'!A2:A2000"),$B$31,INDIRECT("'"&amp;feuilles&amp;"'!I2:I2000"),"&gt;01-02-2018",INDIRECT("'"&amp;feuilles&amp;"'!I2:I2000"),"&lt;01-03-2018",INDIRECT("'"&amp;feuilles&amp;"'!D2:D2000"),"&lt;&gt;*Telepro R1*"))</f>
        <v>0</v>
      </c>
      <c r="F36" s="39">
        <f ca="1">SUMPRODUCT(COUNTIFS(INDIRECT("'"&amp;feuilles&amp;"'!A2:A2000"),$B$31,INDIRECT("'"&amp;feuilles&amp;"'!I2:I2000"),"&gt;01-03-2018",INDIRECT("'"&amp;feuilles&amp;"'!I2:I2000"),"&lt;01-04-2018",INDIRECT("'"&amp;feuilles&amp;"'!D2:D2000"),"&lt;&gt;*Telepro R1*"))</f>
        <v>0</v>
      </c>
      <c r="G36" s="39">
        <f ca="1">SUMPRODUCT(COUNTIFS(INDIRECT("'"&amp;feuilles&amp;"'!A2:A2000"),$B$31,INDIRECT("'"&amp;feuilles&amp;"'!I2:I2000"),"&gt;01-04-2018",INDIRECT("'"&amp;feuilles&amp;"'!I2:I2000"),"&lt;01-05-2018",INDIRECT("'"&amp;feuilles&amp;"'!D2:D2000"),"&lt;&gt;*Telepro R1*"))</f>
        <v>0</v>
      </c>
      <c r="H36" s="39">
        <f ca="1">SUMPRODUCT(COUNTIFS(INDIRECT("'"&amp;feuilles&amp;"'!A2:A2000"),$B$31,INDIRECT("'"&amp;feuilles&amp;"'!I2:I2000"),"&gt;01-05-2018",INDIRECT("'"&amp;feuilles&amp;"'!I2:I2000"),"&lt;01-06-2018",INDIRECT("'"&amp;feuilles&amp;"'!D2:D2000"),"&lt;&gt;*Telepro R1*"))</f>
        <v>0</v>
      </c>
      <c r="I36" s="39">
        <f ca="1">SUMPRODUCT(COUNTIFS(INDIRECT("'"&amp;feuilles&amp;"'!A2:A2000"),$B$31,INDIRECT("'"&amp;feuilles&amp;"'!I2:I2000"),"&gt;01-06-2018",INDIRECT("'"&amp;feuilles&amp;"'!I2:I2000"),"&lt;01-07-2018",INDIRECT("'"&amp;feuilles&amp;"'!D2:D2000"),"&lt;&gt;*Telepro R1*"))</f>
        <v>0</v>
      </c>
      <c r="J36" s="39">
        <f ca="1">SUMPRODUCT(COUNTIFS(INDIRECT("'"&amp;feuilles&amp;"'!A2:A2000"),$B$31,INDIRECT("'"&amp;feuilles&amp;"'!I2:I2000"),"&gt;01-07-2018",INDIRECT("'"&amp;feuilles&amp;"'!I2:I2000"),"&lt;01-08-2018",INDIRECT("'"&amp;feuilles&amp;"'!D2:D2000"),"&lt;&gt;*Telepro R1*"))</f>
        <v>0</v>
      </c>
      <c r="K36" s="39">
        <f ca="1">SUMPRODUCT(COUNTIFS(INDIRECT("'"&amp;feuilles&amp;"'!A2:A2000"),$B$31,INDIRECT("'"&amp;feuilles&amp;"'!I2:I2000"),"&gt;01-08-2018",INDIRECT("'"&amp;feuilles&amp;"'!I2:I2000"),"&lt;01-09-2018",INDIRECT("'"&amp;feuilles&amp;"'!D2:D2000"),"&lt;&gt;*Telepro R1*"))</f>
        <v>0</v>
      </c>
      <c r="L36" s="39">
        <f ca="1">SUMPRODUCT(COUNTIFS(INDIRECT("'"&amp;feuilles&amp;"'!A2:A2000"),$B$31,INDIRECT("'"&amp;feuilles&amp;"'!I2:I2000"),"&gt;01-09-2018",INDIRECT("'"&amp;feuilles&amp;"'!I2:I2000"),"&lt;01-10-2018",INDIRECT("'"&amp;feuilles&amp;"'!D2:D2000"),"&lt;&gt;*Telepro R1*"))</f>
        <v>0</v>
      </c>
      <c r="M36" s="39">
        <f ca="1">SUMPRODUCT(COUNTIFS(INDIRECT("'"&amp;feuilles&amp;"'!A2:A2000"),$B$31,INDIRECT("'"&amp;feuilles&amp;"'!I2:I2000"),"&gt;01-10-2018",INDIRECT("'"&amp;feuilles&amp;"'!I2:I2000"),"&lt;01-11-2018",INDIRECT("'"&amp;feuilles&amp;"'!D2:D2000"),"&lt;&gt;*Telepro R1*"))</f>
        <v>0</v>
      </c>
      <c r="N36" s="39">
        <f ca="1">SUMPRODUCT(COUNTIFS(INDIRECT("'"&amp;feuilles&amp;"'!A2:A2000"),$B$31,INDIRECT("'"&amp;feuilles&amp;"'!I2:I2000"),"&gt;01-11-2018",INDIRECT("'"&amp;feuilles&amp;"'!I2:I2000"),"&lt;01-12-2018",INDIRECT("'"&amp;feuilles&amp;"'!D2:D2000"),"&lt;&gt;*Telepro R1*"))</f>
        <v>0</v>
      </c>
      <c r="O36" s="39">
        <f ca="1">SUMPRODUCT(COUNTIFS(INDIRECT("'"&amp;feuilles&amp;"'!A2:A2000"),$B$31,INDIRECT("'"&amp;feuilles&amp;"'!I2:I2000"),"&gt;01-12-2018",INDIRECT("'"&amp;feuilles&amp;"'!I2:I2000"),"&lt;01-01-2018",INDIRECT("'"&amp;feuilles&amp;"'!D2:D2000"),"&lt;&gt;*Telepro R1*"))</f>
        <v>0</v>
      </c>
      <c r="P36" s="12">
        <f t="shared" ca="1" si="4"/>
        <v>0</v>
      </c>
    </row>
    <row r="37" spans="1:17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3">
      <c r="B38" s="69" t="s">
        <v>99</v>
      </c>
      <c r="C38" s="3"/>
      <c r="D38" s="5">
        <f>SUMPRODUCT(('rdv 2018'!A1:A2994="Arnaud Grall")*('rdv 2018'!C1:C2994&gt;=DATEVALUE("01-01-2018"))*('rdv 2018'!C1:C2994&lt;DATEVALUE("01-02-2018")))</f>
        <v>0</v>
      </c>
      <c r="E38" s="5">
        <f>SUMPRODUCT(('rdv 2018'!A1:A2994="Arnaud Grall")*('rdv 2018'!C1:C2994&gt;=DATEVALUE("01-02-2018"))*('rdv 2018'!C1:C2994&lt;DATEVALUE("01-03-2018")))</f>
        <v>0</v>
      </c>
      <c r="F38" s="5">
        <f>SUMPRODUCT(('rdv 2018'!A1:A2994="Arnaud Grall")*('rdv 2018'!C1:C2994&gt;=DATEVALUE("01-03-2018"))*('rdv 2018'!C1:C2994&lt;DATEVALUE("01-04-2018")))</f>
        <v>0</v>
      </c>
      <c r="G38" s="5">
        <f>SUMPRODUCT(('rdv 2018'!A1:A2994="Arnaud Grall")*('rdv 2018'!C1:C2994&gt;=DATEVALUE("01-04-2018"))*('rdv 2018'!C1:C2994&lt;DATEVALUE("01-05-2018")))</f>
        <v>0</v>
      </c>
      <c r="H38" s="5">
        <f>SUMPRODUCT(('rdv 2018'!A1:A2994="Arnaud Grall")*('rdv 2018'!C1:C2994&gt;=DATEVALUE("01-05-2018"))*('rdv 2018'!C1:C2994&lt;DATEVALUE("01-06-2018")))</f>
        <v>0</v>
      </c>
      <c r="I38" s="5">
        <f>SUMPRODUCT(('rdv 2018'!A1:A2994="Arnaud Grall")*('rdv 2018'!C1:C2994&gt;=DATEVALUE("01-06-2018"))*('rdv 2018'!C1:C2994&lt;DATEVALUE("01-07-2018")))</f>
        <v>0</v>
      </c>
      <c r="J38" s="5">
        <f>SUMPRODUCT(('rdv 2018'!A1:A2994="Arnaud Grall")*('rdv 2018'!C1:C2994&gt;=DATEVALUE("01-07-2018"))*('rdv 2018'!C1:C2994&lt;DATEVALUE("01-08-2018")))</f>
        <v>0</v>
      </c>
      <c r="K38" s="5">
        <f>SUMPRODUCT(('rdv 2018'!A1:A2994="Arnaud Grall")*('rdv 2018'!C1:C2994&gt;=DATEVALUE("01-08-2018"))*('rdv 2018'!C1:C2994&lt;=DATEVALUE("01-09-2018")))</f>
        <v>0</v>
      </c>
      <c r="L38" s="5">
        <f>SUMPRODUCT(('rdv 2018'!A1:A2994="Arnaud Grall")*('rdv 2018'!C1:C2994&gt;=DATEVALUE("01-09-2018"))*('rdv 2018'!C1:C2994&lt;=DATEVALUE("01-10-2018")))</f>
        <v>0</v>
      </c>
      <c r="M38" s="5">
        <f>SUMPRODUCT(('rdv 2018'!A1:A2994="Arnaud Grall")*('rdv 2018'!C1:C2994&gt;=DATEVALUE("01-10-2018"))*('rdv 2018'!C1:C2994&lt;=DATEVALUE("01-11-2018")))</f>
        <v>0</v>
      </c>
      <c r="N38" s="5">
        <f>SUMPRODUCT(('rdv 2018'!A1:A2994="Arnaud Grall")*('rdv 2018'!C1:C2994&gt;=DATEVALUE("01-11-2018"))*('rdv 2018'!C1:C2994&lt;DATEVALUE("01-12-2018")))</f>
        <v>0</v>
      </c>
      <c r="O38" s="5">
        <f>SUMPRODUCT(('rdv 2018'!A1:A2994="Arnaud Grall")*('rdv 2018'!C1:C2994&gt;=DATEVALUE("01-12-2018"))*('rdv 2018'!C1:C2994&lt;DATEVALUE("01-01-2018")))</f>
        <v>0</v>
      </c>
      <c r="P38" s="5">
        <f t="shared" ref="P38:P43" si="5">SUM(D38:O38)</f>
        <v>0</v>
      </c>
    </row>
    <row r="39" spans="1:17" x14ac:dyDescent="0.3">
      <c r="B39" s="3"/>
      <c r="C39" s="3" t="s">
        <v>46</v>
      </c>
      <c r="D39" s="3">
        <f>COUNTIFS('rdv 2018'!A1:A1994,"Arnaud Grall",'rdv 2018'!D1:D1994,"*Telepro R1*",'rdv 2018'!C1:C1994,"&gt;01-01-2018",'rdv 2018'!C1:C1994,"&lt;01-02-2018")</f>
        <v>0</v>
      </c>
      <c r="E39" s="3">
        <f>COUNTIFS('rdv 2018'!A1:A1994,"Arnaud Grall",'rdv 2018'!D1:D1994,"*Telepro R1*",'rdv 2018'!C1:C1994,"&gt;=01-02-2018",'rdv 2018'!C1:C1994,"&lt;01-03-2018")</f>
        <v>0</v>
      </c>
      <c r="F39" s="3">
        <f>COUNTIFS('rdv 2018'!A1:A1994,"Arnaud Grall",'rdv 2018'!D1:D1994,"*Telepro R1*",'rdv 2018'!C1:C1994,"&gt;=01-03-2018",'rdv 2018'!C1:C1994,"&lt;01-04-2018")</f>
        <v>0</v>
      </c>
      <c r="G39" s="3">
        <f>COUNTIFS('rdv 2018'!A1:A1994,"Arnaud Grall",'rdv 2018'!D1:D1994,"*Telepro R1*",'rdv 2018'!C1:C1994,"&gt;=01-04-2018",'rdv 2018'!C1:C1994,"&lt;01-5-2018")</f>
        <v>0</v>
      </c>
      <c r="H39" s="3">
        <f>COUNTIFS('rdv 2018'!A1:A1994,"Arnaud Grall",'rdv 2018'!D1:D1994,"*Telepro R1*",'rdv 2018'!C1:C1994,"&gt;=01-05-2018",'rdv 2018'!C1:C1994,"&lt;01-06-2018")</f>
        <v>0</v>
      </c>
      <c r="I39" s="3">
        <f>COUNTIFS('rdv 2018'!A1:A1994,"Arnaud Grall",'rdv 2018'!D1:D1994,"*Telepro R1*",'rdv 2018'!C1:C1994,"&gt;=01-06-2018",'rdv 2018'!C1:C1994,"&lt;01-07-2018")</f>
        <v>0</v>
      </c>
      <c r="J39" s="3">
        <f>COUNTIFS('rdv 2018'!A1:A1994,"Arnaud Grall",'rdv 2018'!D1:D1994,"*Telepro R1*",'rdv 2018'!C1:C1994,"&gt;=01-07-2018",'rdv 2018'!C1:C1994,"&lt;01-08-2018")</f>
        <v>0</v>
      </c>
      <c r="K39" s="3">
        <f>COUNTIFS('rdv 2018'!A1:A1994,"Arnaud Grall",'rdv 2018'!D1:D1994,"*Telepro R1*",'rdv 2018'!C1:C1994,"&gt;=01-08-2018",'rdv 2018'!C1:C1994,"&lt;01-09-2018")</f>
        <v>0</v>
      </c>
      <c r="L39" s="3">
        <f>COUNTIFS('rdv 2018'!A1:A1994,"Arnaud Grall",'rdv 2018'!D1:D1994,"*Telepro R1*",'rdv 2018'!C1:C1994,"&gt;=01-09-2018",'rdv 2018'!C1:C1994,"&lt;01-10-2018")</f>
        <v>0</v>
      </c>
      <c r="M39" s="3">
        <f>COUNTIFS('rdv 2018'!A1:A1994,"Arnaud Grall",'rdv 2018'!D1:D1994,"*Telepro R1*",'rdv 2018'!C1:C1994,"&gt;=01-10-2018",'rdv 2018'!C1:C1994,"&lt;01-11-2018")</f>
        <v>0</v>
      </c>
      <c r="N39" s="3">
        <f>COUNTIFS('rdv 2018'!A1:A1994,"Arnaud Grall",'rdv 2018'!D1:D1994,"*Telepro R1*",'rdv 2018'!C1:C1994,"&gt;=01-11-2018",'rdv 2018'!C1:C1994,"&lt;01-12-2018")</f>
        <v>0</v>
      </c>
      <c r="O39" s="3">
        <f>COUNTIFS('rdv 2018'!A1:A1994,"Arnaud Grall",'rdv 2018'!D1:D1994,"*Telepro R1*",'rdv 2018'!C1:C1994,"&gt;=01-12-2018",'rdv 2018'!C1:C1994,"&lt;01-01-2018")</f>
        <v>0</v>
      </c>
      <c r="P39">
        <f t="shared" si="5"/>
        <v>0</v>
      </c>
    </row>
    <row r="40" spans="1:17" x14ac:dyDescent="0.3">
      <c r="B40" s="3"/>
      <c r="C40" s="3" t="s">
        <v>28</v>
      </c>
      <c r="D40" s="3">
        <f>COUNTIFS('rdv 2018'!A1:A1994,"Arnaud Grall",'rdv 2018'!D1:D1994,"&lt;&gt;*Telepro*",'rdv 2018'!C1:C1994,"&gt;01-01-2018",'rdv 2018'!C1:C1994,"&lt;01-02-2018")</f>
        <v>0</v>
      </c>
      <c r="E40" s="3">
        <f>COUNTIFS('rdv 2018'!A1:A1994,"Arnaud Grall",'rdv 2018'!D1:D1994,"&lt;&gt;*Telepro*",'rdv 2018'!C1:C1994,"&gt;=01-02-2018",'rdv 2018'!C1:C1994,"&lt;01-03-2018")</f>
        <v>0</v>
      </c>
      <c r="F40" s="3">
        <f>COUNTIFS('rdv 2018'!A1:A1994,"Arnaud Grall",'rdv 2018'!D1:D1994,"&lt;&gt;*Telepro*",'rdv 2018'!C1:C1994,"&gt;=01-03-2018",'rdv 2018'!C1:C1994,"&lt;01-04-2018")</f>
        <v>0</v>
      </c>
      <c r="G40" s="3">
        <f>COUNTIFS('rdv 2018'!A1:A1994,"Arnaud Grall",'rdv 2018'!D1:D1994,"&lt;&gt;*Telepro*",'rdv 2018'!C1:C1994,"&gt;=01-04-2018",'rdv 2018'!C1:C1994,"&lt;01-05-2018")</f>
        <v>0</v>
      </c>
      <c r="H40" s="3">
        <f>COUNTIFS('rdv 2018'!A1:A1994,"Arnaud Grall",'rdv 2018'!D1:D1994,"&lt;&gt;*Telepro*",'rdv 2018'!C1:C1994,"&gt;=01-05-2018",'rdv 2018'!C1:C1994,"&lt;01-06-2018")</f>
        <v>0</v>
      </c>
      <c r="I40" s="3">
        <f>COUNTIFS('rdv 2018'!A1:A1994,"Arnaud Grall",'rdv 2018'!D1:D1994,"&lt;&gt;*Telepro*",'rdv 2018'!C1:C1994,"&gt;=01-06-2018",'rdv 2018'!C1:C1994,"&lt;01-07-2018")</f>
        <v>0</v>
      </c>
      <c r="J40" s="3">
        <f>COUNTIFS('rdv 2018'!A1:A1994,"Arnaud Grall",'rdv 2018'!D1:D1994,"&lt;&gt;*Telepro*",'rdv 2018'!C1:C1994,"&gt;=01-07-2018",'rdv 2018'!C1:C1994,"&lt;01-08-2018")</f>
        <v>0</v>
      </c>
      <c r="K40" s="3">
        <f>COUNTIFS('rdv 2018'!A1:A1994,"Arnaud Grall",'rdv 2018'!D1:D1994,"&lt;&gt;*Telepro*",'rdv 2018'!C1:C1994,"&gt;01-08-2018",'rdv 2018'!C1:C1994,"&lt;01-09-2018")</f>
        <v>0</v>
      </c>
      <c r="L40" s="3">
        <f>COUNTIFS('rdv 2018'!A1:A1994,"Arnaud Grall",'rdv 2018'!D1:D1994,"&lt;&gt;*Telepro*",'rdv 2018'!C1:C1994,"&gt;01-09-2018",'rdv 2018'!C1:C1994,"&lt;01-10-2018")</f>
        <v>0</v>
      </c>
      <c r="M40" s="3">
        <f>COUNTIFS('rdv 2018'!A1:A1994,"Arnaud Grall",'rdv 2018'!D1:D1994,"&lt;&gt;*Telepro*",'rdv 2018'!C1:C1994,"&gt;01-10-2018",'rdv 2018'!C1:C1994,"&lt;01-11-2018")</f>
        <v>0</v>
      </c>
      <c r="N40" s="3">
        <f>COUNTIFS('rdv 2018'!A1:A1994,"Arnaud Grall",'rdv 2018'!D1:D1994,"&lt;&gt;*Telepro*",'rdv 2018'!C1:C1994,"&gt;=01-11-2018",'rdv 2018'!C1:C1994,"&lt;01-12-2018")</f>
        <v>0</v>
      </c>
      <c r="O40" s="3">
        <f>COUNTIFS('rdv 2018'!A1:A1994,"Arnaud Grall",'rdv 2018'!D1:D1994,"&lt;&gt;*Telepro*",'rdv 2018'!C1:C1994,"&gt;=01-12-2018",'rdv 2018'!C1:C1994,"&lt;01-01-2018")</f>
        <v>0</v>
      </c>
      <c r="P40">
        <f t="shared" si="5"/>
        <v>0</v>
      </c>
    </row>
    <row r="41" spans="1:17" x14ac:dyDescent="0.3">
      <c r="C41" s="10" t="s">
        <v>47</v>
      </c>
      <c r="D41" s="11">
        <f ca="1">SUMPRODUCT(COUNTIFS(INDIRECT("'"&amp;feuilles&amp;"'!A2:A2000"),$B$38,INDIRECT("'"&amp;feuilles&amp;"'!I2:I2000"),"&lt;01-02-2018"))</f>
        <v>0</v>
      </c>
      <c r="E41" s="11">
        <f ca="1">SUMPRODUCT(COUNTIFS(INDIRECT("'"&amp;feuilles&amp;"'!A2:A2000"),$B$38,INDIRECT("'"&amp;feuilles&amp;"'!I2:I2000"),"&gt;01-02-2018",INDIRECT("'"&amp;feuilles&amp;"'!I2:I2000"),"&lt;01-03-2018"))</f>
        <v>1</v>
      </c>
      <c r="F41" s="11">
        <f ca="1">SUMPRODUCT(COUNTIFS(INDIRECT("'"&amp;feuilles&amp;"'!A2:A2000"),$B$38,INDIRECT("'"&amp;feuilles&amp;"'!I2:I2000"),"&gt;01-03-2018",INDIRECT("'"&amp;feuilles&amp;"'!I2:I2000"),"&lt;01-04-2018"))</f>
        <v>0</v>
      </c>
      <c r="G41" s="11">
        <f ca="1">SUMPRODUCT(COUNTIFS(INDIRECT("'"&amp;feuilles&amp;"'!A2:A2000"),$B$38,INDIRECT("'"&amp;feuilles&amp;"'!I2:I2000"),"&gt;01-04-2018",INDIRECT("'"&amp;feuilles&amp;"'!I2:I2000"),"&lt;01-05-2018"))</f>
        <v>0</v>
      </c>
      <c r="H41" s="11">
        <f ca="1">SUMPRODUCT(COUNTIFS(INDIRECT("'"&amp;feuilles&amp;"'!A2:A2000"),$B$38,INDIRECT("'"&amp;feuilles&amp;"'!I2:I2000"),"&gt;01-05-2018",INDIRECT("'"&amp;feuilles&amp;"'!I2:I2000"),"&lt;01-06-2018"))</f>
        <v>1</v>
      </c>
      <c r="I41" s="11">
        <f ca="1">SUMPRODUCT(COUNTIFS(INDIRECT("'"&amp;feuilles&amp;"'!A2:A2000"),$B$38,INDIRECT("'"&amp;feuilles&amp;"'!I2:I2000"),"&gt;01-06-2018",INDIRECT("'"&amp;feuilles&amp;"'!I2:I2000"),"&lt;01-07-2018"))</f>
        <v>0</v>
      </c>
      <c r="J41" s="11">
        <f ca="1">SUMPRODUCT(COUNTIFS(INDIRECT("'"&amp;feuilles&amp;"'!A2:A2000"),$B$38,INDIRECT("'"&amp;feuilles&amp;"'!I2:I2000"),"&gt;01-07-2018",INDIRECT("'"&amp;feuilles&amp;"'!I2:I2000"),"&lt;01-08-2018"))</f>
        <v>0</v>
      </c>
      <c r="K41" s="11">
        <f ca="1">SUMPRODUCT(COUNTIFS(INDIRECT("'"&amp;feuilles&amp;"'!A2:A2000"),$B$38,INDIRECT("'"&amp;feuilles&amp;"'!I2:I2000"),"&gt;01-08-2018",INDIRECT("'"&amp;feuilles&amp;"'!I2:I2000"),"&lt;01-09-2018"))</f>
        <v>0</v>
      </c>
      <c r="L41" s="11">
        <f ca="1">SUMPRODUCT(COUNTIFS(INDIRECT("'"&amp;feuilles&amp;"'!A2:A2000"),$B$38,INDIRECT("'"&amp;feuilles&amp;"'!I2:I2000"),"&gt;01-09-2018",INDIRECT("'"&amp;feuilles&amp;"'!I2:I2000"),"&lt;01-10-2018"))</f>
        <v>0</v>
      </c>
      <c r="M41" s="11">
        <f ca="1">SUMPRODUCT(COUNTIFS(INDIRECT("'"&amp;feuilles&amp;"'!A2:A2000"),$B$38,INDIRECT("'"&amp;feuilles&amp;"'!I2:I2000"),"&gt;01-10-2018",INDIRECT("'"&amp;feuilles&amp;"'!I2:I2000"),"&lt;01-11-2018"))</f>
        <v>0</v>
      </c>
      <c r="N41" s="11">
        <f ca="1">SUMPRODUCT(COUNTIFS(INDIRECT("'"&amp;feuilles&amp;"'!A2:A2000"),$B$38,INDIRECT("'"&amp;feuilles&amp;"'!I2:I2000"),"&gt;01-11-2018",INDIRECT("'"&amp;feuilles&amp;"'!I2:I2000"),"&lt;01-12-2018"))</f>
        <v>0</v>
      </c>
      <c r="O41" s="11">
        <f ca="1">SUMPRODUCT(COUNTIFS(INDIRECT("'"&amp;feuilles&amp;"'!A2:A2000"),$B$38,INDIRECT("'"&amp;feuilles&amp;"'!I2:I2000"),"&gt;01-12-2018",INDIRECT("'"&amp;feuilles&amp;"'!I2:I2000"),"&lt;01-01-2018"))</f>
        <v>0</v>
      </c>
      <c r="P41" s="11">
        <f t="shared" ca="1" si="5"/>
        <v>2</v>
      </c>
      <c r="Q41" s="57">
        <f ca="1">SUM(Q42:Q43)</f>
        <v>3</v>
      </c>
    </row>
    <row r="42" spans="1:17" x14ac:dyDescent="0.3">
      <c r="C42" s="3" t="s">
        <v>48</v>
      </c>
      <c r="D42" s="12">
        <f ca="1">SUMPRODUCT(COUNTIFS(INDIRECT("'"&amp;feuilles&amp;"'!A2:A2000"),$B$38,INDIRECT("'"&amp;feuilles&amp;"'!I2:I2000"),"&lt;01-02-2018",INDIRECT("'"&amp;feuilles&amp;"'!D2:D2000"),"*Telepro R1*"))</f>
        <v>0</v>
      </c>
      <c r="E42" s="39">
        <f ca="1">SUMPRODUCT(COUNTIFS(INDIRECT("'"&amp;feuilles&amp;"'!A2:A2000"),$B$38,INDIRECT("'"&amp;feuilles&amp;"'!I2:I2000"),"&gt;01-02-2018",INDIRECT("'"&amp;feuilles&amp;"'!I2:I2000"),"&lt;01-03-2018",INDIRECT("'"&amp;feuilles&amp;"'!D2:D2000"),"*Telepro R1*"))</f>
        <v>1</v>
      </c>
      <c r="F42" s="39">
        <f ca="1">SUMPRODUCT(COUNTIFS(INDIRECT("'"&amp;feuilles&amp;"'!A2:A2000"),$B$38,INDIRECT("'"&amp;feuilles&amp;"'!I2:I2000"),"&gt;01-03-2018",INDIRECT("'"&amp;feuilles&amp;"'!I2:I2000"),"&lt;01-04-2018",INDIRECT("'"&amp;feuilles&amp;"'!D2:D2000"),"*Telepro R1*"))</f>
        <v>0</v>
      </c>
      <c r="G42" s="39">
        <f ca="1">SUMPRODUCT(COUNTIFS(INDIRECT("'"&amp;feuilles&amp;"'!A2:A2000"),$B$38,INDIRECT("'"&amp;feuilles&amp;"'!I2:I2000"),"&gt;01-04-2018",INDIRECT("'"&amp;feuilles&amp;"'!I2:I2000"),"&lt;01-05-2018",INDIRECT("'"&amp;feuilles&amp;"'!D2:D2000"),"*Telepro R1*"))</f>
        <v>0</v>
      </c>
      <c r="H42" s="39">
        <f ca="1">SUMPRODUCT(COUNTIFS(INDIRECT("'"&amp;feuilles&amp;"'!A2:A2000"),$B$38,INDIRECT("'"&amp;feuilles&amp;"'!I2:I2000"),"&gt;01-05-2018",INDIRECT("'"&amp;feuilles&amp;"'!I2:I2000"),"&lt;01-06-2018",INDIRECT("'"&amp;feuilles&amp;"'!D2:D2000"),"*Telepro R1*"))</f>
        <v>0</v>
      </c>
      <c r="I42" s="39">
        <f ca="1">SUMPRODUCT(COUNTIFS(INDIRECT("'"&amp;feuilles&amp;"'!A2:A2000"),$B$38,INDIRECT("'"&amp;feuilles&amp;"'!I2:I2000"),"&gt;01-06-2018",INDIRECT("'"&amp;feuilles&amp;"'!I2:I2000"),"&lt;01-07-2018",INDIRECT("'"&amp;feuilles&amp;"'!D2:D2000"),"*Telepro R1*"))</f>
        <v>0</v>
      </c>
      <c r="J42" s="39">
        <f ca="1">SUMPRODUCT(COUNTIFS(INDIRECT("'"&amp;feuilles&amp;"'!A2:A2000"),$B$38,INDIRECT("'"&amp;feuilles&amp;"'!I2:I2000"),"&gt;01-07-2018",INDIRECT("'"&amp;feuilles&amp;"'!I2:I2000"),"&lt;01-08-2018",INDIRECT("'"&amp;feuilles&amp;"'!D2:D2000"),"*Telepro R1*"))</f>
        <v>0</v>
      </c>
      <c r="K42" s="39">
        <f ca="1">SUMPRODUCT(COUNTIFS(INDIRECT("'"&amp;feuilles&amp;"'!A2:A2000"),$B$38,INDIRECT("'"&amp;feuilles&amp;"'!I2:I2000"),"&gt;01-08-2018",INDIRECT("'"&amp;feuilles&amp;"'!I2:I2000"),"&lt;01-09-2018",INDIRECT("'"&amp;feuilles&amp;"'!D2:D2000"),"*Telepro R1*"))</f>
        <v>0</v>
      </c>
      <c r="L42" s="39">
        <f ca="1">SUMPRODUCT(COUNTIFS(INDIRECT("'"&amp;feuilles&amp;"'!A2:A2000"),$B$38,INDIRECT("'"&amp;feuilles&amp;"'!I2:I2000"),"&gt;01-09-2018",INDIRECT("'"&amp;feuilles&amp;"'!I2:I2000"),"&lt;01-10-2018",INDIRECT("'"&amp;feuilles&amp;"'!D2:D2000"),"*Telepro R1*"))</f>
        <v>0</v>
      </c>
      <c r="M42" s="39">
        <f ca="1">SUMPRODUCT(COUNTIFS(INDIRECT("'"&amp;feuilles&amp;"'!A2:A2000"),$B$38,INDIRECT("'"&amp;feuilles&amp;"'!I2:I2000"),"&gt;01-10-2018",INDIRECT("'"&amp;feuilles&amp;"'!I2:I2000"),"&lt;01-11-2018",INDIRECT("'"&amp;feuilles&amp;"'!D2:D2000"),"*Telepro R1*"))</f>
        <v>0</v>
      </c>
      <c r="N42" s="39">
        <f ca="1">SUMPRODUCT(COUNTIFS(INDIRECT("'"&amp;feuilles&amp;"'!A2:A2000"),$B$38,INDIRECT("'"&amp;feuilles&amp;"'!I2:I2000"),"&gt;01-11-2018",INDIRECT("'"&amp;feuilles&amp;"'!I2:I2000"),"&lt;01-12-2018",INDIRECT("'"&amp;feuilles&amp;"'!D2:D2000"),"*Telepro R1*"))</f>
        <v>0</v>
      </c>
      <c r="O42" s="39">
        <f ca="1">SUMPRODUCT(COUNTIFS(INDIRECT("'"&amp;feuilles&amp;"'!A2:A2000"),$B$38,INDIRECT("'"&amp;feuilles&amp;"'!I2:I2000"),"&gt;01-12-2018",INDIRECT("'"&amp;feuilles&amp;"'!I2:I2000"),"&lt;01-01-2018",INDIRECT("'"&amp;feuilles&amp;"'!D2:D2000"),"*Telepro R1*"))</f>
        <v>0</v>
      </c>
      <c r="P42" s="12">
        <f t="shared" ca="1" si="5"/>
        <v>1</v>
      </c>
      <c r="Q42" s="12">
        <f ca="1">SUMPRODUCT(COUNTIFS(INDIRECT("'"&amp;feuilles&amp;"'!A2:A2000"),$B$38,INDIRECT("'"&amp;feuilles&amp;"'!H2:H2000"),"&gt;01-01-2018",INDIRECT("'"&amp;feuilles&amp;"'!H2:H2000"),"&lt;01-01-2019",INDIRECT("'"&amp;feuilles&amp;"'!D2:D2000"),"*Telepro R1*"))</f>
        <v>2</v>
      </c>
    </row>
    <row r="43" spans="1:17" x14ac:dyDescent="0.3">
      <c r="C43" s="3" t="s">
        <v>49</v>
      </c>
      <c r="D43" s="12">
        <f ca="1">SUMPRODUCT(COUNTIFS(INDIRECT("'"&amp;feuilles&amp;"'!A2:A2000"),$B$38,INDIRECT("'"&amp;feuilles&amp;"'!I2:I2000"),"&lt;01-02-2018",INDIRECT("'"&amp;feuilles&amp;"'!D2:D2000"),"&lt;&gt;*Telepro R1*"))</f>
        <v>0</v>
      </c>
      <c r="E43" s="39">
        <f ca="1">SUMPRODUCT(COUNTIFS(INDIRECT("'"&amp;feuilles&amp;"'!A2:A2000"),$B$38,INDIRECT("'"&amp;feuilles&amp;"'!I2:I2000"),"&gt;01-02-2018",INDIRECT("'"&amp;feuilles&amp;"'!I2:I2000"),"&lt;01-03-2018",INDIRECT("'"&amp;feuilles&amp;"'!D2:D2000"),"&lt;&gt;*Telepro R1*"))</f>
        <v>0</v>
      </c>
      <c r="F43" s="39">
        <f ca="1">SUMPRODUCT(COUNTIFS(INDIRECT("'"&amp;feuilles&amp;"'!A2:A2000"),$B$38,INDIRECT("'"&amp;feuilles&amp;"'!I2:I2000"),"&gt;01-03-2018",INDIRECT("'"&amp;feuilles&amp;"'!I2:I2000"),"&lt;01-04-2018",INDIRECT("'"&amp;feuilles&amp;"'!D2:D2000"),"&lt;&gt;*Telepro R1*"))</f>
        <v>0</v>
      </c>
      <c r="G43" s="39">
        <f ca="1">SUMPRODUCT(COUNTIFS(INDIRECT("'"&amp;feuilles&amp;"'!A2:A2000"),$B$38,INDIRECT("'"&amp;feuilles&amp;"'!I2:I2000"),"&gt;01-04-2018",INDIRECT("'"&amp;feuilles&amp;"'!I2:I2000"),"&lt;01-05-2018",INDIRECT("'"&amp;feuilles&amp;"'!D2:D2000"),"&lt;&gt;*Telepro R1*"))</f>
        <v>0</v>
      </c>
      <c r="H43" s="39">
        <f ca="1">SUMPRODUCT(COUNTIFS(INDIRECT("'"&amp;feuilles&amp;"'!A2:A2000"),$B$38,INDIRECT("'"&amp;feuilles&amp;"'!I2:I2000"),"&gt;01-05-2018",INDIRECT("'"&amp;feuilles&amp;"'!I2:I2000"),"&lt;01-06-2018",INDIRECT("'"&amp;feuilles&amp;"'!D2:D2000"),"&lt;&gt;*Telepro R1*"))</f>
        <v>1</v>
      </c>
      <c r="I43" s="39">
        <f ca="1">SUMPRODUCT(COUNTIFS(INDIRECT("'"&amp;feuilles&amp;"'!A2:A2000"),$B$38,INDIRECT("'"&amp;feuilles&amp;"'!I2:I2000"),"&gt;01-06-2018",INDIRECT("'"&amp;feuilles&amp;"'!I2:I2000"),"&lt;01-07-2018",INDIRECT("'"&amp;feuilles&amp;"'!D2:D2000"),"&lt;&gt;*Telepro R1*"))</f>
        <v>0</v>
      </c>
      <c r="J43" s="39">
        <f ca="1">SUMPRODUCT(COUNTIFS(INDIRECT("'"&amp;feuilles&amp;"'!A2:A2000"),$B$38,INDIRECT("'"&amp;feuilles&amp;"'!I2:I2000"),"&gt;01-07-2018",INDIRECT("'"&amp;feuilles&amp;"'!I2:I2000"),"&lt;01-08-2018",INDIRECT("'"&amp;feuilles&amp;"'!D2:D2000"),"&lt;&gt;*Telepro R1*"))</f>
        <v>0</v>
      </c>
      <c r="K43" s="39">
        <f ca="1">SUMPRODUCT(COUNTIFS(INDIRECT("'"&amp;feuilles&amp;"'!A2:A2000"),$B$38,INDIRECT("'"&amp;feuilles&amp;"'!I2:I2000"),"&gt;01-08-2018",INDIRECT("'"&amp;feuilles&amp;"'!I2:I2000"),"&lt;01-09-2018",INDIRECT("'"&amp;feuilles&amp;"'!D2:D2000"),"&lt;&gt;*Telepro R1*"))</f>
        <v>0</v>
      </c>
      <c r="L43" s="39">
        <f ca="1">SUMPRODUCT(COUNTIFS(INDIRECT("'"&amp;feuilles&amp;"'!A2:A2000"),$B$38,INDIRECT("'"&amp;feuilles&amp;"'!I2:I2000"),"&gt;01-09-2018",INDIRECT("'"&amp;feuilles&amp;"'!I2:I2000"),"&lt;01-10-2018",INDIRECT("'"&amp;feuilles&amp;"'!D2:D2000"),"&lt;&gt;*Telepro R1*"))</f>
        <v>0</v>
      </c>
      <c r="M43" s="39">
        <f ca="1">SUMPRODUCT(COUNTIFS(INDIRECT("'"&amp;feuilles&amp;"'!A2:A2000"),$B$38,INDIRECT("'"&amp;feuilles&amp;"'!I2:I2000"),"&gt;01-10-2018",INDIRECT("'"&amp;feuilles&amp;"'!I2:I2000"),"&lt;01-11-2018",INDIRECT("'"&amp;feuilles&amp;"'!D2:D2000"),"&lt;&gt;*Telepro R1*"))</f>
        <v>0</v>
      </c>
      <c r="N43" s="39">
        <f ca="1">SUMPRODUCT(COUNTIFS(INDIRECT("'"&amp;feuilles&amp;"'!A2:A2000"),$B$38,INDIRECT("'"&amp;feuilles&amp;"'!I2:I2000"),"&gt;01-11-2018",INDIRECT("'"&amp;feuilles&amp;"'!I2:I2000"),"&lt;01-12-2018",INDIRECT("'"&amp;feuilles&amp;"'!D2:D2000"),"&lt;&gt;*Telepro R1*"))</f>
        <v>0</v>
      </c>
      <c r="O43" s="39">
        <f ca="1">SUMPRODUCT(COUNTIFS(INDIRECT("'"&amp;feuilles&amp;"'!A2:A2000"),$B$38,INDIRECT("'"&amp;feuilles&amp;"'!I2:I2000"),"&gt;01-12-2018",INDIRECT("'"&amp;feuilles&amp;"'!I2:I2000"),"&lt;01-01-2018",INDIRECT("'"&amp;feuilles&amp;"'!D2:D2000"),"&lt;&gt;*Telepro R1*"))</f>
        <v>0</v>
      </c>
      <c r="P43" s="12">
        <f t="shared" ca="1" si="5"/>
        <v>1</v>
      </c>
      <c r="Q43" s="12">
        <f ca="1">SUMPRODUCT(COUNTIFS(INDIRECT("'"&amp;feuilles&amp;"'!A2:A2000"),$B$38,INDIRECT("'"&amp;feuilles&amp;"'!H2:H2000"),"&gt;01-01-2018",INDIRECT("'"&amp;feuilles&amp;"'!H2:H2000"),"&lt;01-01-2019",INDIRECT("'"&amp;feuilles&amp;"'!D2:D2000"),"&lt;&gt;*Telepro R1*"))</f>
        <v>1</v>
      </c>
    </row>
    <row r="44" spans="1:17" x14ac:dyDescent="0.3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3">
      <c r="B45" s="39" t="s">
        <v>107</v>
      </c>
      <c r="C45" s="13"/>
      <c r="D45" s="13">
        <f>SUMPRODUCT(('rdv 2018'!A8:A3001="Julien OMNES")*('rdv 2018'!C8:C3001&gt;=DATEVALUE("01-01-2018"))*('rdv 2018'!C8:C3001&lt;DATEVALUE("01-02-2018")))</f>
        <v>0</v>
      </c>
      <c r="E45" s="13">
        <f>SUMPRODUCT(('rdv 2018'!A8:A3001="Julien OMNES")*('rdv 2018'!C8:C3001&gt;=DATEVALUE("01-02-2018"))*('rdv 2018'!C8:C3001&lt;DATEVALUE("01-03-2018")))</f>
        <v>0</v>
      </c>
      <c r="F45" s="13">
        <f>SUMPRODUCT(('rdv 2018'!A8:A3001="Julien OMNES")*('rdv 2018'!C8:C3001&gt;=DATEVALUE("01-03-2018"))*('rdv 2018'!C8:C3001&lt;DATEVALUE("01-04-2018")))</f>
        <v>0</v>
      </c>
      <c r="G45" s="13">
        <f>SUMPRODUCT(('rdv 2018'!A8:A3001="Julien OMNES")*('rdv 2018'!C8:C3001&gt;=DATEVALUE("01-04-2018"))*('rdv 2018'!C8:C3001&lt;DATEVALUE("01-05-2018")))</f>
        <v>0</v>
      </c>
      <c r="H45" s="13">
        <f>SUMPRODUCT(('rdv 2018'!A8:A3001="Julien OMNES")*('rdv 2018'!C8:C3001&gt;=DATEVALUE("01-05-2018"))*('rdv 2018'!C8:C3001&lt;DATEVALUE("01-06-2018")))</f>
        <v>1</v>
      </c>
      <c r="I45" s="13">
        <f>SUMPRODUCT(('rdv 2018'!A8:A3001="Julien OMNES")*('rdv 2018'!C8:C3001&gt;=DATEVALUE("01-06-2018"))*('rdv 2018'!C8:C3001&lt;DATEVALUE("01-07-2018")))</f>
        <v>5</v>
      </c>
      <c r="J45" s="13">
        <f>SUMPRODUCT(('rdv 2018'!A8:A3001="Julien OMNES")*('rdv 2018'!C8:C3001&gt;=DATEVALUE("01-07-2018"))*('rdv 2018'!C8:C3001&lt;DATEVALUE("01-08-2018")))</f>
        <v>0</v>
      </c>
      <c r="K45" s="13">
        <f>SUMPRODUCT(('rdv 2018'!A8:A3001="Julien OMNES")*('rdv 2018'!C8:C3001&gt;=DATEVALUE("01-08-2018"))*('rdv 2018'!C8:C3001&lt;=DATEVALUE("01-09-2018")))</f>
        <v>0</v>
      </c>
      <c r="L45" s="13">
        <f>SUMPRODUCT(('rdv 2018'!A8:A3001="Julien OMNES")*('rdv 2018'!C8:C3001&gt;=DATEVALUE("01-09-2018"))*('rdv 2018'!C8:C3001&lt;=DATEVALUE("01-10-2018")))</f>
        <v>0</v>
      </c>
      <c r="M45" s="13">
        <f>SUMPRODUCT(('rdv 2018'!A8:A3001="Julien OMNES")*('rdv 2018'!C8:C3001&gt;=DATEVALUE("01-10-2018"))*('rdv 2018'!C8:C3001&lt;=DATEVALUE("01-11-2018")))</f>
        <v>0</v>
      </c>
      <c r="N45" s="13">
        <f>SUMPRODUCT(('rdv 2018'!A8:A3001="Julien OMNES")*('rdv 2018'!C8:C3001&gt;=DATEVALUE("01-11-2018"))*('rdv 2018'!C8:C3001&lt;DATEVALUE("01-12-2018")))</f>
        <v>0</v>
      </c>
      <c r="O45" s="13">
        <f>SUMPRODUCT(('rdv 2018'!A8:A3001="Julien OMNES")*('rdv 2018'!C8:C3001&gt;=DATEVALUE("01-12-2018"))*('rdv 2018'!C8:C3001&lt;DATEVALUE("01-01-2018")))</f>
        <v>0</v>
      </c>
      <c r="P45" s="13">
        <f t="shared" ref="P45:P50" si="6">SUM(D45:O45)</f>
        <v>6</v>
      </c>
      <c r="Q45" s="13"/>
    </row>
    <row r="46" spans="1:17" x14ac:dyDescent="0.3">
      <c r="B46" s="13"/>
      <c r="C46" s="13" t="s">
        <v>46</v>
      </c>
      <c r="D46" s="13">
        <f>COUNTIFS('rdv 2018'!A8:A2001,"Julien OMNES",'rdv 2018'!D8:D2001,"*Telepro R1*",'rdv 2018'!C8:C2001,"&gt;01-01-2018",'rdv 2018'!C8:C2001,"&lt;01-02-2018")</f>
        <v>0</v>
      </c>
      <c r="E46" s="13">
        <f>COUNTIFS('rdv 2018'!A8:A2001,"Julien OMNES",'rdv 2018'!D8:D2001,"*Telepro R1*",'rdv 2018'!C8:C2001,"&gt;=01-02-2018",'rdv 2018'!C8:C2001,"&lt;01-03-2018")</f>
        <v>0</v>
      </c>
      <c r="F46" s="13">
        <f>COUNTIFS('rdv 2018'!A8:A2001,"Julien OMNES",'rdv 2018'!D8:D2001,"*Telepro R1*",'rdv 2018'!C8:C2001,"&gt;=01-03-2018",'rdv 2018'!C8:C2001,"&lt;01-04-2018")</f>
        <v>0</v>
      </c>
      <c r="G46" s="13">
        <f>COUNTIFS('rdv 2018'!A8:A2001,"Julien OMNES",'rdv 2018'!D8:D2001,"*Telepro R1*",'rdv 2018'!C8:C2001,"&gt;=01-04-2018",'rdv 2018'!C8:C2001,"&lt;01-5-2018")</f>
        <v>0</v>
      </c>
      <c r="H46" s="13">
        <f>COUNTIFS('rdv 2018'!A8:A2001,"Julien OMNES",'rdv 2018'!D8:D2001,"*Telepro R1*",'rdv 2018'!C8:C2001,"&gt;=01-05-2018",'rdv 2018'!C8:C2001,"&lt;01-06-2018")</f>
        <v>1</v>
      </c>
      <c r="I46" s="13">
        <f>COUNTIFS('rdv 2018'!A8:A2001,"Julien OMNES",'rdv 2018'!D8:D2001,"*Telepro R1*",'rdv 2018'!C8:C2001,"&gt;=01-06-2018",'rdv 2018'!C8:C2001,"&lt;01-07-2018")</f>
        <v>3</v>
      </c>
      <c r="J46" s="13">
        <f>COUNTIFS('rdv 2018'!A8:A2001,"Julien OMNES",'rdv 2018'!D8:D2001,"*Telepro R1*",'rdv 2018'!C8:C2001,"&gt;=01-07-2018",'rdv 2018'!C8:C2001,"&lt;01-08-2018")</f>
        <v>0</v>
      </c>
      <c r="K46" s="13">
        <f>COUNTIFS('rdv 2018'!A8:A2001,"Julien OMNES",'rdv 2018'!D8:D2001,"*Telepro R1*",'rdv 2018'!C8:C2001,"&gt;=01-08-2018",'rdv 2018'!C8:C2001,"&lt;01-09-2018")</f>
        <v>0</v>
      </c>
      <c r="L46" s="13">
        <f>COUNTIFS('rdv 2018'!A8:A2001,"Julien OMNES",'rdv 2018'!D8:D2001,"*Telepro R1*",'rdv 2018'!C8:C2001,"&gt;=01-09-2018",'rdv 2018'!C8:C2001,"&lt;01-10-2018")</f>
        <v>0</v>
      </c>
      <c r="M46" s="13">
        <f>COUNTIFS('rdv 2018'!A8:A2001,"Julien OMNES",'rdv 2018'!D8:D2001,"*Telepro R1*",'rdv 2018'!C8:C2001,"&gt;=01-10-2018",'rdv 2018'!C8:C2001,"&lt;01-11-2018")</f>
        <v>0</v>
      </c>
      <c r="N46" s="13">
        <f>COUNTIFS('rdv 2018'!A8:A2001,"Julien OMNES",'rdv 2018'!D8:D2001,"*Telepro R1*",'rdv 2018'!C8:C2001,"&gt;=01-11-2018",'rdv 2018'!C8:C2001,"&lt;01-12-2018")</f>
        <v>0</v>
      </c>
      <c r="O46" s="13">
        <f>COUNTIFS('rdv 2018'!A8:A2001,"Julien OMNES",'rdv 2018'!D8:D2001,"*Telepro R1*",'rdv 2018'!C8:C2001,"&gt;=01-12-2018",'rdv 2018'!C8:C2001,"&lt;01-01-2018")</f>
        <v>0</v>
      </c>
      <c r="P46" s="13">
        <f t="shared" si="6"/>
        <v>4</v>
      </c>
      <c r="Q46" s="13"/>
    </row>
    <row r="47" spans="1:17" x14ac:dyDescent="0.3">
      <c r="B47" s="13"/>
      <c r="C47" s="13" t="s">
        <v>28</v>
      </c>
      <c r="D47" s="13">
        <f>COUNTIFS('rdv 2018'!A8:A2001,"Julien OMNES",'rdv 2018'!D8:D2001,"&lt;&gt;*Telepro*",'rdv 2018'!C8:C2001,"&gt;01-01-2018",'rdv 2018'!C8:C2001,"&lt;01-02-2018")</f>
        <v>0</v>
      </c>
      <c r="E47" s="13">
        <f>COUNTIFS('rdv 2018'!A8:A2001,"Julien OMNES",'rdv 2018'!D8:D2001,"&lt;&gt;*Telepro*",'rdv 2018'!C8:C2001,"&gt;=01-02-2018",'rdv 2018'!C8:C2001,"&lt;01-03-2018")</f>
        <v>0</v>
      </c>
      <c r="F47" s="13">
        <f>COUNTIFS('rdv 2018'!A8:A2001,"Julien OMNES",'rdv 2018'!D8:D2001,"&lt;&gt;*Telepro*",'rdv 2018'!C8:C2001,"&gt;=01-03-2018",'rdv 2018'!C8:C2001,"&lt;01-04-2018")</f>
        <v>0</v>
      </c>
      <c r="G47" s="13">
        <f>COUNTIFS('rdv 2018'!A8:A2001,"Julien OMNES",'rdv 2018'!D8:D2001,"&lt;&gt;*Telepro*",'rdv 2018'!C8:C2001,"&gt;=01-04-2018",'rdv 2018'!C8:C2001,"&lt;01-05-2018")</f>
        <v>0</v>
      </c>
      <c r="H47" s="13">
        <f>COUNTIFS('rdv 2018'!A8:A2001,"Julien OMNES",'rdv 2018'!D8:D2001,"&lt;&gt;*Telepro*",'rdv 2018'!C8:C2001,"&gt;=01-05-2018",'rdv 2018'!C8:C2001,"&lt;01-06-2018")</f>
        <v>0</v>
      </c>
      <c r="I47" s="13">
        <f>COUNTIFS('rdv 2018'!A8:A2001,"Julien OMNES",'rdv 2018'!D8:D2001,"&lt;&gt;*Telepro*",'rdv 2018'!C8:C2001,"&gt;=01-06-2018",'rdv 2018'!C8:C2001,"&lt;01-07-2018")</f>
        <v>2</v>
      </c>
      <c r="J47" s="13">
        <f>COUNTIFS('rdv 2018'!A8:A2001,"Julien OMNES",'rdv 2018'!D8:D2001,"&lt;&gt;*Telepro*",'rdv 2018'!C8:C2001,"&gt;=01-07-2018",'rdv 2018'!C8:C2001,"&lt;01-08-2018")</f>
        <v>0</v>
      </c>
      <c r="K47" s="13">
        <f>COUNTIFS('rdv 2018'!A8:A2001,"Julien OMNES",'rdv 2018'!D8:D2001,"&lt;&gt;*Telepro*",'rdv 2018'!C8:C2001,"&gt;01-08-2018",'rdv 2018'!C8:C2001,"&lt;01-09-2018")</f>
        <v>0</v>
      </c>
      <c r="L47" s="13">
        <f>COUNTIFS('rdv 2018'!A8:A2001,"Julien OMNES",'rdv 2018'!D8:D2001,"&lt;&gt;*Telepro*",'rdv 2018'!C8:C2001,"&gt;01-09-2018",'rdv 2018'!C8:C2001,"&lt;01-10-2018")</f>
        <v>0</v>
      </c>
      <c r="M47" s="13">
        <f>COUNTIFS('rdv 2018'!A8:A2001,"Julien OMNES",'rdv 2018'!D8:D2001,"&lt;&gt;*Telepro*",'rdv 2018'!C8:C2001,"&gt;01-10-2018",'rdv 2018'!C8:C2001,"&lt;01-11-2018")</f>
        <v>0</v>
      </c>
      <c r="N47" s="13">
        <f>COUNTIFS('rdv 2018'!A8:A2001,"Julien OMNES",'rdv 2018'!D8:D2001,"&lt;&gt;*Telepro*",'rdv 2018'!C8:C2001,"&gt;=01-11-2018",'rdv 2018'!C8:C2001,"&lt;01-12-2018")</f>
        <v>0</v>
      </c>
      <c r="O47" s="13">
        <f>COUNTIFS('rdv 2018'!A8:A2001,"Julien OMNES",'rdv 2018'!D8:D2001,"&lt;&gt;*Telepro*",'rdv 2018'!C8:C2001,"&gt;=01-12-2018",'rdv 2018'!C8:C2001,"&lt;01-01-2018")</f>
        <v>0</v>
      </c>
      <c r="P47" s="13">
        <f t="shared" si="6"/>
        <v>2</v>
      </c>
      <c r="Q47" s="13"/>
    </row>
    <row r="48" spans="1:17" x14ac:dyDescent="0.3">
      <c r="B48" s="13"/>
      <c r="C48" s="67" t="s">
        <v>47</v>
      </c>
      <c r="D48" s="67">
        <f ca="1">SUMPRODUCT(COUNTIFS(INDIRECT("'"&amp;feuilles&amp;"'!A2:A2000"),$B$45,INDIRECT("'"&amp;feuilles&amp;"'!I2:I2000"),"&lt;01-02-2018"))</f>
        <v>0</v>
      </c>
      <c r="E48" s="67">
        <f ca="1">SUMPRODUCT(COUNTIFS(INDIRECT("'"&amp;feuilles&amp;"'!A2:A2000"),$B$45,INDIRECT("'"&amp;feuilles&amp;"'!I2:I2000"),"&gt;01-02-2018",INDIRECT("'"&amp;feuilles&amp;"'!I2:I2000"),"&lt;01-03-2018"))</f>
        <v>0</v>
      </c>
      <c r="F48" s="67">
        <f ca="1">SUMPRODUCT(COUNTIFS(INDIRECT("'"&amp;feuilles&amp;"'!A2:A2000"),$B$45,INDIRECT("'"&amp;feuilles&amp;"'!I2:I2000"),"&gt;01-03-2018",INDIRECT("'"&amp;feuilles&amp;"'!I2:I2000"),"&lt;01-04-2018"))</f>
        <v>0</v>
      </c>
      <c r="G48" s="67">
        <f ca="1">SUMPRODUCT(COUNTIFS(INDIRECT("'"&amp;feuilles&amp;"'!A2:A2000"),$B$45,INDIRECT("'"&amp;feuilles&amp;"'!I2:I2000"),"&gt;01-04-2018",INDIRECT("'"&amp;feuilles&amp;"'!I2:I2000"),"&lt;01-05-2018"))</f>
        <v>0</v>
      </c>
      <c r="H48" s="67">
        <f ca="1">SUMPRODUCT(COUNTIFS(INDIRECT("'"&amp;feuilles&amp;"'!A2:A2000"),$B$45,INDIRECT("'"&amp;feuilles&amp;"'!I2:I2000"),"&gt;01-05-2018",INDIRECT("'"&amp;feuilles&amp;"'!I2:I2000"),"&lt;01-06-2018"))</f>
        <v>0</v>
      </c>
      <c r="I48" s="67">
        <f ca="1">SUMPRODUCT(COUNTIFS(INDIRECT("'"&amp;feuilles&amp;"'!A2:A2000"),$B$45,INDIRECT("'"&amp;feuilles&amp;"'!I2:I2000"),"&gt;01-06-2018",INDIRECT("'"&amp;feuilles&amp;"'!I2:I2000"),"&lt;01-07-2018"))</f>
        <v>1</v>
      </c>
      <c r="J48" s="67">
        <f ca="1">SUMPRODUCT(COUNTIFS(INDIRECT("'"&amp;feuilles&amp;"'!A2:A2000"),$B$45,INDIRECT("'"&amp;feuilles&amp;"'!I2:I2000"),"&gt;01-07-2018",INDIRECT("'"&amp;feuilles&amp;"'!I2:I2000"),"&lt;01-08-2018"))</f>
        <v>0</v>
      </c>
      <c r="K48" s="67">
        <f ca="1">SUMPRODUCT(COUNTIFS(INDIRECT("'"&amp;feuilles&amp;"'!A2:A2000"),$B$45,INDIRECT("'"&amp;feuilles&amp;"'!I2:I2000"),"&gt;01-08-2018",INDIRECT("'"&amp;feuilles&amp;"'!I2:I2000"),"&lt;01-09-2018"))</f>
        <v>0</v>
      </c>
      <c r="L48" s="67">
        <f ca="1">SUMPRODUCT(COUNTIFS(INDIRECT("'"&amp;feuilles&amp;"'!A2:A2000"),$B$45,INDIRECT("'"&amp;feuilles&amp;"'!I2:I2000"),"&gt;01-09-2018",INDIRECT("'"&amp;feuilles&amp;"'!I2:I2000"),"&lt;01-10-2018"))</f>
        <v>0</v>
      </c>
      <c r="M48" s="67">
        <f ca="1">SUMPRODUCT(COUNTIFS(INDIRECT("'"&amp;feuilles&amp;"'!A2:A2000"),$B$45,INDIRECT("'"&amp;feuilles&amp;"'!I2:I2000"),"&gt;01-10-2018",INDIRECT("'"&amp;feuilles&amp;"'!I2:I2000"),"&lt;01-11-2018"))</f>
        <v>0</v>
      </c>
      <c r="N48" s="67">
        <f ca="1">SUMPRODUCT(COUNTIFS(INDIRECT("'"&amp;feuilles&amp;"'!A2:A2000"),$B$45,INDIRECT("'"&amp;feuilles&amp;"'!I2:I2000"),"&gt;01-11-2018",INDIRECT("'"&amp;feuilles&amp;"'!I2:I2000"),"&lt;01-12-2018"))</f>
        <v>0</v>
      </c>
      <c r="O48" s="67">
        <f ca="1">SUMPRODUCT(COUNTIFS(INDIRECT("'"&amp;feuilles&amp;"'!A2:A2000"),$B$45,INDIRECT("'"&amp;feuilles&amp;"'!I2:I2000"),"&gt;01-12-2018",INDIRECT("'"&amp;feuilles&amp;"'!I2:I2000"),"&lt;01-01-2018"))</f>
        <v>0</v>
      </c>
      <c r="P48" s="67">
        <f t="shared" ca="1" si="6"/>
        <v>1</v>
      </c>
      <c r="Q48" s="13">
        <f ca="1">SUM(Q49:Q50)</f>
        <v>1</v>
      </c>
    </row>
    <row r="49" spans="3:19" x14ac:dyDescent="0.3">
      <c r="C49" t="s">
        <v>48</v>
      </c>
      <c r="D49">
        <f ca="1">SUMPRODUCT(COUNTIFS(INDIRECT("'"&amp;feuilles&amp;"'!A2:A2000"),$B$45,INDIRECT("'"&amp;feuilles&amp;"'!I2:I2000"),"&lt;01-02-2018",INDIRECT("'"&amp;feuilles&amp;"'!D2:D2000"),"*Telepro R1*"))</f>
        <v>0</v>
      </c>
      <c r="E49">
        <f ca="1">SUMPRODUCT(COUNTIFS(INDIRECT("'"&amp;feuilles&amp;"'!A2:A2000"),$B$45,INDIRECT("'"&amp;feuilles&amp;"'!I2:I2000"),"&gt;01-02-2018",INDIRECT("'"&amp;feuilles&amp;"'!I2:I2000"),"&lt;01-03-2018",INDIRECT("'"&amp;feuilles&amp;"'!D2:D2000"),"*Telepro R1*"))</f>
        <v>0</v>
      </c>
      <c r="F49">
        <f ca="1">SUMPRODUCT(COUNTIFS(INDIRECT("'"&amp;feuilles&amp;"'!A2:A2000"),$B$45,INDIRECT("'"&amp;feuilles&amp;"'!I2:I2000"),"&gt;01-03-2018",INDIRECT("'"&amp;feuilles&amp;"'!I2:I2000"),"&lt;01-04-2018",INDIRECT("'"&amp;feuilles&amp;"'!D2:D2000"),"*Telepro R1*"))</f>
        <v>0</v>
      </c>
      <c r="G49">
        <f ca="1">SUMPRODUCT(COUNTIFS(INDIRECT("'"&amp;feuilles&amp;"'!A2:A2000"),$B$45,INDIRECT("'"&amp;feuilles&amp;"'!I2:I2000"),"&gt;01-04-2018",INDIRECT("'"&amp;feuilles&amp;"'!I2:I2000"),"&lt;01-05-2018",INDIRECT("'"&amp;feuilles&amp;"'!D2:D2000"),"*Telepro R1*"))</f>
        <v>0</v>
      </c>
      <c r="H49">
        <f ca="1">SUMPRODUCT(COUNTIFS(INDIRECT("'"&amp;feuilles&amp;"'!A2:A2000"),$B$45,INDIRECT("'"&amp;feuilles&amp;"'!I2:I2000"),"&gt;01-05-2018",INDIRECT("'"&amp;feuilles&amp;"'!I2:I2000"),"&lt;01-06-2018",INDIRECT("'"&amp;feuilles&amp;"'!D2:D2000"),"*Telepro R1*"))</f>
        <v>0</v>
      </c>
      <c r="I49">
        <f ca="1">SUMPRODUCT(COUNTIFS(INDIRECT("'"&amp;feuilles&amp;"'!A2:A2000"),$B$45,INDIRECT("'"&amp;feuilles&amp;"'!I2:I2000"),"&gt;01-06-2018",INDIRECT("'"&amp;feuilles&amp;"'!I2:I2000"),"&lt;01-07-2018",INDIRECT("'"&amp;feuilles&amp;"'!D2:D2000"),"*Telepro R1*"))</f>
        <v>1</v>
      </c>
      <c r="J49">
        <f ca="1">SUMPRODUCT(COUNTIFS(INDIRECT("'"&amp;feuilles&amp;"'!A2:A2000"),$B$45,INDIRECT("'"&amp;feuilles&amp;"'!I2:I2000"),"&gt;01-07-2018",INDIRECT("'"&amp;feuilles&amp;"'!I2:I2000"),"&lt;01-08-2018",INDIRECT("'"&amp;feuilles&amp;"'!D2:D2000"),"*Telepro R1*"))</f>
        <v>0</v>
      </c>
      <c r="K49">
        <f ca="1">SUMPRODUCT(COUNTIFS(INDIRECT("'"&amp;feuilles&amp;"'!A2:A2000"),$B$45,INDIRECT("'"&amp;feuilles&amp;"'!I2:I2000"),"&gt;01-08-2018",INDIRECT("'"&amp;feuilles&amp;"'!I2:I2000"),"&lt;01-09-2018",INDIRECT("'"&amp;feuilles&amp;"'!D2:D2000"),"*Telepro R1*"))</f>
        <v>0</v>
      </c>
      <c r="L49">
        <f ca="1">SUMPRODUCT(COUNTIFS(INDIRECT("'"&amp;feuilles&amp;"'!A2:A2000"),$B$45,INDIRECT("'"&amp;feuilles&amp;"'!I2:I2000"),"&gt;01-09-2018",INDIRECT("'"&amp;feuilles&amp;"'!I2:I2000"),"&lt;01-10-2018",INDIRECT("'"&amp;feuilles&amp;"'!D2:D2000"),"*Telepro R1*"))</f>
        <v>0</v>
      </c>
      <c r="M49">
        <f ca="1">SUMPRODUCT(COUNTIFS(INDIRECT("'"&amp;feuilles&amp;"'!A2:A2000"),$B$45,INDIRECT("'"&amp;feuilles&amp;"'!I2:I2000"),"&gt;01-10-2018",INDIRECT("'"&amp;feuilles&amp;"'!I2:I2000"),"&lt;01-11-2018",INDIRECT("'"&amp;feuilles&amp;"'!D2:D2000"),"*Telepro R1*"))</f>
        <v>0</v>
      </c>
      <c r="N49">
        <f ca="1">SUMPRODUCT(COUNTIFS(INDIRECT("'"&amp;feuilles&amp;"'!A2:A2000"),$B$45,INDIRECT("'"&amp;feuilles&amp;"'!I2:I2000"),"&gt;01-11-2018",INDIRECT("'"&amp;feuilles&amp;"'!I2:I2000"),"&lt;01-12-2018",INDIRECT("'"&amp;feuilles&amp;"'!D2:D2000"),"*Telepro R1*"))</f>
        <v>0</v>
      </c>
      <c r="O49">
        <f ca="1">SUMPRODUCT(COUNTIFS(INDIRECT("'"&amp;feuilles&amp;"'!A2:A2000"),$B$45,INDIRECT("'"&amp;feuilles&amp;"'!I2:I2000"),"&gt;01-12-2018",INDIRECT("'"&amp;feuilles&amp;"'!I2:I2000"),"&lt;01-01-2018",INDIRECT("'"&amp;feuilles&amp;"'!D2:D2000"),"*Telepro R1*"))</f>
        <v>0</v>
      </c>
      <c r="P49">
        <f t="shared" ca="1" si="6"/>
        <v>1</v>
      </c>
      <c r="Q49">
        <f ca="1">SUMPRODUCT(COUNTIFS(INDIRECT("'"&amp;feuilles&amp;"'!A2:A2000"),$B$45,INDIRECT("'"&amp;feuilles&amp;"'!H2:H2000"),"&gt;01-01-2018",INDIRECT("'"&amp;feuilles&amp;"'!H2:H2000"),"&lt;01-01-2019",INDIRECT("'"&amp;feuilles&amp;"'!D2:D2000"),"*Telepro R1*"))</f>
        <v>1</v>
      </c>
    </row>
    <row r="50" spans="3:19" x14ac:dyDescent="0.3">
      <c r="C50" s="3" t="s">
        <v>49</v>
      </c>
      <c r="D50">
        <f ca="1">SUMPRODUCT(COUNTIFS(INDIRECT("'"&amp;feuilles&amp;"'!A2:A2000"),$B$45,INDIRECT("'"&amp;feuilles&amp;"'!I2:I2000"),"&lt;01-02-2018",INDIRECT("'"&amp;feuilles&amp;"'!D2:D2000"),"&lt;&gt;*Telepro R1*"))</f>
        <v>0</v>
      </c>
      <c r="E50">
        <f ca="1">SUMPRODUCT(COUNTIFS(INDIRECT("'"&amp;feuilles&amp;"'!A2:A2000"),$B$45,INDIRECT("'"&amp;feuilles&amp;"'!I2:I2000"),"&gt;01-02-2018",INDIRECT("'"&amp;feuilles&amp;"'!I2:I2000"),"&lt;01-03-2018",INDIRECT("'"&amp;feuilles&amp;"'!D2:D2000"),"&lt;&gt;*Telepro R1*"))</f>
        <v>0</v>
      </c>
      <c r="F50">
        <f ca="1">SUMPRODUCT(COUNTIFS(INDIRECT("'"&amp;feuilles&amp;"'!A2:A2000"),$B$45,INDIRECT("'"&amp;feuilles&amp;"'!I2:I2000"),"&gt;01-03-2018",INDIRECT("'"&amp;feuilles&amp;"'!I2:I2000"),"&lt;01-04-2018",INDIRECT("'"&amp;feuilles&amp;"'!D2:D2000"),"&lt;&gt;*Telepro R1*"))</f>
        <v>0</v>
      </c>
      <c r="G50">
        <f ca="1">SUMPRODUCT(COUNTIFS(INDIRECT("'"&amp;feuilles&amp;"'!A2:A2000"),$B$45,INDIRECT("'"&amp;feuilles&amp;"'!I2:I2000"),"&gt;01-04-2018",INDIRECT("'"&amp;feuilles&amp;"'!I2:I2000"),"&lt;01-05-2018",INDIRECT("'"&amp;feuilles&amp;"'!D2:D2000"),"&lt;&gt;*Telepro R1*"))</f>
        <v>0</v>
      </c>
      <c r="H50">
        <f ca="1">SUMPRODUCT(COUNTIFS(INDIRECT("'"&amp;feuilles&amp;"'!A2:A2000"),$B$45,INDIRECT("'"&amp;feuilles&amp;"'!I2:I2000"),"&gt;01-05-2018",INDIRECT("'"&amp;feuilles&amp;"'!I2:I2000"),"&lt;01-06-2018",INDIRECT("'"&amp;feuilles&amp;"'!D2:D2000"),"&lt;&gt;*Telepro R1*"))</f>
        <v>0</v>
      </c>
      <c r="I50">
        <f ca="1">SUMPRODUCT(COUNTIFS(INDIRECT("'"&amp;feuilles&amp;"'!A2:A2000"),$B$45,INDIRECT("'"&amp;feuilles&amp;"'!I2:I2000"),"&gt;01-06-2018",INDIRECT("'"&amp;feuilles&amp;"'!I2:I2000"),"&lt;01-07-2018",INDIRECT("'"&amp;feuilles&amp;"'!D2:D2000"),"&lt;&gt;*Telepro R1*"))</f>
        <v>0</v>
      </c>
      <c r="J50">
        <f ca="1">SUMPRODUCT(COUNTIFS(INDIRECT("'"&amp;feuilles&amp;"'!A2:A2000"),$B$45,INDIRECT("'"&amp;feuilles&amp;"'!I2:I2000"),"&gt;01-07-2018",INDIRECT("'"&amp;feuilles&amp;"'!I2:I2000"),"&lt;01-08-2018",INDIRECT("'"&amp;feuilles&amp;"'!D2:D2000"),"&lt;&gt;*Telepro R1*"))</f>
        <v>0</v>
      </c>
      <c r="K50">
        <f ca="1">SUMPRODUCT(COUNTIFS(INDIRECT("'"&amp;feuilles&amp;"'!A2:A2000"),$B$45,INDIRECT("'"&amp;feuilles&amp;"'!I2:I2000"),"&gt;01-08-2018",INDIRECT("'"&amp;feuilles&amp;"'!I2:I2000"),"&lt;01-09-2018",INDIRECT("'"&amp;feuilles&amp;"'!D2:D2000"),"&lt;&gt;*Telepro R1*"))</f>
        <v>0</v>
      </c>
      <c r="L50">
        <f ca="1">SUMPRODUCT(COUNTIFS(INDIRECT("'"&amp;feuilles&amp;"'!A2:A2000"),$B$45,INDIRECT("'"&amp;feuilles&amp;"'!I2:I2000"),"&gt;01-09-2018",INDIRECT("'"&amp;feuilles&amp;"'!I2:I2000"),"&lt;01-10-2018",INDIRECT("'"&amp;feuilles&amp;"'!D2:D2000"),"&lt;&gt;*Telepro R1*"))</f>
        <v>0</v>
      </c>
      <c r="M50">
        <f ca="1">SUMPRODUCT(COUNTIFS(INDIRECT("'"&amp;feuilles&amp;"'!A2:A2000"),$B$45,INDIRECT("'"&amp;feuilles&amp;"'!I2:I2000"),"&gt;01-10-2018",INDIRECT("'"&amp;feuilles&amp;"'!I2:I2000"),"&lt;01-11-2018",INDIRECT("'"&amp;feuilles&amp;"'!D2:D2000"),"&lt;&gt;*Telepro R1*"))</f>
        <v>0</v>
      </c>
      <c r="N50">
        <f ca="1">SUMPRODUCT(COUNTIFS(INDIRECT("'"&amp;feuilles&amp;"'!A2:A2000"),$B$45,INDIRECT("'"&amp;feuilles&amp;"'!I2:I2000"),"&gt;01-11-2018",INDIRECT("'"&amp;feuilles&amp;"'!I2:I2000"),"&lt;01-12-2018",INDIRECT("'"&amp;feuilles&amp;"'!D2:D2000"),"&lt;&gt;*Telepro R1*"))</f>
        <v>0</v>
      </c>
      <c r="O50">
        <f ca="1">SUMPRODUCT(COUNTIFS(INDIRECT("'"&amp;feuilles&amp;"'!A2:A2000"),$B$45,INDIRECT("'"&amp;feuilles&amp;"'!I2:I2000"),"&gt;01-12-2018",INDIRECT("'"&amp;feuilles&amp;"'!I2:I2000"),"&lt;01-01-2018",INDIRECT("'"&amp;feuilles&amp;"'!D2:D2000"),"&lt;&gt;*Telepro R1*"))</f>
        <v>0</v>
      </c>
      <c r="P50">
        <f t="shared" ca="1" si="6"/>
        <v>0</v>
      </c>
      <c r="Q50">
        <f ca="1">SUMPRODUCT(COUNTIFS(INDIRECT("'"&amp;feuilles&amp;"'!A2:A2000"),$B$45,INDIRECT("'"&amp;feuilles&amp;"'!H2:H2000"),"&gt;01-01-2018",INDIRECT("'"&amp;feuilles&amp;"'!H2:H2000"),"&lt;01-01-2019",INDIRECT("'"&amp;feuilles&amp;"'!D2:D2000"),"&lt;&gt;*Telepro R1*"))</f>
        <v>0</v>
      </c>
    </row>
    <row r="51" spans="3:19" ht="15" thickBot="1" x14ac:dyDescent="0.35"/>
    <row r="52" spans="3:19" ht="15" thickTop="1" x14ac:dyDescent="0.3">
      <c r="C52" s="17" t="s">
        <v>51</v>
      </c>
      <c r="D52" s="18">
        <f t="shared" ref="D52:O52" si="7">D3+D10+D17+D24+D31+D38</f>
        <v>43</v>
      </c>
      <c r="E52" s="18">
        <f t="shared" si="7"/>
        <v>44</v>
      </c>
      <c r="F52" s="18">
        <f t="shared" si="7"/>
        <v>46</v>
      </c>
      <c r="G52" s="18">
        <f t="shared" si="7"/>
        <v>33</v>
      </c>
      <c r="H52" s="18">
        <f>H3+H10+H17+H24+H31+H38+H45</f>
        <v>26</v>
      </c>
      <c r="I52" s="18">
        <f>I3+I10+I17+I24+I31+I38+I45</f>
        <v>30</v>
      </c>
      <c r="J52" s="18">
        <f t="shared" si="7"/>
        <v>0</v>
      </c>
      <c r="K52" s="18">
        <f t="shared" si="7"/>
        <v>0</v>
      </c>
      <c r="L52" s="18">
        <f t="shared" si="7"/>
        <v>0</v>
      </c>
      <c r="M52" s="18">
        <f t="shared" si="7"/>
        <v>0</v>
      </c>
      <c r="N52" s="18">
        <f t="shared" si="7"/>
        <v>0</v>
      </c>
      <c r="O52" s="18">
        <f t="shared" si="7"/>
        <v>0</v>
      </c>
      <c r="P52" s="19">
        <f t="shared" ref="P52:P57" si="8">SUM(D52:O52)</f>
        <v>222</v>
      </c>
      <c r="Q52" s="16"/>
    </row>
    <row r="53" spans="3:19" x14ac:dyDescent="0.3">
      <c r="C53" s="20" t="s">
        <v>53</v>
      </c>
      <c r="D53" s="15">
        <f t="shared" ref="D53:O53" si="9">D4+D11+D18+D25+D32+D39</f>
        <v>33</v>
      </c>
      <c r="E53" s="15">
        <f t="shared" si="9"/>
        <v>36</v>
      </c>
      <c r="F53" s="15">
        <f t="shared" si="9"/>
        <v>41</v>
      </c>
      <c r="G53" s="15">
        <f t="shared" si="9"/>
        <v>28</v>
      </c>
      <c r="H53" s="15">
        <f>H4+H11+H18+H25+H32+H39+H46</f>
        <v>19</v>
      </c>
      <c r="I53" s="15">
        <f>I4+I11+I18+I25+I32+I39+I46</f>
        <v>26</v>
      </c>
      <c r="J53" s="15">
        <f t="shared" si="9"/>
        <v>0</v>
      </c>
      <c r="K53" s="15">
        <f t="shared" si="9"/>
        <v>0</v>
      </c>
      <c r="L53" s="15">
        <f t="shared" si="9"/>
        <v>0</v>
      </c>
      <c r="M53" s="15">
        <f t="shared" si="9"/>
        <v>0</v>
      </c>
      <c r="N53" s="15">
        <f t="shared" si="9"/>
        <v>0</v>
      </c>
      <c r="O53" s="15">
        <f t="shared" si="9"/>
        <v>0</v>
      </c>
      <c r="P53" s="21">
        <f t="shared" si="8"/>
        <v>183</v>
      </c>
    </row>
    <row r="54" spans="3:19" x14ac:dyDescent="0.3">
      <c r="C54" s="20" t="s">
        <v>28</v>
      </c>
      <c r="D54" s="15">
        <f>D5+D12+D19+D26+D33+D40</f>
        <v>10</v>
      </c>
      <c r="E54" s="15">
        <f>E5+E12+E19+E26+E33+E40</f>
        <v>8</v>
      </c>
      <c r="F54" s="15">
        <f t="shared" ref="F54:O54" si="10">F5+F12+F19+F26+F33+F40</f>
        <v>5</v>
      </c>
      <c r="G54" s="15">
        <f t="shared" si="10"/>
        <v>5</v>
      </c>
      <c r="H54" s="15">
        <f t="shared" si="10"/>
        <v>7</v>
      </c>
      <c r="I54" s="15">
        <f>I5+I12+I19+I26+I33+I40+I47</f>
        <v>4</v>
      </c>
      <c r="J54" s="15">
        <f t="shared" si="10"/>
        <v>0</v>
      </c>
      <c r="K54" s="15">
        <f t="shared" si="10"/>
        <v>0</v>
      </c>
      <c r="L54" s="15">
        <f t="shared" si="10"/>
        <v>0</v>
      </c>
      <c r="M54" s="15">
        <f t="shared" si="10"/>
        <v>0</v>
      </c>
      <c r="N54" s="15">
        <f t="shared" si="10"/>
        <v>0</v>
      </c>
      <c r="O54" s="15">
        <f t="shared" si="10"/>
        <v>0</v>
      </c>
      <c r="P54" s="21">
        <f t="shared" si="8"/>
        <v>39</v>
      </c>
      <c r="Q54" t="s">
        <v>82</v>
      </c>
      <c r="R54" s="3" t="s">
        <v>83</v>
      </c>
      <c r="S54" s="3"/>
    </row>
    <row r="55" spans="3:19" x14ac:dyDescent="0.3">
      <c r="C55" s="22" t="s">
        <v>50</v>
      </c>
      <c r="D55" s="16">
        <f ca="1">D6+D13+D20+D27+D34+D41</f>
        <v>2</v>
      </c>
      <c r="E55" s="16">
        <f t="shared" ref="E55:O55" ca="1" si="11">E6+E13+E20+E27+E34+E41</f>
        <v>7</v>
      </c>
      <c r="F55" s="16">
        <f t="shared" ca="1" si="11"/>
        <v>3</v>
      </c>
      <c r="G55" s="16">
        <f t="shared" ca="1" si="11"/>
        <v>2</v>
      </c>
      <c r="H55" s="16">
        <f t="shared" ca="1" si="11"/>
        <v>5</v>
      </c>
      <c r="I55" s="16">
        <f t="shared" ca="1" si="11"/>
        <v>2</v>
      </c>
      <c r="J55" s="16">
        <f t="shared" ca="1" si="11"/>
        <v>0</v>
      </c>
      <c r="K55" s="16">
        <f t="shared" ca="1" si="11"/>
        <v>0</v>
      </c>
      <c r="L55" s="16">
        <f t="shared" ca="1" si="11"/>
        <v>0</v>
      </c>
      <c r="M55" s="16">
        <f t="shared" ca="1" si="11"/>
        <v>0</v>
      </c>
      <c r="N55" s="16">
        <f t="shared" ca="1" si="11"/>
        <v>0</v>
      </c>
      <c r="O55" s="16">
        <f t="shared" ca="1" si="11"/>
        <v>0</v>
      </c>
      <c r="P55" s="63">
        <f t="shared" ca="1" si="8"/>
        <v>21</v>
      </c>
      <c r="Q55" s="62">
        <f ca="1">Q6+Q13+Q20+Q27+Q41+Q34</f>
        <v>26</v>
      </c>
      <c r="R55" s="65">
        <f ca="1">Q55-P55</f>
        <v>5</v>
      </c>
      <c r="S55" s="59"/>
    </row>
    <row r="56" spans="3:19" x14ac:dyDescent="0.3">
      <c r="C56" s="20" t="s">
        <v>52</v>
      </c>
      <c r="D56" s="15">
        <f ca="1">D7+D14+D21+D28+D35+D42</f>
        <v>1</v>
      </c>
      <c r="E56" s="15">
        <f t="shared" ref="E56:O56" ca="1" si="12">E7+E14+E21+E28+E35+E42</f>
        <v>4</v>
      </c>
      <c r="F56" s="15">
        <f t="shared" ca="1" si="12"/>
        <v>3</v>
      </c>
      <c r="G56" s="15">
        <f t="shared" ca="1" si="12"/>
        <v>2</v>
      </c>
      <c r="H56" s="15">
        <f t="shared" ca="1" si="12"/>
        <v>3</v>
      </c>
      <c r="I56" s="15">
        <f t="shared" ca="1" si="12"/>
        <v>2</v>
      </c>
      <c r="J56" s="15">
        <f t="shared" ca="1" si="12"/>
        <v>0</v>
      </c>
      <c r="K56" s="15">
        <f t="shared" ca="1" si="12"/>
        <v>0</v>
      </c>
      <c r="L56" s="15">
        <f t="shared" ca="1" si="12"/>
        <v>0</v>
      </c>
      <c r="M56" s="15">
        <f t="shared" ca="1" si="12"/>
        <v>0</v>
      </c>
      <c r="N56" s="15">
        <f t="shared" ca="1" si="12"/>
        <v>0</v>
      </c>
      <c r="O56" s="15">
        <f t="shared" ca="1" si="12"/>
        <v>0</v>
      </c>
      <c r="P56" s="21">
        <f t="shared" ca="1" si="8"/>
        <v>15</v>
      </c>
      <c r="Q56" s="58">
        <f ca="1">Q7+Q14+Q21+Q28+Q42</f>
        <v>18</v>
      </c>
      <c r="R56" s="14"/>
      <c r="S56" s="14"/>
    </row>
    <row r="57" spans="3:19" ht="15" thickBot="1" x14ac:dyDescent="0.35">
      <c r="C57" s="23" t="s">
        <v>49</v>
      </c>
      <c r="D57" s="24">
        <f ca="1">D8+D15+D22+D29+D36+D43</f>
        <v>1</v>
      </c>
      <c r="E57" s="24">
        <f t="shared" ref="E57:O57" ca="1" si="13">E8+E15+E22+E29+E36+E43</f>
        <v>3</v>
      </c>
      <c r="F57" s="24">
        <f t="shared" ca="1" si="13"/>
        <v>0</v>
      </c>
      <c r="G57" s="24">
        <f t="shared" ca="1" si="13"/>
        <v>0</v>
      </c>
      <c r="H57" s="24">
        <f t="shared" ca="1" si="13"/>
        <v>2</v>
      </c>
      <c r="I57" s="24">
        <f t="shared" ca="1" si="13"/>
        <v>0</v>
      </c>
      <c r="J57" s="24">
        <f t="shared" ca="1" si="13"/>
        <v>0</v>
      </c>
      <c r="K57" s="24">
        <f t="shared" ca="1" si="13"/>
        <v>0</v>
      </c>
      <c r="L57" s="24">
        <f t="shared" ca="1" si="13"/>
        <v>0</v>
      </c>
      <c r="M57" s="24">
        <f t="shared" ca="1" si="13"/>
        <v>0</v>
      </c>
      <c r="N57" s="24">
        <f t="shared" ca="1" si="13"/>
        <v>0</v>
      </c>
      <c r="O57" s="24">
        <f t="shared" ca="1" si="13"/>
        <v>0</v>
      </c>
      <c r="P57" s="25">
        <f t="shared" ca="1" si="8"/>
        <v>6</v>
      </c>
      <c r="Q57" s="58">
        <f ca="1">Q8+Q15+Q22+Q29+Q43</f>
        <v>8</v>
      </c>
      <c r="R57" s="14"/>
      <c r="S57" s="14"/>
    </row>
    <row r="58" spans="3:19" ht="15" thickTop="1" x14ac:dyDescent="0.3"/>
    <row r="61" spans="3:19" x14ac:dyDescent="0.3">
      <c r="C61" t="s">
        <v>86</v>
      </c>
      <c r="D61">
        <f>COUNTIF('rdv 2018'!E1:E2000,"N'a pas eu lieu")</f>
        <v>0</v>
      </c>
      <c r="E61" t="s">
        <v>87</v>
      </c>
      <c r="F61" s="3"/>
      <c r="G61" s="66" t="s">
        <v>28</v>
      </c>
      <c r="H61">
        <f>COUNTIFS('rdv 2018'!E1:E1994,"N'a pas eu lieu",'rdv 2018'!D1:D1994,"&lt;&gt;*Telepro r1*")</f>
        <v>0</v>
      </c>
    </row>
    <row r="62" spans="3:19" x14ac:dyDescent="0.3">
      <c r="C62" s="5" t="s">
        <v>85</v>
      </c>
      <c r="D62" s="5">
        <f>P52-D61</f>
        <v>222</v>
      </c>
      <c r="F62" t="s">
        <v>84</v>
      </c>
      <c r="G62">
        <f ca="1">Q55</f>
        <v>26</v>
      </c>
      <c r="I62" t="s">
        <v>54</v>
      </c>
      <c r="J62" s="59">
        <f ca="1">D62/G62</f>
        <v>8.5384615384615383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S19"/>
  <sheetViews>
    <sheetView topLeftCell="A10" workbookViewId="0">
      <selection sqref="A1:T14"/>
    </sheetView>
  </sheetViews>
  <sheetFormatPr baseColWidth="10" defaultRowHeight="14.4" x14ac:dyDescent="0.3"/>
  <cols>
    <col min="4" max="4" width="6.44140625" customWidth="1"/>
    <col min="5" max="5" width="7.5546875" customWidth="1"/>
    <col min="6" max="6" width="7" customWidth="1"/>
    <col min="7" max="7" width="7.21875" customWidth="1"/>
    <col min="8" max="9" width="6.44140625" customWidth="1"/>
    <col min="10" max="10" width="8" customWidth="1"/>
    <col min="11" max="11" width="5.21875" customWidth="1"/>
    <col min="12" max="12" width="7.88671875" customWidth="1"/>
    <col min="14" max="14" width="6.88671875" customWidth="1"/>
    <col min="15" max="15" width="6.5546875" customWidth="1"/>
    <col min="18" max="18" width="7.77734375" customWidth="1"/>
    <col min="19" max="19" width="8.88671875" customWidth="1"/>
  </cols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9"/>
  <sheetViews>
    <sheetView topLeftCell="A10" workbookViewId="0">
      <selection activeCell="Q17" sqref="Q17"/>
    </sheetView>
  </sheetViews>
  <sheetFormatPr baseColWidth="10" defaultColWidth="9" defaultRowHeight="14.4" x14ac:dyDescent="0.3"/>
  <cols>
    <col min="1" max="1" width="11.109375" style="45" customWidth="1"/>
    <col min="2" max="2" width="9.5546875" style="45" customWidth="1"/>
    <col min="3" max="3" width="10.6640625" style="45" customWidth="1"/>
    <col min="4" max="4" width="6.77734375" style="45" customWidth="1"/>
    <col min="5" max="5" width="7.6640625" style="45" customWidth="1"/>
    <col min="6" max="6" width="6.77734375" style="45" customWidth="1"/>
    <col min="7" max="8" width="7.21875" style="45" customWidth="1"/>
    <col min="9" max="9" width="6.109375" style="45" customWidth="1"/>
    <col min="10" max="10" width="7.33203125" style="45" customWidth="1"/>
    <col min="11" max="11" width="5.6640625" style="45" customWidth="1"/>
    <col min="12" max="13" width="7.33203125" style="45" customWidth="1"/>
    <col min="14" max="14" width="6.88671875" style="45" customWidth="1"/>
    <col min="15" max="15" width="6.6640625" style="45" customWidth="1"/>
    <col min="16" max="16" width="11.109375" style="45" customWidth="1"/>
    <col min="17" max="17" width="9" style="45"/>
    <col min="18" max="18" width="7.5546875" style="45" customWidth="1"/>
    <col min="19" max="16384" width="9" style="45"/>
  </cols>
  <sheetData>
    <row r="1" spans="1:20" x14ac:dyDescent="0.3">
      <c r="A1" s="42"/>
      <c r="B1" s="43"/>
      <c r="C1" s="43"/>
      <c r="D1" s="43"/>
      <c r="E1" s="43"/>
      <c r="F1" s="43"/>
      <c r="G1" s="43"/>
      <c r="H1" s="44"/>
      <c r="I1" s="43"/>
      <c r="J1" s="43"/>
      <c r="K1" s="43"/>
      <c r="L1" s="43"/>
      <c r="M1" s="43"/>
      <c r="N1" s="43"/>
      <c r="O1" s="43"/>
      <c r="P1" s="43"/>
      <c r="Q1" s="43"/>
      <c r="R1" s="43"/>
      <c r="T1" s="43"/>
    </row>
    <row r="2" spans="1:20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8"/>
    </row>
    <row r="3" spans="1:20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2"/>
    </row>
    <row r="4" spans="1:20" x14ac:dyDescent="0.3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</row>
    <row r="5" spans="1:20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42"/>
    </row>
    <row r="6" spans="1:20" x14ac:dyDescent="0.3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8"/>
    </row>
    <row r="7" spans="1:20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42"/>
    </row>
    <row r="8" spans="1:20" x14ac:dyDescent="0.3">
      <c r="A8" s="46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8"/>
    </row>
    <row r="9" spans="1:20" x14ac:dyDescent="0.3">
      <c r="A9" s="49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42"/>
    </row>
    <row r="10" spans="1:20" x14ac:dyDescent="0.3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8"/>
    </row>
    <row r="11" spans="1:20" x14ac:dyDescent="0.3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42"/>
    </row>
    <row r="12" spans="1:20" x14ac:dyDescent="0.3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8"/>
    </row>
    <row r="13" spans="1:20" x14ac:dyDescent="0.3">
      <c r="A13" s="49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42"/>
    </row>
    <row r="14" spans="1:20" x14ac:dyDescent="0.3">
      <c r="A14" s="51"/>
      <c r="B14" s="52"/>
      <c r="C14" s="52"/>
      <c r="D14" s="52"/>
      <c r="E14" s="52"/>
      <c r="F14" s="52"/>
      <c r="G14" s="52"/>
      <c r="H14" s="53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</row>
    <row r="17" spans="2:19" x14ac:dyDescent="0.3">
      <c r="B17" s="43"/>
      <c r="C17" s="43"/>
      <c r="D17" s="43"/>
      <c r="E17" s="43"/>
      <c r="F17" s="43"/>
      <c r="G17" s="43"/>
      <c r="H17" s="44"/>
      <c r="I17" s="43"/>
      <c r="J17" s="43"/>
      <c r="K17" s="43"/>
      <c r="L17" s="43"/>
      <c r="M17" s="43"/>
      <c r="N17" s="43"/>
      <c r="O17" s="43"/>
      <c r="P17" s="43"/>
      <c r="Q17" s="43"/>
      <c r="R17" s="43"/>
    </row>
    <row r="18" spans="2:19" x14ac:dyDescent="0.3">
      <c r="S18" s="42"/>
    </row>
    <row r="19" spans="2:19" x14ac:dyDescent="0.3"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S19"/>
  <sheetViews>
    <sheetView topLeftCell="A4" workbookViewId="0">
      <selection activeCell="H9" sqref="H9"/>
    </sheetView>
  </sheetViews>
  <sheetFormatPr baseColWidth="10" defaultRowHeight="14.4" x14ac:dyDescent="0.3"/>
  <cols>
    <col min="1" max="1" width="11.109375" customWidth="1"/>
    <col min="2" max="2" width="9.5546875" customWidth="1"/>
    <col min="3" max="3" width="10.6640625" customWidth="1"/>
    <col min="4" max="5" width="7.44140625" customWidth="1"/>
    <col min="6" max="6" width="6.77734375" customWidth="1"/>
    <col min="7" max="7" width="7.21875" customWidth="1"/>
    <col min="8" max="8" width="8.33203125" customWidth="1"/>
    <col min="9" max="9" width="7.6640625" customWidth="1"/>
    <col min="10" max="10" width="9.109375" customWidth="1"/>
    <col min="11" max="11" width="7.77734375" customWidth="1"/>
    <col min="12" max="13" width="9.5546875" customWidth="1"/>
    <col min="14" max="14" width="6.88671875" customWidth="1"/>
    <col min="15" max="15" width="6.6640625" customWidth="1"/>
    <col min="16" max="16" width="13" customWidth="1"/>
    <col min="18" max="18" width="7.33203125" customWidth="1"/>
    <col min="19" max="19" width="7.21875" customWidth="1"/>
  </cols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S19"/>
  <sheetViews>
    <sheetView workbookViewId="0">
      <selection activeCell="A17" sqref="A17"/>
    </sheetView>
  </sheetViews>
  <sheetFormatPr baseColWidth="10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S19"/>
  <sheetViews>
    <sheetView workbookViewId="0">
      <selection activeCell="D15" sqref="D15"/>
    </sheetView>
  </sheetViews>
  <sheetFormatPr baseColWidth="10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2"/>
      <c r="C3" s="12"/>
      <c r="D3" s="12"/>
      <c r="E3" s="12"/>
      <c r="F3" s="12"/>
      <c r="G3" s="12"/>
      <c r="H3" s="29"/>
      <c r="I3" s="12"/>
      <c r="J3" s="12"/>
      <c r="K3" s="12"/>
      <c r="L3" s="12"/>
      <c r="M3" s="12"/>
      <c r="N3" s="12"/>
      <c r="O3" s="12"/>
      <c r="P3" s="12"/>
      <c r="Q3" s="12"/>
      <c r="R3" s="12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2"/>
      <c r="C5" s="12"/>
      <c r="D5" s="12"/>
      <c r="E5" s="12"/>
      <c r="F5" s="12"/>
      <c r="G5" s="12"/>
      <c r="H5" s="29"/>
      <c r="I5" s="12"/>
      <c r="J5" s="12"/>
      <c r="K5" s="12"/>
      <c r="L5" s="12"/>
      <c r="M5" s="12"/>
      <c r="N5" s="12"/>
      <c r="O5" s="12"/>
      <c r="P5" s="12"/>
      <c r="Q5" s="12"/>
      <c r="R5" s="12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2"/>
      <c r="C7" s="12"/>
      <c r="D7" s="12"/>
      <c r="E7" s="12"/>
      <c r="F7" s="12"/>
      <c r="G7" s="12"/>
      <c r="H7" s="29"/>
      <c r="I7" s="12"/>
      <c r="J7" s="12"/>
      <c r="K7" s="12"/>
      <c r="L7" s="12"/>
      <c r="M7" s="12"/>
      <c r="N7" s="12"/>
      <c r="O7" s="12"/>
      <c r="P7" s="12"/>
      <c r="Q7" s="12"/>
      <c r="R7" s="12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2"/>
      <c r="C9" s="12"/>
      <c r="D9" s="12"/>
      <c r="E9" s="12"/>
      <c r="F9" s="12"/>
      <c r="G9" s="12"/>
      <c r="H9" s="29"/>
      <c r="I9" s="12"/>
      <c r="J9" s="12"/>
      <c r="K9" s="12"/>
      <c r="L9" s="12"/>
      <c r="M9" s="12"/>
      <c r="N9" s="12"/>
      <c r="O9" s="12"/>
      <c r="P9" s="12"/>
      <c r="Q9" s="12"/>
      <c r="R9" s="12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2"/>
      <c r="C11" s="12"/>
      <c r="D11" s="12"/>
      <c r="E11" s="12"/>
      <c r="F11" s="12"/>
      <c r="G11" s="12"/>
      <c r="H11" s="29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2"/>
      <c r="C13" s="12"/>
      <c r="D13" s="12"/>
      <c r="E13" s="12"/>
      <c r="F13" s="12"/>
      <c r="G13" s="12"/>
      <c r="H13" s="29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S19"/>
  <sheetViews>
    <sheetView workbookViewId="0">
      <selection activeCell="G16" sqref="G16"/>
    </sheetView>
  </sheetViews>
  <sheetFormatPr baseColWidth="10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36"/>
    </row>
    <row r="3" spans="1:19" x14ac:dyDescent="0.3">
      <c r="A3" s="26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"/>
    </row>
    <row r="4" spans="1:19" x14ac:dyDescent="0.3">
      <c r="A4" s="31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36"/>
    </row>
    <row r="5" spans="1:19" x14ac:dyDescent="0.3">
      <c r="A5" s="26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"/>
    </row>
    <row r="6" spans="1:19" x14ac:dyDescent="0.3">
      <c r="A6" s="31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36"/>
    </row>
    <row r="7" spans="1:19" x14ac:dyDescent="0.3">
      <c r="A7" s="26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"/>
    </row>
    <row r="8" spans="1:19" x14ac:dyDescent="0.3">
      <c r="A8" s="31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36"/>
    </row>
    <row r="9" spans="1:19" x14ac:dyDescent="0.3">
      <c r="A9" s="26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"/>
    </row>
    <row r="10" spans="1:19" x14ac:dyDescent="0.3">
      <c r="A10" s="31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36"/>
    </row>
    <row r="11" spans="1:19" x14ac:dyDescent="0.3">
      <c r="A11" s="26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"/>
    </row>
    <row r="12" spans="1:19" x14ac:dyDescent="0.3">
      <c r="A12" s="31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36"/>
    </row>
    <row r="13" spans="1:19" x14ac:dyDescent="0.3">
      <c r="A13" s="26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8AA4-87A8-4DB2-85CA-AC694F6600F6}">
  <sheetPr codeName="Feuil13"/>
  <dimension ref="A1:T19"/>
  <sheetViews>
    <sheetView workbookViewId="0">
      <selection activeCell="H17" sqref="H17"/>
    </sheetView>
  </sheetViews>
  <sheetFormatPr baseColWidth="10" defaultRowHeight="14.4" x14ac:dyDescent="0.3"/>
  <sheetData>
    <row r="1" spans="1:20" x14ac:dyDescent="0.3">
      <c r="A1" s="5"/>
      <c r="B1" s="5"/>
      <c r="C1" s="34"/>
      <c r="D1" s="34"/>
      <c r="E1" s="34"/>
      <c r="F1" s="34"/>
      <c r="G1" s="34"/>
      <c r="H1" s="34"/>
      <c r="I1" s="35"/>
      <c r="J1" s="34"/>
      <c r="K1" s="34"/>
      <c r="L1" s="34"/>
      <c r="M1" s="34"/>
      <c r="N1" s="34"/>
      <c r="O1" s="34"/>
      <c r="P1" s="5"/>
      <c r="Q1" s="34"/>
      <c r="R1" s="34"/>
      <c r="S1" s="34"/>
      <c r="T1" s="34"/>
    </row>
    <row r="2" spans="1:20" x14ac:dyDescent="0.3">
      <c r="A2" s="31"/>
      <c r="B2" s="31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31"/>
      <c r="Q2" s="47"/>
      <c r="R2" s="47"/>
      <c r="S2" s="47"/>
      <c r="T2" s="47"/>
    </row>
    <row r="3" spans="1:20" x14ac:dyDescent="0.3">
      <c r="A3" s="26"/>
      <c r="B3" s="26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26"/>
      <c r="Q3" s="50"/>
      <c r="R3" s="50"/>
      <c r="S3" s="50"/>
      <c r="T3" s="50"/>
    </row>
    <row r="4" spans="1:20" x14ac:dyDescent="0.3">
      <c r="A4" s="31"/>
      <c r="B4" s="31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31"/>
      <c r="Q4" s="47"/>
      <c r="R4" s="47"/>
      <c r="S4" s="47"/>
      <c r="T4" s="47"/>
    </row>
    <row r="5" spans="1:20" x14ac:dyDescent="0.3">
      <c r="A5" s="26"/>
      <c r="B5" s="26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26"/>
      <c r="Q5" s="50"/>
      <c r="R5" s="50"/>
      <c r="S5" s="50"/>
      <c r="T5" s="50"/>
    </row>
    <row r="6" spans="1:20" x14ac:dyDescent="0.3">
      <c r="A6" s="31"/>
      <c r="B6" s="31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31"/>
      <c r="Q6" s="47"/>
      <c r="R6" s="47"/>
      <c r="S6" s="47"/>
      <c r="T6" s="47"/>
    </row>
    <row r="7" spans="1:20" x14ac:dyDescent="0.3">
      <c r="A7" s="26"/>
      <c r="B7" s="26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26"/>
      <c r="Q7" s="50"/>
      <c r="R7" s="50"/>
      <c r="S7" s="50"/>
      <c r="T7" s="50"/>
    </row>
    <row r="8" spans="1:20" x14ac:dyDescent="0.3">
      <c r="A8" s="31"/>
      <c r="B8" s="31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31"/>
      <c r="Q8" s="47"/>
      <c r="R8" s="47"/>
      <c r="S8" s="47"/>
      <c r="T8" s="47"/>
    </row>
    <row r="9" spans="1:20" x14ac:dyDescent="0.3">
      <c r="A9" s="26"/>
      <c r="B9" s="26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26"/>
      <c r="Q9" s="50"/>
      <c r="R9" s="50"/>
      <c r="S9" s="50"/>
      <c r="T9" s="50"/>
    </row>
    <row r="10" spans="1:20" x14ac:dyDescent="0.3">
      <c r="A10" s="31"/>
      <c r="B10" s="31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31"/>
      <c r="Q10" s="47"/>
      <c r="R10" s="47"/>
      <c r="S10" s="47"/>
      <c r="T10" s="47"/>
    </row>
    <row r="11" spans="1:20" x14ac:dyDescent="0.3">
      <c r="A11" s="26"/>
      <c r="B11" s="26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26"/>
      <c r="Q11" s="50"/>
      <c r="R11" s="50"/>
      <c r="S11" s="50"/>
      <c r="T11" s="50"/>
    </row>
    <row r="12" spans="1:20" x14ac:dyDescent="0.3">
      <c r="A12" s="31"/>
      <c r="B12" s="31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31"/>
      <c r="Q12" s="47"/>
      <c r="R12" s="47"/>
      <c r="S12" s="47"/>
      <c r="T12" s="47"/>
    </row>
    <row r="13" spans="1:20" x14ac:dyDescent="0.3">
      <c r="A13" s="26"/>
      <c r="B13" s="26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26"/>
      <c r="Q13" s="50"/>
      <c r="R13" s="50"/>
      <c r="S13" s="50"/>
      <c r="T13" s="50"/>
    </row>
    <row r="14" spans="1:20" x14ac:dyDescent="0.3">
      <c r="A14" s="27"/>
      <c r="B14" s="27"/>
      <c r="C14" s="28"/>
      <c r="D14" s="28"/>
      <c r="E14" s="28"/>
      <c r="F14" s="28"/>
      <c r="G14" s="28"/>
      <c r="H14" s="28"/>
      <c r="I14" s="30"/>
      <c r="J14" s="28"/>
      <c r="K14" s="28"/>
      <c r="L14" s="28"/>
      <c r="M14" s="28"/>
      <c r="N14" s="28"/>
      <c r="O14" s="28"/>
      <c r="P14" s="27"/>
      <c r="Q14" s="28"/>
      <c r="R14" s="28"/>
      <c r="S14" s="28"/>
      <c r="T14" s="28"/>
    </row>
    <row r="17" spans="3:20" x14ac:dyDescent="0.3">
      <c r="C17" s="34"/>
      <c r="D17" s="34"/>
      <c r="E17" s="34"/>
      <c r="F17" s="34"/>
      <c r="G17" s="34"/>
      <c r="H17" s="34"/>
      <c r="I17" s="35"/>
      <c r="J17" s="34"/>
      <c r="K17" s="34"/>
      <c r="L17" s="34"/>
      <c r="M17" s="34"/>
      <c r="N17" s="34"/>
      <c r="O17" s="34"/>
      <c r="Q17" s="34"/>
      <c r="R17" s="34"/>
      <c r="S17" s="34"/>
      <c r="T17" s="34"/>
    </row>
    <row r="19" spans="3:20" x14ac:dyDescent="0.3"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Q19" s="37"/>
      <c r="R19" s="37"/>
      <c r="S19" s="37"/>
      <c r="T19" s="3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24:S36"/>
  <sheetViews>
    <sheetView workbookViewId="0">
      <selection activeCell="P2" sqref="P2:Q6"/>
    </sheetView>
  </sheetViews>
  <sheetFormatPr baseColWidth="10" defaultRowHeight="14.4" x14ac:dyDescent="0.3"/>
  <cols>
    <col min="3" max="3" width="7.21875" customWidth="1"/>
    <col min="4" max="4" width="7.88671875" customWidth="1"/>
    <col min="5" max="5" width="7.44140625" customWidth="1"/>
    <col min="6" max="6" width="7.21875" customWidth="1"/>
    <col min="8" max="8" width="7.33203125" customWidth="1"/>
    <col min="10" max="10" width="6.77734375" customWidth="1"/>
    <col min="11" max="11" width="6" customWidth="1"/>
    <col min="14" max="14" width="7.109375" customWidth="1"/>
    <col min="15" max="15" width="7.5546875" customWidth="1"/>
    <col min="16" max="16" width="9.109375" customWidth="1"/>
  </cols>
  <sheetData>
    <row r="24" spans="2:19" x14ac:dyDescent="0.3">
      <c r="B24" s="40"/>
      <c r="C24" s="40"/>
      <c r="D24" s="40"/>
      <c r="E24" s="40"/>
      <c r="F24" s="40"/>
      <c r="G24" s="40"/>
      <c r="H24" s="41"/>
      <c r="I24" s="40"/>
      <c r="J24" s="40"/>
      <c r="K24" s="40"/>
      <c r="L24" s="40"/>
      <c r="M24" s="40"/>
      <c r="N24" s="40"/>
      <c r="O24" s="40"/>
      <c r="P24" s="40"/>
      <c r="Q24" s="40"/>
      <c r="R24" s="40"/>
    </row>
    <row r="26" spans="2:19" x14ac:dyDescent="0.3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 x14ac:dyDescent="0.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J72"/>
  <sheetViews>
    <sheetView tabSelected="1" workbookViewId="0">
      <selection activeCell="A2" sqref="A2"/>
    </sheetView>
  </sheetViews>
  <sheetFormatPr baseColWidth="10" defaultRowHeight="14.4" x14ac:dyDescent="0.3"/>
  <cols>
    <col min="1" max="1" width="14.33203125" customWidth="1"/>
    <col min="2" max="2" width="14.5546875" customWidth="1"/>
    <col min="3" max="3" width="16.109375" customWidth="1"/>
    <col min="4" max="4" width="49.33203125" customWidth="1"/>
    <col min="5" max="5" width="10.77734375" customWidth="1"/>
    <col min="6" max="6" width="24.77734375" customWidth="1"/>
    <col min="7" max="7" width="23" customWidth="1"/>
    <col min="8" max="8" width="14.5546875" customWidth="1"/>
    <col min="9" max="9" width="21.88671875" customWidth="1"/>
  </cols>
  <sheetData>
    <row r="1" spans="1:10" x14ac:dyDescent="0.3">
      <c r="A1" s="38" t="s">
        <v>0</v>
      </c>
      <c r="B1" s="38" t="s">
        <v>1</v>
      </c>
      <c r="C1" s="38" t="s">
        <v>59</v>
      </c>
      <c r="D1" s="38" t="s">
        <v>2</v>
      </c>
      <c r="E1" s="38" t="s">
        <v>3</v>
      </c>
      <c r="F1" s="38" t="s">
        <v>4</v>
      </c>
      <c r="G1" s="38" t="s">
        <v>5</v>
      </c>
      <c r="H1" s="38" t="s">
        <v>43</v>
      </c>
      <c r="I1" s="38" t="s">
        <v>45</v>
      </c>
    </row>
    <row r="2" spans="1:10" x14ac:dyDescent="0.3">
      <c r="A2" t="s">
        <v>99</v>
      </c>
      <c r="B2" t="s">
        <v>100</v>
      </c>
      <c r="C2" s="64">
        <v>43131.729166666664</v>
      </c>
      <c r="D2" t="s">
        <v>62</v>
      </c>
      <c r="E2" t="s">
        <v>16</v>
      </c>
      <c r="F2" t="s">
        <v>14</v>
      </c>
      <c r="G2" t="s">
        <v>15</v>
      </c>
      <c r="H2" s="60">
        <v>43159</v>
      </c>
      <c r="I2" s="60">
        <v>43159</v>
      </c>
      <c r="J2">
        <v>1</v>
      </c>
    </row>
    <row r="3" spans="1:10" x14ac:dyDescent="0.3">
      <c r="A3" t="s">
        <v>99</v>
      </c>
      <c r="B3" t="s">
        <v>99</v>
      </c>
      <c r="C3" s="64">
        <v>43169.375</v>
      </c>
      <c r="D3" t="s">
        <v>79</v>
      </c>
      <c r="E3" t="s">
        <v>16</v>
      </c>
      <c r="F3" t="s">
        <v>10</v>
      </c>
      <c r="G3" t="s">
        <v>74</v>
      </c>
      <c r="H3" s="60">
        <v>43243</v>
      </c>
      <c r="I3" s="60">
        <v>43251</v>
      </c>
    </row>
    <row r="4" spans="1:10" x14ac:dyDescent="0.3">
      <c r="C4" s="64"/>
      <c r="H4" s="60"/>
      <c r="I4" s="60"/>
    </row>
    <row r="5" spans="1:10" x14ac:dyDescent="0.3">
      <c r="C5" s="64"/>
      <c r="H5" s="60"/>
      <c r="I5" s="60"/>
    </row>
    <row r="6" spans="1:10" x14ac:dyDescent="0.3">
      <c r="A6" t="s">
        <v>102</v>
      </c>
      <c r="B6" t="s">
        <v>100</v>
      </c>
      <c r="C6" s="64">
        <v>43110.5625</v>
      </c>
      <c r="D6" t="s">
        <v>63</v>
      </c>
      <c r="E6" t="s">
        <v>16</v>
      </c>
      <c r="F6" t="s">
        <v>10</v>
      </c>
      <c r="G6" t="s">
        <v>26</v>
      </c>
      <c r="H6" s="60">
        <v>43117</v>
      </c>
      <c r="I6" s="60">
        <v>43131</v>
      </c>
    </row>
    <row r="7" spans="1:10" x14ac:dyDescent="0.3">
      <c r="A7" t="s">
        <v>102</v>
      </c>
      <c r="B7" t="s">
        <v>101</v>
      </c>
      <c r="C7" s="64">
        <v>43159.375</v>
      </c>
      <c r="D7" t="s">
        <v>88</v>
      </c>
      <c r="E7" t="s">
        <v>11</v>
      </c>
      <c r="F7" t="s">
        <v>10</v>
      </c>
      <c r="G7" t="s">
        <v>74</v>
      </c>
      <c r="H7" s="60">
        <v>43243</v>
      </c>
      <c r="I7" s="60">
        <v>43251</v>
      </c>
    </row>
    <row r="8" spans="1:10" x14ac:dyDescent="0.3">
      <c r="A8" t="s">
        <v>102</v>
      </c>
      <c r="B8" t="s">
        <v>102</v>
      </c>
      <c r="C8" s="64">
        <v>43236.583333333336</v>
      </c>
      <c r="D8" t="s">
        <v>93</v>
      </c>
      <c r="E8" t="s">
        <v>16</v>
      </c>
      <c r="F8" t="s">
        <v>23</v>
      </c>
      <c r="G8" t="s">
        <v>25</v>
      </c>
      <c r="H8" s="60">
        <v>43238</v>
      </c>
      <c r="I8" s="60">
        <v>43238</v>
      </c>
    </row>
    <row r="9" spans="1:10" x14ac:dyDescent="0.3">
      <c r="A9" t="s">
        <v>102</v>
      </c>
      <c r="B9" t="s">
        <v>100</v>
      </c>
      <c r="C9" s="64">
        <v>43263.666666666664</v>
      </c>
      <c r="D9" t="s">
        <v>94</v>
      </c>
      <c r="E9" t="s">
        <v>16</v>
      </c>
      <c r="F9" t="s">
        <v>10</v>
      </c>
      <c r="G9" t="s">
        <v>12</v>
      </c>
      <c r="H9" s="60">
        <v>43281</v>
      </c>
      <c r="I9" s="60">
        <v>43281</v>
      </c>
    </row>
    <row r="10" spans="1:10" x14ac:dyDescent="0.3">
      <c r="C10" s="64"/>
      <c r="H10" s="60"/>
      <c r="I10" s="60"/>
    </row>
    <row r="11" spans="1:10" x14ac:dyDescent="0.3">
      <c r="C11" s="64"/>
      <c r="H11" s="60"/>
      <c r="I11" s="60"/>
    </row>
    <row r="12" spans="1:10" x14ac:dyDescent="0.3">
      <c r="A12" t="s">
        <v>107</v>
      </c>
      <c r="B12" t="s">
        <v>100</v>
      </c>
      <c r="C12" s="64">
        <v>43273.697916666664</v>
      </c>
      <c r="D12" t="s">
        <v>75</v>
      </c>
      <c r="E12" t="s">
        <v>16</v>
      </c>
      <c r="F12" t="s">
        <v>10</v>
      </c>
      <c r="G12" t="s">
        <v>26</v>
      </c>
      <c r="H12" s="60">
        <v>43279</v>
      </c>
      <c r="I12" s="60">
        <v>43281</v>
      </c>
    </row>
    <row r="13" spans="1:10" x14ac:dyDescent="0.3">
      <c r="C13" s="64"/>
      <c r="H13" s="60"/>
      <c r="I13" s="60"/>
    </row>
    <row r="14" spans="1:10" x14ac:dyDescent="0.3">
      <c r="C14" s="64"/>
      <c r="H14" s="60"/>
      <c r="I14" s="60"/>
    </row>
    <row r="15" spans="1:10" x14ac:dyDescent="0.3">
      <c r="A15" t="s">
        <v>103</v>
      </c>
      <c r="B15" t="s">
        <v>9</v>
      </c>
      <c r="C15" s="64">
        <v>43047.708333333336</v>
      </c>
      <c r="D15" t="s">
        <v>76</v>
      </c>
      <c r="E15" t="s">
        <v>16</v>
      </c>
      <c r="F15" t="s">
        <v>97</v>
      </c>
      <c r="G15" t="s">
        <v>18</v>
      </c>
      <c r="H15" s="60">
        <v>43159</v>
      </c>
      <c r="I15" s="60">
        <v>43159</v>
      </c>
    </row>
    <row r="16" spans="1:10" x14ac:dyDescent="0.3">
      <c r="A16" t="s">
        <v>103</v>
      </c>
      <c r="B16" t="s">
        <v>103</v>
      </c>
      <c r="C16" s="64">
        <v>43113.6875</v>
      </c>
      <c r="D16" t="s">
        <v>98</v>
      </c>
      <c r="E16" t="s">
        <v>16</v>
      </c>
      <c r="F16" t="s">
        <v>10</v>
      </c>
      <c r="G16" t="s">
        <v>24</v>
      </c>
      <c r="H16" s="60">
        <v>43278</v>
      </c>
      <c r="I16" s="60">
        <v>43281</v>
      </c>
    </row>
    <row r="17" spans="1:9" x14ac:dyDescent="0.3">
      <c r="A17" t="s">
        <v>103</v>
      </c>
      <c r="B17" t="s">
        <v>100</v>
      </c>
      <c r="C17" s="64">
        <v>43126.354166666664</v>
      </c>
      <c r="D17" t="s">
        <v>66</v>
      </c>
      <c r="E17" t="s">
        <v>16</v>
      </c>
      <c r="F17" t="s">
        <v>10</v>
      </c>
      <c r="G17" t="s">
        <v>24</v>
      </c>
      <c r="H17" s="60">
        <v>43174</v>
      </c>
      <c r="I17" s="60">
        <v>43190</v>
      </c>
    </row>
    <row r="18" spans="1:9" x14ac:dyDescent="0.3">
      <c r="A18" t="s">
        <v>103</v>
      </c>
      <c r="B18" t="s">
        <v>100</v>
      </c>
      <c r="C18" s="64">
        <v>43179.75</v>
      </c>
      <c r="D18" t="s">
        <v>80</v>
      </c>
      <c r="E18" t="s">
        <v>16</v>
      </c>
      <c r="F18" t="s">
        <v>10</v>
      </c>
      <c r="G18" t="s">
        <v>7</v>
      </c>
      <c r="H18" s="60">
        <v>43186</v>
      </c>
      <c r="I18" s="60">
        <v>43190</v>
      </c>
    </row>
    <row r="19" spans="1:9" x14ac:dyDescent="0.3">
      <c r="A19" t="s">
        <v>103</v>
      </c>
      <c r="B19" t="s">
        <v>100</v>
      </c>
      <c r="C19" s="64">
        <v>43183.645833333336</v>
      </c>
      <c r="D19" t="s">
        <v>81</v>
      </c>
      <c r="E19" t="s">
        <v>16</v>
      </c>
      <c r="F19" t="s">
        <v>14</v>
      </c>
      <c r="G19" t="s">
        <v>21</v>
      </c>
      <c r="H19" s="60">
        <v>43183</v>
      </c>
      <c r="I19" s="60">
        <v>43190</v>
      </c>
    </row>
    <row r="20" spans="1:9" x14ac:dyDescent="0.3">
      <c r="A20" t="s">
        <v>103</v>
      </c>
      <c r="B20" t="s">
        <v>100</v>
      </c>
      <c r="C20" s="64">
        <v>43209.541666666664</v>
      </c>
      <c r="D20" t="s">
        <v>89</v>
      </c>
      <c r="E20" t="s">
        <v>16</v>
      </c>
      <c r="F20" t="s">
        <v>10</v>
      </c>
      <c r="G20" t="s">
        <v>12</v>
      </c>
      <c r="H20" s="60">
        <v>43229</v>
      </c>
      <c r="I20" s="60">
        <v>43251</v>
      </c>
    </row>
    <row r="21" spans="1:9" x14ac:dyDescent="0.3">
      <c r="C21" s="64"/>
      <c r="H21" s="60"/>
      <c r="I21" s="60"/>
    </row>
    <row r="22" spans="1:9" x14ac:dyDescent="0.3">
      <c r="C22" s="64"/>
      <c r="H22" s="60"/>
      <c r="I22" s="60"/>
    </row>
    <row r="23" spans="1:9" x14ac:dyDescent="0.3">
      <c r="A23" t="s">
        <v>104</v>
      </c>
      <c r="B23" t="s">
        <v>104</v>
      </c>
      <c r="C23" s="64">
        <v>43110.375</v>
      </c>
      <c r="D23" t="s">
        <v>69</v>
      </c>
      <c r="E23" t="s">
        <v>16</v>
      </c>
      <c r="F23" t="s">
        <v>6</v>
      </c>
      <c r="G23" t="s">
        <v>60</v>
      </c>
      <c r="H23" s="60">
        <v>43159</v>
      </c>
      <c r="I23" s="60">
        <v>43159</v>
      </c>
    </row>
    <row r="24" spans="1:9" x14ac:dyDescent="0.3">
      <c r="A24" t="s">
        <v>104</v>
      </c>
      <c r="B24" t="s">
        <v>104</v>
      </c>
      <c r="C24" s="64">
        <v>43124.375</v>
      </c>
      <c r="D24" t="s">
        <v>67</v>
      </c>
      <c r="E24" t="s">
        <v>16</v>
      </c>
      <c r="F24" t="s">
        <v>17</v>
      </c>
      <c r="G24" t="s">
        <v>13</v>
      </c>
      <c r="H24" s="60">
        <v>43101</v>
      </c>
      <c r="I24" s="60">
        <v>43130</v>
      </c>
    </row>
    <row r="25" spans="1:9" x14ac:dyDescent="0.3">
      <c r="A25" t="s">
        <v>104</v>
      </c>
      <c r="B25" t="s">
        <v>104</v>
      </c>
      <c r="C25" s="64">
        <v>43130.666666666664</v>
      </c>
      <c r="D25" t="s">
        <v>68</v>
      </c>
      <c r="E25" t="s">
        <v>16</v>
      </c>
      <c r="F25" t="s">
        <v>17</v>
      </c>
      <c r="G25" t="s">
        <v>60</v>
      </c>
      <c r="H25" s="60">
        <v>43137</v>
      </c>
      <c r="I25" s="60">
        <v>43159</v>
      </c>
    </row>
    <row r="26" spans="1:9" x14ac:dyDescent="0.3">
      <c r="A26" t="s">
        <v>104</v>
      </c>
      <c r="B26" t="s">
        <v>100</v>
      </c>
      <c r="C26" s="64">
        <v>43138.541666666664</v>
      </c>
      <c r="D26" t="s">
        <v>71</v>
      </c>
      <c r="E26" t="s">
        <v>16</v>
      </c>
      <c r="F26" t="s">
        <v>14</v>
      </c>
      <c r="G26" t="s">
        <v>20</v>
      </c>
      <c r="H26" s="60">
        <v>43154</v>
      </c>
      <c r="I26" s="60">
        <v>43159</v>
      </c>
    </row>
    <row r="27" spans="1:9" x14ac:dyDescent="0.3">
      <c r="A27" t="s">
        <v>104</v>
      </c>
      <c r="B27" t="s">
        <v>100</v>
      </c>
      <c r="C27" s="64">
        <v>43147.6875</v>
      </c>
      <c r="D27" t="s">
        <v>70</v>
      </c>
      <c r="E27" t="s">
        <v>16</v>
      </c>
      <c r="F27" t="s">
        <v>14</v>
      </c>
      <c r="G27" t="s">
        <v>20</v>
      </c>
      <c r="H27" s="60">
        <v>43202</v>
      </c>
      <c r="I27" s="60">
        <v>43220</v>
      </c>
    </row>
    <row r="28" spans="1:9" x14ac:dyDescent="0.3">
      <c r="C28" s="64"/>
      <c r="H28" s="60"/>
      <c r="I28" s="60"/>
    </row>
    <row r="29" spans="1:9" x14ac:dyDescent="0.3">
      <c r="C29" s="64"/>
      <c r="H29" s="60"/>
      <c r="I29" s="60"/>
    </row>
    <row r="30" spans="1:9" x14ac:dyDescent="0.3">
      <c r="A30" t="s">
        <v>105</v>
      </c>
      <c r="B30" t="s">
        <v>9</v>
      </c>
      <c r="C30" s="64">
        <v>43043.541666666664</v>
      </c>
      <c r="D30" t="s">
        <v>77</v>
      </c>
      <c r="E30" t="s">
        <v>16</v>
      </c>
      <c r="F30" t="s">
        <v>10</v>
      </c>
      <c r="G30" t="s">
        <v>12</v>
      </c>
      <c r="H30" s="60">
        <v>43152</v>
      </c>
      <c r="I30" s="60">
        <v>43159</v>
      </c>
    </row>
    <row r="31" spans="1:9" x14ac:dyDescent="0.3">
      <c r="A31" t="s">
        <v>105</v>
      </c>
      <c r="B31" t="s">
        <v>105</v>
      </c>
      <c r="C31" s="64">
        <v>43081.6875</v>
      </c>
      <c r="D31" t="s">
        <v>78</v>
      </c>
      <c r="E31" t="s">
        <v>16</v>
      </c>
      <c r="F31" t="s">
        <v>23</v>
      </c>
      <c r="G31" t="s">
        <v>27</v>
      </c>
      <c r="H31" s="60">
        <v>43152</v>
      </c>
      <c r="I31" s="60">
        <v>43159</v>
      </c>
    </row>
    <row r="32" spans="1:9" x14ac:dyDescent="0.3">
      <c r="A32" t="s">
        <v>105</v>
      </c>
      <c r="B32" t="s">
        <v>100</v>
      </c>
      <c r="C32" s="64">
        <v>43190.479166666664</v>
      </c>
      <c r="D32" t="s">
        <v>91</v>
      </c>
      <c r="E32" t="s">
        <v>16</v>
      </c>
      <c r="F32" t="s">
        <v>10</v>
      </c>
      <c r="G32" t="s">
        <v>12</v>
      </c>
      <c r="H32" s="60">
        <v>43207</v>
      </c>
      <c r="I32" s="60">
        <v>43220</v>
      </c>
    </row>
    <row r="33" spans="1:9" x14ac:dyDescent="0.3">
      <c r="A33" t="s">
        <v>105</v>
      </c>
      <c r="B33" t="s">
        <v>100</v>
      </c>
      <c r="C33" s="64">
        <v>43245.5</v>
      </c>
      <c r="D33" t="s">
        <v>96</v>
      </c>
      <c r="E33" t="s">
        <v>16</v>
      </c>
      <c r="F33" t="s">
        <v>14</v>
      </c>
      <c r="G33" t="s">
        <v>22</v>
      </c>
      <c r="H33" s="60">
        <v>43251</v>
      </c>
      <c r="I33" s="60">
        <v>43251</v>
      </c>
    </row>
    <row r="34" spans="1:9" x14ac:dyDescent="0.3">
      <c r="C34" s="64"/>
      <c r="H34" s="60"/>
      <c r="I34" s="60"/>
    </row>
    <row r="35" spans="1:9" x14ac:dyDescent="0.3">
      <c r="C35" s="64"/>
      <c r="H35" s="60"/>
      <c r="I35" s="60"/>
    </row>
    <row r="36" spans="1:9" x14ac:dyDescent="0.3">
      <c r="C36" s="64"/>
      <c r="H36" s="60"/>
      <c r="I36" s="60"/>
    </row>
    <row r="37" spans="1:9" x14ac:dyDescent="0.3">
      <c r="C37" s="64"/>
      <c r="H37" s="60"/>
      <c r="I37" s="60"/>
    </row>
    <row r="38" spans="1:9" x14ac:dyDescent="0.3">
      <c r="C38" s="64"/>
      <c r="H38" s="60"/>
      <c r="I38" s="60"/>
    </row>
    <row r="39" spans="1:9" x14ac:dyDescent="0.3">
      <c r="C39" s="64"/>
      <c r="H39" s="60"/>
      <c r="I39" s="60"/>
    </row>
    <row r="40" spans="1:9" x14ac:dyDescent="0.3">
      <c r="C40" s="64"/>
      <c r="H40" s="60"/>
      <c r="I40" s="60"/>
    </row>
    <row r="41" spans="1:9" x14ac:dyDescent="0.3">
      <c r="C41" s="64"/>
      <c r="H41" s="60"/>
      <c r="I41" s="60"/>
    </row>
    <row r="42" spans="1:9" x14ac:dyDescent="0.3">
      <c r="C42" s="64"/>
      <c r="H42" s="60"/>
      <c r="I42" s="60"/>
    </row>
    <row r="43" spans="1:9" x14ac:dyDescent="0.3">
      <c r="C43" s="64"/>
      <c r="H43" s="60"/>
      <c r="I43" s="60"/>
    </row>
    <row r="44" spans="1:9" x14ac:dyDescent="0.3">
      <c r="C44" s="64"/>
      <c r="H44" s="60"/>
      <c r="I44" s="60"/>
    </row>
    <row r="45" spans="1:9" x14ac:dyDescent="0.3">
      <c r="C45" s="64"/>
      <c r="H45" s="60"/>
      <c r="I45" s="60"/>
    </row>
    <row r="46" spans="1:9" x14ac:dyDescent="0.3">
      <c r="C46" s="64"/>
      <c r="H46" s="60"/>
      <c r="I46" s="60"/>
    </row>
    <row r="47" spans="1:9" x14ac:dyDescent="0.3">
      <c r="C47" s="64"/>
      <c r="H47" s="60"/>
      <c r="I47" s="60"/>
    </row>
    <row r="48" spans="1:9" x14ac:dyDescent="0.3">
      <c r="C48" s="64"/>
      <c r="H48" s="60"/>
      <c r="I48" s="60"/>
    </row>
    <row r="49" spans="3:9" x14ac:dyDescent="0.3">
      <c r="C49" s="64"/>
      <c r="H49" s="60"/>
      <c r="I49" s="60"/>
    </row>
    <row r="50" spans="3:9" x14ac:dyDescent="0.3">
      <c r="C50" s="64"/>
      <c r="H50" s="60"/>
      <c r="I50" s="60"/>
    </row>
    <row r="51" spans="3:9" x14ac:dyDescent="0.3">
      <c r="C51" s="64"/>
      <c r="H51" s="60"/>
      <c r="I51" s="60"/>
    </row>
    <row r="52" spans="3:9" x14ac:dyDescent="0.3">
      <c r="C52" s="64"/>
      <c r="H52" s="60"/>
      <c r="I52" s="60"/>
    </row>
    <row r="53" spans="3:9" x14ac:dyDescent="0.3">
      <c r="C53" s="64"/>
      <c r="H53" s="60"/>
      <c r="I53" s="60"/>
    </row>
    <row r="54" spans="3:9" x14ac:dyDescent="0.3">
      <c r="C54" s="64"/>
      <c r="H54" s="60"/>
      <c r="I54" s="60"/>
    </row>
    <row r="55" spans="3:9" x14ac:dyDescent="0.3">
      <c r="C55" s="64"/>
      <c r="H55" s="60"/>
      <c r="I55" s="60"/>
    </row>
    <row r="56" spans="3:9" x14ac:dyDescent="0.3">
      <c r="C56" s="64"/>
      <c r="H56" s="60"/>
      <c r="I56" s="60"/>
    </row>
    <row r="57" spans="3:9" x14ac:dyDescent="0.3">
      <c r="C57" s="64"/>
      <c r="H57" s="60"/>
      <c r="I57" s="60"/>
    </row>
    <row r="58" spans="3:9" x14ac:dyDescent="0.3">
      <c r="C58" s="64"/>
      <c r="H58" s="60"/>
      <c r="I58" s="60"/>
    </row>
    <row r="59" spans="3:9" x14ac:dyDescent="0.3">
      <c r="C59" s="64"/>
      <c r="H59" s="60"/>
      <c r="I59" s="60"/>
    </row>
    <row r="60" spans="3:9" x14ac:dyDescent="0.3">
      <c r="C60" s="64"/>
      <c r="H60" s="60"/>
      <c r="I60" s="60"/>
    </row>
    <row r="61" spans="3:9" x14ac:dyDescent="0.3">
      <c r="C61" s="64"/>
      <c r="H61" s="60"/>
      <c r="I61" s="60"/>
    </row>
    <row r="62" spans="3:9" x14ac:dyDescent="0.3">
      <c r="C62" s="64"/>
      <c r="H62" s="60"/>
      <c r="I62" s="60"/>
    </row>
    <row r="63" spans="3:9" x14ac:dyDescent="0.3">
      <c r="C63" s="64"/>
      <c r="H63" s="60"/>
      <c r="I63" s="60"/>
    </row>
    <row r="64" spans="3:9" x14ac:dyDescent="0.3">
      <c r="C64" s="64"/>
      <c r="H64" s="60"/>
      <c r="I64" s="60"/>
    </row>
    <row r="65" spans="3:9" x14ac:dyDescent="0.3">
      <c r="C65" s="64"/>
      <c r="H65" s="60"/>
      <c r="I65" s="60"/>
    </row>
    <row r="66" spans="3:9" x14ac:dyDescent="0.3">
      <c r="C66" s="64"/>
      <c r="H66" s="60"/>
      <c r="I66" s="60"/>
    </row>
    <row r="67" spans="3:9" x14ac:dyDescent="0.3">
      <c r="C67" s="64"/>
      <c r="H67" s="60"/>
      <c r="I67" s="60"/>
    </row>
    <row r="68" spans="3:9" x14ac:dyDescent="0.3">
      <c r="C68" s="64"/>
      <c r="H68" s="60"/>
      <c r="I68" s="60"/>
    </row>
    <row r="69" spans="3:9" x14ac:dyDescent="0.3">
      <c r="C69" s="64"/>
      <c r="H69" s="60"/>
      <c r="I69" s="60"/>
    </row>
    <row r="70" spans="3:9" x14ac:dyDescent="0.3">
      <c r="C70" s="64"/>
      <c r="H70" s="60"/>
      <c r="I70" s="60"/>
    </row>
    <row r="71" spans="3:9" x14ac:dyDescent="0.3">
      <c r="C71" s="64"/>
      <c r="H71" s="60"/>
      <c r="I71" s="60"/>
    </row>
    <row r="72" spans="3:9" x14ac:dyDescent="0.3">
      <c r="C72" s="64"/>
      <c r="H72" s="60"/>
      <c r="I72" s="60"/>
    </row>
  </sheetData>
  <sortState ref="A2:I34">
    <sortCondition ref="A2"/>
    <sortCondition ref="C2"/>
  </sortState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I64"/>
  <sheetViews>
    <sheetView workbookViewId="0">
      <selection activeCell="A2" sqref="A2"/>
    </sheetView>
  </sheetViews>
  <sheetFormatPr baseColWidth="10" defaultRowHeight="14.4" x14ac:dyDescent="0.3"/>
  <cols>
    <col min="3" max="3" width="21.5546875" customWidth="1"/>
    <col min="4" max="4" width="40.44140625" customWidth="1"/>
    <col min="5" max="5" width="14.5546875" customWidth="1"/>
    <col min="6" max="6" width="21.21875" customWidth="1"/>
    <col min="7" max="7" width="18.33203125" customWidth="1"/>
    <col min="8" max="8" width="31.33203125" customWidth="1"/>
  </cols>
  <sheetData>
    <row r="1" spans="1:9" x14ac:dyDescent="0.3">
      <c r="A1" s="38" t="s">
        <v>0</v>
      </c>
      <c r="B1" s="38" t="s">
        <v>1</v>
      </c>
      <c r="C1" s="38" t="s">
        <v>59</v>
      </c>
      <c r="D1" s="38" t="s">
        <v>2</v>
      </c>
      <c r="E1" s="38" t="s">
        <v>3</v>
      </c>
      <c r="F1" s="38" t="s">
        <v>4</v>
      </c>
      <c r="G1" s="38" t="s">
        <v>5</v>
      </c>
      <c r="H1" s="38" t="s">
        <v>43</v>
      </c>
    </row>
    <row r="2" spans="1:9" x14ac:dyDescent="0.3">
      <c r="A2" t="s">
        <v>99</v>
      </c>
      <c r="B2" t="s">
        <v>100</v>
      </c>
      <c r="C2" s="61">
        <v>43222.5</v>
      </c>
      <c r="D2" t="s">
        <v>92</v>
      </c>
      <c r="E2" t="s">
        <v>16</v>
      </c>
      <c r="F2" t="s">
        <v>10</v>
      </c>
      <c r="G2" t="s">
        <v>60</v>
      </c>
      <c r="H2" s="2">
        <v>43284</v>
      </c>
      <c r="I2" s="2" t="s">
        <v>8</v>
      </c>
    </row>
    <row r="3" spans="1:9" x14ac:dyDescent="0.3">
      <c r="C3" s="61"/>
      <c r="H3" s="2"/>
      <c r="I3" s="2"/>
    </row>
    <row r="4" spans="1:9" x14ac:dyDescent="0.3">
      <c r="C4" s="61"/>
      <c r="H4" s="2"/>
      <c r="I4" s="2"/>
    </row>
    <row r="5" spans="1:9" x14ac:dyDescent="0.3">
      <c r="A5" t="s">
        <v>102</v>
      </c>
      <c r="B5" t="s">
        <v>102</v>
      </c>
      <c r="C5" s="61">
        <v>43143.375</v>
      </c>
      <c r="D5" t="s">
        <v>64</v>
      </c>
      <c r="E5" t="s">
        <v>16</v>
      </c>
      <c r="F5" t="s">
        <v>23</v>
      </c>
      <c r="G5" t="s">
        <v>19</v>
      </c>
      <c r="H5" s="2">
        <v>43158</v>
      </c>
      <c r="I5" s="2" t="s">
        <v>8</v>
      </c>
    </row>
    <row r="6" spans="1:9" x14ac:dyDescent="0.3">
      <c r="C6" s="61"/>
      <c r="H6" s="2"/>
      <c r="I6" s="2"/>
    </row>
    <row r="7" spans="1:9" x14ac:dyDescent="0.3">
      <c r="C7" s="61"/>
      <c r="H7" s="2"/>
      <c r="I7" s="2"/>
    </row>
    <row r="8" spans="1:9" x14ac:dyDescent="0.3">
      <c r="A8" t="s">
        <v>103</v>
      </c>
      <c r="B8" t="s">
        <v>103</v>
      </c>
      <c r="C8" s="61">
        <v>43117.75</v>
      </c>
      <c r="D8" t="s">
        <v>65</v>
      </c>
      <c r="E8" t="s">
        <v>16</v>
      </c>
      <c r="F8" t="s">
        <v>6</v>
      </c>
      <c r="G8" t="s">
        <v>19</v>
      </c>
      <c r="H8" s="2">
        <v>43127</v>
      </c>
      <c r="I8" s="2" t="s">
        <v>8</v>
      </c>
    </row>
    <row r="9" spans="1:9" x14ac:dyDescent="0.3">
      <c r="C9" s="61"/>
      <c r="H9" s="2"/>
      <c r="I9" s="2"/>
    </row>
    <row r="10" spans="1:9" x14ac:dyDescent="0.3">
      <c r="C10" s="61"/>
      <c r="H10" s="2"/>
      <c r="I10" s="2"/>
    </row>
    <row r="11" spans="1:9" x14ac:dyDescent="0.3">
      <c r="A11" t="s">
        <v>104</v>
      </c>
      <c r="B11" t="s">
        <v>100</v>
      </c>
      <c r="C11" s="61">
        <v>43256.604166666664</v>
      </c>
      <c r="D11" t="s">
        <v>95</v>
      </c>
      <c r="E11" t="s">
        <v>16</v>
      </c>
      <c r="F11" t="s">
        <v>10</v>
      </c>
      <c r="G11" t="s">
        <v>26</v>
      </c>
      <c r="H11" s="2">
        <v>43288</v>
      </c>
      <c r="I11" s="2" t="s">
        <v>8</v>
      </c>
    </row>
    <row r="12" spans="1:9" x14ac:dyDescent="0.3">
      <c r="C12" s="61"/>
      <c r="H12" s="2"/>
      <c r="I12" s="2"/>
    </row>
    <row r="13" spans="1:9" x14ac:dyDescent="0.3">
      <c r="C13" s="61"/>
      <c r="H13" s="2"/>
      <c r="I13" s="2"/>
    </row>
    <row r="14" spans="1:9" x14ac:dyDescent="0.3">
      <c r="A14" t="s">
        <v>105</v>
      </c>
      <c r="B14" t="s">
        <v>100</v>
      </c>
      <c r="C14" s="61">
        <v>43143.541666666664</v>
      </c>
      <c r="D14" t="s">
        <v>72</v>
      </c>
      <c r="E14" t="s">
        <v>16</v>
      </c>
      <c r="F14" t="s">
        <v>14</v>
      </c>
      <c r="G14" t="s">
        <v>15</v>
      </c>
      <c r="H14" s="2">
        <v>43153</v>
      </c>
      <c r="I14" s="2" t="s">
        <v>8</v>
      </c>
    </row>
    <row r="15" spans="1:9" x14ac:dyDescent="0.3">
      <c r="C15" s="61"/>
      <c r="H15" s="2"/>
      <c r="I15" s="2"/>
    </row>
    <row r="16" spans="1:9" x14ac:dyDescent="0.3">
      <c r="C16" s="61"/>
      <c r="H16" s="2"/>
      <c r="I16" s="2"/>
    </row>
    <row r="17" spans="3:9" x14ac:dyDescent="0.3">
      <c r="C17" s="61"/>
      <c r="H17" s="2"/>
      <c r="I17" s="2"/>
    </row>
    <row r="18" spans="3:9" x14ac:dyDescent="0.3">
      <c r="C18" s="61"/>
      <c r="H18" s="2"/>
      <c r="I18" s="2"/>
    </row>
    <row r="19" spans="3:9" x14ac:dyDescent="0.3">
      <c r="C19" s="61"/>
      <c r="H19" s="2"/>
      <c r="I19" s="2"/>
    </row>
    <row r="20" spans="3:9" x14ac:dyDescent="0.3">
      <c r="C20" s="61"/>
      <c r="H20" s="2"/>
      <c r="I20" s="2"/>
    </row>
    <row r="21" spans="3:9" x14ac:dyDescent="0.3">
      <c r="C21" s="61"/>
      <c r="H21" s="2"/>
      <c r="I21" s="2"/>
    </row>
    <row r="22" spans="3:9" x14ac:dyDescent="0.3">
      <c r="C22" s="61"/>
      <c r="H22" s="2"/>
      <c r="I22" s="2"/>
    </row>
    <row r="23" spans="3:9" x14ac:dyDescent="0.3">
      <c r="C23" s="61"/>
      <c r="H23" s="2"/>
      <c r="I23" s="2"/>
    </row>
    <row r="24" spans="3:9" x14ac:dyDescent="0.3">
      <c r="C24" s="61"/>
      <c r="H24" s="2"/>
      <c r="I24" s="2"/>
    </row>
    <row r="25" spans="3:9" x14ac:dyDescent="0.3">
      <c r="C25" s="61"/>
      <c r="H25" s="2"/>
      <c r="I25" s="2"/>
    </row>
    <row r="26" spans="3:9" x14ac:dyDescent="0.3">
      <c r="C26" s="61"/>
      <c r="H26" s="2"/>
      <c r="I26" s="2"/>
    </row>
    <row r="27" spans="3:9" x14ac:dyDescent="0.3">
      <c r="C27" s="61"/>
      <c r="H27" s="2"/>
      <c r="I27" s="2"/>
    </row>
    <row r="28" spans="3:9" x14ac:dyDescent="0.3">
      <c r="C28" s="61"/>
      <c r="H28" s="2"/>
      <c r="I28" s="2"/>
    </row>
    <row r="29" spans="3:9" x14ac:dyDescent="0.3">
      <c r="C29" s="61"/>
      <c r="H29" s="2"/>
      <c r="I29" s="2"/>
    </row>
    <row r="30" spans="3:9" x14ac:dyDescent="0.3">
      <c r="C30" s="61"/>
      <c r="H30" s="2"/>
      <c r="I30" s="2"/>
    </row>
    <row r="31" spans="3:9" x14ac:dyDescent="0.3">
      <c r="C31" s="61"/>
      <c r="H31" s="2"/>
      <c r="I31" s="2"/>
    </row>
    <row r="32" spans="3:9" x14ac:dyDescent="0.3">
      <c r="C32" s="61"/>
      <c r="H32" s="2"/>
      <c r="I32" s="2"/>
    </row>
    <row r="33" spans="3:9" x14ac:dyDescent="0.3">
      <c r="C33" s="61"/>
      <c r="H33" s="2"/>
      <c r="I33" s="2"/>
    </row>
    <row r="34" spans="3:9" x14ac:dyDescent="0.3">
      <c r="C34" s="61"/>
      <c r="H34" s="2"/>
      <c r="I34" s="2"/>
    </row>
    <row r="35" spans="3:9" x14ac:dyDescent="0.3">
      <c r="C35" s="61"/>
      <c r="H35" s="2"/>
      <c r="I35" s="2"/>
    </row>
    <row r="36" spans="3:9" x14ac:dyDescent="0.3">
      <c r="C36" s="61"/>
      <c r="H36" s="2"/>
      <c r="I36" s="2"/>
    </row>
    <row r="37" spans="3:9" x14ac:dyDescent="0.3">
      <c r="C37" s="61"/>
      <c r="H37" s="2"/>
      <c r="I37" s="2"/>
    </row>
    <row r="38" spans="3:9" x14ac:dyDescent="0.3">
      <c r="C38" s="61"/>
      <c r="H38" s="2"/>
      <c r="I38" s="2"/>
    </row>
    <row r="39" spans="3:9" x14ac:dyDescent="0.3">
      <c r="C39" s="61"/>
      <c r="H39" s="2"/>
      <c r="I39" s="2"/>
    </row>
    <row r="40" spans="3:9" x14ac:dyDescent="0.3">
      <c r="C40" s="61"/>
      <c r="H40" s="2"/>
      <c r="I40" s="2"/>
    </row>
    <row r="41" spans="3:9" x14ac:dyDescent="0.3">
      <c r="C41" s="61"/>
      <c r="H41" s="2"/>
      <c r="I41" s="2"/>
    </row>
    <row r="42" spans="3:9" x14ac:dyDescent="0.3">
      <c r="C42" s="61"/>
      <c r="H42" s="2"/>
      <c r="I42" s="2"/>
    </row>
    <row r="43" spans="3:9" x14ac:dyDescent="0.3">
      <c r="C43" s="61"/>
      <c r="H43" s="2"/>
      <c r="I43" s="2"/>
    </row>
    <row r="44" spans="3:9" x14ac:dyDescent="0.3">
      <c r="C44" s="61"/>
      <c r="H44" s="2"/>
      <c r="I44" s="2"/>
    </row>
    <row r="45" spans="3:9" x14ac:dyDescent="0.3">
      <c r="C45" s="61"/>
      <c r="H45" s="2"/>
      <c r="I45" s="2"/>
    </row>
    <row r="46" spans="3:9" x14ac:dyDescent="0.3">
      <c r="C46" s="61"/>
      <c r="H46" s="2"/>
      <c r="I46" s="2"/>
    </row>
    <row r="47" spans="3:9" x14ac:dyDescent="0.3">
      <c r="C47" s="61"/>
      <c r="H47" s="2"/>
      <c r="I47" s="2"/>
    </row>
    <row r="48" spans="3:9" x14ac:dyDescent="0.3">
      <c r="C48" s="61"/>
      <c r="H48" s="2"/>
      <c r="I48" s="2"/>
    </row>
    <row r="49" spans="3:9" x14ac:dyDescent="0.3">
      <c r="C49" s="61"/>
      <c r="H49" s="2"/>
      <c r="I49" s="2"/>
    </row>
    <row r="50" spans="3:9" x14ac:dyDescent="0.3">
      <c r="C50" s="61"/>
      <c r="H50" s="2"/>
      <c r="I50" s="2"/>
    </row>
    <row r="51" spans="3:9" x14ac:dyDescent="0.3">
      <c r="C51" s="61"/>
      <c r="H51" s="2"/>
      <c r="I51" s="2"/>
    </row>
    <row r="52" spans="3:9" x14ac:dyDescent="0.3">
      <c r="C52" s="61"/>
      <c r="H52" s="2"/>
      <c r="I52" s="2"/>
    </row>
    <row r="53" spans="3:9" x14ac:dyDescent="0.3">
      <c r="C53" s="61"/>
      <c r="H53" s="2"/>
      <c r="I53" s="2"/>
    </row>
    <row r="54" spans="3:9" x14ac:dyDescent="0.3">
      <c r="C54" s="61"/>
      <c r="H54" s="2"/>
      <c r="I54" s="2"/>
    </row>
    <row r="55" spans="3:9" x14ac:dyDescent="0.3">
      <c r="C55" s="61"/>
      <c r="H55" s="2"/>
      <c r="I55" s="2"/>
    </row>
    <row r="56" spans="3:9" x14ac:dyDescent="0.3">
      <c r="C56" s="61"/>
      <c r="H56" s="2"/>
      <c r="I56" s="2"/>
    </row>
    <row r="57" spans="3:9" x14ac:dyDescent="0.3">
      <c r="C57" s="61"/>
      <c r="H57" s="2"/>
      <c r="I57" s="2"/>
    </row>
    <row r="58" spans="3:9" x14ac:dyDescent="0.3">
      <c r="C58" s="61"/>
      <c r="H58" s="2"/>
      <c r="I58" s="2"/>
    </row>
    <row r="59" spans="3:9" x14ac:dyDescent="0.3">
      <c r="C59" s="61"/>
      <c r="H59" s="2"/>
      <c r="I59" s="2"/>
    </row>
    <row r="60" spans="3:9" x14ac:dyDescent="0.3">
      <c r="C60" s="61"/>
      <c r="H60" s="2"/>
      <c r="I60" s="2"/>
    </row>
    <row r="61" spans="3:9" x14ac:dyDescent="0.3">
      <c r="C61" s="61"/>
      <c r="H61" s="2"/>
      <c r="I61" s="2"/>
    </row>
    <row r="62" spans="3:9" x14ac:dyDescent="0.3">
      <c r="C62" s="61"/>
      <c r="H62" s="2"/>
      <c r="I62" s="2"/>
    </row>
    <row r="63" spans="3:9" x14ac:dyDescent="0.3">
      <c r="C63" s="61"/>
      <c r="H63" s="2"/>
      <c r="I63" s="2"/>
    </row>
    <row r="64" spans="3:9" x14ac:dyDescent="0.3">
      <c r="C64" s="61"/>
      <c r="H64" s="2"/>
      <c r="I64" s="2"/>
    </row>
  </sheetData>
  <sortState ref="A2:I14">
    <sortCondition ref="A2"/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rdv 2018</vt:lpstr>
      <vt:lpstr>rdv 2017</vt:lpstr>
      <vt:lpstr>RDV EQUIPE</vt:lpstr>
      <vt:lpstr>KEVIN</vt:lpstr>
      <vt:lpstr>JEAN</vt:lpstr>
      <vt:lpstr>LOU</vt:lpstr>
      <vt:lpstr>SAMI</vt:lpstr>
      <vt:lpstr>ARTHUR</vt:lpstr>
      <vt:lpstr>ARNAUD</vt:lpstr>
      <vt:lpstr>JULIEN</vt:lpstr>
      <vt:lpstr>GRAPH</vt:lpstr>
      <vt:lpstr>VENTES 2018</vt:lpstr>
      <vt:lpstr>PREENREGISTREES</vt:lpstr>
      <vt:lpstr>feuilles</vt:lpstr>
      <vt:lpstr>ventes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Utilisateur</dc:creator>
  <cp:lastModifiedBy>Utilisateur</cp:lastModifiedBy>
  <dcterms:created xsi:type="dcterms:W3CDTF">2017-09-21T08:05:55Z</dcterms:created>
  <dcterms:modified xsi:type="dcterms:W3CDTF">2018-07-17T13:38:46Z</dcterms:modified>
</cp:coreProperties>
</file>