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5120" windowHeight="7500" activeTab="12"/>
  </bookViews>
  <sheets>
    <sheet name="BUDGET" sheetId="14" r:id="rId1"/>
    <sheet name="F.EDUC" sheetId="15" r:id="rId2"/>
    <sheet name="PT.EQUIP" sheetId="16" r:id="rId3"/>
    <sheet name="F.BUREAU" sheetId="13" r:id="rId4"/>
    <sheet name="LINGE" sheetId="17" r:id="rId5"/>
    <sheet name="AUTRE F." sheetId="18" r:id="rId6"/>
    <sheet name="PHARMACIE" sheetId="19" r:id="rId7"/>
    <sheet name="P.ENTRETIEN" sheetId="20" r:id="rId8"/>
    <sheet name="CHANGE" sheetId="21" r:id="rId9"/>
    <sheet name="ALIM" sheetId="22" r:id="rId10"/>
    <sheet name="ANIM" sheetId="23" r:id="rId11"/>
    <sheet name="ENT.REP." sheetId="24" r:id="rId12"/>
    <sheet name="HONORAIRES" sheetId="25" r:id="rId13"/>
    <sheet name="DEPL.RECEP." sheetId="26" r:id="rId14"/>
  </sheets>
  <externalReferences>
    <externalReference r:id="rId15"/>
    <externalReference r:id="rId16"/>
    <externalReference r:id="rId17"/>
  </externalReferences>
  <calcPr calcId="145621" fullPrecision="0"/>
</workbook>
</file>

<file path=xl/calcChain.xml><?xml version="1.0" encoding="utf-8"?>
<calcChain xmlns="http://schemas.openxmlformats.org/spreadsheetml/2006/main">
  <c r="C5" i="14" l="1"/>
  <c r="D5" i="14"/>
  <c r="C6" i="14"/>
  <c r="D6" i="14"/>
  <c r="C7" i="14"/>
  <c r="D7" i="14"/>
  <c r="C8" i="14"/>
  <c r="D8" i="14"/>
  <c r="C9" i="14"/>
  <c r="D9" i="14"/>
  <c r="C10" i="14"/>
  <c r="D10" i="14"/>
  <c r="C11" i="14"/>
  <c r="D11" i="14"/>
  <c r="C12" i="14"/>
  <c r="D12" i="14"/>
  <c r="C13" i="14"/>
  <c r="D13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A154" i="22" l="1"/>
  <c r="M154" i="22"/>
  <c r="A155" i="22"/>
  <c r="M155" i="22"/>
  <c r="A156" i="22"/>
  <c r="M156" i="22"/>
  <c r="A157" i="22"/>
  <c r="M157" i="22"/>
  <c r="A158" i="22"/>
  <c r="M158" i="22"/>
  <c r="A159" i="22"/>
  <c r="M159" i="22"/>
  <c r="A160" i="22"/>
  <c r="M160" i="22"/>
  <c r="A161" i="22"/>
  <c r="M161" i="22"/>
  <c r="A162" i="22"/>
  <c r="M162" i="22"/>
  <c r="A163" i="22"/>
  <c r="M163" i="22"/>
  <c r="A164" i="22"/>
  <c r="M164" i="22"/>
  <c r="A165" i="22"/>
  <c r="M165" i="22"/>
  <c r="A166" i="22"/>
  <c r="M166" i="22"/>
  <c r="A167" i="22"/>
  <c r="M167" i="22"/>
  <c r="A168" i="22"/>
  <c r="M168" i="22"/>
  <c r="A169" i="22"/>
  <c r="M169" i="22"/>
  <c r="A170" i="22"/>
  <c r="M170" i="22"/>
  <c r="A171" i="22"/>
  <c r="M171" i="22"/>
  <c r="A172" i="22"/>
  <c r="M172" i="22"/>
  <c r="A173" i="22"/>
  <c r="M173" i="22"/>
  <c r="A174" i="22"/>
  <c r="M174" i="22"/>
  <c r="A175" i="22"/>
  <c r="M175" i="22"/>
  <c r="A176" i="22"/>
  <c r="M176" i="22"/>
  <c r="A177" i="22"/>
  <c r="M177" i="22"/>
  <c r="A178" i="22"/>
  <c r="M178" i="22"/>
  <c r="A179" i="22"/>
  <c r="M179" i="22"/>
  <c r="A180" i="22"/>
  <c r="M180" i="22"/>
  <c r="A181" i="22"/>
  <c r="M181" i="22"/>
  <c r="A182" i="22"/>
  <c r="M182" i="22"/>
  <c r="A183" i="22"/>
  <c r="M183" i="22"/>
  <c r="A6" i="26"/>
  <c r="A7" i="26"/>
  <c r="A8" i="26"/>
  <c r="A9" i="26"/>
  <c r="A10" i="26"/>
  <c r="A11" i="26"/>
  <c r="A12" i="26"/>
  <c r="A13" i="26"/>
  <c r="A14" i="26"/>
  <c r="A15" i="26"/>
  <c r="A16" i="26"/>
  <c r="A17" i="26"/>
  <c r="A18" i="26"/>
  <c r="A19" i="26"/>
  <c r="A20" i="26"/>
  <c r="A21" i="26"/>
  <c r="A22" i="26"/>
  <c r="A23" i="26"/>
  <c r="A24" i="26"/>
  <c r="A6" i="25"/>
  <c r="A7" i="25"/>
  <c r="A8" i="25"/>
  <c r="A9" i="25"/>
  <c r="A10" i="25"/>
  <c r="A11" i="25"/>
  <c r="A12" i="25"/>
  <c r="A13" i="25"/>
  <c r="A14" i="25"/>
  <c r="A15" i="25"/>
  <c r="A16" i="25"/>
  <c r="A17" i="25"/>
  <c r="A18" i="25"/>
  <c r="A19" i="25"/>
  <c r="A20" i="25"/>
  <c r="A21" i="25"/>
  <c r="A22" i="25"/>
  <c r="A23" i="25"/>
  <c r="A24" i="25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6" i="23"/>
  <c r="A7" i="23"/>
  <c r="A8" i="23"/>
  <c r="A9" i="23"/>
  <c r="A10" i="23"/>
  <c r="A11" i="23"/>
  <c r="A12" i="23"/>
  <c r="A13" i="23"/>
  <c r="A14" i="23"/>
  <c r="A15" i="23"/>
  <c r="A16" i="23"/>
  <c r="A17" i="23"/>
  <c r="A18" i="23"/>
  <c r="A19" i="23"/>
  <c r="A20" i="23"/>
  <c r="A21" i="23"/>
  <c r="A22" i="23"/>
  <c r="A23" i="23"/>
  <c r="A24" i="23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104" i="22"/>
  <c r="A105" i="22"/>
  <c r="A106" i="22"/>
  <c r="A107" i="22"/>
  <c r="A108" i="22"/>
  <c r="A109" i="22"/>
  <c r="A110" i="22"/>
  <c r="A111" i="22"/>
  <c r="A112" i="22"/>
  <c r="A113" i="22"/>
  <c r="A114" i="22"/>
  <c r="A115" i="22"/>
  <c r="A116" i="22"/>
  <c r="A117" i="22"/>
  <c r="A118" i="22"/>
  <c r="A119" i="22"/>
  <c r="A120" i="22"/>
  <c r="A121" i="22"/>
  <c r="A122" i="22"/>
  <c r="A123" i="22"/>
  <c r="A124" i="22"/>
  <c r="A125" i="22"/>
  <c r="A126" i="22"/>
  <c r="A127" i="22"/>
  <c r="A128" i="22"/>
  <c r="A129" i="22"/>
  <c r="A130" i="22"/>
  <c r="A131" i="22"/>
  <c r="A132" i="22"/>
  <c r="A133" i="22"/>
  <c r="A134" i="22"/>
  <c r="A135" i="22"/>
  <c r="A136" i="22"/>
  <c r="A137" i="22"/>
  <c r="A138" i="22"/>
  <c r="A139" i="22"/>
  <c r="A140" i="22"/>
  <c r="A141" i="22"/>
  <c r="A142" i="22"/>
  <c r="A143" i="22"/>
  <c r="A144" i="22"/>
  <c r="A145" i="22"/>
  <c r="A146" i="22"/>
  <c r="A147" i="22"/>
  <c r="A148" i="22"/>
  <c r="A149" i="22"/>
  <c r="A150" i="22"/>
  <c r="A151" i="22"/>
  <c r="A152" i="22"/>
  <c r="A153" i="22"/>
  <c r="A184" i="22"/>
  <c r="A185" i="22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O14" i="14"/>
  <c r="O13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L5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K6" i="14"/>
  <c r="K5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H6" i="14"/>
  <c r="H5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B14" i="14"/>
  <c r="B13" i="14"/>
  <c r="Q17" i="22" l="1" a="1"/>
  <c r="Q17" i="22" s="1"/>
  <c r="S17" i="22" s="1"/>
  <c r="Q16" i="22" a="1"/>
  <c r="Q16" i="22" s="1"/>
  <c r="S16" i="22" s="1"/>
  <c r="Q15" i="22" a="1"/>
  <c r="Q15" i="22" s="1"/>
  <c r="S15" i="22" s="1"/>
  <c r="Q14" i="22" a="1"/>
  <c r="Q14" i="22" s="1"/>
  <c r="S14" i="22" s="1"/>
  <c r="Q13" i="22" a="1"/>
  <c r="Q13" i="22" s="1"/>
  <c r="S13" i="22" s="1"/>
  <c r="Q12" i="22" a="1"/>
  <c r="Q12" i="22" s="1"/>
  <c r="S12" i="22" s="1"/>
  <c r="Q11" i="22" a="1"/>
  <c r="Q11" i="22" s="1"/>
  <c r="S11" i="22" s="1"/>
  <c r="Q10" i="22" a="1"/>
  <c r="Q10" i="22" s="1"/>
  <c r="S10" i="22" s="1"/>
  <c r="Q9" i="22" a="1"/>
  <c r="Q9" i="22" s="1"/>
  <c r="S9" i="22" s="1"/>
  <c r="Q8" i="22" a="1"/>
  <c r="Q8" i="22" s="1"/>
  <c r="S8" i="22" s="1"/>
  <c r="Q7" i="22" a="1"/>
  <c r="Q7" i="22" s="1"/>
  <c r="S7" i="22" s="1"/>
  <c r="Q6" i="22" a="1"/>
  <c r="Q6" i="22" s="1"/>
  <c r="R18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84" i="22"/>
  <c r="M24" i="22"/>
  <c r="M26" i="14"/>
  <c r="F26" i="14"/>
  <c r="N25" i="14"/>
  <c r="F3" i="26"/>
  <c r="J25" i="14"/>
  <c r="N24" i="14"/>
  <c r="F24" i="14"/>
  <c r="N23" i="14"/>
  <c r="J23" i="14"/>
  <c r="N22" i="14"/>
  <c r="F3" i="25"/>
  <c r="F22" i="14"/>
  <c r="N21" i="14"/>
  <c r="J21" i="14"/>
  <c r="N20" i="14"/>
  <c r="F20" i="14"/>
  <c r="N19" i="14"/>
  <c r="J19" i="14"/>
  <c r="N18" i="14"/>
  <c r="F18" i="14"/>
  <c r="N17" i="14"/>
  <c r="F3" i="24"/>
  <c r="J17" i="14"/>
  <c r="N16" i="14"/>
  <c r="F3" i="23"/>
  <c r="N15" i="14"/>
  <c r="F3" i="22"/>
  <c r="N14" i="14"/>
  <c r="F3" i="21"/>
  <c r="I14" i="14"/>
  <c r="N13" i="14"/>
  <c r="F3" i="20"/>
  <c r="N12" i="14"/>
  <c r="F3" i="19"/>
  <c r="N11" i="14"/>
  <c r="F3" i="18"/>
  <c r="N10" i="14"/>
  <c r="N9" i="14"/>
  <c r="F3" i="17"/>
  <c r="N8" i="14"/>
  <c r="F3" i="13"/>
  <c r="N7" i="14"/>
  <c r="F3" i="16"/>
  <c r="N6" i="14"/>
  <c r="F3" i="15"/>
  <c r="N5" i="14"/>
  <c r="A32" i="26"/>
  <c r="A31" i="26"/>
  <c r="F25" i="26"/>
  <c r="E25" i="26"/>
  <c r="M24" i="26"/>
  <c r="M23" i="26"/>
  <c r="M22" i="26"/>
  <c r="M21" i="26"/>
  <c r="M20" i="26"/>
  <c r="M19" i="26"/>
  <c r="M18" i="26"/>
  <c r="M17" i="26"/>
  <c r="M16" i="26"/>
  <c r="M15" i="26"/>
  <c r="M14" i="26"/>
  <c r="M13" i="26"/>
  <c r="M12" i="26"/>
  <c r="M11" i="26"/>
  <c r="M10" i="26"/>
  <c r="M9" i="26"/>
  <c r="M8" i="26"/>
  <c r="M7" i="26"/>
  <c r="M6" i="26"/>
  <c r="K25" i="26" s="1"/>
  <c r="A32" i="25"/>
  <c r="A31" i="25"/>
  <c r="F25" i="25"/>
  <c r="E25" i="25"/>
  <c r="G25" i="25" s="1"/>
  <c r="M24" i="25"/>
  <c r="M23" i="25"/>
  <c r="M22" i="25"/>
  <c r="M21" i="25"/>
  <c r="M20" i="25"/>
  <c r="M19" i="25"/>
  <c r="M18" i="25"/>
  <c r="M17" i="25"/>
  <c r="M16" i="25"/>
  <c r="M15" i="25"/>
  <c r="M14" i="25"/>
  <c r="M13" i="25"/>
  <c r="M12" i="25"/>
  <c r="M11" i="25"/>
  <c r="M10" i="25"/>
  <c r="M9" i="25"/>
  <c r="M8" i="25"/>
  <c r="M7" i="25"/>
  <c r="M6" i="25"/>
  <c r="K25" i="25" s="1"/>
  <c r="J15" i="14" l="1"/>
  <c r="F16" i="14"/>
  <c r="F15" i="14"/>
  <c r="J16" i="14"/>
  <c r="F17" i="14"/>
  <c r="J18" i="14"/>
  <c r="F19" i="14"/>
  <c r="J20" i="14"/>
  <c r="F21" i="14"/>
  <c r="J22" i="14"/>
  <c r="F23" i="14"/>
  <c r="J24" i="14"/>
  <c r="F25" i="14"/>
  <c r="J26" i="14"/>
  <c r="E13" i="14"/>
  <c r="F14" i="14"/>
  <c r="I13" i="14"/>
  <c r="F5" i="14"/>
  <c r="J6" i="14"/>
  <c r="F7" i="14"/>
  <c r="J8" i="14"/>
  <c r="F9" i="14"/>
  <c r="J10" i="14"/>
  <c r="F11" i="14"/>
  <c r="J12" i="14"/>
  <c r="F13" i="14"/>
  <c r="E14" i="14"/>
  <c r="N26" i="14"/>
  <c r="J5" i="14"/>
  <c r="F6" i="14"/>
  <c r="J7" i="14"/>
  <c r="F8" i="14"/>
  <c r="J9" i="14"/>
  <c r="F10" i="14"/>
  <c r="J11" i="14"/>
  <c r="F12" i="14"/>
  <c r="J13" i="14"/>
  <c r="M13" i="14"/>
  <c r="J14" i="14"/>
  <c r="M14" i="14"/>
  <c r="G25" i="26"/>
  <c r="E27" i="26" s="1"/>
  <c r="S6" i="22"/>
  <c r="Q18" i="22"/>
  <c r="S18" i="22" s="1"/>
  <c r="E5" i="14"/>
  <c r="I5" i="14"/>
  <c r="M5" i="14"/>
  <c r="E6" i="14"/>
  <c r="I6" i="14"/>
  <c r="M6" i="14"/>
  <c r="E7" i="14"/>
  <c r="I7" i="14"/>
  <c r="M7" i="14"/>
  <c r="E8" i="14"/>
  <c r="I8" i="14"/>
  <c r="M8" i="14"/>
  <c r="E9" i="14"/>
  <c r="I9" i="14"/>
  <c r="M9" i="14"/>
  <c r="E10" i="14"/>
  <c r="I10" i="14"/>
  <c r="M10" i="14"/>
  <c r="E11" i="14"/>
  <c r="I11" i="14"/>
  <c r="M11" i="14"/>
  <c r="E12" i="14"/>
  <c r="I12" i="14"/>
  <c r="M12" i="14"/>
  <c r="E15" i="14"/>
  <c r="I15" i="14"/>
  <c r="M15" i="14"/>
  <c r="E16" i="14"/>
  <c r="I16" i="14"/>
  <c r="M16" i="14"/>
  <c r="E17" i="14"/>
  <c r="I17" i="14"/>
  <c r="M17" i="14"/>
  <c r="E18" i="14"/>
  <c r="I18" i="14"/>
  <c r="M18" i="14"/>
  <c r="E19" i="14"/>
  <c r="I19" i="14"/>
  <c r="M19" i="14"/>
  <c r="E20" i="14"/>
  <c r="I20" i="14"/>
  <c r="M20" i="14"/>
  <c r="E21" i="14"/>
  <c r="I21" i="14"/>
  <c r="M21" i="14"/>
  <c r="E22" i="14"/>
  <c r="I22" i="14"/>
  <c r="M22" i="14"/>
  <c r="E23" i="14"/>
  <c r="I23" i="14"/>
  <c r="M23" i="14"/>
  <c r="E24" i="14"/>
  <c r="I24" i="14"/>
  <c r="M24" i="14"/>
  <c r="E25" i="14"/>
  <c r="I25" i="14"/>
  <c r="M25" i="14"/>
  <c r="E26" i="14"/>
  <c r="I26" i="14"/>
  <c r="E27" i="25"/>
  <c r="L27" i="26" l="1"/>
  <c r="G28" i="26" s="1"/>
  <c r="E28" i="26"/>
  <c r="A28" i="26" s="1"/>
  <c r="A27" i="26"/>
  <c r="L27" i="25"/>
  <c r="G28" i="25" s="1"/>
  <c r="E28" i="25"/>
  <c r="A28" i="25" s="1"/>
  <c r="A27" i="25"/>
  <c r="A32" i="24" l="1"/>
  <c r="A31" i="24"/>
  <c r="F25" i="24"/>
  <c r="E25" i="24"/>
  <c r="M24" i="24"/>
  <c r="M23" i="24"/>
  <c r="M22" i="24"/>
  <c r="M21" i="24"/>
  <c r="M20" i="24"/>
  <c r="M19" i="24"/>
  <c r="M18" i="24"/>
  <c r="M17" i="24"/>
  <c r="M16" i="24"/>
  <c r="M15" i="24"/>
  <c r="M14" i="24"/>
  <c r="M13" i="24"/>
  <c r="M12" i="24"/>
  <c r="M11" i="24"/>
  <c r="M10" i="24"/>
  <c r="M9" i="24"/>
  <c r="M8" i="24"/>
  <c r="M7" i="24"/>
  <c r="M6" i="24"/>
  <c r="K25" i="24" s="1"/>
  <c r="A32" i="23"/>
  <c r="A31" i="23"/>
  <c r="F25" i="23"/>
  <c r="E25" i="23"/>
  <c r="G25" i="23" s="1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M8" i="23"/>
  <c r="M7" i="23"/>
  <c r="M6" i="23"/>
  <c r="K25" i="23" s="1"/>
  <c r="A193" i="22"/>
  <c r="A192" i="22"/>
  <c r="F186" i="22"/>
  <c r="E186" i="22"/>
  <c r="M185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M8" i="22"/>
  <c r="M7" i="22"/>
  <c r="M6" i="22"/>
  <c r="K186" i="22" s="1"/>
  <c r="A32" i="21"/>
  <c r="A31" i="21"/>
  <c r="F25" i="21"/>
  <c r="E25" i="21"/>
  <c r="G25" i="21" s="1"/>
  <c r="M24" i="21"/>
  <c r="M23" i="21"/>
  <c r="M22" i="21"/>
  <c r="M21" i="21"/>
  <c r="M20" i="21"/>
  <c r="M19" i="21"/>
  <c r="M18" i="21"/>
  <c r="M17" i="21"/>
  <c r="M16" i="21"/>
  <c r="M15" i="21"/>
  <c r="M14" i="21"/>
  <c r="M13" i="21"/>
  <c r="M12" i="21"/>
  <c r="M11" i="21"/>
  <c r="M10" i="21"/>
  <c r="M9" i="21"/>
  <c r="M8" i="21"/>
  <c r="M7" i="21"/>
  <c r="M6" i="21"/>
  <c r="K25" i="21" s="1"/>
  <c r="A32" i="20"/>
  <c r="A31" i="20"/>
  <c r="F25" i="20"/>
  <c r="E25" i="20"/>
  <c r="G25" i="20" s="1"/>
  <c r="E27" i="20" s="1"/>
  <c r="M24" i="20"/>
  <c r="M23" i="20"/>
  <c r="M22" i="20"/>
  <c r="M21" i="20"/>
  <c r="M20" i="20"/>
  <c r="M19" i="20"/>
  <c r="M18" i="20"/>
  <c r="M17" i="20"/>
  <c r="M16" i="20"/>
  <c r="M15" i="20"/>
  <c r="M14" i="20"/>
  <c r="M13" i="20"/>
  <c r="M12" i="20"/>
  <c r="M11" i="20"/>
  <c r="M10" i="20"/>
  <c r="M9" i="20"/>
  <c r="M8" i="20"/>
  <c r="M7" i="20"/>
  <c r="M6" i="20"/>
  <c r="K25" i="20" s="1"/>
  <c r="A32" i="19"/>
  <c r="A31" i="19"/>
  <c r="F25" i="19"/>
  <c r="E25" i="19"/>
  <c r="G25" i="19" s="1"/>
  <c r="M24" i="19"/>
  <c r="M23" i="19"/>
  <c r="M22" i="19"/>
  <c r="M21" i="19"/>
  <c r="M20" i="19"/>
  <c r="M19" i="19"/>
  <c r="M18" i="19"/>
  <c r="M17" i="19"/>
  <c r="M16" i="19"/>
  <c r="M15" i="19"/>
  <c r="M14" i="19"/>
  <c r="M13" i="19"/>
  <c r="M12" i="19"/>
  <c r="M11" i="19"/>
  <c r="M10" i="19"/>
  <c r="M9" i="19"/>
  <c r="M8" i="19"/>
  <c r="M7" i="19"/>
  <c r="M6" i="19"/>
  <c r="K25" i="19" s="1"/>
  <c r="A32" i="18"/>
  <c r="A31" i="18"/>
  <c r="F25" i="18"/>
  <c r="E25" i="18"/>
  <c r="G25" i="18" s="1"/>
  <c r="E27" i="18" s="1"/>
  <c r="M24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7" i="18"/>
  <c r="M6" i="18"/>
  <c r="K25" i="18" s="1"/>
  <c r="A32" i="17"/>
  <c r="A31" i="17"/>
  <c r="F25" i="17"/>
  <c r="E25" i="17"/>
  <c r="M24" i="17"/>
  <c r="M23" i="17"/>
  <c r="M22" i="17"/>
  <c r="M21" i="17"/>
  <c r="M20" i="17"/>
  <c r="M19" i="17"/>
  <c r="M18" i="17"/>
  <c r="M17" i="17"/>
  <c r="M16" i="17"/>
  <c r="M15" i="17"/>
  <c r="M14" i="17"/>
  <c r="M13" i="17"/>
  <c r="M12" i="17"/>
  <c r="M11" i="17"/>
  <c r="M10" i="17"/>
  <c r="M9" i="17"/>
  <c r="M8" i="17"/>
  <c r="M7" i="17"/>
  <c r="M6" i="17"/>
  <c r="K25" i="17" s="1"/>
  <c r="A32" i="16"/>
  <c r="A31" i="16"/>
  <c r="F25" i="16"/>
  <c r="E25" i="16"/>
  <c r="G25" i="16" s="1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M6" i="16"/>
  <c r="K25" i="16" s="1"/>
  <c r="A32" i="15"/>
  <c r="A31" i="15"/>
  <c r="F25" i="15"/>
  <c r="E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K25" i="15" s="1"/>
  <c r="F25" i="13"/>
  <c r="G25" i="24" l="1"/>
  <c r="E27" i="24" s="1"/>
  <c r="E28" i="24" s="1"/>
  <c r="A28" i="24" s="1"/>
  <c r="G25" i="17"/>
  <c r="E27" i="17" s="1"/>
  <c r="G25" i="15"/>
  <c r="E27" i="15" s="1"/>
  <c r="G186" i="22"/>
  <c r="E27" i="23"/>
  <c r="E27" i="21"/>
  <c r="L27" i="20"/>
  <c r="G28" i="20" s="1"/>
  <c r="E28" i="20"/>
  <c r="A28" i="20" s="1"/>
  <c r="A27" i="20"/>
  <c r="E27" i="19"/>
  <c r="L27" i="18"/>
  <c r="G28" i="18" s="1"/>
  <c r="E28" i="18"/>
  <c r="A28" i="18" s="1"/>
  <c r="A27" i="18"/>
  <c r="E27" i="16"/>
  <c r="A32" i="13"/>
  <c r="A31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L27" i="24" l="1"/>
  <c r="G28" i="24" s="1"/>
  <c r="A27" i="24"/>
  <c r="E188" i="22"/>
  <c r="E189" i="22" s="1"/>
  <c r="A189" i="22" s="1"/>
  <c r="Q19" i="22"/>
  <c r="L27" i="23"/>
  <c r="G28" i="23" s="1"/>
  <c r="E28" i="23"/>
  <c r="A28" i="23" s="1"/>
  <c r="A27" i="23"/>
  <c r="L27" i="21"/>
  <c r="G28" i="21" s="1"/>
  <c r="E28" i="21"/>
  <c r="A28" i="21" s="1"/>
  <c r="A27" i="21"/>
  <c r="L27" i="19"/>
  <c r="G28" i="19" s="1"/>
  <c r="E28" i="19"/>
  <c r="A28" i="19" s="1"/>
  <c r="A27" i="19"/>
  <c r="L27" i="17"/>
  <c r="G28" i="17" s="1"/>
  <c r="E28" i="17"/>
  <c r="A28" i="17" s="1"/>
  <c r="A27" i="17"/>
  <c r="L27" i="16"/>
  <c r="G28" i="16" s="1"/>
  <c r="E28" i="16"/>
  <c r="A28" i="16" s="1"/>
  <c r="A27" i="16"/>
  <c r="L27" i="15"/>
  <c r="G28" i="15" s="1"/>
  <c r="E28" i="15"/>
  <c r="A28" i="15" s="1"/>
  <c r="A27" i="15"/>
  <c r="A188" i="22" l="1"/>
  <c r="L188" i="22"/>
  <c r="G189" i="22" s="1"/>
  <c r="K25" i="13"/>
  <c r="E25" i="13"/>
  <c r="G25" i="13" s="1"/>
  <c r="E27" i="13" s="1"/>
  <c r="A27" i="13" s="1"/>
  <c r="E28" i="13" l="1"/>
  <c r="A28" i="13" s="1"/>
  <c r="L27" i="13"/>
  <c r="G28" i="13" s="1"/>
</calcChain>
</file>

<file path=xl/sharedStrings.xml><?xml version="1.0" encoding="utf-8"?>
<sst xmlns="http://schemas.openxmlformats.org/spreadsheetml/2006/main" count="435" uniqueCount="77">
  <si>
    <t>COMMENTAIRE</t>
  </si>
  <si>
    <t>BUDGET</t>
  </si>
  <si>
    <t>X</t>
  </si>
  <si>
    <t>FOURNISSEURS</t>
  </si>
  <si>
    <t>MONTANT</t>
  </si>
  <si>
    <t>FACTURE RECUE</t>
  </si>
  <si>
    <t>OUI</t>
  </si>
  <si>
    <t>NON</t>
  </si>
  <si>
    <t>COMMANDE NON COMPTABILISE AU SIEGE</t>
  </si>
  <si>
    <t>RECUE AU SIEGE</t>
  </si>
  <si>
    <t>TOTAL RESTANT EN  TENANT COMPTE DES COMMANDES</t>
  </si>
  <si>
    <t>INFORMATION DE LA CRECHE</t>
  </si>
  <si>
    <t>INFORMATION DU SIEGE</t>
  </si>
  <si>
    <t>REPONSE DE LA CRECHE</t>
  </si>
  <si>
    <t>REPONSE DU SIEGE</t>
  </si>
  <si>
    <t>VU PAR LA CRECHE</t>
  </si>
  <si>
    <t>NATURE</t>
  </si>
  <si>
    <t>DATE</t>
  </si>
  <si>
    <t>J</t>
  </si>
  <si>
    <t>LEBELLE DE L'ECRITURE</t>
  </si>
  <si>
    <t>DEBIT</t>
  </si>
  <si>
    <t>CREDIT</t>
  </si>
  <si>
    <t>N° PIECE</t>
  </si>
  <si>
    <t>Colonne1</t>
  </si>
  <si>
    <t>Colonne2</t>
  </si>
  <si>
    <t>TOTAL DEBIT &amp; CREDIT</t>
  </si>
  <si>
    <t>TOTAL  COMMANDES</t>
  </si>
  <si>
    <t>SITUATION 1</t>
  </si>
  <si>
    <t>SITUATION 2</t>
  </si>
  <si>
    <t>BILAN</t>
  </si>
  <si>
    <t>SYNTHESE DES BUDGETS</t>
  </si>
  <si>
    <t>STOCK</t>
  </si>
  <si>
    <t>BUDGET AU 30 AVRIL</t>
  </si>
  <si>
    <t>DEPENSE</t>
  </si>
  <si>
    <t>RESTANT</t>
  </si>
  <si>
    <t>DEPASSEMENT</t>
  </si>
  <si>
    <t>BUDGET AU 31 AOUT</t>
  </si>
  <si>
    <t>BUDGET ANNUEL</t>
  </si>
  <si>
    <t>NOUVEAU STOCK</t>
  </si>
  <si>
    <t>EAU - ELECTRICITE</t>
  </si>
  <si>
    <t>FOURNITURE EDUCATIVE</t>
  </si>
  <si>
    <t>PETIT EQUIPEMENT</t>
  </si>
  <si>
    <t>FOURNITURE DE BUREAU</t>
  </si>
  <si>
    <t xml:space="preserve">LINGES </t>
  </si>
  <si>
    <t>VETEMENT DE TRAVAIL</t>
  </si>
  <si>
    <t xml:space="preserve">AUTRES FOURNITURES </t>
  </si>
  <si>
    <t>PHARMACIE</t>
  </si>
  <si>
    <t>PRODUITS ENTRETIEN</t>
  </si>
  <si>
    <t>PRODUITS DE CHANGE</t>
  </si>
  <si>
    <t>ALIMENTATION</t>
  </si>
  <si>
    <t>ANIMATION</t>
  </si>
  <si>
    <t>ENTRETIEN REPARATION</t>
  </si>
  <si>
    <t>MAINTENANCE</t>
  </si>
  <si>
    <t>DOCUMENTATION</t>
  </si>
  <si>
    <t>COLLOQUES</t>
  </si>
  <si>
    <t>INTERIM</t>
  </si>
  <si>
    <t>HONORAIRES</t>
  </si>
  <si>
    <t>CONTENTIEUX</t>
  </si>
  <si>
    <t>FRAIS DE PUBLICATION</t>
  </si>
  <si>
    <t>DEPLACEMENT MISSION - RECEPTION</t>
  </si>
  <si>
    <t>FRAIS POSTAUX ET TELECOM</t>
  </si>
  <si>
    <t>DEPENSES</t>
  </si>
  <si>
    <t>NBRE DE REPAS</t>
  </si>
  <si>
    <t>COUT REPAS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</si>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</sst>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&quot;€&quot;;[Red]#,##0.00\ &quot;€&quot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double">
        <color indexed="64"/>
      </left>
      <right style="double">
        <color indexed="64"/>
      </right>
      <top/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rgb="FFFF0000"/>
      </top>
      <bottom style="thick">
        <color rgb="FFFF0000"/>
      </bottom>
      <diagonal/>
    </border>
    <border>
      <left/>
      <right style="double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double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/>
      <bottom style="thick">
        <color rgb="FFFF0000"/>
      </bottom>
      <diagonal/>
    </border>
    <border>
      <left/>
      <right style="double">
        <color indexed="64"/>
      </right>
      <top/>
      <bottom style="thick">
        <color rgb="FFFF0000"/>
      </bottom>
      <diagonal/>
    </border>
    <border>
      <left/>
      <right/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ck">
        <color rgb="FFFF0000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/>
    </xf>
    <xf numFmtId="4" fontId="1" fillId="4" borderId="1" xfId="0" quotePrefix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5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4" fontId="0" fillId="0" borderId="5" xfId="0" applyNumberForma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1" fillId="4" borderId="13" xfId="0" quotePrefix="1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1" borderId="0" xfId="0" applyFill="1" applyProtection="1"/>
    <xf numFmtId="0" fontId="1" fillId="3" borderId="15" xfId="0" quotePrefix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4" fillId="3" borderId="0" xfId="0" quotePrefix="1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1" fillId="4" borderId="19" xfId="0" quotePrefix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9" fillId="5" borderId="6" xfId="0" applyFont="1" applyFill="1" applyBorder="1" applyProtection="1"/>
    <xf numFmtId="4" fontId="0" fillId="0" borderId="15" xfId="0" applyNumberFormat="1" applyFont="1" applyBorder="1" applyAlignment="1" applyProtection="1">
      <alignment horizontal="center" vertical="center"/>
    </xf>
    <xf numFmtId="0" fontId="0" fillId="0" borderId="20" xfId="0" quotePrefix="1" applyFont="1" applyBorder="1" applyProtection="1"/>
    <xf numFmtId="0" fontId="0" fillId="0" borderId="15" xfId="0" quotePrefix="1" applyFont="1" applyBorder="1" applyAlignment="1" applyProtection="1">
      <alignment horizontal="center"/>
    </xf>
    <xf numFmtId="0" fontId="6" fillId="3" borderId="12" xfId="0" quotePrefix="1" applyFont="1" applyFill="1" applyBorder="1" applyAlignment="1" applyProtection="1">
      <alignment horizontal="center" vertical="center"/>
    </xf>
    <xf numFmtId="0" fontId="0" fillId="6" borderId="0" xfId="0" applyFill="1" applyProtection="1"/>
    <xf numFmtId="0" fontId="9" fillId="0" borderId="0" xfId="0" applyFont="1" applyProtection="1">
      <protection locked="0"/>
    </xf>
    <xf numFmtId="14" fontId="0" fillId="0" borderId="15" xfId="0" quotePrefix="1" applyNumberFormat="1" applyFont="1" applyBorder="1" applyAlignment="1" applyProtection="1">
      <alignment horizontal="center"/>
    </xf>
    <xf numFmtId="0" fontId="0" fillId="0" borderId="15" xfId="0" quotePrefix="1" applyFont="1" applyBorder="1" applyProtection="1"/>
    <xf numFmtId="0" fontId="0" fillId="0" borderId="23" xfId="0" quotePrefix="1" applyFont="1" applyBorder="1" applyAlignment="1" applyProtection="1">
      <alignment horizontal="center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5" xfId="0" quotePrefix="1" applyFont="1" applyBorder="1" applyAlignment="1" applyProtection="1">
      <alignment horizontal="center"/>
    </xf>
    <xf numFmtId="0" fontId="0" fillId="0" borderId="25" xfId="0" quotePrefix="1" applyFont="1" applyBorder="1" applyProtection="1"/>
    <xf numFmtId="4" fontId="0" fillId="0" borderId="14" xfId="0" applyNumberFormat="1" applyFont="1" applyBorder="1" applyAlignment="1" applyProtection="1">
      <alignment horizontal="center" vertical="center"/>
    </xf>
    <xf numFmtId="4" fontId="10" fillId="3" borderId="12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Font="1" applyFill="1" applyBorder="1" applyAlignment="1" applyProtection="1">
      <alignment horizontal="center" vertical="center"/>
    </xf>
    <xf numFmtId="0" fontId="1" fillId="3" borderId="20" xfId="0" quotePrefix="1" applyFont="1" applyFill="1" applyBorder="1" applyAlignment="1" applyProtection="1">
      <alignment horizontal="center" vertical="center"/>
    </xf>
    <xf numFmtId="14" fontId="0" fillId="0" borderId="20" xfId="0" quotePrefix="1" applyNumberFormat="1" applyFont="1" applyBorder="1" applyAlignment="1" applyProtection="1">
      <alignment horizontal="center"/>
    </xf>
    <xf numFmtId="0" fontId="0" fillId="0" borderId="20" xfId="0" quotePrefix="1" applyFont="1" applyBorder="1" applyAlignment="1" applyProtection="1">
      <alignment horizontal="center"/>
    </xf>
    <xf numFmtId="4" fontId="0" fillId="0" borderId="20" xfId="0" applyNumberFormat="1" applyFont="1" applyBorder="1" applyAlignment="1" applyProtection="1">
      <alignment horizontal="center" vertical="center"/>
    </xf>
    <xf numFmtId="0" fontId="0" fillId="0" borderId="27" xfId="0" quotePrefix="1" applyFont="1" applyBorder="1" applyAlignment="1" applyProtection="1">
      <alignment horizontal="center"/>
    </xf>
    <xf numFmtId="0" fontId="0" fillId="0" borderId="28" xfId="0" applyFont="1" applyBorder="1" applyAlignment="1" applyProtection="1">
      <alignment horizontal="center"/>
      <protection locked="0"/>
    </xf>
    <xf numFmtId="0" fontId="1" fillId="3" borderId="32" xfId="0" quotePrefix="1" applyFont="1" applyFill="1" applyBorder="1" applyAlignment="1" applyProtection="1">
      <alignment horizontal="center" vertical="center"/>
    </xf>
    <xf numFmtId="0" fontId="1" fillId="3" borderId="26" xfId="0" quotePrefix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1" fillId="7" borderId="2" xfId="0" applyFont="1" applyFill="1" applyBorder="1" applyProtection="1">
      <protection locked="0"/>
    </xf>
    <xf numFmtId="4" fontId="1" fillId="7" borderId="2" xfId="0" applyNumberFormat="1" applyFont="1" applyFill="1" applyBorder="1" applyAlignment="1" applyProtection="1">
      <alignment horizontal="center" vertical="center"/>
      <protection locked="0"/>
    </xf>
    <xf numFmtId="0" fontId="5" fillId="1" borderId="0" xfId="0" applyFont="1" applyFill="1" applyBorder="1" applyAlignment="1" applyProtection="1">
      <alignment horizontal="center" vertical="center"/>
    </xf>
    <xf numFmtId="0" fontId="4" fillId="3" borderId="18" xfId="0" quotePrefix="1" applyFont="1" applyFill="1" applyBorder="1" applyAlignment="1" applyProtection="1">
      <alignment horizontal="center" vertical="center"/>
    </xf>
    <xf numFmtId="4" fontId="1" fillId="4" borderId="36" xfId="0" quotePrefix="1" applyNumberFormat="1" applyFont="1" applyFill="1" applyBorder="1" applyAlignment="1" applyProtection="1">
      <alignment horizontal="center" vertical="center"/>
    </xf>
    <xf numFmtId="4" fontId="0" fillId="0" borderId="37" xfId="0" applyNumberFormat="1" applyFont="1" applyBorder="1" applyAlignment="1" applyProtection="1">
      <alignment horizontal="center" vertical="center"/>
    </xf>
    <xf numFmtId="4" fontId="0" fillId="0" borderId="25" xfId="0" applyNumberFormat="1" applyFont="1" applyBorder="1" applyAlignment="1" applyProtection="1">
      <alignment horizontal="center" vertical="center"/>
    </xf>
    <xf numFmtId="4" fontId="0" fillId="0" borderId="38" xfId="0" applyNumberFormat="1" applyFont="1" applyBorder="1" applyAlignment="1" applyProtection="1">
      <alignment horizontal="center" vertical="center"/>
    </xf>
    <xf numFmtId="0" fontId="1" fillId="4" borderId="1" xfId="0" quotePrefix="1" applyFont="1" applyFill="1" applyBorder="1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Protection="1">
      <protection locked="0"/>
    </xf>
    <xf numFmtId="0" fontId="6" fillId="3" borderId="21" xfId="0" quotePrefix="1" applyFont="1" applyFill="1" applyBorder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14" fontId="0" fillId="0" borderId="30" xfId="0" applyNumberFormat="1" applyFont="1" applyBorder="1" applyProtection="1"/>
    <xf numFmtId="0" fontId="0" fillId="0" borderId="29" xfId="0" applyFont="1" applyBorder="1" applyAlignment="1" applyProtection="1">
      <alignment horizontal="center" vertical="center"/>
    </xf>
    <xf numFmtId="0" fontId="0" fillId="0" borderId="31" xfId="0" applyFont="1" applyBorder="1" applyProtection="1"/>
    <xf numFmtId="4" fontId="0" fillId="0" borderId="31" xfId="0" applyNumberFormat="1" applyFont="1" applyBorder="1" applyAlignment="1" applyProtection="1">
      <alignment horizontal="center" vertical="center"/>
    </xf>
    <xf numFmtId="0" fontId="1" fillId="7" borderId="16" xfId="0" applyFont="1" applyFill="1" applyBorder="1" applyAlignment="1" applyProtection="1">
      <alignment horizontal="centerContinuous"/>
    </xf>
    <xf numFmtId="0" fontId="1" fillId="7" borderId="33" xfId="0" applyFont="1" applyFill="1" applyBorder="1" applyAlignment="1" applyProtection="1">
      <alignment horizontal="centerContinuous"/>
    </xf>
    <xf numFmtId="0" fontId="1" fillId="7" borderId="34" xfId="0" applyFont="1" applyFill="1" applyBorder="1" applyAlignment="1" applyProtection="1">
      <alignment horizontal="centerContinuous"/>
    </xf>
    <xf numFmtId="4" fontId="1" fillId="7" borderId="2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0" borderId="0" xfId="0" applyBorder="1" applyProtection="1"/>
    <xf numFmtId="0" fontId="1" fillId="7" borderId="2" xfId="0" applyFont="1" applyFill="1" applyBorder="1" applyProtection="1"/>
    <xf numFmtId="0" fontId="0" fillId="0" borderId="0" xfId="0" applyBorder="1" applyAlignment="1" applyProtection="1">
      <alignment horizontal="center" vertical="center"/>
    </xf>
    <xf numFmtId="0" fontId="5" fillId="0" borderId="0" xfId="0" applyFont="1" applyProtection="1"/>
    <xf numFmtId="0" fontId="0" fillId="0" borderId="22" xfId="0" applyBorder="1" applyAlignment="1" applyProtection="1">
      <alignment horizontal="center" vertical="center"/>
    </xf>
    <xf numFmtId="165" fontId="2" fillId="3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0" fillId="0" borderId="39" xfId="0" applyBorder="1" applyProtection="1"/>
    <xf numFmtId="0" fontId="0" fillId="0" borderId="43" xfId="0" applyBorder="1" applyAlignment="1" applyProtection="1">
      <alignment horizontal="center" vertical="center"/>
    </xf>
    <xf numFmtId="0" fontId="0" fillId="8" borderId="45" xfId="0" applyFill="1" applyBorder="1" applyAlignment="1" applyProtection="1">
      <alignment horizontal="left" vertical="center"/>
    </xf>
    <xf numFmtId="4" fontId="13" fillId="8" borderId="46" xfId="0" applyNumberFormat="1" applyFont="1" applyFill="1" applyBorder="1" applyAlignment="1" applyProtection="1">
      <alignment horizontal="center" vertical="center"/>
    </xf>
    <xf numFmtId="4" fontId="1" fillId="8" borderId="47" xfId="0" applyNumberFormat="1" applyFont="1" applyFill="1" applyBorder="1" applyAlignment="1" applyProtection="1">
      <alignment horizontal="center" vertical="center"/>
    </xf>
    <xf numFmtId="4" fontId="11" fillId="8" borderId="3" xfId="0" applyNumberFormat="1" applyFont="1" applyFill="1" applyBorder="1" applyAlignment="1" applyProtection="1">
      <alignment horizontal="center" vertical="center"/>
    </xf>
    <xf numFmtId="4" fontId="14" fillId="8" borderId="3" xfId="0" applyNumberFormat="1" applyFont="1" applyFill="1" applyBorder="1" applyAlignment="1" applyProtection="1">
      <alignment horizontal="center" vertical="center"/>
    </xf>
    <xf numFmtId="4" fontId="6" fillId="8" borderId="45" xfId="0" applyNumberFormat="1" applyFont="1" applyFill="1" applyBorder="1" applyAlignment="1" applyProtection="1">
      <alignment horizontal="center" vertical="center"/>
    </xf>
    <xf numFmtId="4" fontId="13" fillId="8" borderId="48" xfId="0" applyNumberFormat="1" applyFont="1" applyFill="1" applyBorder="1" applyAlignment="1" applyProtection="1">
      <alignment horizontal="center" vertical="center"/>
    </xf>
    <xf numFmtId="0" fontId="0" fillId="0" borderId="49" xfId="0" applyBorder="1" applyAlignment="1" applyProtection="1">
      <alignment horizontal="left" vertical="center"/>
    </xf>
    <xf numFmtId="4" fontId="13" fillId="0" borderId="50" xfId="0" applyNumberFormat="1" applyFont="1" applyBorder="1" applyAlignment="1" applyProtection="1">
      <alignment horizontal="center" vertical="center"/>
    </xf>
    <xf numFmtId="4" fontId="1" fillId="0" borderId="51" xfId="0" applyNumberFormat="1" applyFont="1" applyBorder="1" applyAlignment="1" applyProtection="1">
      <alignment horizontal="center" vertical="center"/>
    </xf>
    <xf numFmtId="4" fontId="11" fillId="0" borderId="52" xfId="0" applyNumberFormat="1" applyFont="1" applyBorder="1" applyAlignment="1" applyProtection="1">
      <alignment horizontal="center" vertical="center"/>
    </xf>
    <xf numFmtId="4" fontId="14" fillId="0" borderId="52" xfId="0" applyNumberFormat="1" applyFont="1" applyBorder="1" applyAlignment="1" applyProtection="1">
      <alignment horizontal="center" vertical="center"/>
    </xf>
    <xf numFmtId="4" fontId="6" fillId="0" borderId="49" xfId="0" applyNumberFormat="1" applyFont="1" applyBorder="1" applyAlignment="1" applyProtection="1">
      <alignment horizontal="center" vertical="center"/>
    </xf>
    <xf numFmtId="4" fontId="6" fillId="0" borderId="53" xfId="0" applyNumberFormat="1" applyFont="1" applyBorder="1" applyAlignment="1" applyProtection="1">
      <alignment horizontal="center" vertical="center"/>
    </xf>
    <xf numFmtId="4" fontId="13" fillId="0" borderId="54" xfId="0" applyNumberFormat="1" applyFont="1" applyBorder="1" applyAlignment="1" applyProtection="1">
      <alignment horizontal="center" vertical="center"/>
    </xf>
    <xf numFmtId="0" fontId="0" fillId="8" borderId="49" xfId="0" applyFill="1" applyBorder="1" applyAlignment="1" applyProtection="1">
      <alignment horizontal="left" vertical="center"/>
    </xf>
    <xf numFmtId="4" fontId="13" fillId="8" borderId="50" xfId="0" applyNumberFormat="1" applyFont="1" applyFill="1" applyBorder="1" applyAlignment="1" applyProtection="1">
      <alignment horizontal="center" vertical="center"/>
    </xf>
    <xf numFmtId="4" fontId="1" fillId="8" borderId="51" xfId="0" applyNumberFormat="1" applyFont="1" applyFill="1" applyBorder="1" applyAlignment="1" applyProtection="1">
      <alignment horizontal="center" vertical="center"/>
    </xf>
    <xf numFmtId="4" fontId="11" fillId="8" borderId="52" xfId="0" applyNumberFormat="1" applyFont="1" applyFill="1" applyBorder="1" applyAlignment="1" applyProtection="1">
      <alignment horizontal="center" vertical="center"/>
    </xf>
    <xf numFmtId="4" fontId="14" fillId="8" borderId="52" xfId="0" applyNumberFormat="1" applyFont="1" applyFill="1" applyBorder="1" applyAlignment="1" applyProtection="1">
      <alignment horizontal="center" vertical="center"/>
    </xf>
    <xf numFmtId="4" fontId="6" fillId="8" borderId="49" xfId="0" applyNumberFormat="1" applyFont="1" applyFill="1" applyBorder="1" applyAlignment="1" applyProtection="1">
      <alignment horizontal="center" vertical="center"/>
    </xf>
    <xf numFmtId="4" fontId="6" fillId="8" borderId="53" xfId="0" applyNumberFormat="1" applyFont="1" applyFill="1" applyBorder="1" applyAlignment="1" applyProtection="1">
      <alignment horizontal="center" vertical="center"/>
    </xf>
    <xf numFmtId="4" fontId="13" fillId="8" borderId="54" xfId="0" applyNumberFormat="1" applyFont="1" applyFill="1" applyBorder="1" applyAlignment="1" applyProtection="1">
      <alignment horizontal="center" vertical="center"/>
    </xf>
    <xf numFmtId="0" fontId="0" fillId="3" borderId="49" xfId="0" applyFill="1" applyBorder="1" applyAlignment="1" applyProtection="1">
      <alignment horizontal="left" vertical="center"/>
    </xf>
    <xf numFmtId="4" fontId="13" fillId="3" borderId="50" xfId="0" applyNumberFormat="1" applyFont="1" applyFill="1" applyBorder="1" applyAlignment="1" applyProtection="1">
      <alignment horizontal="center" vertical="center"/>
    </xf>
    <xf numFmtId="4" fontId="1" fillId="3" borderId="51" xfId="0" applyNumberFormat="1" applyFont="1" applyFill="1" applyBorder="1" applyAlignment="1" applyProtection="1">
      <alignment horizontal="center" vertical="center"/>
    </xf>
    <xf numFmtId="4" fontId="11" fillId="3" borderId="52" xfId="0" applyNumberFormat="1" applyFont="1" applyFill="1" applyBorder="1" applyAlignment="1" applyProtection="1">
      <alignment horizontal="center" vertical="center"/>
    </xf>
    <xf numFmtId="4" fontId="14" fillId="3" borderId="52" xfId="0" applyNumberFormat="1" applyFont="1" applyFill="1" applyBorder="1" applyAlignment="1" applyProtection="1">
      <alignment horizontal="center" vertical="center"/>
    </xf>
    <xf numFmtId="4" fontId="6" fillId="3" borderId="49" xfId="0" applyNumberFormat="1" applyFont="1" applyFill="1" applyBorder="1" applyAlignment="1" applyProtection="1">
      <alignment horizontal="center" vertical="center"/>
    </xf>
    <xf numFmtId="4" fontId="6" fillId="3" borderId="53" xfId="0" applyNumberFormat="1" applyFont="1" applyFill="1" applyBorder="1" applyAlignment="1" applyProtection="1">
      <alignment horizontal="center" vertical="center"/>
    </xf>
    <xf numFmtId="4" fontId="13" fillId="3" borderId="54" xfId="0" applyNumberFormat="1" applyFont="1" applyFill="1" applyBorder="1" applyAlignment="1" applyProtection="1">
      <alignment horizontal="center" vertical="center"/>
    </xf>
    <xf numFmtId="4" fontId="6" fillId="3" borderId="4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4" fontId="6" fillId="8" borderId="41" xfId="0" applyNumberFormat="1" applyFont="1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left" vertical="center"/>
    </xf>
    <xf numFmtId="4" fontId="13" fillId="3" borderId="35" xfId="0" applyNumberFormat="1" applyFont="1" applyFill="1" applyBorder="1" applyAlignment="1" applyProtection="1">
      <alignment horizontal="center" vertical="center"/>
    </xf>
    <xf numFmtId="4" fontId="1" fillId="3" borderId="44" xfId="0" applyNumberFormat="1" applyFont="1" applyFill="1" applyBorder="1" applyAlignment="1" applyProtection="1">
      <alignment horizontal="center" vertical="center"/>
    </xf>
    <xf numFmtId="4" fontId="11" fillId="3" borderId="5" xfId="0" applyNumberFormat="1" applyFont="1" applyFill="1" applyBorder="1" applyAlignment="1" applyProtection="1">
      <alignment horizontal="center" vertical="center"/>
    </xf>
    <xf numFmtId="4" fontId="14" fillId="3" borderId="5" xfId="0" applyNumberFormat="1" applyFont="1" applyFill="1" applyBorder="1" applyAlignment="1" applyProtection="1">
      <alignment horizontal="center" vertical="center"/>
    </xf>
    <xf numFmtId="4" fontId="6" fillId="3" borderId="7" xfId="0" applyNumberFormat="1" applyFont="1" applyFill="1" applyBorder="1" applyAlignment="1" applyProtection="1">
      <alignment horizontal="center" vertical="center"/>
    </xf>
    <xf numFmtId="4" fontId="13" fillId="3" borderId="21" xfId="0" applyNumberFormat="1" applyFont="1" applyFill="1" applyBorder="1" applyAlignment="1" applyProtection="1">
      <alignment horizontal="center" vertical="center"/>
    </xf>
    <xf numFmtId="0" fontId="1" fillId="0" borderId="29" xfId="0" applyFont="1" applyBorder="1" applyProtection="1"/>
    <xf numFmtId="0" fontId="0" fillId="3" borderId="32" xfId="0" quotePrefix="1" applyFont="1" applyFill="1" applyBorder="1" applyAlignment="1" applyProtection="1">
      <alignment horizontal="center" vertical="center"/>
    </xf>
    <xf numFmtId="0" fontId="1" fillId="7" borderId="7" xfId="0" applyFont="1" applyFill="1" applyBorder="1" applyAlignment="1" applyProtection="1">
      <alignment horizontal="centerContinuous"/>
    </xf>
    <xf numFmtId="0" fontId="1" fillId="7" borderId="21" xfId="0" applyFont="1" applyFill="1" applyBorder="1" applyAlignment="1" applyProtection="1">
      <alignment horizontal="centerContinuous"/>
    </xf>
    <xf numFmtId="0" fontId="1" fillId="7" borderId="55" xfId="0" applyFont="1" applyFill="1" applyBorder="1" applyAlignment="1" applyProtection="1">
      <alignment horizontal="centerContinuous"/>
    </xf>
    <xf numFmtId="4" fontId="1" fillId="7" borderId="5" xfId="0" applyNumberFormat="1" applyFont="1" applyFill="1" applyBorder="1" applyAlignment="1" applyProtection="1">
      <alignment horizontal="center" vertical="center"/>
    </xf>
    <xf numFmtId="0" fontId="1" fillId="3" borderId="25" xfId="0" quotePrefix="1" applyFont="1" applyFill="1" applyBorder="1" applyAlignment="1" applyProtection="1">
      <alignment horizontal="center" vertical="center"/>
    </xf>
    <xf numFmtId="14" fontId="0" fillId="0" borderId="25" xfId="0" quotePrefix="1" applyNumberFormat="1" applyFont="1" applyBorder="1" applyAlignment="1" applyProtection="1">
      <alignment horizontal="center"/>
    </xf>
    <xf numFmtId="0" fontId="6" fillId="3" borderId="25" xfId="0" quotePrefix="1" applyFont="1" applyFill="1" applyBorder="1" applyAlignment="1" applyProtection="1">
      <alignment horizontal="center" vertical="center"/>
    </xf>
    <xf numFmtId="4" fontId="10" fillId="3" borderId="25" xfId="0" quotePrefix="1" applyNumberFormat="1" applyFont="1" applyFill="1" applyBorder="1" applyAlignment="1" applyProtection="1">
      <alignment horizontal="center" vertical="center"/>
    </xf>
    <xf numFmtId="0" fontId="6" fillId="3" borderId="23" xfId="0" quotePrefix="1" applyFont="1" applyFill="1" applyBorder="1" applyAlignment="1" applyProtection="1">
      <alignment horizontal="center" vertical="center"/>
    </xf>
    <xf numFmtId="0" fontId="6" fillId="3" borderId="56" xfId="0" quotePrefix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0" fillId="9" borderId="2" xfId="0" applyFill="1" applyBorder="1" applyProtection="1"/>
    <xf numFmtId="4" fontId="0" fillId="9" borderId="2" xfId="0" applyNumberFormat="1" applyFill="1" applyBorder="1" applyAlignment="1" applyProtection="1">
      <alignment horizontal="center" vertical="center"/>
    </xf>
    <xf numFmtId="0" fontId="0" fillId="9" borderId="2" xfId="0" applyFill="1" applyBorder="1" applyAlignment="1" applyProtection="1">
      <alignment horizontal="center" vertical="center"/>
    </xf>
    <xf numFmtId="4" fontId="16" fillId="9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Protection="1"/>
    <xf numFmtId="4" fontId="0" fillId="3" borderId="2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4" fontId="16" fillId="3" borderId="2" xfId="0" applyNumberFormat="1" applyFont="1" applyFill="1" applyBorder="1" applyAlignment="1" applyProtection="1">
      <alignment horizontal="center" vertical="center"/>
    </xf>
    <xf numFmtId="4" fontId="0" fillId="9" borderId="2" xfId="0" applyNumberFormat="1" applyFont="1" applyFill="1" applyBorder="1" applyAlignment="1" applyProtection="1">
      <alignment horizontal="center" vertical="center"/>
    </xf>
    <xf numFmtId="3" fontId="1" fillId="9" borderId="2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Protection="1"/>
    <xf numFmtId="0" fontId="1" fillId="9" borderId="2" xfId="0" applyFont="1" applyFill="1" applyBorder="1" applyAlignment="1" applyProtection="1">
      <alignment horizontal="center" vertical="center"/>
    </xf>
    <xf numFmtId="4" fontId="1" fillId="9" borderId="2" xfId="0" applyNumberFormat="1" applyFont="1" applyFill="1" applyBorder="1" applyAlignment="1" applyProtection="1">
      <alignment horizontal="center" vertical="center"/>
    </xf>
    <xf numFmtId="0" fontId="9" fillId="0" borderId="0" xfId="0" applyFont="1" applyProtection="1"/>
    <xf numFmtId="0" fontId="17" fillId="3" borderId="7" xfId="0" quotePrefix="1" applyFont="1" applyFill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12" fillId="0" borderId="40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3" fillId="0" borderId="40" xfId="0" applyFont="1" applyBorder="1" applyAlignment="1" applyProtection="1">
      <alignment horizontal="center" vertical="center" wrapText="1"/>
    </xf>
    <xf numFmtId="0" fontId="13" fillId="0" borderId="3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4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6" fillId="0" borderId="41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13" fillId="0" borderId="42" xfId="0" applyFont="1" applyBorder="1" applyAlignment="1" applyProtection="1">
      <alignment horizontal="center" vertical="center" wrapText="1"/>
    </xf>
    <xf numFmtId="0" fontId="13" fillId="0" borderId="21" xfId="0" applyFont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164" fontId="4" fillId="3" borderId="8" xfId="0" quotePrefix="1" applyNumberFormat="1" applyFont="1" applyFill="1" applyBorder="1" applyAlignment="1" applyProtection="1">
      <alignment horizontal="center" vertical="center"/>
    </xf>
    <xf numFmtId="164" fontId="4" fillId="3" borderId="10" xfId="0" quotePrefix="1" applyNumberFormat="1" applyFont="1" applyFill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3" fillId="7" borderId="18" xfId="0" applyFont="1" applyFill="1" applyBorder="1" applyAlignment="1" applyProtection="1">
      <alignment horizontal="center" vertical="center"/>
    </xf>
    <xf numFmtId="8" fontId="2" fillId="3" borderId="8" xfId="0" applyNumberFormat="1" applyFont="1" applyFill="1" applyBorder="1" applyAlignment="1" applyProtection="1">
      <alignment horizontal="center" vertical="center"/>
    </xf>
    <xf numFmtId="8" fontId="2" fillId="3" borderId="10" xfId="0" applyNumberFormat="1" applyFont="1" applyFill="1" applyBorder="1" applyAlignment="1" applyProtection="1">
      <alignment horizontal="center" vertical="center"/>
    </xf>
    <xf numFmtId="0" fontId="3" fillId="7" borderId="8" xfId="0" applyFont="1" applyFill="1" applyBorder="1" applyAlignment="1" applyProtection="1">
      <alignment horizontal="center" vertical="center"/>
    </xf>
    <xf numFmtId="0" fontId="3" fillId="7" borderId="9" xfId="0" applyFont="1" applyFill="1" applyBorder="1" applyAlignment="1" applyProtection="1">
      <alignment horizontal="center" vertical="center"/>
    </xf>
    <xf numFmtId="0" fontId="3" fillId="7" borderId="10" xfId="0" applyFont="1" applyFill="1" applyBorder="1" applyAlignment="1" applyProtection="1">
      <alignment horizontal="center" vertical="center"/>
    </xf>
    <xf numFmtId="8" fontId="2" fillId="3" borderId="18" xfId="0" applyNumberFormat="1" applyFont="1" applyFill="1" applyBorder="1" applyAlignment="1" applyProtection="1">
      <alignment horizontal="center" vertical="center"/>
    </xf>
    <xf numFmtId="0" fontId="5" fillId="7" borderId="18" xfId="0" applyFont="1" applyFill="1" applyBorder="1" applyAlignment="1" applyProtection="1">
      <alignment horizontal="center" vertical="center"/>
    </xf>
    <xf numFmtId="0" fontId="5" fillId="7" borderId="8" xfId="0" applyFont="1" applyFill="1" applyBorder="1" applyAlignment="1" applyProtection="1">
      <alignment horizontal="center" vertical="center"/>
    </xf>
    <xf numFmtId="165" fontId="5" fillId="3" borderId="8" xfId="0" applyNumberFormat="1" applyFont="1" applyFill="1" applyBorder="1" applyAlignment="1" applyProtection="1">
      <alignment horizontal="center" vertical="center"/>
    </xf>
    <xf numFmtId="165" fontId="5" fillId="3" borderId="10" xfId="0" applyNumberFormat="1" applyFont="1" applyFill="1" applyBorder="1" applyAlignment="1" applyProtection="1">
      <alignment horizontal="center" vertical="center"/>
    </xf>
    <xf numFmtId="0" fontId="7" fillId="0" borderId="22" xfId="0" applyFont="1" applyBorder="1" applyAlignment="1" applyProtection="1">
      <alignment horizontal="center" vertical="center"/>
    </xf>
    <xf numFmtId="0" fontId="5" fillId="1" borderId="0" xfId="0" applyFont="1" applyFill="1" applyBorder="1" applyAlignment="1" applyProtection="1">
      <alignment horizontal="center" vertical="center"/>
    </xf>
    <xf numFmtId="0" fontId="5" fillId="1" borderId="0" xfId="0" applyFont="1" applyFill="1" applyAlignment="1" applyProtection="1">
      <alignment horizontal="center" vertical="center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17"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border diagonalUp="0" diagonalDown="0" outline="0">
        <left/>
        <right/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indexed="65"/>
        </patternFill>
      </fill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/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/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/>
        <bottom style="thin">
          <color indexed="64"/>
        </bottom>
      </border>
      <protection locked="1" hidden="0"/>
    </dxf>
    <dxf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indexed="65"/>
        </patternFill>
      </fill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Continuous" vertical="bottom" textRotation="0" wrapText="0" indent="0" justifyLastLine="0" shrinkToFit="0" readingOrder="0"/>
      <border diagonalUp="0" diagonalDown="0" outline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auto="1"/>
        </bottom>
      </border>
      <protection locked="1" hidden="0"/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rgb="FFFF0000"/>
        </top>
        <bottom style="thick">
          <color rgb="FFFF0000"/>
        </bottom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</font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rgb="FFFF0000"/>
        </top>
        <bottom style="thick">
          <color rgb="FFFF0000"/>
        </bottom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</font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</font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rgb="FFFF0000"/>
        </top>
        <bottom style="thick">
          <color rgb="FFFF0000"/>
        </bottom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</font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</font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rgb="FFFF0000"/>
        </top>
        <bottom style="thick">
          <color rgb="FFFF0000"/>
        </bottom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</font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ck">
          <color rgb="FFFF0000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color auto="1"/>
      </font>
    </dxf>
    <dxf>
      <font>
        <b/>
        <i val="0"/>
        <color rgb="FFC00000"/>
      </font>
    </dxf>
    <dxf>
      <font>
        <b/>
        <i val="0"/>
        <color rgb="FFFF0000"/>
      </font>
    </dxf>
    <dxf>
      <fill>
        <patternFill>
          <bgColor rgb="FFCCFF9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</dxf>
    <dxf>
      <fill>
        <patternFill patternType="gray125"/>
      </fill>
    </dxf>
    <dxf>
      <font>
        <b/>
        <i val="0"/>
        <color rgb="FFFF0000"/>
      </font>
      <fill>
        <patternFill>
          <bgColor rgb="FFFFFFFF"/>
        </patternFill>
      </fill>
    </dxf>
    <dxf>
      <font>
        <b/>
        <i val="0"/>
        <color rgb="FFFF0000"/>
      </font>
    </dxf>
    <dxf>
      <border>
        <bottom style="thin">
          <color auto="1"/>
        </bottom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FF"/>
      <color rgb="FFFFFF00"/>
      <color rgb="FFCCFF99"/>
      <color rgb="FF99FF33"/>
      <color rgb="FFFFCC99"/>
      <color rgb="FFFFCCCC"/>
      <color rgb="FFFF9999"/>
      <color rgb="FFFFCC66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876300</xdr:colOff>
          <xdr:row>1</xdr:row>
          <xdr:rowOff>76200</xdr:rowOff>
        </xdr:to>
        <xdr:sp macro="" textlink="">
          <xdr:nvSpPr>
            <xdr:cNvPr id="14338" name="CommandButton1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26485</xdr:rowOff>
    </xdr:from>
    <xdr:ext cx="4250619" cy="764090"/>
    <xdr:sp macro="" textlink="">
      <xdr:nvSpPr>
        <xdr:cNvPr id="2" name="Rectangle 1"/>
        <xdr:cNvSpPr/>
      </xdr:nvSpPr>
      <xdr:spPr>
        <a:xfrm>
          <a:off x="0" y="26485"/>
          <a:ext cx="4250619" cy="7640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FOURNITURE EDUCATIVE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26485</xdr:rowOff>
    </xdr:from>
    <xdr:ext cx="4250619" cy="764090"/>
    <xdr:sp macro="" textlink="">
      <xdr:nvSpPr>
        <xdr:cNvPr id="2" name="Rectangle 1"/>
        <xdr:cNvSpPr/>
      </xdr:nvSpPr>
      <xdr:spPr>
        <a:xfrm>
          <a:off x="0" y="26485"/>
          <a:ext cx="4250619" cy="7640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PETIT EQUIPEMENT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26485</xdr:rowOff>
    </xdr:from>
    <xdr:ext cx="4250619" cy="764090"/>
    <xdr:sp macro="" textlink="">
      <xdr:nvSpPr>
        <xdr:cNvPr id="2" name="Rectangle 1"/>
        <xdr:cNvSpPr/>
      </xdr:nvSpPr>
      <xdr:spPr>
        <a:xfrm>
          <a:off x="0" y="26485"/>
          <a:ext cx="4250619" cy="7640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FOURNITURE DE BUREAU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26485</xdr:rowOff>
    </xdr:from>
    <xdr:ext cx="4250619" cy="764090"/>
    <xdr:sp macro="" textlink="">
      <xdr:nvSpPr>
        <xdr:cNvPr id="2" name="Rectangle 1"/>
        <xdr:cNvSpPr/>
      </xdr:nvSpPr>
      <xdr:spPr>
        <a:xfrm>
          <a:off x="0" y="26485"/>
          <a:ext cx="4250619" cy="7640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LINGES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26485</xdr:rowOff>
    </xdr:from>
    <xdr:ext cx="4250619" cy="764090"/>
    <xdr:sp macro="" textlink="">
      <xdr:nvSpPr>
        <xdr:cNvPr id="2" name="Rectangle 1"/>
        <xdr:cNvSpPr/>
      </xdr:nvSpPr>
      <xdr:spPr>
        <a:xfrm>
          <a:off x="0" y="26485"/>
          <a:ext cx="4250619" cy="7640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AUTRE FOURNITURE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PRODUIT PHARMACEUTIQUE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PRODUIT D'ENTRETIEN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PRODUIT</a:t>
          </a:r>
          <a:r>
            <a:rPr lang="fr-FR" sz="2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</a:t>
          </a:r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DE CHANGE</a:t>
          </a:r>
          <a:endParaRPr lang="fr-FR" sz="2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ALIMENTATION</a:t>
          </a:r>
          <a:endParaRPr lang="fr-FR" sz="20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ANIMATION</a:t>
          </a:r>
          <a:endParaRPr lang="fr-FR" sz="20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ENTRETIEN REPARATION</a:t>
          </a:r>
          <a:endParaRPr lang="fr-FR" sz="20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HONORAIRES</a:t>
          </a:r>
          <a:endParaRPr lang="fr-FR" sz="20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26486</xdr:rowOff>
    </xdr:from>
    <xdr:ext cx="4250619" cy="773614"/>
    <xdr:sp macro="" textlink="">
      <xdr:nvSpPr>
        <xdr:cNvPr id="2" name="Rectangle 1"/>
        <xdr:cNvSpPr/>
      </xdr:nvSpPr>
      <xdr:spPr>
        <a:xfrm>
          <a:off x="0" y="26486"/>
          <a:ext cx="4250619" cy="77361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DEPLACEMENT MISSION</a:t>
          </a:r>
          <a:r>
            <a:rPr lang="fr-FR" sz="2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&amp; RECEPTION</a:t>
          </a:r>
          <a:endParaRPr lang="fr-FR" sz="18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BUDGET%20CRECHES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60680002-P.ENTRETIE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60680003-P.CHAN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BUDGET"/>
      <sheetName val="SYNTHESE"/>
      <sheetName val="TARTINE"/>
      <sheetName val="LIBELLULES"/>
      <sheetName val="NECTARINES"/>
      <sheetName val="GRIOTTES"/>
      <sheetName val="MILLE ROSES"/>
      <sheetName val="CIGALONS"/>
      <sheetName val="GARRIGUETTES"/>
      <sheetName val="MIRABELLES"/>
      <sheetName val="REINETTES"/>
      <sheetName val="BUDGET CRECHES "/>
    </sheetNames>
    <definedNames>
      <definedName name="TAR_ALIMENTATION_1" refersTo="='MATRICE'!$Z$21" sheetId="0"/>
      <definedName name="TAR_ALIMENTATION_2" refersTo="='MATRICE'!$AA$21" sheetId="0"/>
      <definedName name="TAR_ALIMENTATION_3" refersTo="='MATRICE'!$AB$21" sheetId="0"/>
      <definedName name="TAR_ANIMATION_1" refersTo="='MATRICE'!$Z$22" sheetId="0"/>
      <definedName name="TAR_ANIMATION_2" refersTo="='MATRICE'!$AA$22" sheetId="0"/>
      <definedName name="TAR_ANIMATION_3" refersTo="='MATRICE'!$AB$22" sheetId="0"/>
      <definedName name="TAR_AUTRE_FOURNITURES_1" refersTo="='MATRICE'!$Z$17" sheetId="0"/>
      <definedName name="TAR_AUTRE_FOURNITURES_2" refersTo="='MATRICE'!$AA$17" sheetId="0"/>
      <definedName name="TAR_AUTRE_FOURNITURES_3" refersTo="='MATRICE'!$AB$17" sheetId="0"/>
      <definedName name="TAR_BUDGET_ALIM" refersTo="='BUDGET'!$F$15" sheetId="1"/>
      <definedName name="TAR_BUDGET_ANIM" refersTo="='BUDGET'!$F$16" sheetId="1"/>
      <definedName name="TAR_BUDGET_AUTRE_F" refersTo="='BUDGET'!$F$11" sheetId="1"/>
      <definedName name="TAR_BUDGET_COLLOQUE" refersTo="='BUDGET'!$F$20" sheetId="1"/>
      <definedName name="TAR_BUDGET_CONTENTIEUX" refersTo="='BUDGET'!$F$23" sheetId="1"/>
      <definedName name="TAR_BUDGET_COUCHES" refersTo="='BUDGET'!$F$14" sheetId="1"/>
      <definedName name="TAR_BUDGET_DOC" refersTo="='BUDGET'!$F$19" sheetId="1"/>
      <definedName name="TAR_BUDGET_EAU_ELEC" refersTo="='BUDGET'!$F$5" sheetId="1"/>
      <definedName name="TAR_BUDGET_ENT_REP" refersTo="='BUDGET'!$F$17" sheetId="1"/>
      <definedName name="TAR_BUDGET_F_BUREAU" refersTo="='BUDGET'!$F$8" sheetId="1"/>
      <definedName name="TAR_BUDGET_F_EDUC" refersTo="='BUDGET'!$F$6" sheetId="1"/>
      <definedName name="TAR_BUDGET_HONORAIRES" refersTo="='BUDGET'!$F$22" sheetId="1"/>
      <definedName name="TAR_BUDGET_INTERIM" refersTo="='BUDGET'!$F$21" sheetId="1"/>
      <definedName name="TAR_BUDGET_LINGES" refersTo="='BUDGET'!$F$9" sheetId="1"/>
      <definedName name="TAR_BUDGET_MAINTENANCE" refersTo="='BUDGET'!$F$18" sheetId="1"/>
      <definedName name="TAR_BUDGET_MISSIONS" refersTo="='BUDGET'!$F$25" sheetId="1"/>
      <definedName name="TAR_BUDGET_P_ENTRETIEN" refersTo="='BUDGET'!$F$13" sheetId="1"/>
      <definedName name="TAR_BUDGET_P_EQUIP" refersTo="='BUDGET'!$F$7" sheetId="1"/>
      <definedName name="TAR_BUDGET_PHARMACIE" refersTo="='BUDGET'!$F$12" sheetId="1"/>
      <definedName name="TAR_BUDGET_PUBLICATION" refersTo="='BUDGET'!$F$24" sheetId="1"/>
      <definedName name="TAR_BUDGET_TELECOM" refersTo="='BUDGET'!$F$26" sheetId="1"/>
      <definedName name="TAR_BUDGET_VET" refersTo="='BUDGET'!$F$10" sheetId="1"/>
      <definedName name="TAR_COLLOQUES_1" refersTo="='MATRICE'!$Z$44" sheetId="0"/>
      <definedName name="TAR_COLLOQUES_2" refersTo="='MATRICE'!$AA$44" sheetId="0"/>
      <definedName name="TAR_COLLOQUES_3" refersTo="='MATRICE'!$AB$44" sheetId="0"/>
      <definedName name="TAR_CONTENTIEUX_1" refersTo="='MATRICE'!$Z$51" sheetId="0"/>
      <definedName name="TAR_CONTENTIEUX_2" refersTo="='MATRICE'!$AA$51" sheetId="0"/>
      <definedName name="TAR_CONTENTIEUX_3" refersTo="='MATRICE'!$AB$51" sheetId="0"/>
      <definedName name="TAR_COUCHES_1" refersTo="='MATRICE'!$Z$20" sheetId="0"/>
      <definedName name="TAR_COUCHES_2" refersTo="='MATRICE'!$AA$20" sheetId="0"/>
      <definedName name="TAR_COUCHES_3" refersTo="='MATRICE'!$AB$20" sheetId="0"/>
      <definedName name="TAR_DEPLACEMENT_RECEPTION_1" refersTo="='MATRICE'!$Z$55" sheetId="0"/>
      <definedName name="TAR_DEPLACEMENT_RECEPTION_2" refersTo="='MATRICE'!$AA$55" sheetId="0"/>
      <definedName name="TAR_DEPLACEMENT_RECEPTION_3" refersTo="='MATRICE'!$AB$55" sheetId="0"/>
      <definedName name="TAR_DOCUMENTATION_1" refersTo="='MATRICE'!$Z$43" sheetId="0"/>
      <definedName name="TAR_DOCUMENTATION_2" refersTo="='MATRICE'!$AA$43" sheetId="0"/>
      <definedName name="TAR_DOCUMENTATION_3" refersTo="='MATRICE'!$AB$43" sheetId="0"/>
      <definedName name="TAR_EAU_ELEC_1" refersTo="='MATRICE'!$Z$5" sheetId="0"/>
      <definedName name="TAR_EAU_ELEC_2" refersTo="='MATRICE'!$AA$5" sheetId="0"/>
      <definedName name="TAR_EAU_ELEC_3" refersTo="='MATRICE'!$AB$5" sheetId="0"/>
      <definedName name="TAR_ENTRETIEN_REPARATION_1" refersTo="='MATRICE'!$Z$23" sheetId="0"/>
      <definedName name="TAR_ENTRETIEN_REPARATION_2" refersTo="='MATRICE'!$AA$23" sheetId="0"/>
      <definedName name="TAR_ENTRETIEN_REPARATION_3" refersTo="='MATRICE'!$AB$23" sheetId="0"/>
      <definedName name="TAR_FOURNITURE_DE_BUREAU_1" refersTo="='MATRICE'!$Z$13" sheetId="0"/>
      <definedName name="TAR_FOURNITURE_DE_BUREAU_2" refersTo="='MATRICE'!$AA$13" sheetId="0"/>
      <definedName name="TAR_FOURNITURE_DE_BUREAU_3" refersTo="='MATRICE'!$AB$13" sheetId="0"/>
      <definedName name="TAR_FOURNITURE_EDUCATIVE_1" refersTo="='MATRICE'!$Z$6" sheetId="0"/>
      <definedName name="TAR_FOURNITURE_EDUCATIVE_2" refersTo="='MATRICE'!$AA$6" sheetId="0"/>
      <definedName name="TAR_FOURNITURE_EDUCATIVE_3" refersTo="='MATRICE'!$AB$6" sheetId="0"/>
      <definedName name="TAR_FRAIS_POSTAUX_TELECOM_1" refersTo="='MATRICE'!$Z$59" sheetId="0"/>
      <definedName name="TAR_FRAIS_POSTAUX_TELECOM_2" refersTo="='MATRICE'!$AA$59" sheetId="0"/>
      <definedName name="TAR_FRAIS_POSTAUX_TELECOM_3" refersTo="='MATRICE'!$AB$59" sheetId="0"/>
      <definedName name="TAR_FRAIS_PUBLICATION_1" refersTo="='MATRICE'!$Z$52" sheetId="0"/>
      <definedName name="TAR_FRAIS_PUBLICATION_2" refersTo="='MATRICE'!$AA$52" sheetId="0"/>
      <definedName name="TAR_FRAIS_PUBLICATION_3" refersTo="='MATRICE'!$AB$52" sheetId="0"/>
      <definedName name="TAR_HONORAIRES_1" refersTo="='MATRICE'!$Z$50" sheetId="0"/>
      <definedName name="TAR_HONORAIRES_2" refersTo="='MATRICE'!$AA$50" sheetId="0"/>
      <definedName name="TAR_HONORAIRES_3" refersTo="='MATRICE'!$AB$50" sheetId="0"/>
      <definedName name="TAR_INTERIM_1" refersTo="='MATRICE'!$Z$45" sheetId="0"/>
      <definedName name="TAR_INTERIM_2" refersTo="='MATRICE'!$AA$45" sheetId="0"/>
      <definedName name="TAR_INTERIM_3" refersTo="='MATRICE'!$AB$45" sheetId="0"/>
      <definedName name="TAR_LINGES_1" refersTo="='MATRICE'!$Z$14" sheetId="0"/>
      <definedName name="TAR_LINGES_2" refersTo="='MATRICE'!$AA$14" sheetId="0"/>
      <definedName name="TAR_LINGES_3" refersTo="='MATRICE'!$AB$14" sheetId="0"/>
      <definedName name="TAR_MAINTENANCE_1" refersTo="='MATRICE'!$Z$42" sheetId="0"/>
      <definedName name="TAR_MAINTENANCE_2" refersTo="='MATRICE'!$AA$42" sheetId="0"/>
      <definedName name="TAR_MAINTENANCE_3" refersTo="='MATRICE'!$AB$42" sheetId="0"/>
      <definedName name="TAR_PETIT_EQUIPEMENT_1" refersTo="='MATRICE'!$Z$12" sheetId="0"/>
      <definedName name="TAR_PETIT_EQUIPEMENT_2" refersTo="='MATRICE'!$AA$12" sheetId="0"/>
      <definedName name="TAR_PETIT_EQUIPEMENT_3" refersTo="='MATRICE'!$AB$12" sheetId="0"/>
      <definedName name="TAR_PHARMACIE_1" refersTo="='MATRICE'!$Z$18" sheetId="0"/>
      <definedName name="TAR_PHARMACIE_2" refersTo="='MATRICE'!$AA$18" sheetId="0"/>
      <definedName name="TAR_PHARMACIE_3" refersTo="='MATRICE'!$AB$18" sheetId="0"/>
      <definedName name="TAR_PRODUITS_ENTRETIEN_1" refersTo="='MATRICE'!$Z$19" sheetId="0"/>
      <definedName name="TAR_PRODUITS_ENTRETIEN_2" refersTo="='MATRICE'!$AA$19" sheetId="0"/>
      <definedName name="TAR_PRODUITS_ENTRETIEN_3" refersTo="='MATRICE'!$AB$19" sheetId="0"/>
      <definedName name="TAR_VET_1" refersTo="='MATRICE'!$Z$15" sheetId="0"/>
      <definedName name="TAR_VET_2" refersTo="='MATRICE'!$AA$15" sheetId="0"/>
      <definedName name="TAR_VET_3" refersTo="='MATRICE'!$AB$15" sheetId="0"/>
    </definedNames>
    <sheetDataSet>
      <sheetData sheetId="0">
        <row r="5">
          <cell r="B5">
            <v>6325.91</v>
          </cell>
          <cell r="Z5">
            <v>2979.89</v>
          </cell>
          <cell r="AA5">
            <v>4047.4</v>
          </cell>
          <cell r="AB5">
            <v>0</v>
          </cell>
        </row>
        <row r="6">
          <cell r="Z6">
            <v>134.38999999999999</v>
          </cell>
          <cell r="AA6">
            <v>218.5</v>
          </cell>
          <cell r="AB6" t="str">
            <v/>
          </cell>
        </row>
        <row r="12">
          <cell r="Z12">
            <v>385.02</v>
          </cell>
          <cell r="AA12">
            <v>643.49</v>
          </cell>
          <cell r="AB12">
            <v>0</v>
          </cell>
        </row>
        <row r="13">
          <cell r="Z13">
            <v>130.79</v>
          </cell>
          <cell r="AA13">
            <v>158.75</v>
          </cell>
          <cell r="AB13" t="str">
            <v/>
          </cell>
        </row>
        <row r="14">
          <cell r="Z14">
            <v>442.07</v>
          </cell>
          <cell r="AA14">
            <v>991.06</v>
          </cell>
          <cell r="AB14" t="str">
            <v/>
          </cell>
        </row>
        <row r="15">
          <cell r="Z15">
            <v>0</v>
          </cell>
          <cell r="AA15">
            <v>123.2</v>
          </cell>
          <cell r="AB15" t="str">
            <v/>
          </cell>
        </row>
        <row r="17">
          <cell r="Z17">
            <v>260.57</v>
          </cell>
          <cell r="AA17">
            <v>309.61</v>
          </cell>
          <cell r="AB17" t="str">
            <v/>
          </cell>
        </row>
        <row r="18">
          <cell r="Z18">
            <v>74.37</v>
          </cell>
          <cell r="AA18">
            <v>89.11</v>
          </cell>
          <cell r="AB18" t="str">
            <v/>
          </cell>
        </row>
        <row r="19">
          <cell r="Z19">
            <v>2115.7399999999998</v>
          </cell>
          <cell r="AA19">
            <v>2753.28</v>
          </cell>
          <cell r="AB19" t="str">
            <v/>
          </cell>
        </row>
        <row r="20">
          <cell r="Z20">
            <v>1511.84</v>
          </cell>
          <cell r="AA20">
            <v>2432.15</v>
          </cell>
          <cell r="AB20" t="str">
            <v/>
          </cell>
        </row>
        <row r="21">
          <cell r="Z21">
            <v>5679.33</v>
          </cell>
          <cell r="AA21">
            <v>8231.11</v>
          </cell>
          <cell r="AB21" t="str">
            <v/>
          </cell>
        </row>
        <row r="22">
          <cell r="Z22">
            <v>1545.21</v>
          </cell>
          <cell r="AA22">
            <v>2730.21</v>
          </cell>
          <cell r="AB22" t="str">
            <v/>
          </cell>
        </row>
        <row r="23">
          <cell r="Z23">
            <v>1065.4100000000001</v>
          </cell>
          <cell r="AA23">
            <v>1825.91</v>
          </cell>
          <cell r="AB23" t="str">
            <v/>
          </cell>
        </row>
        <row r="42">
          <cell r="Z42">
            <v>5545.14</v>
          </cell>
          <cell r="AA42">
            <v>10610.55</v>
          </cell>
          <cell r="AB42">
            <v>0</v>
          </cell>
        </row>
        <row r="43">
          <cell r="Z43">
            <v>75.069999999999993</v>
          </cell>
          <cell r="AA43">
            <v>200.67</v>
          </cell>
          <cell r="AB43" t="str">
            <v/>
          </cell>
        </row>
        <row r="44">
          <cell r="Z44">
            <v>0</v>
          </cell>
          <cell r="AA44">
            <v>0</v>
          </cell>
          <cell r="AB44" t="str">
            <v/>
          </cell>
        </row>
        <row r="45">
          <cell r="Z45">
            <v>1009.66</v>
          </cell>
          <cell r="AA45">
            <v>2291.02</v>
          </cell>
          <cell r="AB45" t="str">
            <v/>
          </cell>
        </row>
        <row r="50">
          <cell r="Z50">
            <v>920</v>
          </cell>
          <cell r="AA50">
            <v>982.5</v>
          </cell>
          <cell r="AB50">
            <v>0</v>
          </cell>
        </row>
        <row r="51">
          <cell r="Z51">
            <v>0</v>
          </cell>
          <cell r="AA51">
            <v>0</v>
          </cell>
          <cell r="AB51" t="str">
            <v/>
          </cell>
        </row>
        <row r="52">
          <cell r="Z52">
            <v>0</v>
          </cell>
          <cell r="AA52">
            <v>0</v>
          </cell>
          <cell r="AB52" t="str">
            <v/>
          </cell>
        </row>
        <row r="55">
          <cell r="Z55">
            <v>198.4</v>
          </cell>
          <cell r="AA55">
            <v>259.89</v>
          </cell>
          <cell r="AB55">
            <v>0</v>
          </cell>
        </row>
        <row r="59">
          <cell r="Z59">
            <v>336.79</v>
          </cell>
          <cell r="AA59">
            <v>522.58000000000004</v>
          </cell>
          <cell r="AB59">
            <v>0</v>
          </cell>
        </row>
      </sheetData>
      <sheetData sheetId="1">
        <row r="5">
          <cell r="F5">
            <v>7800</v>
          </cell>
        </row>
        <row r="6">
          <cell r="F6">
            <v>650</v>
          </cell>
        </row>
        <row r="7">
          <cell r="F7">
            <v>2500</v>
          </cell>
        </row>
        <row r="8">
          <cell r="F8">
            <v>1000</v>
          </cell>
        </row>
        <row r="9">
          <cell r="F9">
            <v>1190</v>
          </cell>
        </row>
        <row r="10">
          <cell r="F10">
            <v>562</v>
          </cell>
        </row>
        <row r="11">
          <cell r="F11">
            <v>300</v>
          </cell>
        </row>
        <row r="12">
          <cell r="F12">
            <v>400</v>
          </cell>
        </row>
        <row r="13">
          <cell r="F13">
            <v>2300</v>
          </cell>
        </row>
        <row r="14">
          <cell r="F14">
            <v>3000</v>
          </cell>
        </row>
        <row r="15">
          <cell r="F15">
            <v>14000</v>
          </cell>
        </row>
        <row r="16">
          <cell r="F16">
            <v>4900</v>
          </cell>
        </row>
        <row r="17">
          <cell r="F17">
            <v>5000</v>
          </cell>
        </row>
        <row r="18">
          <cell r="F18">
            <v>15748</v>
          </cell>
        </row>
        <row r="19">
          <cell r="F19">
            <v>350</v>
          </cell>
        </row>
        <row r="20">
          <cell r="F20">
            <v>150</v>
          </cell>
        </row>
        <row r="21">
          <cell r="F21">
            <v>1000</v>
          </cell>
        </row>
        <row r="22">
          <cell r="F22">
            <v>3960</v>
          </cell>
        </row>
        <row r="23">
          <cell r="F23">
            <v>250</v>
          </cell>
        </row>
        <row r="24">
          <cell r="F24">
            <v>250</v>
          </cell>
        </row>
        <row r="25">
          <cell r="F25">
            <v>400</v>
          </cell>
        </row>
        <row r="26">
          <cell r="F26">
            <v>1100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"/>
      <sheetName val="SUIVI"/>
    </sheetNames>
    <definedNames>
      <definedName name="TAR_STOCK_ENTRETIEN" refersTo="='CHARGE '!$O$31" sheetId="4"/>
      <definedName name="TAR_STOCK_ENTRETIEN_N1" refersTo="='CHARGE '!$N$31" sheetId="4"/>
    </definedNames>
    <sheetDataSet>
      <sheetData sheetId="0"/>
      <sheetData sheetId="1"/>
      <sheetData sheetId="2"/>
      <sheetData sheetId="3"/>
      <sheetData sheetId="4">
        <row r="6">
          <cell r="N6">
            <v>1579</v>
          </cell>
        </row>
        <row r="31">
          <cell r="N31">
            <v>1465</v>
          </cell>
          <cell r="O31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 2"/>
      <sheetName val="SUIVI"/>
    </sheetNames>
    <definedNames>
      <definedName name="TAR_STOCK_CHANGES" refersTo="='CHARGE '!$O$29" sheetId="4"/>
      <definedName name="TAR_STOCK_CHANGES_N1" refersTo="='CHARGE '!$N$29" sheetId="4"/>
    </definedNames>
    <sheetDataSet>
      <sheetData sheetId="0"/>
      <sheetData sheetId="1"/>
      <sheetData sheetId="2"/>
      <sheetData sheetId="3"/>
      <sheetData sheetId="4">
        <row r="5">
          <cell r="N5">
            <v>1932</v>
          </cell>
        </row>
        <row r="29">
          <cell r="N29">
            <v>579</v>
          </cell>
          <cell r="O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F_EDUC" displayName="F_EDUC" ref="A5:N25" totalsRowCount="1" headerRowDxfId="690" dataDxfId="689" totalsRowDxfId="688">
  <tableColumns count="14">
    <tableColumn id="1" name="NATURE" totalsRowLabel="TOTAL DEBIT &amp; CREDIT" dataDxfId="687" totalsRowDxfId="83">
      <calculatedColumnFormula>IF(F_EDUC[[#This Row],[J]]="CAT","FACTURE CAISSE","")</calculatedColumnFormula>
    </tableColumn>
    <tableColumn id="2" name="DATE" dataDxfId="686" totalsRowDxfId="82"/>
    <tableColumn id="3" name="J" dataDxfId="685" totalsRowDxfId="81"/>
    <tableColumn id="4" name="LEBELLE DE L'ECRITURE" dataDxfId="684" totalsRowDxfId="80"/>
    <tableColumn id="5" name="DEBIT" totalsRowFunction="sum" dataDxfId="683" totalsRowDxfId="79"/>
    <tableColumn id="6" name="CREDIT" totalsRowFunction="sum" dataDxfId="682" totalsRowDxfId="78"/>
    <tableColumn id="7" name="N° PIECE" totalsRowFunction="custom" dataDxfId="681" totalsRowDxfId="77">
      <totalsRowFormula>F_EDUC[[#Totals],[DEBIT]]-F_EDUC[[#Totals],[CREDIT]]</totalsRowFormula>
    </tableColumn>
    <tableColumn id="8" name="COMMENTAIRE" dataDxfId="680" totalsRowDxfId="76"/>
    <tableColumn id="9" name="Colonne1" dataDxfId="679" totalsRowDxfId="75"/>
    <tableColumn id="10" name="FOURNISSEURS" totalsRowLabel="TOTAL  COMMANDES" dataDxfId="678" totalsRowDxfId="74"/>
    <tableColumn id="11" name="MONTANT" totalsRowFunction="custom" dataDxfId="677" totalsRowDxfId="73">
      <totalsRowFormula>SUMIF(M6,"NON",F_EDUC[MONTANT])</totalsRowFormula>
    </tableColumn>
    <tableColumn id="12" name="FACTURE RECUE" dataDxfId="676" totalsRowDxfId="72"/>
    <tableColumn id="13" name="RECUE AU SIEGE" dataDxfId="675" totalsRowDxfId="71">
      <calculatedColumnFormula>IF(AND(F_EDUC[[#This Row],[FOURNISSEURS]]&gt;1,F_EDUC[[#This Row],[Colonne2]]=""),"NON",IF(AND(F_EDUC[[#This Row],[FOURNISSEURS]]&gt;1,F_EDUC[[#This Row],[Colonne2]]="X"),"OUI",""))</calculatedColumnFormula>
    </tableColumn>
    <tableColumn id="14" name="Colonne2" dataDxfId="674" totalsRowDxfId="7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PT_EQUIP" displayName="PT_EQUIP" ref="A5:N25" totalsRowCount="1" headerRowDxfId="649" dataDxfId="648" totalsRowDxfId="647">
  <tableColumns count="14">
    <tableColumn id="1" name="NATURE" totalsRowLabel="TOTAL DEBIT &amp; CREDIT" dataDxfId="646" totalsRowDxfId="69">
      <calculatedColumnFormula>IF(PT_EQUIP[[#This Row],[J]]="CAT","FACTURE CAISSE","")</calculatedColumnFormula>
    </tableColumn>
    <tableColumn id="2" name="DATE" dataDxfId="645" totalsRowDxfId="68"/>
    <tableColumn id="3" name="J" dataDxfId="644" totalsRowDxfId="67"/>
    <tableColumn id="4" name="LEBELLE DE L'ECRITURE" dataDxfId="643" totalsRowDxfId="66"/>
    <tableColumn id="5" name="DEBIT" totalsRowFunction="sum" dataDxfId="642" totalsRowDxfId="65"/>
    <tableColumn id="6" name="CREDIT" totalsRowFunction="sum" dataDxfId="641" totalsRowDxfId="64"/>
    <tableColumn id="7" name="N° PIECE" totalsRowFunction="custom" dataDxfId="640" totalsRowDxfId="63">
      <totalsRowFormula>PT_EQUIP[[#Totals],[DEBIT]]-PT_EQUIP[[#Totals],[CREDIT]]</totalsRowFormula>
    </tableColumn>
    <tableColumn id="8" name="COMMENTAIRE" dataDxfId="639" totalsRowDxfId="62"/>
    <tableColumn id="9" name="Colonne1" dataDxfId="638" totalsRowDxfId="61"/>
    <tableColumn id="10" name="FOURNISSEURS" totalsRowLabel="TOTAL  COMMANDES" dataDxfId="637" totalsRowDxfId="60"/>
    <tableColumn id="11" name="MONTANT" totalsRowFunction="custom" dataDxfId="636" totalsRowDxfId="59">
      <totalsRowFormula>SUMIF(M6,"NON",PT_EQUIP[MONTANT])</totalsRowFormula>
    </tableColumn>
    <tableColumn id="12" name="FACTURE RECUE" dataDxfId="635" totalsRowDxfId="58"/>
    <tableColumn id="13" name="RECUE AU SIEGE" dataDxfId="634" totalsRowDxfId="57">
      <calculatedColumnFormula>IF(AND(PT_EQUIP[[#This Row],[FOURNISSEURS]]&gt;1,PT_EQUIP[[#This Row],[Colonne2]]=""),"NON",IF(AND(PT_EQUIP[[#This Row],[FOURNISSEURS]]&gt;1,PT_EQUIP[[#This Row],[Colonne2]]="X"),"OUI",""))</calculatedColumnFormula>
    </tableColumn>
    <tableColumn id="14" name="Colonne2" dataDxfId="633" totalsRowDxfId="5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F_BUREAU" displayName="F_BUREAU" ref="A5:N25" totalsRowCount="1" headerRowDxfId="608" dataDxfId="607" totalsRowDxfId="606">
  <tableColumns count="14">
    <tableColumn id="1" name="NATURE" totalsRowLabel="TOTAL DEBIT &amp; CREDIT" dataDxfId="605" totalsRowDxfId="97">
      <calculatedColumnFormula>IF(F_BUREAU[[#This Row],[J]]="CAT","FACTURE CAISSE","")</calculatedColumnFormula>
    </tableColumn>
    <tableColumn id="2" name="DATE" dataDxfId="604" totalsRowDxfId="96"/>
    <tableColumn id="3" name="J" dataDxfId="603" totalsRowDxfId="95"/>
    <tableColumn id="4" name="LEBELLE DE L'ECRITURE" dataDxfId="602" totalsRowDxfId="94"/>
    <tableColumn id="5" name="DEBIT" totalsRowFunction="sum" dataDxfId="601" totalsRowDxfId="93"/>
    <tableColumn id="6" name="CREDIT" totalsRowFunction="sum" dataDxfId="600" totalsRowDxfId="92"/>
    <tableColumn id="7" name="N° PIECE" totalsRowFunction="custom" dataDxfId="599" totalsRowDxfId="91">
      <totalsRowFormula>F_BUREAU[[#Totals],[DEBIT]]-F_BUREAU[[#Totals],[CREDIT]]</totalsRowFormula>
    </tableColumn>
    <tableColumn id="8" name="COMMENTAIRE" dataDxfId="598" totalsRowDxfId="90"/>
    <tableColumn id="9" name="Colonne1" dataDxfId="597" totalsRowDxfId="89"/>
    <tableColumn id="10" name="FOURNISSEURS" totalsRowLabel="TOTAL  COMMANDES" dataDxfId="596" totalsRowDxfId="88"/>
    <tableColumn id="11" name="MONTANT" totalsRowFunction="custom" dataDxfId="595" totalsRowDxfId="87">
      <totalsRowFormula>SUMIF(M6,"NON",F_BUREAU[MONTANT])</totalsRowFormula>
    </tableColumn>
    <tableColumn id="12" name="FACTURE RECUE" dataDxfId="594" totalsRowDxfId="86"/>
    <tableColumn id="13" name="RECUE AU SIEGE" dataDxfId="593" totalsRowDxfId="85">
      <calculatedColumnFormula>IF(AND(F_BUREAU[[#This Row],[FOURNISSEURS]]&gt;1,F_BUREAU[[#This Row],[Colonne2]]=""),"NON",IF(AND(F_BUREAU[[#This Row],[FOURNISSEURS]]&gt;1,F_BUREAU[[#This Row],[Colonne2]]="X"),"OUI",""))</calculatedColumnFormula>
    </tableColumn>
    <tableColumn id="14" name="Colonne2" dataDxfId="592" totalsRowDxfId="8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LINGE" displayName="LINGE" ref="A5:N25" totalsRowCount="1" headerRowDxfId="567" dataDxfId="566" totalsRowDxfId="565">
  <tableColumns count="14">
    <tableColumn id="1" name="NATURE" totalsRowLabel="TOTAL DEBIT &amp; CREDIT" dataDxfId="564" totalsRowDxfId="55">
      <calculatedColumnFormula>IF(LINGE[[#This Row],[J]]="CAT","FACTURE CAISSE","")</calculatedColumnFormula>
    </tableColumn>
    <tableColumn id="2" name="DATE" dataDxfId="563" totalsRowDxfId="54"/>
    <tableColumn id="3" name="J" dataDxfId="562" totalsRowDxfId="53"/>
    <tableColumn id="4" name="LEBELLE DE L'ECRITURE" dataDxfId="561" totalsRowDxfId="52"/>
    <tableColumn id="5" name="DEBIT" totalsRowFunction="sum" dataDxfId="560" totalsRowDxfId="51"/>
    <tableColumn id="6" name="CREDIT" totalsRowFunction="sum" dataDxfId="559" totalsRowDxfId="50"/>
    <tableColumn id="7" name="N° PIECE" totalsRowFunction="custom" dataDxfId="558" totalsRowDxfId="49">
      <totalsRowFormula>LINGE[[#Totals],[DEBIT]]-LINGE[[#Totals],[CREDIT]]</totalsRowFormula>
    </tableColumn>
    <tableColumn id="8" name="COMMENTAIRE" dataDxfId="557" totalsRowDxfId="48"/>
    <tableColumn id="9" name="Colonne1" dataDxfId="556" totalsRowDxfId="47"/>
    <tableColumn id="10" name="FOURNISSEURS" totalsRowLabel="TOTAL  COMMANDES" dataDxfId="555" totalsRowDxfId="46"/>
    <tableColumn id="11" name="MONTANT" totalsRowFunction="custom" dataDxfId="554" totalsRowDxfId="45">
      <totalsRowFormula>SUMIF(M6,"NON",LINGE[MONTANT])</totalsRowFormula>
    </tableColumn>
    <tableColumn id="12" name="FACTURE RECUE" dataDxfId="553" totalsRowDxfId="44"/>
    <tableColumn id="13" name="RECUE AU SIEGE" dataDxfId="552" totalsRowDxfId="43">
      <calculatedColumnFormula>IF(AND(LINGE[[#This Row],[FOURNISSEURS]]&gt;1,LINGE[[#This Row],[Colonne2]]=""),"NON",IF(AND(LINGE[[#This Row],[FOURNISSEURS]]&gt;1,LINGE[[#This Row],[Colonne2]]="X"),"OUI",""))</calculatedColumnFormula>
    </tableColumn>
    <tableColumn id="14" name="Colonne2" dataDxfId="551" totalsRowDxfId="4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AUTRE_F" displayName="AUTRE_F" ref="A5:N25" totalsRowCount="1" headerRowDxfId="526" dataDxfId="525" totalsRowDxfId="524">
  <tableColumns count="14">
    <tableColumn id="1" name="NATURE" totalsRowLabel="TOTAL DEBIT &amp; CREDIT" dataDxfId="523" totalsRowDxfId="41">
      <calculatedColumnFormula>IF(AUTRE_F[[#This Row],[J]]="CAT","FACTURE CAISSE","")</calculatedColumnFormula>
    </tableColumn>
    <tableColumn id="2" name="DATE" dataDxfId="522" totalsRowDxfId="40"/>
    <tableColumn id="3" name="J" dataDxfId="521" totalsRowDxfId="39"/>
    <tableColumn id="4" name="LEBELLE DE L'ECRITURE" dataDxfId="520" totalsRowDxfId="38"/>
    <tableColumn id="5" name="DEBIT" totalsRowFunction="sum" dataDxfId="519" totalsRowDxfId="37"/>
    <tableColumn id="6" name="CREDIT" totalsRowFunction="sum" dataDxfId="518" totalsRowDxfId="36"/>
    <tableColumn id="7" name="N° PIECE" totalsRowFunction="custom" dataDxfId="517" totalsRowDxfId="35">
      <totalsRowFormula>AUTRE_F[[#Totals],[DEBIT]]-AUTRE_F[[#Totals],[CREDIT]]</totalsRowFormula>
    </tableColumn>
    <tableColumn id="8" name="COMMENTAIRE" dataDxfId="516" totalsRowDxfId="34"/>
    <tableColumn id="9" name="Colonne1" dataDxfId="515" totalsRowDxfId="33"/>
    <tableColumn id="10" name="FOURNISSEURS" totalsRowLabel="TOTAL  COMMANDES" dataDxfId="514" totalsRowDxfId="32"/>
    <tableColumn id="11" name="MONTANT" totalsRowFunction="custom" dataDxfId="513" totalsRowDxfId="31">
      <totalsRowFormula>SUMIF(M6,"NON",AUTRE_F[MONTANT])</totalsRowFormula>
    </tableColumn>
    <tableColumn id="12" name="FACTURE RECUE" dataDxfId="512" totalsRowDxfId="30"/>
    <tableColumn id="13" name="RECUE AU SIEGE" dataDxfId="511" totalsRowDxfId="29">
      <calculatedColumnFormula>IF(AND(AUTRE_F[[#This Row],[FOURNISSEURS]]&gt;1,AUTRE_F[[#This Row],[Colonne2]]=""),"NON",IF(AND(AUTRE_F[[#This Row],[FOURNISSEURS]]&gt;1,AUTRE_F[[#This Row],[Colonne2]]="X"),"OUI",""))</calculatedColumnFormula>
    </tableColumn>
    <tableColumn id="14" name="Colonne2" dataDxfId="510" totalsRowDxfId="28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PHARM" displayName="PHARM" ref="A5:N25" totalsRowCount="1" headerRowDxfId="485" dataDxfId="484" totalsRowDxfId="483">
  <tableColumns count="14">
    <tableColumn id="1" name="NATURE" totalsRowLabel="TOTAL DEBIT &amp; CREDIT" dataDxfId="482" totalsRowDxfId="27">
      <calculatedColumnFormula>IF(PHARM[[#This Row],[J]]="CAT","FACTURE CAISSE","")</calculatedColumnFormula>
    </tableColumn>
    <tableColumn id="2" name="DATE" dataDxfId="481" totalsRowDxfId="26"/>
    <tableColumn id="3" name="J" dataDxfId="480" totalsRowDxfId="25"/>
    <tableColumn id="4" name="LEBELLE DE L'ECRITURE" dataDxfId="479" totalsRowDxfId="24"/>
    <tableColumn id="5" name="DEBIT" totalsRowFunction="sum" dataDxfId="478" totalsRowDxfId="23"/>
    <tableColumn id="6" name="CREDIT" totalsRowFunction="sum" dataDxfId="477" totalsRowDxfId="22"/>
    <tableColumn id="7" name="N° PIECE" totalsRowFunction="custom" dataDxfId="476" totalsRowDxfId="21">
      <totalsRowFormula>PHARM[[#Totals],[DEBIT]]-PHARM[[#Totals],[CREDIT]]</totalsRowFormula>
    </tableColumn>
    <tableColumn id="8" name="COMMENTAIRE" dataDxfId="475" totalsRowDxfId="20"/>
    <tableColumn id="9" name="Colonne1" dataDxfId="474" totalsRowDxfId="19"/>
    <tableColumn id="10" name="FOURNISSEURS" totalsRowLabel="TOTAL  COMMANDES" dataDxfId="473" totalsRowDxfId="18"/>
    <tableColumn id="11" name="MONTANT" totalsRowFunction="custom" dataDxfId="472" totalsRowDxfId="17">
      <totalsRowFormula>SUMIF(M6,"NON",PHARM[MONTANT])</totalsRowFormula>
    </tableColumn>
    <tableColumn id="12" name="FACTURE RECUE" dataDxfId="471" totalsRowDxfId="16"/>
    <tableColumn id="13" name="RECUE AU SIEGE" dataDxfId="470" totalsRowDxfId="15">
      <calculatedColumnFormula>IF(AND(PHARM[[#This Row],[FOURNISSEURS]]&gt;1,PHARM[[#This Row],[Colonne2]]=""),"NON",IF(AND(PHARM[[#This Row],[FOURNISSEURS]]&gt;1,PHARM[[#This Row],[Colonne2]]="X"),"OUI",""))</calculatedColumnFormula>
    </tableColumn>
    <tableColumn id="14" name="Colonne2" dataDxfId="469" totalsRowDxfId="1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P_ENT" displayName="P_ENT" ref="A5:N25" totalsRowCount="1" headerRowDxfId="444" dataDxfId="443" totalsRowDxfId="442">
  <tableColumns count="14">
    <tableColumn id="1" name="NATURE" totalsRowLabel="TOTAL DEBIT &amp; CREDIT" dataDxfId="441" totalsRowDxfId="13">
      <calculatedColumnFormula>IF(P_ENT[[#This Row],[J]]="CAT","FACTURE CAISSE","")</calculatedColumnFormula>
    </tableColumn>
    <tableColumn id="2" name="DATE" dataDxfId="440" totalsRowDxfId="12"/>
    <tableColumn id="3" name="J" dataDxfId="439" totalsRowDxfId="11"/>
    <tableColumn id="4" name="LEBELLE DE L'ECRITURE" dataDxfId="438" totalsRowDxfId="10"/>
    <tableColumn id="5" name="DEBIT" totalsRowFunction="sum" dataDxfId="437" totalsRowDxfId="9"/>
    <tableColumn id="6" name="CREDIT" totalsRowFunction="sum" dataDxfId="436" totalsRowDxfId="8"/>
    <tableColumn id="7" name="N° PIECE" totalsRowFunction="custom" dataDxfId="435" totalsRowDxfId="7">
      <totalsRowFormula>P_ENT[[#Totals],[DEBIT]]-P_ENT[[#Totals],[CREDIT]]</totalsRowFormula>
    </tableColumn>
    <tableColumn id="8" name="COMMENTAIRE" dataDxfId="434" totalsRowDxfId="6"/>
    <tableColumn id="9" name="Colonne1" dataDxfId="433" totalsRowDxfId="5"/>
    <tableColumn id="10" name="FOURNISSEURS" totalsRowLabel="TOTAL  COMMANDES" dataDxfId="432" totalsRowDxfId="4"/>
    <tableColumn id="11" name="MONTANT" totalsRowFunction="custom" dataDxfId="431" totalsRowDxfId="3">
      <totalsRowFormula>SUMIF(M6,"NON",P_ENT[MONTANT])</totalsRowFormula>
    </tableColumn>
    <tableColumn id="12" name="FACTURE RECUE" dataDxfId="430" totalsRowDxfId="2"/>
    <tableColumn id="13" name="RECUE AU SIEGE" dataDxfId="429" totalsRowDxfId="1">
      <calculatedColumnFormula>IF(AND(P_ENT[[#This Row],[FOURNISSEURS]]&gt;1,P_ENT[[#This Row],[Colonne2]]=""),"NON",IF(AND(P_ENT[[#This Row],[FOURNISSEURS]]&gt;1,P_ENT[[#This Row],[Colonne2]]="X"),"OUI",""))</calculatedColumnFormula>
    </tableColumn>
    <tableColumn id="14" name="Colonne2" dataDxfId="428" totalsRowDxfId="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CHANGE" displayName="CHANGE" ref="A5:N25" totalsRowCount="1" headerRowDxfId="403" dataDxfId="402" totalsRowDxfId="401">
  <tableColumns count="14">
    <tableColumn id="1" name="NATURE" totalsRowLabel="TOTAL DEBIT &amp; CREDIT" dataDxfId="400" totalsRowDxfId="181">
      <calculatedColumnFormula>IF(CHANGE[[#This Row],[J]]="CAT","FACTURE CAISSE","")</calculatedColumnFormula>
    </tableColumn>
    <tableColumn id="2" name="DATE" dataDxfId="399" totalsRowDxfId="180"/>
    <tableColumn id="3" name="J" dataDxfId="398" totalsRowDxfId="179"/>
    <tableColumn id="4" name="LEBELLE DE L'ECRITURE" dataDxfId="397" totalsRowDxfId="178"/>
    <tableColumn id="5" name="DEBIT" totalsRowFunction="sum" dataDxfId="396" totalsRowDxfId="177"/>
    <tableColumn id="6" name="CREDIT" totalsRowFunction="sum" dataDxfId="395" totalsRowDxfId="176"/>
    <tableColumn id="7" name="N° PIECE" totalsRowFunction="custom" dataDxfId="394" totalsRowDxfId="175">
      <totalsRowFormula>CHANGE[[#Totals],[DEBIT]]-CHANGE[[#Totals],[CREDIT]]</totalsRowFormula>
    </tableColumn>
    <tableColumn id="8" name="COMMENTAIRE" dataDxfId="393" totalsRowDxfId="174"/>
    <tableColumn id="9" name="Colonne1" dataDxfId="392" totalsRowDxfId="173"/>
    <tableColumn id="10" name="FOURNISSEURS" totalsRowLabel="TOTAL  COMMANDES" dataDxfId="391" totalsRowDxfId="172"/>
    <tableColumn id="11" name="MONTANT" totalsRowFunction="custom" dataDxfId="390" totalsRowDxfId="171">
      <totalsRowFormula>SUMIF(M6,"NON",CHANGE[MONTANT])</totalsRowFormula>
    </tableColumn>
    <tableColumn id="12" name="FACTURE RECUE" dataDxfId="389" totalsRowDxfId="170"/>
    <tableColumn id="13" name="RECUE AU SIEGE" dataDxfId="388" totalsRowDxfId="169">
      <calculatedColumnFormula>IF(AND(CHANGE[[#This Row],[FOURNISSEURS]]&gt;1,CHANGE[[#This Row],[Colonne2]]=""),"NON",IF(AND(CHANGE[[#This Row],[FOURNISSEURS]]&gt;1,CHANGE[[#This Row],[Colonne2]]="X"),"OUI",""))</calculatedColumnFormula>
    </tableColumn>
    <tableColumn id="14" name="Colonne2" dataDxfId="387" totalsRowDxfId="16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ALIM" displayName="ALIM" ref="A5:N186" totalsRowCount="1" headerRowDxfId="362" dataDxfId="361" totalsRowDxfId="360">
  <tableColumns count="14">
    <tableColumn id="1" name="NATURE" totalsRowLabel="TOTAL DEBIT &amp; CREDIT" dataDxfId="359" totalsRowDxfId="167">
      <calculatedColumnFormula>IF(ALIM[[#This Row],[J]]="CAT","FACTURE CAISSE","")</calculatedColumnFormula>
    </tableColumn>
    <tableColumn id="2" name="DATE" dataDxfId="358" totalsRowDxfId="166"/>
    <tableColumn id="3" name="J" dataDxfId="357" totalsRowDxfId="165"/>
    <tableColumn id="4" name="LEBELLE DE L'ECRITURE" dataDxfId="356" totalsRowDxfId="164"/>
    <tableColumn id="5" name="DEBIT" totalsRowFunction="sum" dataDxfId="355" totalsRowDxfId="163"/>
    <tableColumn id="6" name="CREDIT" totalsRowFunction="sum" dataDxfId="354" totalsRowDxfId="162"/>
    <tableColumn id="7" name="N° PIECE" totalsRowFunction="custom" dataDxfId="353" totalsRowDxfId="161">
      <totalsRowFormula>ALIM[[#Totals],[DEBIT]]-ALIM[[#Totals],[CREDIT]]</totalsRowFormula>
    </tableColumn>
    <tableColumn id="8" name="COMMENTAIRE" dataDxfId="352" totalsRowDxfId="160"/>
    <tableColumn id="9" name="Colonne1" dataDxfId="351" totalsRowDxfId="159"/>
    <tableColumn id="10" name="FOURNISSEURS" totalsRowLabel="TOTAL  COMMANDES" dataDxfId="350" totalsRowDxfId="158"/>
    <tableColumn id="11" name="MONTANT" totalsRowFunction="custom" dataDxfId="349" totalsRowDxfId="157">
      <totalsRowFormula>SUMIF(M6,"NON",ALIM[MONTANT])</totalsRowFormula>
    </tableColumn>
    <tableColumn id="12" name="FACTURE RECUE" dataDxfId="348" totalsRowDxfId="156"/>
    <tableColumn id="13" name="RECUE AU SIEGE" dataDxfId="347" totalsRowDxfId="155">
      <calculatedColumnFormula>IF(AND(ALIM[[#This Row],[FOURNISSEURS]]&gt;1,ALIM[[#This Row],[Colonne2]]=""),"NON",IF(AND(ALIM[[#This Row],[FOURNISSEURS]]&gt;1,ALIM[[#This Row],[Colonne2]]="X"),"OUI",""))</calculatedColumnFormula>
    </tableColumn>
    <tableColumn id="14" name="Colonne2" dataDxfId="346" totalsRowDxfId="154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0" name="ANIM" displayName="ANIM" ref="A5:N25" totalsRowCount="1" headerRowDxfId="321" dataDxfId="320" totalsRowDxfId="319">
  <tableColumns count="14">
    <tableColumn id="1" name="NATURE" totalsRowLabel="TOTAL DEBIT &amp; CREDIT" dataDxfId="318" totalsRowDxfId="153">
      <calculatedColumnFormula>IF(ANIM[[#This Row],[J]]="CAT","FACTURE CAISSE","")</calculatedColumnFormula>
    </tableColumn>
    <tableColumn id="2" name="DATE" dataDxfId="317" totalsRowDxfId="152"/>
    <tableColumn id="3" name="J" dataDxfId="316" totalsRowDxfId="151"/>
    <tableColumn id="4" name="LEBELLE DE L'ECRITURE" dataDxfId="315" totalsRowDxfId="150"/>
    <tableColumn id="5" name="DEBIT" totalsRowFunction="sum" dataDxfId="314" totalsRowDxfId="149"/>
    <tableColumn id="6" name="CREDIT" totalsRowFunction="sum" dataDxfId="313" totalsRowDxfId="148"/>
    <tableColumn id="7" name="N° PIECE" totalsRowFunction="custom" dataDxfId="312" totalsRowDxfId="147">
      <totalsRowFormula>ANIM[[#Totals],[DEBIT]]-ANIM[[#Totals],[CREDIT]]</totalsRowFormula>
    </tableColumn>
    <tableColumn id="8" name="COMMENTAIRE" dataDxfId="311" totalsRowDxfId="146"/>
    <tableColumn id="9" name="Colonne1" dataDxfId="310" totalsRowDxfId="145"/>
    <tableColumn id="10" name="FOURNISSEURS" totalsRowLabel="TOTAL  COMMANDES" dataDxfId="309" totalsRowDxfId="144"/>
    <tableColumn id="11" name="MONTANT" totalsRowFunction="custom" dataDxfId="308" totalsRowDxfId="143">
      <totalsRowFormula>SUMIF(M6,"NON",ANIM[MONTANT])</totalsRowFormula>
    </tableColumn>
    <tableColumn id="12" name="FACTURE RECUE" dataDxfId="307" totalsRowDxfId="142"/>
    <tableColumn id="13" name="RECUE AU SIEGE" dataDxfId="306" totalsRowDxfId="141">
      <calculatedColumnFormula>IF(AND(ANIM[[#This Row],[FOURNISSEURS]]&gt;1,ANIM[[#This Row],[Colonne2]]=""),"NON",IF(AND(ANIM[[#This Row],[FOURNISSEURS]]&gt;1,ANIM[[#This Row],[Colonne2]]="X"),"OUI",""))</calculatedColumnFormula>
    </tableColumn>
    <tableColumn id="14" name="Colonne2" dataDxfId="305" totalsRowDxfId="140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1" name="ENT_REP" displayName="ENT_REP" ref="A5:N25" totalsRowCount="1" headerRowDxfId="280" dataDxfId="279" totalsRowDxfId="278">
  <tableColumns count="14">
    <tableColumn id="1" name="NATURE" totalsRowLabel="TOTAL DEBIT &amp; CREDIT" dataDxfId="277" totalsRowDxfId="139">
      <calculatedColumnFormula>IF(ENT_REP[[#This Row],[J]]="CAT","FACTURE CAISSE","")</calculatedColumnFormula>
    </tableColumn>
    <tableColumn id="2" name="DATE" dataDxfId="276" totalsRowDxfId="138"/>
    <tableColumn id="3" name="J" dataDxfId="275" totalsRowDxfId="137"/>
    <tableColumn id="4" name="LEBELLE DE L'ECRITURE" dataDxfId="274" totalsRowDxfId="136"/>
    <tableColumn id="5" name="DEBIT" totalsRowFunction="sum" dataDxfId="273" totalsRowDxfId="135"/>
    <tableColumn id="6" name="CREDIT" totalsRowFunction="sum" dataDxfId="272" totalsRowDxfId="134"/>
    <tableColumn id="7" name="N° PIECE" totalsRowFunction="custom" dataDxfId="271" totalsRowDxfId="133">
      <totalsRowFormula>ENT_REP[[#Totals],[DEBIT]]-ENT_REP[[#Totals],[CREDIT]]</totalsRowFormula>
    </tableColumn>
    <tableColumn id="8" name="COMMENTAIRE" dataDxfId="270" totalsRowDxfId="132"/>
    <tableColumn id="9" name="Colonne1" dataDxfId="269" totalsRowDxfId="131"/>
    <tableColumn id="10" name="FOURNISSEURS" totalsRowLabel="TOTAL  COMMANDES" dataDxfId="268" totalsRowDxfId="130"/>
    <tableColumn id="11" name="MONTANT" totalsRowFunction="custom" dataDxfId="267" totalsRowDxfId="129">
      <totalsRowFormula>SUMIF(M6,"NON",ENT_REP[MONTANT])</totalsRowFormula>
    </tableColumn>
    <tableColumn id="12" name="FACTURE RECUE" dataDxfId="266" totalsRowDxfId="128"/>
    <tableColumn id="13" name="RECUE AU SIEGE" dataDxfId="265" totalsRowDxfId="127">
      <calculatedColumnFormula>IF(AND(ENT_REP[[#This Row],[FOURNISSEURS]]&gt;1,ENT_REP[[#This Row],[Colonne2]]=""),"NON",IF(AND(ENT_REP[[#This Row],[FOURNISSEURS]]&gt;1,ENT_REP[[#This Row],[Colonne2]]="X"),"OUI",""))</calculatedColumnFormula>
    </tableColumn>
    <tableColumn id="14" name="Colonne2" dataDxfId="264" totalsRowDxfId="126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2" name="HONO" displayName="HONO" ref="A5:N25" totalsRowCount="1" headerRowDxfId="239" dataDxfId="238" totalsRowDxfId="237">
  <tableColumns count="14">
    <tableColumn id="1" name="NATURE" totalsRowLabel="TOTAL DEBIT &amp; CREDIT" dataDxfId="236" totalsRowDxfId="125">
      <calculatedColumnFormula>IF(HONO[[#This Row],[J]]="CAT","FACTURE CAISSE","")</calculatedColumnFormula>
    </tableColumn>
    <tableColumn id="2" name="DATE" dataDxfId="235" totalsRowDxfId="124"/>
    <tableColumn id="3" name="J" dataDxfId="234" totalsRowDxfId="123"/>
    <tableColumn id="4" name="LEBELLE DE L'ECRITURE" dataDxfId="233" totalsRowDxfId="122"/>
    <tableColumn id="5" name="DEBIT" totalsRowFunction="sum" dataDxfId="232" totalsRowDxfId="121"/>
    <tableColumn id="6" name="CREDIT" totalsRowFunction="sum" dataDxfId="231" totalsRowDxfId="120"/>
    <tableColumn id="7" name="N° PIECE" totalsRowFunction="custom" dataDxfId="230" totalsRowDxfId="119">
      <totalsRowFormula>HONO[[#Totals],[DEBIT]]-HONO[[#Totals],[CREDIT]]</totalsRowFormula>
    </tableColumn>
    <tableColumn id="8" name="COMMENTAIRE" dataDxfId="229" totalsRowDxfId="118"/>
    <tableColumn id="9" name="Colonne1" dataDxfId="228" totalsRowDxfId="117"/>
    <tableColumn id="10" name="FOURNISSEURS" totalsRowLabel="TOTAL  COMMANDES" dataDxfId="227" totalsRowDxfId="116"/>
    <tableColumn id="11" name="MONTANT" totalsRowFunction="custom" dataDxfId="226" totalsRowDxfId="115">
      <totalsRowFormula>SUMIF(M6,"NON",HONO[MONTANT])</totalsRowFormula>
    </tableColumn>
    <tableColumn id="12" name="FACTURE RECUE" dataDxfId="225" totalsRowDxfId="114"/>
    <tableColumn id="13" name="RECUE AU SIEGE" dataDxfId="224" totalsRowDxfId="113">
      <calculatedColumnFormula>IF(AND(HONO[[#This Row],[FOURNISSEURS]]&gt;1,HONO[[#This Row],[Colonne2]]=""),"NON",IF(AND(HONO[[#This Row],[FOURNISSEURS]]&gt;1,HONO[[#This Row],[Colonne2]]="X"),"OUI",""))</calculatedColumnFormula>
    </tableColumn>
    <tableColumn id="14" name="Colonne2" dataDxfId="223" totalsRowDxfId="112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3" name="DEPL_RECEP" displayName="DEPL_RECEP" ref="A5:N25" totalsRowCount="1" headerRowDxfId="198" dataDxfId="197" totalsRowDxfId="196">
  <tableColumns count="14">
    <tableColumn id="1" name="NATURE" totalsRowLabel="TOTAL DEBIT &amp; CREDIT" dataDxfId="195" totalsRowDxfId="111">
      <calculatedColumnFormula>IF(DEPL_RECEP[[#This Row],[J]]="CAT","FACTURE CAISSE","")</calculatedColumnFormula>
    </tableColumn>
    <tableColumn id="2" name="DATE" dataDxfId="194" totalsRowDxfId="110"/>
    <tableColumn id="3" name="J" dataDxfId="193" totalsRowDxfId="109"/>
    <tableColumn id="4" name="LEBELLE DE L'ECRITURE" dataDxfId="192" totalsRowDxfId="108"/>
    <tableColumn id="5" name="DEBIT" totalsRowFunction="sum" dataDxfId="191" totalsRowDxfId="107"/>
    <tableColumn id="6" name="CREDIT" totalsRowFunction="sum" dataDxfId="190" totalsRowDxfId="106"/>
    <tableColumn id="7" name="N° PIECE" totalsRowFunction="custom" dataDxfId="189" totalsRowDxfId="105">
      <totalsRowFormula>DEPL_RECEP[[#Totals],[DEBIT]]-DEPL_RECEP[[#Totals],[CREDIT]]</totalsRowFormula>
    </tableColumn>
    <tableColumn id="8" name="COMMENTAIRE" dataDxfId="188" totalsRowDxfId="104"/>
    <tableColumn id="9" name="Colonne1" dataDxfId="187" totalsRowDxfId="103"/>
    <tableColumn id="10" name="FOURNISSEURS" totalsRowLabel="TOTAL  COMMANDES" dataDxfId="186" totalsRowDxfId="102"/>
    <tableColumn id="11" name="MONTANT" totalsRowFunction="custom" dataDxfId="185" totalsRowDxfId="101">
      <totalsRowFormula>SUMIF(M6,"NON",DEPL_RECEP[MONTANT])</totalsRowFormula>
    </tableColumn>
    <tableColumn id="12" name="FACTURE RECUE" dataDxfId="184" totalsRowDxfId="100"/>
    <tableColumn id="13" name="RECUE AU SIEGE" dataDxfId="183" totalsRowDxfId="99">
      <calculatedColumnFormula>IF(AND(DEPL_RECEP[[#This Row],[FOURNISSEURS]]&gt;1,DEPL_RECEP[[#This Row],[Colonne2]]=""),"NON",IF(AND(DEPL_RECEP[[#This Row],[FOURNISSEURS]]&gt;1,DEPL_RECEP[[#This Row],[Colonne2]]="X"),"OUI",""))</calculatedColumnFormula>
    </tableColumn>
    <tableColumn id="14" name="Colonne2" dataDxfId="182" totalsRowDxfId="9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6"/>
  <sheetViews>
    <sheetView topLeftCell="A10" workbookViewId="0">
      <selection activeCell="A2" sqref="A2"/>
    </sheetView>
  </sheetViews>
  <sheetFormatPr baseColWidth="10" defaultRowHeight="15" x14ac:dyDescent="0.25"/>
  <cols>
    <col min="1" max="1" width="34.28515625" style="5" customWidth="1"/>
    <col min="2" max="2" width="9.5703125" style="5" customWidth="1"/>
    <col min="3" max="5" width="11.42578125" style="5"/>
    <col min="6" max="6" width="14.28515625" style="5" customWidth="1"/>
    <col min="7" max="9" width="11.42578125" style="5"/>
    <col min="10" max="10" width="14.140625" style="5" customWidth="1"/>
    <col min="11" max="13" width="11.42578125" style="5"/>
    <col min="14" max="14" width="14" style="5" customWidth="1"/>
    <col min="15" max="15" width="10.140625" style="5" customWidth="1"/>
    <col min="16" max="18" width="11.42578125" style="5"/>
    <col min="19" max="19" width="0" style="5" hidden="1" customWidth="1"/>
    <col min="20" max="16384" width="11.42578125" style="5"/>
  </cols>
  <sheetData>
    <row r="1" spans="1:19" ht="15.75" thickBot="1" x14ac:dyDescent="0.3"/>
    <row r="2" spans="1:19" ht="20.25" thickTop="1" thickBot="1" x14ac:dyDescent="0.3">
      <c r="B2" s="82"/>
      <c r="C2" s="155" t="s">
        <v>27</v>
      </c>
      <c r="D2" s="156"/>
      <c r="E2" s="156"/>
      <c r="F2" s="157"/>
      <c r="G2" s="155" t="s">
        <v>28</v>
      </c>
      <c r="H2" s="156"/>
      <c r="I2" s="156"/>
      <c r="J2" s="157"/>
      <c r="K2" s="155" t="s">
        <v>29</v>
      </c>
      <c r="L2" s="156"/>
      <c r="M2" s="156"/>
      <c r="N2" s="157"/>
    </row>
    <row r="3" spans="1:19" ht="15.75" thickTop="1" x14ac:dyDescent="0.25">
      <c r="A3" s="158" t="s">
        <v>30</v>
      </c>
      <c r="B3" s="160" t="s">
        <v>31</v>
      </c>
      <c r="C3" s="162" t="s">
        <v>32</v>
      </c>
      <c r="D3" s="164" t="s">
        <v>33</v>
      </c>
      <c r="E3" s="166" t="s">
        <v>34</v>
      </c>
      <c r="F3" s="168" t="s">
        <v>35</v>
      </c>
      <c r="G3" s="162" t="s">
        <v>36</v>
      </c>
      <c r="H3" s="164" t="s">
        <v>33</v>
      </c>
      <c r="I3" s="166" t="s">
        <v>34</v>
      </c>
      <c r="J3" s="168" t="s">
        <v>35</v>
      </c>
      <c r="K3" s="162" t="s">
        <v>37</v>
      </c>
      <c r="L3" s="164" t="s">
        <v>33</v>
      </c>
      <c r="M3" s="166" t="s">
        <v>34</v>
      </c>
      <c r="N3" s="168" t="s">
        <v>35</v>
      </c>
      <c r="O3" s="170" t="s">
        <v>38</v>
      </c>
      <c r="P3" s="83" t="s">
        <v>2</v>
      </c>
      <c r="Q3" s="11"/>
      <c r="S3" s="5" t="s">
        <v>2</v>
      </c>
    </row>
    <row r="4" spans="1:19" x14ac:dyDescent="0.25">
      <c r="A4" s="159"/>
      <c r="B4" s="161"/>
      <c r="C4" s="163"/>
      <c r="D4" s="165"/>
      <c r="E4" s="167"/>
      <c r="F4" s="169"/>
      <c r="G4" s="163"/>
      <c r="H4" s="165"/>
      <c r="I4" s="167"/>
      <c r="J4" s="169"/>
      <c r="K4" s="163"/>
      <c r="L4" s="165"/>
      <c r="M4" s="167"/>
      <c r="N4" s="169"/>
      <c r="O4" s="171"/>
    </row>
    <row r="5" spans="1:19" ht="18" customHeight="1" x14ac:dyDescent="0.25">
      <c r="A5" s="84" t="s">
        <v>39</v>
      </c>
      <c r="B5" s="85"/>
      <c r="C5" s="86">
        <f>([1]BUDGET!TAR_BUDGET_EAU_ELEC/12)*4</f>
        <v>2600</v>
      </c>
      <c r="D5" s="87">
        <f>[1]MATRICE!TAR_EAU_ELEC_1</f>
        <v>2979.89</v>
      </c>
      <c r="E5" s="88">
        <f>IF(D5&gt;C5,0,C5-D5)</f>
        <v>0</v>
      </c>
      <c r="F5" s="89">
        <f>IF(D5&gt;C5,D5-C5,"")</f>
        <v>379.89</v>
      </c>
      <c r="G5" s="86">
        <f>([1]BUDGET!TAR_BUDGET_EAU_ELEC/12)*8</f>
        <v>5200</v>
      </c>
      <c r="H5" s="87">
        <f>IF($P$3="X",[1]MATRICE!TAR_EAU_ELEC_2,"")</f>
        <v>4047.4</v>
      </c>
      <c r="I5" s="88">
        <f>IF(H5="","",IF(H5&gt;G5,0,G5-H5))</f>
        <v>1152.5999999999999</v>
      </c>
      <c r="J5" s="89" t="str">
        <f>IF(H5="","",IF(H5&gt;G5,H5-G5,""))</f>
        <v/>
      </c>
      <c r="K5" s="86">
        <f>[1]BUDGET!TAR_BUDGET_EAU_ELEC</f>
        <v>7800</v>
      </c>
      <c r="L5" s="87" t="str">
        <f>IF($Q$3="X",[1]MATRICE!TAR_EAU_ELEC_3,"")</f>
        <v/>
      </c>
      <c r="M5" s="88" t="str">
        <f>IF(L5="","",IF(L5&gt;K5,0,K5-L5))</f>
        <v/>
      </c>
      <c r="N5" s="89" t="str">
        <f>IF(L5="","",IF(L5&gt;K5,L5-K5,""))</f>
        <v/>
      </c>
      <c r="O5" s="90"/>
    </row>
    <row r="6" spans="1:19" ht="18" customHeight="1" x14ac:dyDescent="0.25">
      <c r="A6" s="91" t="s">
        <v>40</v>
      </c>
      <c r="B6" s="92"/>
      <c r="C6" s="93">
        <f>([1]BUDGET!TAR_BUDGET_F_EDUC/11)*4</f>
        <v>236.36</v>
      </c>
      <c r="D6" s="94">
        <f>[1]MATRICE!TAR_FOURNITURE_EDUCATIVE_1</f>
        <v>134.38999999999999</v>
      </c>
      <c r="E6" s="95">
        <f t="shared" ref="E6:E26" si="0">IF(D6&gt;C6,0,C6-D6)</f>
        <v>101.97</v>
      </c>
      <c r="F6" s="96" t="str">
        <f t="shared" ref="F6:F26" si="1">IF(D6&gt;C6,D6-C6,"")</f>
        <v/>
      </c>
      <c r="G6" s="93">
        <f>([1]BUDGET!TAR_BUDGET_F_EDUC/11.19)*8</f>
        <v>464.7</v>
      </c>
      <c r="H6" s="94">
        <f>IF($P$3="X",[1]MATRICE!TAR_FOURNITURE_EDUCATIVE_2,"")</f>
        <v>218.5</v>
      </c>
      <c r="I6" s="95">
        <f t="shared" ref="I6:I26" si="2">IF(H6="","",IF(H6&gt;G6,0,G6-H6))</f>
        <v>246.2</v>
      </c>
      <c r="J6" s="97" t="str">
        <f t="shared" ref="J6:J26" si="3">IF(H6="","",IF(H6&gt;G6,H6-G6,""))</f>
        <v/>
      </c>
      <c r="K6" s="93">
        <f>[1]BUDGET!TAR_BUDGET_F_EDUC</f>
        <v>650</v>
      </c>
      <c r="L6" s="94" t="str">
        <f>IF($Q$3="X",[1]MATRICE!TAR_FOURNITURE_EDUCATIVE_3,"")</f>
        <v/>
      </c>
      <c r="M6" s="95" t="str">
        <f t="shared" ref="M6:M26" si="4">IF(L6="","",IF(L6&gt;K6,0,K6-L6))</f>
        <v/>
      </c>
      <c r="N6" s="96" t="str">
        <f t="shared" ref="N6:N26" si="5">IF(L6="","",IF(L6&gt;K6,L6-K6,""))</f>
        <v/>
      </c>
      <c r="O6" s="98"/>
    </row>
    <row r="7" spans="1:19" ht="18" customHeight="1" x14ac:dyDescent="0.25">
      <c r="A7" s="99" t="s">
        <v>41</v>
      </c>
      <c r="B7" s="100"/>
      <c r="C7" s="101">
        <f>([1]BUDGET!TAR_BUDGET_P_EQUIP/11)*4</f>
        <v>909.09</v>
      </c>
      <c r="D7" s="102">
        <f>[1]MATRICE!TAR_PETIT_EQUIPEMENT_1</f>
        <v>385.02</v>
      </c>
      <c r="E7" s="103">
        <f t="shared" si="0"/>
        <v>524.07000000000005</v>
      </c>
      <c r="F7" s="104" t="str">
        <f t="shared" si="1"/>
        <v/>
      </c>
      <c r="G7" s="101">
        <f>([1]BUDGET!TAR_BUDGET_P_EQUIP/11.19)*8</f>
        <v>1787.31</v>
      </c>
      <c r="H7" s="102">
        <f>IF($P$3="X",[1]MATRICE!TAR_PETIT_EQUIPEMENT_2,"")</f>
        <v>643.49</v>
      </c>
      <c r="I7" s="103">
        <f t="shared" si="2"/>
        <v>1143.82</v>
      </c>
      <c r="J7" s="105" t="str">
        <f t="shared" si="3"/>
        <v/>
      </c>
      <c r="K7" s="101">
        <f>[1]BUDGET!TAR_BUDGET_P_EQUIP</f>
        <v>2500</v>
      </c>
      <c r="L7" s="102" t="str">
        <f>IF($Q$3="X",[1]MATRICE!TAR_PETIT_EQUIPEMENT_3,"")</f>
        <v/>
      </c>
      <c r="M7" s="103" t="str">
        <f t="shared" si="4"/>
        <v/>
      </c>
      <c r="N7" s="104" t="str">
        <f t="shared" si="5"/>
        <v/>
      </c>
      <c r="O7" s="106"/>
    </row>
    <row r="8" spans="1:19" ht="18" customHeight="1" x14ac:dyDescent="0.25">
      <c r="A8" s="91" t="s">
        <v>42</v>
      </c>
      <c r="B8" s="92"/>
      <c r="C8" s="93">
        <f>([1]BUDGET!TAR_BUDGET_F_BUREAU/11)*4</f>
        <v>363.64</v>
      </c>
      <c r="D8" s="94">
        <f>[1]MATRICE!TAR_FOURNITURE_DE_BUREAU_1</f>
        <v>130.79</v>
      </c>
      <c r="E8" s="95">
        <f t="shared" si="0"/>
        <v>232.85</v>
      </c>
      <c r="F8" s="96" t="str">
        <f t="shared" si="1"/>
        <v/>
      </c>
      <c r="G8" s="93">
        <f>([1]BUDGET!TAR_BUDGET_F_BUREAU/11.19)*8</f>
        <v>714.92</v>
      </c>
      <c r="H8" s="94">
        <f>IF($P$3="X",[1]MATRICE!TAR_FOURNITURE_DE_BUREAU_2,"")</f>
        <v>158.75</v>
      </c>
      <c r="I8" s="95">
        <f t="shared" si="2"/>
        <v>556.16999999999996</v>
      </c>
      <c r="J8" s="97" t="str">
        <f t="shared" si="3"/>
        <v/>
      </c>
      <c r="K8" s="93">
        <f>[1]BUDGET!TAR_BUDGET_F_BUREAU</f>
        <v>1000</v>
      </c>
      <c r="L8" s="94" t="str">
        <f>IF($Q$3="X",[1]MATRICE!TAR_FOURNITURE_DE_BUREAU_3,"")</f>
        <v/>
      </c>
      <c r="M8" s="95" t="str">
        <f t="shared" si="4"/>
        <v/>
      </c>
      <c r="N8" s="96" t="str">
        <f t="shared" si="5"/>
        <v/>
      </c>
      <c r="O8" s="98"/>
    </row>
    <row r="9" spans="1:19" ht="18" customHeight="1" x14ac:dyDescent="0.25">
      <c r="A9" s="99" t="s">
        <v>43</v>
      </c>
      <c r="B9" s="100"/>
      <c r="C9" s="101">
        <f>([1]BUDGET!TAR_BUDGET_LINGES/11)*4</f>
        <v>432.73</v>
      </c>
      <c r="D9" s="102">
        <f>[1]MATRICE!TAR_LINGES_1</f>
        <v>442.07</v>
      </c>
      <c r="E9" s="103">
        <f t="shared" si="0"/>
        <v>0</v>
      </c>
      <c r="F9" s="104">
        <f t="shared" si="1"/>
        <v>9.34</v>
      </c>
      <c r="G9" s="101">
        <f>([1]BUDGET!TAR_BUDGET_LINGES/11.19)*8</f>
        <v>850.76</v>
      </c>
      <c r="H9" s="102">
        <f>IF($P$3="X",[1]MATRICE!TAR_LINGES_2,"")</f>
        <v>991.06</v>
      </c>
      <c r="I9" s="103">
        <f t="shared" si="2"/>
        <v>0</v>
      </c>
      <c r="J9" s="105">
        <f t="shared" si="3"/>
        <v>140.30000000000001</v>
      </c>
      <c r="K9" s="101">
        <f>[1]BUDGET!TAR_BUDGET_LINGES</f>
        <v>1190</v>
      </c>
      <c r="L9" s="102" t="str">
        <f>IF($Q$3="X",[1]MATRICE!TAR_LINGES_3,"")</f>
        <v/>
      </c>
      <c r="M9" s="103" t="str">
        <f t="shared" si="4"/>
        <v/>
      </c>
      <c r="N9" s="104" t="str">
        <f t="shared" si="5"/>
        <v/>
      </c>
      <c r="O9" s="106"/>
    </row>
    <row r="10" spans="1:19" ht="18" customHeight="1" x14ac:dyDescent="0.25">
      <c r="A10" s="107" t="s">
        <v>44</v>
      </c>
      <c r="B10" s="108"/>
      <c r="C10" s="109">
        <f>([1]BUDGET!TAR_BUDGET_VET/11)*4</f>
        <v>204.36</v>
      </c>
      <c r="D10" s="110">
        <f>[1]MATRICE!TAR_VET_1</f>
        <v>0</v>
      </c>
      <c r="E10" s="111">
        <f t="shared" si="0"/>
        <v>204.36</v>
      </c>
      <c r="F10" s="112" t="str">
        <f t="shared" si="1"/>
        <v/>
      </c>
      <c r="G10" s="109">
        <f>([1]BUDGET!TAR_BUDGET_VET/11.19)*8</f>
        <v>401.79</v>
      </c>
      <c r="H10" s="110">
        <f>IF($P$3="X",[1]MATRICE!TAR_VET_2,"")</f>
        <v>123.2</v>
      </c>
      <c r="I10" s="111">
        <f t="shared" si="2"/>
        <v>278.58999999999997</v>
      </c>
      <c r="J10" s="113" t="str">
        <f t="shared" si="3"/>
        <v/>
      </c>
      <c r="K10" s="109">
        <f>[1]BUDGET!TAR_BUDGET_VET</f>
        <v>562</v>
      </c>
      <c r="L10" s="110" t="str">
        <f>IF($Q$3="X",[1]MATRICE!TAR_VET_3,"")</f>
        <v/>
      </c>
      <c r="M10" s="111" t="str">
        <f t="shared" si="4"/>
        <v/>
      </c>
      <c r="N10" s="112" t="str">
        <f t="shared" si="5"/>
        <v/>
      </c>
      <c r="O10" s="114"/>
    </row>
    <row r="11" spans="1:19" ht="18" customHeight="1" x14ac:dyDescent="0.25">
      <c r="A11" s="99" t="s">
        <v>45</v>
      </c>
      <c r="B11" s="100"/>
      <c r="C11" s="101">
        <f>([1]BUDGET!TAR_BUDGET_AUTRE_F/11)*4</f>
        <v>109.09</v>
      </c>
      <c r="D11" s="102">
        <f>[1]MATRICE!TAR_AUTRE_FOURNITURES_1</f>
        <v>260.57</v>
      </c>
      <c r="E11" s="103">
        <f t="shared" si="0"/>
        <v>0</v>
      </c>
      <c r="F11" s="104">
        <f t="shared" si="1"/>
        <v>151.47999999999999</v>
      </c>
      <c r="G11" s="101">
        <f>([1]BUDGET!TAR_BUDGET_AUTRE_F/11.19)*8</f>
        <v>214.48</v>
      </c>
      <c r="H11" s="102">
        <f>IF($P$3="X",[1]MATRICE!TAR_AUTRE_FOURNITURES_2,"")</f>
        <v>309.61</v>
      </c>
      <c r="I11" s="103">
        <f t="shared" si="2"/>
        <v>0</v>
      </c>
      <c r="J11" s="104">
        <f t="shared" si="3"/>
        <v>95.13</v>
      </c>
      <c r="K11" s="101">
        <f>[1]BUDGET!TAR_BUDGET_AUTRE_F</f>
        <v>300</v>
      </c>
      <c r="L11" s="102" t="str">
        <f>IF($Q$3="X",[1]MATRICE!TAR_AUTRE_FOURNITURES_3,"")</f>
        <v/>
      </c>
      <c r="M11" s="103" t="str">
        <f t="shared" si="4"/>
        <v/>
      </c>
      <c r="N11" s="104" t="str">
        <f t="shared" si="5"/>
        <v/>
      </c>
      <c r="O11" s="106"/>
    </row>
    <row r="12" spans="1:19" ht="18" customHeight="1" x14ac:dyDescent="0.25">
      <c r="A12" s="107" t="s">
        <v>46</v>
      </c>
      <c r="B12" s="108"/>
      <c r="C12" s="109">
        <f>([1]BUDGET!TAR_BUDGET_PHARMACIE/11)*4</f>
        <v>145.44999999999999</v>
      </c>
      <c r="D12" s="110">
        <f>[1]MATRICE!TAR_PHARMACIE_1</f>
        <v>74.37</v>
      </c>
      <c r="E12" s="111">
        <f t="shared" si="0"/>
        <v>71.08</v>
      </c>
      <c r="F12" s="112" t="str">
        <f t="shared" si="1"/>
        <v/>
      </c>
      <c r="G12" s="109">
        <f>([1]BUDGET!TAR_BUDGET_PHARMACIE/11.19)*8</f>
        <v>285.97000000000003</v>
      </c>
      <c r="H12" s="110">
        <f>IF($P$3="X",[1]MATRICE!TAR_PHARMACIE_2,"")</f>
        <v>89.11</v>
      </c>
      <c r="I12" s="111">
        <f t="shared" si="2"/>
        <v>196.86</v>
      </c>
      <c r="J12" s="115" t="str">
        <f t="shared" si="3"/>
        <v/>
      </c>
      <c r="K12" s="109">
        <f>[1]BUDGET!TAR_BUDGET_PHARMACIE</f>
        <v>400</v>
      </c>
      <c r="L12" s="110" t="str">
        <f>IF($Q$3="X",[1]MATRICE!TAR_PHARMACIE_3,"")</f>
        <v/>
      </c>
      <c r="M12" s="111" t="str">
        <f t="shared" si="4"/>
        <v/>
      </c>
      <c r="N12" s="112" t="str">
        <f t="shared" si="5"/>
        <v/>
      </c>
      <c r="O12" s="114"/>
    </row>
    <row r="13" spans="1:19" ht="18" customHeight="1" x14ac:dyDescent="0.25">
      <c r="A13" s="99" t="s">
        <v>47</v>
      </c>
      <c r="B13" s="100">
        <f>'[2]CHARGE '!TAR_STOCK_ENTRETIEN_N1</f>
        <v>1465</v>
      </c>
      <c r="C13" s="101">
        <f>([1]BUDGET!TAR_BUDGET_P_ENTRETIEN/11)*4</f>
        <v>836.36</v>
      </c>
      <c r="D13" s="102">
        <f>[1]MATRICE!TAR_PRODUITS_ENTRETIEN_1</f>
        <v>2115.7399999999998</v>
      </c>
      <c r="E13" s="103">
        <f t="shared" si="0"/>
        <v>0</v>
      </c>
      <c r="F13" s="104">
        <f t="shared" si="1"/>
        <v>1279.3800000000001</v>
      </c>
      <c r="G13" s="101">
        <f>([1]BUDGET!TAR_BUDGET_P_ENTRETIEN/11.19)*8</f>
        <v>1644.33</v>
      </c>
      <c r="H13" s="102">
        <f>IF($P$3="X",[1]MATRICE!TAR_PRODUITS_ENTRETIEN_2,"")</f>
        <v>2753.28</v>
      </c>
      <c r="I13" s="103">
        <f t="shared" si="2"/>
        <v>0</v>
      </c>
      <c r="J13" s="105">
        <f t="shared" si="3"/>
        <v>1108.95</v>
      </c>
      <c r="K13" s="101">
        <f>[1]BUDGET!TAR_BUDGET_P_ENTRETIEN</f>
        <v>2300</v>
      </c>
      <c r="L13" s="102" t="str">
        <f>IF($Q$3="X",[1]MATRICE!TAR_PRODUITS_ENTRETIEN_3,"")</f>
        <v/>
      </c>
      <c r="M13" s="103" t="str">
        <f t="shared" si="4"/>
        <v/>
      </c>
      <c r="N13" s="104" t="str">
        <f t="shared" si="5"/>
        <v/>
      </c>
      <c r="O13" s="106">
        <f>'[2]CHARGE '!TAR_STOCK_ENTRETIEN</f>
        <v>0</v>
      </c>
    </row>
    <row r="14" spans="1:19" ht="18" customHeight="1" x14ac:dyDescent="0.25">
      <c r="A14" s="107" t="s">
        <v>48</v>
      </c>
      <c r="B14" s="108">
        <f>'[3]CHARGE '!TAR_STOCK_CHANGES_N1</f>
        <v>579</v>
      </c>
      <c r="C14" s="109">
        <f>([1]BUDGET!TAR_BUDGET_COUCHES/11)*4</f>
        <v>1090.9100000000001</v>
      </c>
      <c r="D14" s="110">
        <f>[1]MATRICE!TAR_COUCHES_1</f>
        <v>1511.84</v>
      </c>
      <c r="E14" s="111">
        <f t="shared" si="0"/>
        <v>0</v>
      </c>
      <c r="F14" s="112">
        <f t="shared" si="1"/>
        <v>420.93</v>
      </c>
      <c r="G14" s="109">
        <f>([1]BUDGET!TAR_BUDGET_COUCHES/11.19)*8</f>
        <v>2144.77</v>
      </c>
      <c r="H14" s="110">
        <f>IF($P$3="X",[1]MATRICE!TAR_COUCHES_2,"")</f>
        <v>2432.15</v>
      </c>
      <c r="I14" s="111">
        <f t="shared" si="2"/>
        <v>0</v>
      </c>
      <c r="J14" s="113">
        <f t="shared" si="3"/>
        <v>287.38</v>
      </c>
      <c r="K14" s="109">
        <f>[1]BUDGET!TAR_BUDGET_COUCHES</f>
        <v>3000</v>
      </c>
      <c r="L14" s="110" t="str">
        <f>IF($Q$3="X",[1]MATRICE!TAR_COUCHES_3,"")</f>
        <v/>
      </c>
      <c r="M14" s="111" t="str">
        <f t="shared" si="4"/>
        <v/>
      </c>
      <c r="N14" s="112" t="str">
        <f t="shared" si="5"/>
        <v/>
      </c>
      <c r="O14" s="114">
        <f>'[3]CHARGE '!TAR_STOCK_CHANGES</f>
        <v>0</v>
      </c>
    </row>
    <row r="15" spans="1:19" ht="18" customHeight="1" x14ac:dyDescent="0.25">
      <c r="A15" s="99" t="s">
        <v>49</v>
      </c>
      <c r="B15" s="100"/>
      <c r="C15" s="101">
        <f>([1]BUDGET!TAR_BUDGET_ALIM/11)*4</f>
        <v>5090.91</v>
      </c>
      <c r="D15" s="102">
        <f>[1]MATRICE!TAR_ALIMENTATION_1</f>
        <v>5679.33</v>
      </c>
      <c r="E15" s="103">
        <f t="shared" si="0"/>
        <v>0</v>
      </c>
      <c r="F15" s="104">
        <f t="shared" si="1"/>
        <v>588.41999999999996</v>
      </c>
      <c r="G15" s="101">
        <f>([1]BUDGET!TAR_BUDGET_ALIM/11.19)*8</f>
        <v>10008.94</v>
      </c>
      <c r="H15" s="102">
        <f>IF($P$3="X",[1]MATRICE!TAR_ALIMENTATION_2,"")</f>
        <v>8231.11</v>
      </c>
      <c r="I15" s="103">
        <f t="shared" si="2"/>
        <v>1777.83</v>
      </c>
      <c r="J15" s="105" t="str">
        <f t="shared" si="3"/>
        <v/>
      </c>
      <c r="K15" s="101">
        <f>[1]BUDGET!TAR_BUDGET_ALIM</f>
        <v>14000</v>
      </c>
      <c r="L15" s="102" t="str">
        <f>IF($Q$3="X",[1]MATRICE!TAR_ALIMENTATION_3,"")</f>
        <v/>
      </c>
      <c r="M15" s="103" t="str">
        <f t="shared" si="4"/>
        <v/>
      </c>
      <c r="N15" s="104" t="str">
        <f t="shared" si="5"/>
        <v/>
      </c>
      <c r="O15" s="106"/>
    </row>
    <row r="16" spans="1:19" ht="18" customHeight="1" x14ac:dyDescent="0.25">
      <c r="A16" s="107" t="s">
        <v>50</v>
      </c>
      <c r="B16" s="108"/>
      <c r="C16" s="109">
        <f>([1]BUDGET!TAR_BUDGET_ANIM/11)*4</f>
        <v>1781.82</v>
      </c>
      <c r="D16" s="110">
        <f>[1]MATRICE!TAR_ANIMATION_1</f>
        <v>1545.21</v>
      </c>
      <c r="E16" s="111">
        <f t="shared" si="0"/>
        <v>236.61</v>
      </c>
      <c r="F16" s="112" t="str">
        <f t="shared" si="1"/>
        <v/>
      </c>
      <c r="G16" s="109">
        <f>([1]BUDGET!TAR_BUDGET_ANIM/11.19)*8</f>
        <v>3503.13</v>
      </c>
      <c r="H16" s="110">
        <f>IF($P$3="X",[1]MATRICE!TAR_ANIMATION_2,"")</f>
        <v>2730.21</v>
      </c>
      <c r="I16" s="111">
        <f t="shared" si="2"/>
        <v>772.92</v>
      </c>
      <c r="J16" s="113" t="str">
        <f t="shared" si="3"/>
        <v/>
      </c>
      <c r="K16" s="109">
        <f>[1]BUDGET!TAR_BUDGET_ANIM</f>
        <v>4900</v>
      </c>
      <c r="L16" s="110" t="str">
        <f>IF($Q$3="X",[1]MATRICE!TAR_ANIMATION_3,"")</f>
        <v/>
      </c>
      <c r="M16" s="111" t="str">
        <f t="shared" si="4"/>
        <v/>
      </c>
      <c r="N16" s="112" t="str">
        <f t="shared" si="5"/>
        <v/>
      </c>
      <c r="O16" s="114"/>
    </row>
    <row r="17" spans="1:18" ht="18" customHeight="1" x14ac:dyDescent="0.25">
      <c r="A17" s="99" t="s">
        <v>51</v>
      </c>
      <c r="B17" s="100"/>
      <c r="C17" s="101">
        <f>([1]BUDGET!TAR_BUDGET_ENT_REP/11)*4</f>
        <v>1818.18</v>
      </c>
      <c r="D17" s="102">
        <f>[1]MATRICE!TAR_ENTRETIEN_REPARATION_1</f>
        <v>1065.4100000000001</v>
      </c>
      <c r="E17" s="103">
        <f t="shared" si="0"/>
        <v>752.77</v>
      </c>
      <c r="F17" s="104" t="str">
        <f t="shared" si="1"/>
        <v/>
      </c>
      <c r="G17" s="101">
        <f>([1]BUDGET!TAR_BUDGET_ENT_REP/11.19)*8</f>
        <v>3574.62</v>
      </c>
      <c r="H17" s="102">
        <f>IF($P$3="X",[1]MATRICE!TAR_ENTRETIEN_REPARATION_2,"")</f>
        <v>1825.91</v>
      </c>
      <c r="I17" s="103">
        <f t="shared" si="2"/>
        <v>1748.71</v>
      </c>
      <c r="J17" s="105" t="str">
        <f t="shared" si="3"/>
        <v/>
      </c>
      <c r="K17" s="101">
        <f>[1]BUDGET!TAR_BUDGET_ENT_REP</f>
        <v>5000</v>
      </c>
      <c r="L17" s="102" t="str">
        <f>IF($Q$3="X",[1]MATRICE!TAR_ENTRETIEN_REPARATION_3,"")</f>
        <v/>
      </c>
      <c r="M17" s="103" t="str">
        <f t="shared" si="4"/>
        <v/>
      </c>
      <c r="N17" s="104" t="str">
        <f t="shared" si="5"/>
        <v/>
      </c>
      <c r="O17" s="106"/>
      <c r="R17" s="116"/>
    </row>
    <row r="18" spans="1:18" ht="18" customHeight="1" x14ac:dyDescent="0.25">
      <c r="A18" s="107" t="s">
        <v>52</v>
      </c>
      <c r="B18" s="108"/>
      <c r="C18" s="109">
        <f>([1]BUDGET!TAR_BUDGET_MAINTENANCE/12)*4</f>
        <v>5249.33</v>
      </c>
      <c r="D18" s="110">
        <f>[1]MATRICE!TAR_MAINTENANCE_1</f>
        <v>5545.14</v>
      </c>
      <c r="E18" s="111">
        <f t="shared" si="0"/>
        <v>0</v>
      </c>
      <c r="F18" s="112">
        <f t="shared" si="1"/>
        <v>295.81</v>
      </c>
      <c r="G18" s="109">
        <f>([1]BUDGET!TAR_BUDGET_MAINTENANCE/12)*8</f>
        <v>10498.67</v>
      </c>
      <c r="H18" s="110">
        <f>IF($P$3="X",[1]MATRICE!TAR_MAINTENANCE_2,"")</f>
        <v>10610.55</v>
      </c>
      <c r="I18" s="111">
        <f t="shared" si="2"/>
        <v>0</v>
      </c>
      <c r="J18" s="112">
        <f t="shared" si="3"/>
        <v>111.88</v>
      </c>
      <c r="K18" s="109">
        <f>[1]BUDGET!TAR_BUDGET_MAINTENANCE</f>
        <v>15748</v>
      </c>
      <c r="L18" s="110" t="str">
        <f>IF($Q$3="X",[1]MATRICE!TAR_MAINTENANCE_3,"")</f>
        <v/>
      </c>
      <c r="M18" s="111" t="str">
        <f t="shared" si="4"/>
        <v/>
      </c>
      <c r="N18" s="112" t="str">
        <f t="shared" si="5"/>
        <v/>
      </c>
      <c r="O18" s="114"/>
    </row>
    <row r="19" spans="1:18" ht="18" customHeight="1" x14ac:dyDescent="0.25">
      <c r="A19" s="99" t="s">
        <v>53</v>
      </c>
      <c r="B19" s="100"/>
      <c r="C19" s="101">
        <f>([1]BUDGET!TAR_BUDGET_DOC/12)*4</f>
        <v>116.67</v>
      </c>
      <c r="D19" s="102">
        <f>[1]MATRICE!TAR_DOCUMENTATION_1</f>
        <v>75.069999999999993</v>
      </c>
      <c r="E19" s="103">
        <f t="shared" si="0"/>
        <v>41.6</v>
      </c>
      <c r="F19" s="104" t="str">
        <f t="shared" si="1"/>
        <v/>
      </c>
      <c r="G19" s="101">
        <f>([1]BUDGET!TAR_BUDGET_DOC/12)*8</f>
        <v>233.33</v>
      </c>
      <c r="H19" s="102">
        <f>IF($P$3="X",[1]MATRICE!TAR_DOCUMENTATION_2,"")</f>
        <v>200.67</v>
      </c>
      <c r="I19" s="103">
        <f t="shared" si="2"/>
        <v>32.659999999999997</v>
      </c>
      <c r="J19" s="117" t="str">
        <f t="shared" si="3"/>
        <v/>
      </c>
      <c r="K19" s="101">
        <f>[1]BUDGET!TAR_BUDGET_DOC</f>
        <v>350</v>
      </c>
      <c r="L19" s="102" t="str">
        <f>IF($Q$3="X",[1]MATRICE!TAR_DOCUMENTATION_3,"")</f>
        <v/>
      </c>
      <c r="M19" s="103" t="str">
        <f t="shared" si="4"/>
        <v/>
      </c>
      <c r="N19" s="104" t="str">
        <f t="shared" si="5"/>
        <v/>
      </c>
      <c r="O19" s="106"/>
    </row>
    <row r="20" spans="1:18" ht="18" customHeight="1" x14ac:dyDescent="0.25">
      <c r="A20" s="107" t="s">
        <v>54</v>
      </c>
      <c r="B20" s="108"/>
      <c r="C20" s="109">
        <f>([1]BUDGET!TAR_BUDGET_COLLOQUE/11)*4</f>
        <v>54.55</v>
      </c>
      <c r="D20" s="110">
        <f>[1]MATRICE!TAR_COLLOQUES_1</f>
        <v>0</v>
      </c>
      <c r="E20" s="111">
        <f t="shared" si="0"/>
        <v>54.55</v>
      </c>
      <c r="F20" s="112" t="str">
        <f t="shared" si="1"/>
        <v/>
      </c>
      <c r="G20" s="109">
        <f>([1]BUDGET!TAR_BUDGET_COLLOQUE/11.19)*8</f>
        <v>107.24</v>
      </c>
      <c r="H20" s="110">
        <f>IF($P$3="X",[1]MATRICE!TAR_COLLOQUES_2,"")</f>
        <v>0</v>
      </c>
      <c r="I20" s="111">
        <f t="shared" si="2"/>
        <v>107.24</v>
      </c>
      <c r="J20" s="113" t="str">
        <f t="shared" si="3"/>
        <v/>
      </c>
      <c r="K20" s="109">
        <f>[1]BUDGET!TAR_BUDGET_COLLOQUE</f>
        <v>150</v>
      </c>
      <c r="L20" s="110" t="str">
        <f>IF($Q$3="X",[1]MATRICE!TAR_COLLOQUES_3,"")</f>
        <v/>
      </c>
      <c r="M20" s="111" t="str">
        <f t="shared" si="4"/>
        <v/>
      </c>
      <c r="N20" s="112" t="str">
        <f t="shared" si="5"/>
        <v/>
      </c>
      <c r="O20" s="114"/>
    </row>
    <row r="21" spans="1:18" ht="18" customHeight="1" x14ac:dyDescent="0.25">
      <c r="A21" s="99" t="s">
        <v>55</v>
      </c>
      <c r="B21" s="100"/>
      <c r="C21" s="101">
        <f>([1]BUDGET!TAR_BUDGET_INTERIM/11)*4</f>
        <v>363.64</v>
      </c>
      <c r="D21" s="102">
        <f>[1]MATRICE!TAR_INTERIM_1</f>
        <v>1009.66</v>
      </c>
      <c r="E21" s="103">
        <f t="shared" si="0"/>
        <v>0</v>
      </c>
      <c r="F21" s="104">
        <f t="shared" si="1"/>
        <v>646.02</v>
      </c>
      <c r="G21" s="101">
        <f>([1]BUDGET!TAR_BUDGET_INTERIM/11.19)*8</f>
        <v>714.92</v>
      </c>
      <c r="H21" s="102">
        <f>IF($P$3="X",[1]MATRICE!TAR_INTERIM_2,"")</f>
        <v>2291.02</v>
      </c>
      <c r="I21" s="103">
        <f t="shared" si="2"/>
        <v>0</v>
      </c>
      <c r="J21" s="104">
        <f t="shared" si="3"/>
        <v>1576.1</v>
      </c>
      <c r="K21" s="101">
        <f>[1]BUDGET!TAR_BUDGET_INTERIM</f>
        <v>1000</v>
      </c>
      <c r="L21" s="102" t="str">
        <f>IF($Q$3="X",[1]MATRICE!TAR_INTERIM_3,"")</f>
        <v/>
      </c>
      <c r="M21" s="103" t="str">
        <f t="shared" si="4"/>
        <v/>
      </c>
      <c r="N21" s="104" t="str">
        <f t="shared" si="5"/>
        <v/>
      </c>
      <c r="O21" s="106"/>
    </row>
    <row r="22" spans="1:18" ht="18" customHeight="1" x14ac:dyDescent="0.25">
      <c r="A22" s="107" t="s">
        <v>56</v>
      </c>
      <c r="B22" s="108"/>
      <c r="C22" s="109">
        <f>([1]BUDGET!TAR_BUDGET_HONORAIRES/11)*4</f>
        <v>1440</v>
      </c>
      <c r="D22" s="110">
        <f>[1]MATRICE!TAR_HONORAIRES_1</f>
        <v>920</v>
      </c>
      <c r="E22" s="111">
        <f t="shared" si="0"/>
        <v>520</v>
      </c>
      <c r="F22" s="112" t="str">
        <f t="shared" si="1"/>
        <v/>
      </c>
      <c r="G22" s="109">
        <f>([1]BUDGET!TAR_BUDGET_HONORAIRES/11.19)*8</f>
        <v>2831.1</v>
      </c>
      <c r="H22" s="110">
        <f>IF($P$3="X",[1]MATRICE!TAR_HONORAIRES_2,"")</f>
        <v>982.5</v>
      </c>
      <c r="I22" s="111">
        <f t="shared" si="2"/>
        <v>1848.6</v>
      </c>
      <c r="J22" s="115" t="str">
        <f t="shared" si="3"/>
        <v/>
      </c>
      <c r="K22" s="109">
        <f>[1]BUDGET!TAR_BUDGET_HONORAIRES</f>
        <v>3960</v>
      </c>
      <c r="L22" s="110" t="str">
        <f>IF($Q$3="X",[1]MATRICE!TAR_HONORAIRES_3,"")</f>
        <v/>
      </c>
      <c r="M22" s="111" t="str">
        <f t="shared" si="4"/>
        <v/>
      </c>
      <c r="N22" s="112" t="str">
        <f t="shared" si="5"/>
        <v/>
      </c>
      <c r="O22" s="114"/>
    </row>
    <row r="23" spans="1:18" ht="18" customHeight="1" x14ac:dyDescent="0.25">
      <c r="A23" s="99" t="s">
        <v>57</v>
      </c>
      <c r="B23" s="100"/>
      <c r="C23" s="101">
        <f>([1]BUDGET!TAR_BUDGET_CONTENTIEUX/11)*4</f>
        <v>90.91</v>
      </c>
      <c r="D23" s="102">
        <f>[1]MATRICE!TAR_CONTENTIEUX_1</f>
        <v>0</v>
      </c>
      <c r="E23" s="103">
        <f t="shared" si="0"/>
        <v>90.91</v>
      </c>
      <c r="F23" s="104" t="str">
        <f t="shared" si="1"/>
        <v/>
      </c>
      <c r="G23" s="101">
        <f>([1]BUDGET!TAR_BUDGET_CONTENTIEUX/11.19)*8</f>
        <v>178.73</v>
      </c>
      <c r="H23" s="102">
        <f>IF($P$3="X",[1]MATRICE!TAR_CONTENTIEUX_2,"")</f>
        <v>0</v>
      </c>
      <c r="I23" s="103">
        <f t="shared" si="2"/>
        <v>178.73</v>
      </c>
      <c r="J23" s="105" t="str">
        <f t="shared" si="3"/>
        <v/>
      </c>
      <c r="K23" s="101">
        <f>[1]BUDGET!TAR_BUDGET_CONTENTIEUX</f>
        <v>250</v>
      </c>
      <c r="L23" s="102" t="str">
        <f>IF($Q$3="X",[1]MATRICE!TAR_CONTENTIEUX_3,"")</f>
        <v/>
      </c>
      <c r="M23" s="103" t="str">
        <f t="shared" si="4"/>
        <v/>
      </c>
      <c r="N23" s="104" t="str">
        <f t="shared" si="5"/>
        <v/>
      </c>
      <c r="O23" s="106"/>
    </row>
    <row r="24" spans="1:18" ht="18" customHeight="1" x14ac:dyDescent="0.25">
      <c r="A24" s="107" t="s">
        <v>58</v>
      </c>
      <c r="B24" s="108"/>
      <c r="C24" s="109">
        <f>([1]BUDGET!TAR_BUDGET_PUBLICATION/11)*4</f>
        <v>90.91</v>
      </c>
      <c r="D24" s="110">
        <f>[1]MATRICE!TAR_FRAIS_PUBLICATION_1</f>
        <v>0</v>
      </c>
      <c r="E24" s="111">
        <f t="shared" si="0"/>
        <v>90.91</v>
      </c>
      <c r="F24" s="112" t="str">
        <f t="shared" si="1"/>
        <v/>
      </c>
      <c r="G24" s="109">
        <f>([1]BUDGET!TAR_BUDGET_PUBLICATION/11.19)*8</f>
        <v>178.73</v>
      </c>
      <c r="H24" s="110">
        <f>IF($P$3="X",[1]MATRICE!TAR_FRAIS_PUBLICATION_2,"")</f>
        <v>0</v>
      </c>
      <c r="I24" s="111">
        <f t="shared" si="2"/>
        <v>178.73</v>
      </c>
      <c r="J24" s="113" t="str">
        <f t="shared" si="3"/>
        <v/>
      </c>
      <c r="K24" s="109">
        <f>[1]BUDGET!TAR_BUDGET_PUBLICATION</f>
        <v>250</v>
      </c>
      <c r="L24" s="110" t="str">
        <f>IF($Q$3="X",[1]MATRICE!TAR_FRAIS_PUBLICATION_3,"")</f>
        <v/>
      </c>
      <c r="M24" s="111" t="str">
        <f t="shared" si="4"/>
        <v/>
      </c>
      <c r="N24" s="112" t="str">
        <f t="shared" si="5"/>
        <v/>
      </c>
      <c r="O24" s="114"/>
    </row>
    <row r="25" spans="1:18" ht="18" customHeight="1" x14ac:dyDescent="0.25">
      <c r="A25" s="99" t="s">
        <v>59</v>
      </c>
      <c r="B25" s="100"/>
      <c r="C25" s="101">
        <f>([1]BUDGET!TAR_BUDGET_MISSIONS/11)*4</f>
        <v>145.44999999999999</v>
      </c>
      <c r="D25" s="102">
        <f>+[1]MATRICE!TAR_DEPLACEMENT_RECEPTION_1</f>
        <v>198.4</v>
      </c>
      <c r="E25" s="103">
        <f t="shared" si="0"/>
        <v>0</v>
      </c>
      <c r="F25" s="104">
        <f t="shared" si="1"/>
        <v>52.95</v>
      </c>
      <c r="G25" s="101">
        <f>([1]BUDGET!TAR_BUDGET_MISSIONS/11.19)*8</f>
        <v>285.97000000000003</v>
      </c>
      <c r="H25" s="102">
        <f>IF($P$3="X",[1]MATRICE!TAR_DEPLACEMENT_RECEPTION_2,"")</f>
        <v>259.89</v>
      </c>
      <c r="I25" s="103">
        <f t="shared" si="2"/>
        <v>26.08</v>
      </c>
      <c r="J25" s="104" t="str">
        <f t="shared" si="3"/>
        <v/>
      </c>
      <c r="K25" s="101">
        <f>[1]BUDGET!TAR_BUDGET_MISSIONS</f>
        <v>400</v>
      </c>
      <c r="L25" s="102" t="str">
        <f>IF($Q$3="X",[1]MATRICE!TAR_DEPLACEMENT_RECEPTION_3,"")</f>
        <v/>
      </c>
      <c r="M25" s="103" t="str">
        <f t="shared" si="4"/>
        <v/>
      </c>
      <c r="N25" s="104" t="str">
        <f t="shared" si="5"/>
        <v/>
      </c>
      <c r="O25" s="106"/>
    </row>
    <row r="26" spans="1:18" ht="18" customHeight="1" x14ac:dyDescent="0.25">
      <c r="A26" s="118" t="s">
        <v>60</v>
      </c>
      <c r="B26" s="119"/>
      <c r="C26" s="120">
        <f>([1]BUDGET!TAR_BUDGET_TELECOM/11)*4</f>
        <v>400</v>
      </c>
      <c r="D26" s="121">
        <f>[1]MATRICE!TAR_FRAIS_POSTAUX_TELECOM_1</f>
        <v>336.79</v>
      </c>
      <c r="E26" s="122">
        <f t="shared" si="0"/>
        <v>63.21</v>
      </c>
      <c r="F26" s="123" t="str">
        <f t="shared" si="1"/>
        <v/>
      </c>
      <c r="G26" s="120">
        <f>([1]BUDGET!TAR_BUDGET_TELECOM/11.19)*8</f>
        <v>786.42</v>
      </c>
      <c r="H26" s="121">
        <f>IF($P$3="X",[1]MATRICE!TAR_FRAIS_POSTAUX_TELECOM_2,"")</f>
        <v>522.58000000000004</v>
      </c>
      <c r="I26" s="122">
        <f t="shared" si="2"/>
        <v>263.83999999999997</v>
      </c>
      <c r="J26" s="123" t="str">
        <f t="shared" si="3"/>
        <v/>
      </c>
      <c r="K26" s="120">
        <f>[1]BUDGET!TAR_BUDGET_TELECOM</f>
        <v>1100</v>
      </c>
      <c r="L26" s="121" t="str">
        <f>IF($Q$3="X",[1]MATRICE!TAR_FRAIS_POSTAUX_TELECOM_3,"")</f>
        <v/>
      </c>
      <c r="M26" s="122" t="str">
        <f t="shared" si="4"/>
        <v/>
      </c>
      <c r="N26" s="123" t="str">
        <f t="shared" si="5"/>
        <v/>
      </c>
      <c r="O26" s="124"/>
    </row>
  </sheetData>
  <mergeCells count="18">
    <mergeCell ref="O3:O4"/>
    <mergeCell ref="H3:H4"/>
    <mergeCell ref="I3:I4"/>
    <mergeCell ref="J3:J4"/>
    <mergeCell ref="K3:K4"/>
    <mergeCell ref="L3:L4"/>
    <mergeCell ref="M3:M4"/>
    <mergeCell ref="C2:F2"/>
    <mergeCell ref="G2:J2"/>
    <mergeCell ref="K2:N2"/>
    <mergeCell ref="A3:A4"/>
    <mergeCell ref="B3:B4"/>
    <mergeCell ref="C3:C4"/>
    <mergeCell ref="D3:D4"/>
    <mergeCell ref="E3:E4"/>
    <mergeCell ref="F3:F4"/>
    <mergeCell ref="G3:G4"/>
    <mergeCell ref="N3:N4"/>
  </mergeCells>
  <conditionalFormatting sqref="E11:E26 I11:I26 M11:M26">
    <cfRule type="expression" dxfId="716" priority="1">
      <formula>E11:E31=0</formula>
    </cfRule>
  </conditionalFormatting>
  <conditionalFormatting sqref="E5:E10 I5:I10 M5:M10">
    <cfRule type="expression" dxfId="715" priority="2">
      <formula>E5:E26=0</formula>
    </cfRule>
  </conditionalFormatting>
  <dataValidations count="1">
    <dataValidation type="list" allowBlank="1" showInputMessage="1" showErrorMessage="1" sqref="P3:Q3">
      <formula1>$S$3:$S$4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8" r:id="rId3" name="CommandButton1">
          <controlPr autoLine="0" r:id="rId4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876300</xdr:colOff>
                <xdr:row>1</xdr:row>
                <xdr:rowOff>76200</xdr:rowOff>
              </to>
            </anchor>
          </controlPr>
        </control>
      </mc:Choice>
      <mc:Fallback>
        <control shapeId="1433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8"/>
  <sheetViews>
    <sheetView showGridLines="0" workbookViewId="0">
      <selection activeCell="B6" sqref="B6:E17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+BUDGET!K6</f>
        <v>650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IF(F_EDUC[[#This Row],[J]]="CAT","FACTURE CAISSE","")</f>
        <v/>
      </c>
      <c r="B6" s="66"/>
      <c r="C6" s="67"/>
      <c r="D6" s="68"/>
      <c r="E6" s="69"/>
      <c r="F6" s="69"/>
      <c r="G6" s="47"/>
      <c r="H6" s="48"/>
      <c r="I6" s="17"/>
      <c r="J6" s="7"/>
      <c r="K6" s="12"/>
      <c r="L6" s="9"/>
      <c r="M6" s="10" t="str">
        <f>IF(AND(F_EDUC[[#This Row],[FOURNISSEURS]]&gt;1,F_EDUC[[#This Row],[Colonne2]]=""),"NON",IF(AND(F_EDUC[[#This Row],[FOURNISSEURS]]&gt;1,F_EDUC[[#This Row],[Colonne2]]="X"),"OUI",""))</f>
        <v/>
      </c>
      <c r="N6" s="5"/>
    </row>
    <row r="7" spans="1:18" ht="16.5" thickTop="1" thickBot="1" x14ac:dyDescent="0.3">
      <c r="A7" s="41" t="str">
        <f>IF(F_EDUC[[#This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IF(AND(F_EDUC[[#This Row],[FOURNISSEURS]]&gt;1,F_EDUC[[#This Row],[Colonne2]]=""),"NON",IF(AND(F_EDUC[[#This Row],[FOURNISSEURS]]&gt;1,F_EDUC[[#This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IF(F_EDUC[[#This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IF(AND(F_EDUC[[#This Row],[FOURNISSEURS]]&gt;1,F_EDUC[[#This Row],[Colonne2]]=""),"NON",IF(AND(F_EDUC[[#This Row],[FOURNISSEURS]]&gt;1,F_EDUC[[#This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IF(F_EDUC[[#This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IF(AND(F_EDUC[[#This Row],[FOURNISSEURS]]&gt;1,F_EDUC[[#This Row],[Colonne2]]=""),"NON",IF(AND(F_EDUC[[#This Row],[FOURNISSEURS]]&gt;1,F_EDUC[[#This Row],[Colonne2]]="X"),"OUI",""))</f>
        <v/>
      </c>
      <c r="N9" s="5"/>
    </row>
    <row r="10" spans="1:18" ht="16.5" thickTop="1" thickBot="1" x14ac:dyDescent="0.3">
      <c r="A10" s="19" t="str">
        <f>IF(F_EDUC[[#This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IF(AND(F_EDUC[[#This Row],[FOURNISSEURS]]&gt;1,F_EDUC[[#This Row],[Colonne2]]=""),"NON",IF(AND(F_EDUC[[#This Row],[FOURNISSEURS]]&gt;1,F_EDUC[[#This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IF(F_EDUC[[#This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IF(AND(F_EDUC[[#This Row],[FOURNISSEURS]]&gt;1,F_EDUC[[#This Row],[Colonne2]]=""),"NON",IF(AND(F_EDUC[[#This Row],[FOURNISSEURS]]&gt;1,F_EDUC[[#This Row],[Colonne2]]="X"),"OUI",""))</f>
        <v/>
      </c>
      <c r="N11" s="5"/>
    </row>
    <row r="12" spans="1:18" ht="16.5" thickTop="1" thickBot="1" x14ac:dyDescent="0.3">
      <c r="A12" s="19" t="str">
        <f>IF(F_EDUC[[#This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IF(AND(F_EDUC[[#This Row],[FOURNISSEURS]]&gt;1,F_EDUC[[#This Row],[Colonne2]]=""),"NON",IF(AND(F_EDUC[[#This Row],[FOURNISSEURS]]&gt;1,F_EDUC[[#This Row],[Colonne2]]="X"),"OUI",""))</f>
        <v/>
      </c>
      <c r="N12" s="5"/>
    </row>
    <row r="13" spans="1:18" ht="16.5" thickTop="1" thickBot="1" x14ac:dyDescent="0.3">
      <c r="A13" s="19" t="str">
        <f>IF(F_EDUC[[#This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IF(AND(F_EDUC[[#This Row],[FOURNISSEURS]]&gt;1,F_EDUC[[#This Row],[Colonne2]]=""),"NON",IF(AND(F_EDUC[[#This Row],[FOURNISSEURS]]&gt;1,F_EDUC[[#This Row],[Colonne2]]="X"),"OUI",""))</f>
        <v/>
      </c>
      <c r="N13" s="5"/>
    </row>
    <row r="14" spans="1:18" ht="16.5" thickTop="1" thickBot="1" x14ac:dyDescent="0.3">
      <c r="A14" s="19" t="str">
        <f>IF(F_EDUC[[#This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IF(AND(F_EDUC[[#This Row],[FOURNISSEURS]]&gt;1,F_EDUC[[#This Row],[Colonne2]]=""),"NON",IF(AND(F_EDUC[[#This Row],[FOURNISSEURS]]&gt;1,F_EDUC[[#This Row],[Colonne2]]="X"),"OUI",""))</f>
        <v/>
      </c>
      <c r="N14" s="5"/>
    </row>
    <row r="15" spans="1:18" ht="16.5" thickTop="1" thickBot="1" x14ac:dyDescent="0.3">
      <c r="A15" s="19" t="str">
        <f>IF(F_EDUC[[#This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IF(AND(F_EDUC[[#This Row],[FOURNISSEURS]]&gt;1,F_EDUC[[#This Row],[Colonne2]]=""),"NON",IF(AND(F_EDUC[[#This Row],[FOURNISSEURS]]&gt;1,F_EDUC[[#This Row],[Colonne2]]="X"),"OUI",""))</f>
        <v/>
      </c>
      <c r="N15" s="5"/>
    </row>
    <row r="16" spans="1:18" ht="16.5" thickTop="1" thickBot="1" x14ac:dyDescent="0.3">
      <c r="A16" s="19" t="str">
        <f>IF(F_EDUC[[#This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IF(AND(F_EDUC[[#This Row],[FOURNISSEURS]]&gt;1,F_EDUC[[#This Row],[Colonne2]]=""),"NON",IF(AND(F_EDUC[[#This Row],[FOURNISSEURS]]&gt;1,F_EDUC[[#This Row],[Colonne2]]="X"),"OUI",""))</f>
        <v/>
      </c>
      <c r="N16" s="5"/>
    </row>
    <row r="17" spans="1:18" ht="16.5" thickTop="1" thickBot="1" x14ac:dyDescent="0.3">
      <c r="A17" s="19" t="str">
        <f>IF(F_EDUC[[#This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IF(AND(F_EDUC[[#This Row],[FOURNISSEURS]]&gt;1,F_EDUC[[#This Row],[Colonne2]]=""),"NON",IF(AND(F_EDUC[[#This Row],[FOURNISSEURS]]&gt;1,F_EDUC[[#This Row],[Colonne2]]="X"),"OUI",""))</f>
        <v/>
      </c>
      <c r="N17" s="5"/>
    </row>
    <row r="18" spans="1:18" ht="16.5" thickTop="1" thickBot="1" x14ac:dyDescent="0.3">
      <c r="A18" s="19" t="str">
        <f>IF(F_EDUC[[#This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IF(AND(F_EDUC[[#This Row],[FOURNISSEURS]]&gt;1,F_EDUC[[#This Row],[Colonne2]]=""),"NON",IF(AND(F_EDUC[[#This Row],[FOURNISSEURS]]&gt;1,F_EDUC[[#This Row],[Colonne2]]="X"),"OUI",""))</f>
        <v/>
      </c>
      <c r="N18" s="5"/>
    </row>
    <row r="19" spans="1:18" ht="16.5" thickTop="1" thickBot="1" x14ac:dyDescent="0.3">
      <c r="A19" s="19" t="str">
        <f>IF(F_EDUC[[#This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IF(AND(F_EDUC[[#This Row],[FOURNISSEURS]]&gt;1,F_EDUC[[#This Row],[Colonne2]]=""),"NON",IF(AND(F_EDUC[[#This Row],[FOURNISSEURS]]&gt;1,F_EDUC[[#This Row],[Colonne2]]="X"),"OUI",""))</f>
        <v/>
      </c>
      <c r="N19" s="5"/>
    </row>
    <row r="20" spans="1:18" ht="16.5" thickTop="1" thickBot="1" x14ac:dyDescent="0.3">
      <c r="A20" s="19" t="str">
        <f>IF(F_EDUC[[#This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IF(AND(F_EDUC[[#This Row],[FOURNISSEURS]]&gt;1,F_EDUC[[#This Row],[Colonne2]]=""),"NON",IF(AND(F_EDUC[[#This Row],[FOURNISSEURS]]&gt;1,F_EDUC[[#This Row],[Colonne2]]="X"),"OUI",""))</f>
        <v/>
      </c>
      <c r="N20" s="5"/>
    </row>
    <row r="21" spans="1:18" ht="16.5" thickTop="1" thickBot="1" x14ac:dyDescent="0.3">
      <c r="A21" s="19" t="str">
        <f>IF(F_EDUC[[#This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IF(AND(F_EDUC[[#This Row],[FOURNISSEURS]]&gt;1,F_EDUC[[#This Row],[Colonne2]]=""),"NON",IF(AND(F_EDUC[[#This Row],[FOURNISSEURS]]&gt;1,F_EDUC[[#This Row],[Colonne2]]="X"),"OUI",""))</f>
        <v/>
      </c>
      <c r="N21" s="5"/>
    </row>
    <row r="22" spans="1:18" ht="16.5" thickTop="1" thickBot="1" x14ac:dyDescent="0.3">
      <c r="A22" s="19" t="str">
        <f>IF(F_EDUC[[#This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IF(AND(F_EDUC[[#This Row],[FOURNISSEURS]]&gt;1,F_EDUC[[#This Row],[Colonne2]]=""),"NON",IF(AND(F_EDUC[[#This Row],[FOURNISSEURS]]&gt;1,F_EDUC[[#This Row],[Colonne2]]="X"),"OUI",""))</f>
        <v/>
      </c>
      <c r="N22" s="5"/>
    </row>
    <row r="23" spans="1:18" ht="16.5" thickTop="1" thickBot="1" x14ac:dyDescent="0.3">
      <c r="A23" s="19" t="str">
        <f>IF(F_EDUC[[#This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IF(AND(F_EDUC[[#This Row],[FOURNISSEURS]]&gt;1,F_EDUC[[#This Row],[Colonne2]]=""),"NON",IF(AND(F_EDUC[[#This Row],[FOURNISSEURS]]&gt;1,F_EDUC[[#This Row],[Colonne2]]="X"),"OUI",""))</f>
        <v/>
      </c>
      <c r="N23" s="5"/>
    </row>
    <row r="24" spans="1:18" ht="15.75" thickTop="1" x14ac:dyDescent="0.25">
      <c r="A24" s="29" t="str">
        <f>IF(F_EDUC[[#This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IF(AND(F_EDUC[[#This Row],[FOURNISSEURS]]&gt;1,F_EDUC[[#This Row],[Colonne2]]=""),"NON",IF(AND(F_EDUC[[#This Row],[FOURNISSEURS]]&gt;1,F_EDUC[[#This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SUBTOTAL(109,F_EDUC[DEBIT])</f>
        <v>0</v>
      </c>
      <c r="F25" s="73">
        <f>SUBTOTAL(109,F_EDUC[CREDIT])</f>
        <v>0</v>
      </c>
      <c r="G25" s="74">
        <f>F_EDUC[[#Totals],[DEBIT]]-F_EDUC[[#Totals],[CREDIT]]</f>
        <v>0</v>
      </c>
      <c r="I25" s="30"/>
      <c r="J25" s="76" t="s">
        <v>26</v>
      </c>
      <c r="K25" s="73">
        <f>SUMIF(M6,"NON",F_EDUC[MONTANT])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IF(F3-F_EDUC[[#Totals],[N° PIECE]]&lt;0,0,F3-F_EDUC[[#Totals],[N° PIECE]])</f>
        <v>650</v>
      </c>
      <c r="F27" s="182"/>
      <c r="G27" s="183" t="s">
        <v>10</v>
      </c>
      <c r="H27" s="184"/>
      <c r="I27" s="184"/>
      <c r="J27" s="184"/>
      <c r="K27" s="185"/>
      <c r="L27" s="186">
        <f>E27-F_EDUC[[#Totals],[MONTANT]]</f>
        <v>650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IF(E27=0,F_EDUC[[#Totals],[N°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714" priority="22">
      <formula>MONTH($B7)=MONTH($B6)</formula>
    </cfRule>
  </conditionalFormatting>
  <conditionalFormatting sqref="J6:M24">
    <cfRule type="expression" dxfId="713" priority="18">
      <formula>$L6=""</formula>
    </cfRule>
    <cfRule type="expression" dxfId="712" priority="19">
      <formula>$L6="NON"</formula>
    </cfRule>
    <cfRule type="expression" dxfId="711" priority="21">
      <formula>$M6="OUI"</formula>
    </cfRule>
  </conditionalFormatting>
  <conditionalFormatting sqref="N6:N24">
    <cfRule type="expression" dxfId="710" priority="20">
      <formula>$N6="X"</formula>
    </cfRule>
  </conditionalFormatting>
  <conditionalFormatting sqref="J25:K25">
    <cfRule type="expression" dxfId="709" priority="17">
      <formula>$K$25=0</formula>
    </cfRule>
  </conditionalFormatting>
  <conditionalFormatting sqref="G27:M27">
    <cfRule type="expression" dxfId="708" priority="16">
      <formula>$K$25=0</formula>
    </cfRule>
  </conditionalFormatting>
  <conditionalFormatting sqref="E27">
    <cfRule type="expression" dxfId="707" priority="14">
      <formula>$E$27=0</formula>
    </cfRule>
    <cfRule type="expression" dxfId="706" priority="15">
      <formula>$E$27&gt;0</formula>
    </cfRule>
  </conditionalFormatting>
  <conditionalFormatting sqref="A27:D27">
    <cfRule type="expression" dxfId="705" priority="2">
      <formula>$E$27&lt;=100</formula>
    </cfRule>
    <cfRule type="expression" dxfId="704" priority="13">
      <formula>$E$27=0</formula>
    </cfRule>
  </conditionalFormatting>
  <conditionalFormatting sqref="J34:J35">
    <cfRule type="expression" dxfId="703" priority="11">
      <formula>$J$36="OUI"</formula>
    </cfRule>
    <cfRule type="expression" dxfId="702" priority="12">
      <formula>$E$36&gt;0</formula>
    </cfRule>
  </conditionalFormatting>
  <conditionalFormatting sqref="J36:J37">
    <cfRule type="expression" dxfId="701" priority="9">
      <formula>$J$36="OUI"</formula>
    </cfRule>
    <cfRule type="expression" dxfId="700" priority="10">
      <formula>$E$36&gt;0</formula>
    </cfRule>
  </conditionalFormatting>
  <conditionalFormatting sqref="J52:J53">
    <cfRule type="expression" dxfId="699" priority="7">
      <formula>$J$54="OUI"</formula>
    </cfRule>
    <cfRule type="expression" dxfId="698" priority="8">
      <formula>$E$54&gt;0</formula>
    </cfRule>
  </conditionalFormatting>
  <conditionalFormatting sqref="J54:J55">
    <cfRule type="expression" dxfId="697" priority="5">
      <formula>$J$54="OUI"</formula>
    </cfRule>
    <cfRule type="expression" dxfId="696" priority="6">
      <formula>$E$54&gt;0</formula>
    </cfRule>
  </conditionalFormatting>
  <conditionalFormatting sqref="L6:L24">
    <cfRule type="expression" dxfId="695" priority="3">
      <formula>$L6="OUI"</formula>
    </cfRule>
    <cfRule type="expression" dxfId="694" priority="4">
      <formula>$J6&gt;0</formula>
    </cfRule>
  </conditionalFormatting>
  <conditionalFormatting sqref="A31:H31">
    <cfRule type="expression" dxfId="693" priority="23">
      <formula>$J$36="OUI"</formula>
    </cfRule>
  </conditionalFormatting>
  <conditionalFormatting sqref="A32:H32">
    <cfRule type="expression" dxfId="692" priority="24">
      <formula>$J$54="OUI"</formula>
    </cfRule>
  </conditionalFormatting>
  <conditionalFormatting sqref="A28:F28">
    <cfRule type="expression" dxfId="691" priority="1">
      <formula>$E$27&gt;0</formula>
    </cfRule>
  </conditionalFormatting>
  <dataValidations count="3">
    <dataValidation type="list" allowBlank="1" showInputMessage="1" showErrorMessage="1" sqref="N6:N24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J36:J37 J54:J55">
      <formula1>$R$32:$R$33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68"/>
  <sheetViews>
    <sheetView showGridLines="0" workbookViewId="0">
      <selection activeCell="B6" sqref="B6:G22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+BUDGET!K7</f>
        <v>2500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IF(PT_EQUIP[[#This Row],[J]]="CAT","FACTURE CAISSE","")</f>
        <v/>
      </c>
      <c r="B6" s="66"/>
      <c r="C6" s="67"/>
      <c r="D6" s="68"/>
      <c r="E6" s="69"/>
      <c r="F6" s="69"/>
      <c r="G6" s="47"/>
      <c r="H6" s="48"/>
      <c r="I6" s="17"/>
      <c r="J6" s="7"/>
      <c r="K6" s="12"/>
      <c r="L6" s="9"/>
      <c r="M6" s="10" t="str">
        <f>IF(AND(PT_EQUIP[[#This Row],[FOURNISSEURS]]&gt;1,PT_EQUIP[[#This Row],[Colonne2]]=""),"NON",IF(AND(PT_EQUIP[[#This Row],[FOURNISSEURS]]&gt;1,PT_EQUIP[[#This Row],[Colonne2]]="X"),"OUI",""))</f>
        <v/>
      </c>
      <c r="N6" s="5"/>
    </row>
    <row r="7" spans="1:18" ht="16.5" thickTop="1" thickBot="1" x14ac:dyDescent="0.3">
      <c r="A7" s="41" t="str">
        <f>IF(PT_EQUIP[[#This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IF(AND(PT_EQUIP[[#This Row],[FOURNISSEURS]]&gt;1,PT_EQUIP[[#This Row],[Colonne2]]=""),"NON",IF(AND(PT_EQUIP[[#This Row],[FOURNISSEURS]]&gt;1,PT_EQUIP[[#This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IF(PT_EQUIP[[#This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IF(AND(PT_EQUIP[[#This Row],[FOURNISSEURS]]&gt;1,PT_EQUIP[[#This Row],[Colonne2]]=""),"NON",IF(AND(PT_EQUIP[[#This Row],[FOURNISSEURS]]&gt;1,PT_EQUIP[[#This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IF(PT_EQUIP[[#This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IF(AND(PT_EQUIP[[#This Row],[FOURNISSEURS]]&gt;1,PT_EQUIP[[#This Row],[Colonne2]]=""),"NON",IF(AND(PT_EQUIP[[#This Row],[FOURNISSEURS]]&gt;1,PT_EQUIP[[#This Row],[Colonne2]]="X"),"OUI",""))</f>
        <v/>
      </c>
      <c r="N9" s="5"/>
    </row>
    <row r="10" spans="1:18" ht="16.5" thickTop="1" thickBot="1" x14ac:dyDescent="0.3">
      <c r="A10" s="19" t="str">
        <f>IF(PT_EQUIP[[#This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IF(AND(PT_EQUIP[[#This Row],[FOURNISSEURS]]&gt;1,PT_EQUIP[[#This Row],[Colonne2]]=""),"NON",IF(AND(PT_EQUIP[[#This Row],[FOURNISSEURS]]&gt;1,PT_EQUIP[[#This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IF(PT_EQUIP[[#This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IF(AND(PT_EQUIP[[#This Row],[FOURNISSEURS]]&gt;1,PT_EQUIP[[#This Row],[Colonne2]]=""),"NON",IF(AND(PT_EQUIP[[#This Row],[FOURNISSEURS]]&gt;1,PT_EQUIP[[#This Row],[Colonne2]]="X"),"OUI",""))</f>
        <v/>
      </c>
      <c r="N11" s="5"/>
    </row>
    <row r="12" spans="1:18" ht="16.5" thickTop="1" thickBot="1" x14ac:dyDescent="0.3">
      <c r="A12" s="19" t="str">
        <f>IF(PT_EQUIP[[#This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IF(AND(PT_EQUIP[[#This Row],[FOURNISSEURS]]&gt;1,PT_EQUIP[[#This Row],[Colonne2]]=""),"NON",IF(AND(PT_EQUIP[[#This Row],[FOURNISSEURS]]&gt;1,PT_EQUIP[[#This Row],[Colonne2]]="X"),"OUI",""))</f>
        <v/>
      </c>
      <c r="N12" s="5"/>
    </row>
    <row r="13" spans="1:18" ht="16.5" thickTop="1" thickBot="1" x14ac:dyDescent="0.3">
      <c r="A13" s="19" t="str">
        <f>IF(PT_EQUIP[[#This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IF(AND(PT_EQUIP[[#This Row],[FOURNISSEURS]]&gt;1,PT_EQUIP[[#This Row],[Colonne2]]=""),"NON",IF(AND(PT_EQUIP[[#This Row],[FOURNISSEURS]]&gt;1,PT_EQUIP[[#This Row],[Colonne2]]="X"),"OUI",""))</f>
        <v/>
      </c>
      <c r="N13" s="5"/>
    </row>
    <row r="14" spans="1:18" ht="16.5" thickTop="1" thickBot="1" x14ac:dyDescent="0.3">
      <c r="A14" s="19" t="str">
        <f>IF(PT_EQUIP[[#This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IF(AND(PT_EQUIP[[#This Row],[FOURNISSEURS]]&gt;1,PT_EQUIP[[#This Row],[Colonne2]]=""),"NON",IF(AND(PT_EQUIP[[#This Row],[FOURNISSEURS]]&gt;1,PT_EQUIP[[#This Row],[Colonne2]]="X"),"OUI",""))</f>
        <v/>
      </c>
      <c r="N14" s="5"/>
    </row>
    <row r="15" spans="1:18" ht="16.5" thickTop="1" thickBot="1" x14ac:dyDescent="0.3">
      <c r="A15" s="19" t="str">
        <f>IF(PT_EQUIP[[#This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IF(AND(PT_EQUIP[[#This Row],[FOURNISSEURS]]&gt;1,PT_EQUIP[[#This Row],[Colonne2]]=""),"NON",IF(AND(PT_EQUIP[[#This Row],[FOURNISSEURS]]&gt;1,PT_EQUIP[[#This Row],[Colonne2]]="X"),"OUI",""))</f>
        <v/>
      </c>
      <c r="N15" s="5"/>
    </row>
    <row r="16" spans="1:18" ht="16.5" thickTop="1" thickBot="1" x14ac:dyDescent="0.3">
      <c r="A16" s="19" t="str">
        <f>IF(PT_EQUIP[[#This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IF(AND(PT_EQUIP[[#This Row],[FOURNISSEURS]]&gt;1,PT_EQUIP[[#This Row],[Colonne2]]=""),"NON",IF(AND(PT_EQUIP[[#This Row],[FOURNISSEURS]]&gt;1,PT_EQUIP[[#This Row],[Colonne2]]="X"),"OUI",""))</f>
        <v/>
      </c>
      <c r="N16" s="5"/>
    </row>
    <row r="17" spans="1:18" ht="16.5" thickTop="1" thickBot="1" x14ac:dyDescent="0.3">
      <c r="A17" s="19" t="str">
        <f>IF(PT_EQUIP[[#This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IF(AND(PT_EQUIP[[#This Row],[FOURNISSEURS]]&gt;1,PT_EQUIP[[#This Row],[Colonne2]]=""),"NON",IF(AND(PT_EQUIP[[#This Row],[FOURNISSEURS]]&gt;1,PT_EQUIP[[#This Row],[Colonne2]]="X"),"OUI",""))</f>
        <v/>
      </c>
      <c r="N17" s="5"/>
    </row>
    <row r="18" spans="1:18" ht="16.5" thickTop="1" thickBot="1" x14ac:dyDescent="0.3">
      <c r="A18" s="19" t="str">
        <f>IF(PT_EQUIP[[#This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IF(AND(PT_EQUIP[[#This Row],[FOURNISSEURS]]&gt;1,PT_EQUIP[[#This Row],[Colonne2]]=""),"NON",IF(AND(PT_EQUIP[[#This Row],[FOURNISSEURS]]&gt;1,PT_EQUIP[[#This Row],[Colonne2]]="X"),"OUI",""))</f>
        <v/>
      </c>
      <c r="N18" s="5"/>
    </row>
    <row r="19" spans="1:18" ht="16.5" thickTop="1" thickBot="1" x14ac:dyDescent="0.3">
      <c r="A19" s="19" t="str">
        <f>IF(PT_EQUIP[[#This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IF(AND(PT_EQUIP[[#This Row],[FOURNISSEURS]]&gt;1,PT_EQUIP[[#This Row],[Colonne2]]=""),"NON",IF(AND(PT_EQUIP[[#This Row],[FOURNISSEURS]]&gt;1,PT_EQUIP[[#This Row],[Colonne2]]="X"),"OUI",""))</f>
        <v/>
      </c>
      <c r="N19" s="5"/>
    </row>
    <row r="20" spans="1:18" ht="16.5" thickTop="1" thickBot="1" x14ac:dyDescent="0.3">
      <c r="A20" s="19" t="str">
        <f>IF(PT_EQUIP[[#This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IF(AND(PT_EQUIP[[#This Row],[FOURNISSEURS]]&gt;1,PT_EQUIP[[#This Row],[Colonne2]]=""),"NON",IF(AND(PT_EQUIP[[#This Row],[FOURNISSEURS]]&gt;1,PT_EQUIP[[#This Row],[Colonne2]]="X"),"OUI",""))</f>
        <v/>
      </c>
      <c r="N20" s="5"/>
    </row>
    <row r="21" spans="1:18" ht="16.5" thickTop="1" thickBot="1" x14ac:dyDescent="0.3">
      <c r="A21" s="19" t="str">
        <f>IF(PT_EQUIP[[#This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IF(AND(PT_EQUIP[[#This Row],[FOURNISSEURS]]&gt;1,PT_EQUIP[[#This Row],[Colonne2]]=""),"NON",IF(AND(PT_EQUIP[[#This Row],[FOURNISSEURS]]&gt;1,PT_EQUIP[[#This Row],[Colonne2]]="X"),"OUI",""))</f>
        <v/>
      </c>
      <c r="N21" s="5"/>
    </row>
    <row r="22" spans="1:18" ht="16.5" thickTop="1" thickBot="1" x14ac:dyDescent="0.3">
      <c r="A22" s="19" t="str">
        <f>IF(PT_EQUIP[[#This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IF(AND(PT_EQUIP[[#This Row],[FOURNISSEURS]]&gt;1,PT_EQUIP[[#This Row],[Colonne2]]=""),"NON",IF(AND(PT_EQUIP[[#This Row],[FOURNISSEURS]]&gt;1,PT_EQUIP[[#This Row],[Colonne2]]="X"),"OUI",""))</f>
        <v/>
      </c>
      <c r="N22" s="5"/>
    </row>
    <row r="23" spans="1:18" ht="16.5" thickTop="1" thickBot="1" x14ac:dyDescent="0.3">
      <c r="A23" s="19" t="str">
        <f>IF(PT_EQUIP[[#This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IF(AND(PT_EQUIP[[#This Row],[FOURNISSEURS]]&gt;1,PT_EQUIP[[#This Row],[Colonne2]]=""),"NON",IF(AND(PT_EQUIP[[#This Row],[FOURNISSEURS]]&gt;1,PT_EQUIP[[#This Row],[Colonne2]]="X"),"OUI",""))</f>
        <v/>
      </c>
      <c r="N23" s="5"/>
    </row>
    <row r="24" spans="1:18" ht="15.75" thickTop="1" x14ac:dyDescent="0.25">
      <c r="A24" s="29" t="str">
        <f>IF(PT_EQUIP[[#This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IF(AND(PT_EQUIP[[#This Row],[FOURNISSEURS]]&gt;1,PT_EQUIP[[#This Row],[Colonne2]]=""),"NON",IF(AND(PT_EQUIP[[#This Row],[FOURNISSEURS]]&gt;1,PT_EQUIP[[#This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SUBTOTAL(109,PT_EQUIP[DEBIT])</f>
        <v>0</v>
      </c>
      <c r="F25" s="73">
        <f>SUBTOTAL(109,PT_EQUIP[CREDIT])</f>
        <v>0</v>
      </c>
      <c r="G25" s="74">
        <f>PT_EQUIP[[#Totals],[DEBIT]]-PT_EQUIP[[#Totals],[CREDIT]]</f>
        <v>0</v>
      </c>
      <c r="I25" s="30"/>
      <c r="J25" s="76" t="s">
        <v>26</v>
      </c>
      <c r="K25" s="73">
        <f>SUMIF(M6,"NON",PT_EQUIP[MONTANT])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IF(F3-PT_EQUIP[[#Totals],[N° PIECE]]&lt;0,0,F3-PT_EQUIP[[#Totals],[N° PIECE]])</f>
        <v>2500</v>
      </c>
      <c r="F27" s="182"/>
      <c r="G27" s="183" t="s">
        <v>10</v>
      </c>
      <c r="H27" s="184"/>
      <c r="I27" s="184"/>
      <c r="J27" s="184"/>
      <c r="K27" s="185"/>
      <c r="L27" s="186">
        <f>E27-PT_EQUIP[[#Totals],[MONTANT]]</f>
        <v>2500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IF(E27=0,PT_EQUIP[[#Totals],[N°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673" priority="22">
      <formula>MONTH($B7)=MONTH($B6)</formula>
    </cfRule>
  </conditionalFormatting>
  <conditionalFormatting sqref="J6:M24">
    <cfRule type="expression" dxfId="672" priority="18">
      <formula>$L6=""</formula>
    </cfRule>
    <cfRule type="expression" dxfId="671" priority="19">
      <formula>$L6="NON"</formula>
    </cfRule>
    <cfRule type="expression" dxfId="670" priority="21">
      <formula>$M6="OUI"</formula>
    </cfRule>
  </conditionalFormatting>
  <conditionalFormatting sqref="N6:N24">
    <cfRule type="expression" dxfId="669" priority="20">
      <formula>$N6="X"</formula>
    </cfRule>
  </conditionalFormatting>
  <conditionalFormatting sqref="J25:K25">
    <cfRule type="expression" dxfId="668" priority="17">
      <formula>$K$25=0</formula>
    </cfRule>
  </conditionalFormatting>
  <conditionalFormatting sqref="G27:M27">
    <cfRule type="expression" dxfId="667" priority="16">
      <formula>$K$25=0</formula>
    </cfRule>
  </conditionalFormatting>
  <conditionalFormatting sqref="E27">
    <cfRule type="expression" dxfId="666" priority="14">
      <formula>$E$27=0</formula>
    </cfRule>
    <cfRule type="expression" dxfId="665" priority="15">
      <formula>$E$27&gt;0</formula>
    </cfRule>
  </conditionalFormatting>
  <conditionalFormatting sqref="A27:D27">
    <cfRule type="expression" dxfId="664" priority="2">
      <formula>$E$27&lt;=100</formula>
    </cfRule>
    <cfRule type="expression" dxfId="663" priority="13">
      <formula>$E$27=0</formula>
    </cfRule>
  </conditionalFormatting>
  <conditionalFormatting sqref="J34:J35">
    <cfRule type="expression" dxfId="662" priority="11">
      <formula>$J$36="OUI"</formula>
    </cfRule>
    <cfRule type="expression" dxfId="661" priority="12">
      <formula>$E$36&gt;0</formula>
    </cfRule>
  </conditionalFormatting>
  <conditionalFormatting sqref="J36:J37">
    <cfRule type="expression" dxfId="660" priority="9">
      <formula>$J$36="OUI"</formula>
    </cfRule>
    <cfRule type="expression" dxfId="659" priority="10">
      <formula>$E$36&gt;0</formula>
    </cfRule>
  </conditionalFormatting>
  <conditionalFormatting sqref="J52:J53">
    <cfRule type="expression" dxfId="658" priority="7">
      <formula>$J$54="OUI"</formula>
    </cfRule>
    <cfRule type="expression" dxfId="657" priority="8">
      <formula>$E$54&gt;0</formula>
    </cfRule>
  </conditionalFormatting>
  <conditionalFormatting sqref="J54:J55">
    <cfRule type="expression" dxfId="656" priority="5">
      <formula>$J$54="OUI"</formula>
    </cfRule>
    <cfRule type="expression" dxfId="655" priority="6">
      <formula>$E$54&gt;0</formula>
    </cfRule>
  </conditionalFormatting>
  <conditionalFormatting sqref="L6:L24">
    <cfRule type="expression" dxfId="654" priority="3">
      <formula>$L6="OUI"</formula>
    </cfRule>
    <cfRule type="expression" dxfId="653" priority="4">
      <formula>$J6&gt;0</formula>
    </cfRule>
  </conditionalFormatting>
  <conditionalFormatting sqref="A31:H31">
    <cfRule type="expression" dxfId="652" priority="23">
      <formula>$J$36="OUI"</formula>
    </cfRule>
  </conditionalFormatting>
  <conditionalFormatting sqref="A32:H32">
    <cfRule type="expression" dxfId="651" priority="24">
      <formula>$J$54="OUI"</formula>
    </cfRule>
  </conditionalFormatting>
  <conditionalFormatting sqref="A28:F28">
    <cfRule type="expression" dxfId="650" priority="1">
      <formula>$E$27&gt;0</formula>
    </cfRule>
  </conditionalFormatting>
  <dataValidations count="3">
    <dataValidation type="list" allowBlank="1" showInputMessage="1" showErrorMessage="1" sqref="J36:J37 J54:J55">
      <formula1>$R$32:$R$33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N6:N24">
      <formula1>$R$10:$R$11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68"/>
  <sheetViews>
    <sheetView showGridLines="0" workbookViewId="0">
      <selection activeCell="B6" sqref="B6:E11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+BUDGET!K8</f>
        <v>1000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IF(F_BUREAU[[#This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IF(AND(F_BUREAU[[#This Row],[FOURNISSEURS]]&gt;1,F_BUREAU[[#This Row],[Colonne2]]=""),"NON",IF(AND(F_BUREAU[[#This Row],[FOURNISSEURS]]&gt;1,F_BUREAU[[#This Row],[Colonne2]]="X"),"OUI",""))</f>
        <v/>
      </c>
      <c r="N6" s="5"/>
    </row>
    <row r="7" spans="1:18" ht="16.5" thickTop="1" thickBot="1" x14ac:dyDescent="0.3">
      <c r="A7" s="41" t="str">
        <f>IF(F_BUREAU[[#This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IF(AND(F_BUREAU[[#This Row],[FOURNISSEURS]]&gt;1,F_BUREAU[[#This Row],[Colonne2]]=""),"NON",IF(AND(F_BUREAU[[#This Row],[FOURNISSEURS]]&gt;1,F_BUREAU[[#This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IF(F_BUREAU[[#This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IF(AND(F_BUREAU[[#This Row],[FOURNISSEURS]]&gt;1,F_BUREAU[[#This Row],[Colonne2]]=""),"NON",IF(AND(F_BUREAU[[#This Row],[FOURNISSEURS]]&gt;1,F_BUREAU[[#This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IF(F_BUREAU[[#This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IF(AND(F_BUREAU[[#This Row],[FOURNISSEURS]]&gt;1,F_BUREAU[[#This Row],[Colonne2]]=""),"NON",IF(AND(F_BUREAU[[#This Row],[FOURNISSEURS]]&gt;1,F_BUREAU[[#This Row],[Colonne2]]="X"),"OUI",""))</f>
        <v/>
      </c>
      <c r="N9" s="5"/>
    </row>
    <row r="10" spans="1:18" ht="16.5" thickTop="1" thickBot="1" x14ac:dyDescent="0.3">
      <c r="A10" s="19" t="str">
        <f>IF(F_BUREAU[[#This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IF(AND(F_BUREAU[[#This Row],[FOURNISSEURS]]&gt;1,F_BUREAU[[#This Row],[Colonne2]]=""),"NON",IF(AND(F_BUREAU[[#This Row],[FOURNISSEURS]]&gt;1,F_BUREAU[[#This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IF(F_BUREAU[[#This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IF(AND(F_BUREAU[[#This Row],[FOURNISSEURS]]&gt;1,F_BUREAU[[#This Row],[Colonne2]]=""),"NON",IF(AND(F_BUREAU[[#This Row],[FOURNISSEURS]]&gt;1,F_BUREAU[[#This Row],[Colonne2]]="X"),"OUI",""))</f>
        <v/>
      </c>
      <c r="N11" s="5"/>
    </row>
    <row r="12" spans="1:18" ht="16.5" thickTop="1" thickBot="1" x14ac:dyDescent="0.3">
      <c r="A12" s="19" t="str">
        <f>IF(F_BUREAU[[#This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IF(AND(F_BUREAU[[#This Row],[FOURNISSEURS]]&gt;1,F_BUREAU[[#This Row],[Colonne2]]=""),"NON",IF(AND(F_BUREAU[[#This Row],[FOURNISSEURS]]&gt;1,F_BUREAU[[#This Row],[Colonne2]]="X"),"OUI",""))</f>
        <v/>
      </c>
      <c r="N12" s="5"/>
    </row>
    <row r="13" spans="1:18" ht="16.5" thickTop="1" thickBot="1" x14ac:dyDescent="0.3">
      <c r="A13" s="19" t="str">
        <f>IF(F_BUREAU[[#This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IF(AND(F_BUREAU[[#This Row],[FOURNISSEURS]]&gt;1,F_BUREAU[[#This Row],[Colonne2]]=""),"NON",IF(AND(F_BUREAU[[#This Row],[FOURNISSEURS]]&gt;1,F_BUREAU[[#This Row],[Colonne2]]="X"),"OUI",""))</f>
        <v/>
      </c>
      <c r="N13" s="5"/>
    </row>
    <row r="14" spans="1:18" ht="16.5" thickTop="1" thickBot="1" x14ac:dyDescent="0.3">
      <c r="A14" s="19" t="str">
        <f>IF(F_BUREAU[[#This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IF(AND(F_BUREAU[[#This Row],[FOURNISSEURS]]&gt;1,F_BUREAU[[#This Row],[Colonne2]]=""),"NON",IF(AND(F_BUREAU[[#This Row],[FOURNISSEURS]]&gt;1,F_BUREAU[[#This Row],[Colonne2]]="X"),"OUI",""))</f>
        <v/>
      </c>
      <c r="N14" s="5"/>
    </row>
    <row r="15" spans="1:18" ht="16.5" thickTop="1" thickBot="1" x14ac:dyDescent="0.3">
      <c r="A15" s="19" t="str">
        <f>IF(F_BUREAU[[#This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IF(AND(F_BUREAU[[#This Row],[FOURNISSEURS]]&gt;1,F_BUREAU[[#This Row],[Colonne2]]=""),"NON",IF(AND(F_BUREAU[[#This Row],[FOURNISSEURS]]&gt;1,F_BUREAU[[#This Row],[Colonne2]]="X"),"OUI",""))</f>
        <v/>
      </c>
      <c r="N15" s="5"/>
    </row>
    <row r="16" spans="1:18" ht="16.5" thickTop="1" thickBot="1" x14ac:dyDescent="0.3">
      <c r="A16" s="19" t="str">
        <f>IF(F_BUREAU[[#This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IF(AND(F_BUREAU[[#This Row],[FOURNISSEURS]]&gt;1,F_BUREAU[[#This Row],[Colonne2]]=""),"NON",IF(AND(F_BUREAU[[#This Row],[FOURNISSEURS]]&gt;1,F_BUREAU[[#This Row],[Colonne2]]="X"),"OUI",""))</f>
        <v/>
      </c>
      <c r="N16" s="5"/>
    </row>
    <row r="17" spans="1:18" ht="16.5" thickTop="1" thickBot="1" x14ac:dyDescent="0.3">
      <c r="A17" s="19" t="str">
        <f>IF(F_BUREAU[[#This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IF(AND(F_BUREAU[[#This Row],[FOURNISSEURS]]&gt;1,F_BUREAU[[#This Row],[Colonne2]]=""),"NON",IF(AND(F_BUREAU[[#This Row],[FOURNISSEURS]]&gt;1,F_BUREAU[[#This Row],[Colonne2]]="X"),"OUI",""))</f>
        <v/>
      </c>
      <c r="N17" s="5"/>
    </row>
    <row r="18" spans="1:18" ht="16.5" thickTop="1" thickBot="1" x14ac:dyDescent="0.3">
      <c r="A18" s="19" t="str">
        <f>IF(F_BUREAU[[#This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IF(AND(F_BUREAU[[#This Row],[FOURNISSEURS]]&gt;1,F_BUREAU[[#This Row],[Colonne2]]=""),"NON",IF(AND(F_BUREAU[[#This Row],[FOURNISSEURS]]&gt;1,F_BUREAU[[#This Row],[Colonne2]]="X"),"OUI",""))</f>
        <v/>
      </c>
      <c r="N18" s="5"/>
    </row>
    <row r="19" spans="1:18" ht="16.5" thickTop="1" thickBot="1" x14ac:dyDescent="0.3">
      <c r="A19" s="19" t="str">
        <f>IF(F_BUREAU[[#This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IF(AND(F_BUREAU[[#This Row],[FOURNISSEURS]]&gt;1,F_BUREAU[[#This Row],[Colonne2]]=""),"NON",IF(AND(F_BUREAU[[#This Row],[FOURNISSEURS]]&gt;1,F_BUREAU[[#This Row],[Colonne2]]="X"),"OUI",""))</f>
        <v/>
      </c>
      <c r="N19" s="5"/>
    </row>
    <row r="20" spans="1:18" ht="16.5" thickTop="1" thickBot="1" x14ac:dyDescent="0.3">
      <c r="A20" s="19" t="str">
        <f>IF(F_BUREAU[[#This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IF(AND(F_BUREAU[[#This Row],[FOURNISSEURS]]&gt;1,F_BUREAU[[#This Row],[Colonne2]]=""),"NON",IF(AND(F_BUREAU[[#This Row],[FOURNISSEURS]]&gt;1,F_BUREAU[[#This Row],[Colonne2]]="X"),"OUI",""))</f>
        <v/>
      </c>
      <c r="N20" s="5"/>
    </row>
    <row r="21" spans="1:18" ht="16.5" thickTop="1" thickBot="1" x14ac:dyDescent="0.3">
      <c r="A21" s="19" t="str">
        <f>IF(F_BUREAU[[#This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IF(AND(F_BUREAU[[#This Row],[FOURNISSEURS]]&gt;1,F_BUREAU[[#This Row],[Colonne2]]=""),"NON",IF(AND(F_BUREAU[[#This Row],[FOURNISSEURS]]&gt;1,F_BUREAU[[#This Row],[Colonne2]]="X"),"OUI",""))</f>
        <v/>
      </c>
      <c r="N21" s="5"/>
    </row>
    <row r="22" spans="1:18" ht="16.5" thickTop="1" thickBot="1" x14ac:dyDescent="0.3">
      <c r="A22" s="19" t="str">
        <f>IF(F_BUREAU[[#This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IF(AND(F_BUREAU[[#This Row],[FOURNISSEURS]]&gt;1,F_BUREAU[[#This Row],[Colonne2]]=""),"NON",IF(AND(F_BUREAU[[#This Row],[FOURNISSEURS]]&gt;1,F_BUREAU[[#This Row],[Colonne2]]="X"),"OUI",""))</f>
        <v/>
      </c>
      <c r="N22" s="5"/>
    </row>
    <row r="23" spans="1:18" ht="16.5" thickTop="1" thickBot="1" x14ac:dyDescent="0.3">
      <c r="A23" s="19" t="str">
        <f>IF(F_BUREAU[[#This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IF(AND(F_BUREAU[[#This Row],[FOURNISSEURS]]&gt;1,F_BUREAU[[#This Row],[Colonne2]]=""),"NON",IF(AND(F_BUREAU[[#This Row],[FOURNISSEURS]]&gt;1,F_BUREAU[[#This Row],[Colonne2]]="X"),"OUI",""))</f>
        <v/>
      </c>
      <c r="N23" s="5"/>
    </row>
    <row r="24" spans="1:18" ht="15.75" thickTop="1" x14ac:dyDescent="0.25">
      <c r="A24" s="29" t="str">
        <f>IF(F_BUREAU[[#This Row],[J]]="CAT","FACTURE CAISSE","")</f>
        <v/>
      </c>
      <c r="B24" s="29"/>
      <c r="C24" s="29"/>
      <c r="D24" s="29"/>
      <c r="E24" s="39"/>
      <c r="F24" s="39"/>
      <c r="G24" s="154"/>
      <c r="H24" s="62"/>
      <c r="I24" s="17"/>
      <c r="J24" s="8"/>
      <c r="K24" s="13"/>
      <c r="L24" s="50"/>
      <c r="M24" s="11" t="str">
        <f>IF(AND(F_BUREAU[[#This Row],[FOURNISSEURS]]&gt;1,F_BUREAU[[#This Row],[Colonne2]]=""),"NON",IF(AND(F_BUREAU[[#This Row],[FOURNISSEURS]]&gt;1,F_BUREAU[[#This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SUBTOTAL(109,F_BUREAU[DEBIT])</f>
        <v>0</v>
      </c>
      <c r="F25" s="73">
        <f>SUBTOTAL(109,F_BUREAU[CREDIT])</f>
        <v>0</v>
      </c>
      <c r="G25" s="74">
        <f>F_BUREAU[[#Totals],[DEBIT]]-F_BUREAU[[#Totals],[CREDIT]]</f>
        <v>0</v>
      </c>
      <c r="I25" s="30"/>
      <c r="J25" s="76" t="s">
        <v>26</v>
      </c>
      <c r="K25" s="73">
        <f>SUMIF(M6,"NON",F_BUREAU[MONTANT])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IF(F3-F_BUREAU[[#Totals],[N° PIECE]]&lt;0,0,F3-F_BUREAU[[#Totals],[N° PIECE]])</f>
        <v>1000</v>
      </c>
      <c r="F27" s="182"/>
      <c r="G27" s="183" t="s">
        <v>10</v>
      </c>
      <c r="H27" s="184"/>
      <c r="I27" s="184"/>
      <c r="J27" s="184"/>
      <c r="K27" s="185"/>
      <c r="L27" s="186">
        <f>E27-F_BUREAU[[#Totals],[MONTANT]]</f>
        <v>1000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IF(E27=0,F_BUREAU[[#Totals],[N°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F3:G3"/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A4:H4"/>
    <mergeCell ref="E27:F27"/>
    <mergeCell ref="J1:M4"/>
    <mergeCell ref="A28:D28"/>
    <mergeCell ref="E28:F28"/>
    <mergeCell ref="A30:E30"/>
    <mergeCell ref="L27:M27"/>
    <mergeCell ref="A27:D27"/>
    <mergeCell ref="G27:K27"/>
    <mergeCell ref="G28:M28"/>
    <mergeCell ref="G30:N30"/>
  </mergeCells>
  <conditionalFormatting sqref="A6:H24">
    <cfRule type="expression" dxfId="632" priority="26">
      <formula>MONTH($B7)=MONTH($B6)</formula>
    </cfRule>
  </conditionalFormatting>
  <conditionalFormatting sqref="J6:M24">
    <cfRule type="expression" dxfId="631" priority="22">
      <formula>$L6=""</formula>
    </cfRule>
    <cfRule type="expression" dxfId="630" priority="23">
      <formula>$L6="NON"</formula>
    </cfRule>
    <cfRule type="expression" dxfId="629" priority="25">
      <formula>$M6="OUI"</formula>
    </cfRule>
  </conditionalFormatting>
  <conditionalFormatting sqref="N6:N24">
    <cfRule type="expression" dxfId="628" priority="24">
      <formula>$N6="X"</formula>
    </cfRule>
  </conditionalFormatting>
  <conditionalFormatting sqref="J25:K25">
    <cfRule type="expression" dxfId="627" priority="21">
      <formula>$K$25=0</formula>
    </cfRule>
  </conditionalFormatting>
  <conditionalFormatting sqref="G27:M27">
    <cfRule type="expression" dxfId="626" priority="19">
      <formula>$K$25=0</formula>
    </cfRule>
  </conditionalFormatting>
  <conditionalFormatting sqref="E27">
    <cfRule type="expression" dxfId="625" priority="16">
      <formula>$E$27=0</formula>
    </cfRule>
    <cfRule type="expression" dxfId="624" priority="17">
      <formula>$E$27&gt;0</formula>
    </cfRule>
  </conditionalFormatting>
  <conditionalFormatting sqref="A27:D27">
    <cfRule type="expression" dxfId="623" priority="2">
      <formula>$E$27&lt;=100</formula>
    </cfRule>
    <cfRule type="expression" dxfId="622" priority="15">
      <formula>$E$27=0</formula>
    </cfRule>
  </conditionalFormatting>
  <conditionalFormatting sqref="J34:J35">
    <cfRule type="expression" dxfId="621" priority="11">
      <formula>$J$36="OUI"</formula>
    </cfRule>
    <cfRule type="expression" dxfId="620" priority="12">
      <formula>$E$36&gt;0</formula>
    </cfRule>
  </conditionalFormatting>
  <conditionalFormatting sqref="J36:J37">
    <cfRule type="expression" dxfId="619" priority="9">
      <formula>$J$36="OUI"</formula>
    </cfRule>
    <cfRule type="expression" dxfId="618" priority="10">
      <formula>$E$36&gt;0</formula>
    </cfRule>
  </conditionalFormatting>
  <conditionalFormatting sqref="J52:J53">
    <cfRule type="expression" dxfId="617" priority="7">
      <formula>$J$54="OUI"</formula>
    </cfRule>
    <cfRule type="expression" dxfId="616" priority="8">
      <formula>$E$54&gt;0</formula>
    </cfRule>
  </conditionalFormatting>
  <conditionalFormatting sqref="J54:J55">
    <cfRule type="expression" dxfId="615" priority="5">
      <formula>$J$54="OUI"</formula>
    </cfRule>
    <cfRule type="expression" dxfId="614" priority="6">
      <formula>$E$54&gt;0</formula>
    </cfRule>
  </conditionalFormatting>
  <conditionalFormatting sqref="L6:L24">
    <cfRule type="expression" dxfId="613" priority="3">
      <formula>$L6="OUI"</formula>
    </cfRule>
    <cfRule type="expression" dxfId="612" priority="4">
      <formula>$J6&gt;0</formula>
    </cfRule>
  </conditionalFormatting>
  <conditionalFormatting sqref="A31:H31">
    <cfRule type="expression" dxfId="611" priority="29">
      <formula>$J$36="OUI"</formula>
    </cfRule>
  </conditionalFormatting>
  <conditionalFormatting sqref="A32:H32">
    <cfRule type="expression" dxfId="610" priority="31">
      <formula>$J$54="OUI"</formula>
    </cfRule>
  </conditionalFormatting>
  <conditionalFormatting sqref="A28:F28">
    <cfRule type="expression" dxfId="609" priority="1">
      <formula>$E$27&gt;0</formula>
    </cfRule>
  </conditionalFormatting>
  <dataValidations count="3">
    <dataValidation type="list" allowBlank="1" showInputMessage="1" showErrorMessage="1" sqref="J36:J37 J54:J55">
      <formula1>$R$32:$R$33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N6:N24">
      <formula1>$R$10:$R$11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68"/>
  <sheetViews>
    <sheetView showGridLines="0" workbookViewId="0">
      <selection activeCell="G6" sqref="G6:G11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+BUDGET!K9</f>
        <v>1190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IF(LINGE[[#This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IF(AND(LINGE[[#This Row],[FOURNISSEURS]]&gt;1,LINGE[[#This Row],[Colonne2]]=""),"NON",IF(AND(LINGE[[#This Row],[FOURNISSEURS]]&gt;1,LINGE[[#This Row],[Colonne2]]="X"),"OUI",""))</f>
        <v/>
      </c>
      <c r="N6" s="5"/>
    </row>
    <row r="7" spans="1:18" ht="16.5" thickTop="1" thickBot="1" x14ac:dyDescent="0.3">
      <c r="A7" s="41" t="str">
        <f>IF(LINGE[[#This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IF(AND(LINGE[[#This Row],[FOURNISSEURS]]&gt;1,LINGE[[#This Row],[Colonne2]]=""),"NON",IF(AND(LINGE[[#This Row],[FOURNISSEURS]]&gt;1,LINGE[[#This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IF(LINGE[[#This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IF(AND(LINGE[[#This Row],[FOURNISSEURS]]&gt;1,LINGE[[#This Row],[Colonne2]]=""),"NON",IF(AND(LINGE[[#This Row],[FOURNISSEURS]]&gt;1,LINGE[[#This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IF(LINGE[[#This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IF(AND(LINGE[[#This Row],[FOURNISSEURS]]&gt;1,LINGE[[#This Row],[Colonne2]]=""),"NON",IF(AND(LINGE[[#This Row],[FOURNISSEURS]]&gt;1,LINGE[[#This Row],[Colonne2]]="X"),"OUI",""))</f>
        <v/>
      </c>
      <c r="N9" s="5"/>
    </row>
    <row r="10" spans="1:18" ht="16.5" thickTop="1" thickBot="1" x14ac:dyDescent="0.3">
      <c r="A10" s="19" t="str">
        <f>IF(LINGE[[#This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IF(AND(LINGE[[#This Row],[FOURNISSEURS]]&gt;1,LINGE[[#This Row],[Colonne2]]=""),"NON",IF(AND(LINGE[[#This Row],[FOURNISSEURS]]&gt;1,LINGE[[#This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IF(LINGE[[#This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IF(AND(LINGE[[#This Row],[FOURNISSEURS]]&gt;1,LINGE[[#This Row],[Colonne2]]=""),"NON",IF(AND(LINGE[[#This Row],[FOURNISSEURS]]&gt;1,LINGE[[#This Row],[Colonne2]]="X"),"OUI",""))</f>
        <v/>
      </c>
      <c r="N11" s="5"/>
    </row>
    <row r="12" spans="1:18" ht="16.5" thickTop="1" thickBot="1" x14ac:dyDescent="0.3">
      <c r="A12" s="19" t="str">
        <f>IF(LINGE[[#This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IF(AND(LINGE[[#This Row],[FOURNISSEURS]]&gt;1,LINGE[[#This Row],[Colonne2]]=""),"NON",IF(AND(LINGE[[#This Row],[FOURNISSEURS]]&gt;1,LINGE[[#This Row],[Colonne2]]="X"),"OUI",""))</f>
        <v/>
      </c>
      <c r="N12" s="5"/>
    </row>
    <row r="13" spans="1:18" ht="16.5" thickTop="1" thickBot="1" x14ac:dyDescent="0.3">
      <c r="A13" s="19" t="str">
        <f>IF(LINGE[[#This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IF(AND(LINGE[[#This Row],[FOURNISSEURS]]&gt;1,LINGE[[#This Row],[Colonne2]]=""),"NON",IF(AND(LINGE[[#This Row],[FOURNISSEURS]]&gt;1,LINGE[[#This Row],[Colonne2]]="X"),"OUI",""))</f>
        <v/>
      </c>
      <c r="N13" s="5"/>
    </row>
    <row r="14" spans="1:18" ht="16.5" thickTop="1" thickBot="1" x14ac:dyDescent="0.3">
      <c r="A14" s="19" t="str">
        <f>IF(LINGE[[#This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IF(AND(LINGE[[#This Row],[FOURNISSEURS]]&gt;1,LINGE[[#This Row],[Colonne2]]=""),"NON",IF(AND(LINGE[[#This Row],[FOURNISSEURS]]&gt;1,LINGE[[#This Row],[Colonne2]]="X"),"OUI",""))</f>
        <v/>
      </c>
      <c r="N14" s="5"/>
    </row>
    <row r="15" spans="1:18" ht="16.5" thickTop="1" thickBot="1" x14ac:dyDescent="0.3">
      <c r="A15" s="19" t="str">
        <f>IF(LINGE[[#This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IF(AND(LINGE[[#This Row],[FOURNISSEURS]]&gt;1,LINGE[[#This Row],[Colonne2]]=""),"NON",IF(AND(LINGE[[#This Row],[FOURNISSEURS]]&gt;1,LINGE[[#This Row],[Colonne2]]="X"),"OUI",""))</f>
        <v/>
      </c>
      <c r="N15" s="5"/>
    </row>
    <row r="16" spans="1:18" ht="16.5" thickTop="1" thickBot="1" x14ac:dyDescent="0.3">
      <c r="A16" s="19" t="str">
        <f>IF(LINGE[[#This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IF(AND(LINGE[[#This Row],[FOURNISSEURS]]&gt;1,LINGE[[#This Row],[Colonne2]]=""),"NON",IF(AND(LINGE[[#This Row],[FOURNISSEURS]]&gt;1,LINGE[[#This Row],[Colonne2]]="X"),"OUI",""))</f>
        <v/>
      </c>
      <c r="N16" s="5"/>
    </row>
    <row r="17" spans="1:18" ht="16.5" thickTop="1" thickBot="1" x14ac:dyDescent="0.3">
      <c r="A17" s="19" t="str">
        <f>IF(LINGE[[#This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IF(AND(LINGE[[#This Row],[FOURNISSEURS]]&gt;1,LINGE[[#This Row],[Colonne2]]=""),"NON",IF(AND(LINGE[[#This Row],[FOURNISSEURS]]&gt;1,LINGE[[#This Row],[Colonne2]]="X"),"OUI",""))</f>
        <v/>
      </c>
      <c r="N17" s="5"/>
    </row>
    <row r="18" spans="1:18" ht="16.5" thickTop="1" thickBot="1" x14ac:dyDescent="0.3">
      <c r="A18" s="19" t="str">
        <f>IF(LINGE[[#This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IF(AND(LINGE[[#This Row],[FOURNISSEURS]]&gt;1,LINGE[[#This Row],[Colonne2]]=""),"NON",IF(AND(LINGE[[#This Row],[FOURNISSEURS]]&gt;1,LINGE[[#This Row],[Colonne2]]="X"),"OUI",""))</f>
        <v/>
      </c>
      <c r="N18" s="5"/>
    </row>
    <row r="19" spans="1:18" ht="16.5" thickTop="1" thickBot="1" x14ac:dyDescent="0.3">
      <c r="A19" s="19" t="str">
        <f>IF(LINGE[[#This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IF(AND(LINGE[[#This Row],[FOURNISSEURS]]&gt;1,LINGE[[#This Row],[Colonne2]]=""),"NON",IF(AND(LINGE[[#This Row],[FOURNISSEURS]]&gt;1,LINGE[[#This Row],[Colonne2]]="X"),"OUI",""))</f>
        <v/>
      </c>
      <c r="N19" s="5"/>
    </row>
    <row r="20" spans="1:18" ht="16.5" thickTop="1" thickBot="1" x14ac:dyDescent="0.3">
      <c r="A20" s="19" t="str">
        <f>IF(LINGE[[#This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IF(AND(LINGE[[#This Row],[FOURNISSEURS]]&gt;1,LINGE[[#This Row],[Colonne2]]=""),"NON",IF(AND(LINGE[[#This Row],[FOURNISSEURS]]&gt;1,LINGE[[#This Row],[Colonne2]]="X"),"OUI",""))</f>
        <v/>
      </c>
      <c r="N20" s="5"/>
    </row>
    <row r="21" spans="1:18" ht="16.5" thickTop="1" thickBot="1" x14ac:dyDescent="0.3">
      <c r="A21" s="19" t="str">
        <f>IF(LINGE[[#This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IF(AND(LINGE[[#This Row],[FOURNISSEURS]]&gt;1,LINGE[[#This Row],[Colonne2]]=""),"NON",IF(AND(LINGE[[#This Row],[FOURNISSEURS]]&gt;1,LINGE[[#This Row],[Colonne2]]="X"),"OUI",""))</f>
        <v/>
      </c>
      <c r="N21" s="5"/>
    </row>
    <row r="22" spans="1:18" ht="16.5" thickTop="1" thickBot="1" x14ac:dyDescent="0.3">
      <c r="A22" s="19" t="str">
        <f>IF(LINGE[[#This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IF(AND(LINGE[[#This Row],[FOURNISSEURS]]&gt;1,LINGE[[#This Row],[Colonne2]]=""),"NON",IF(AND(LINGE[[#This Row],[FOURNISSEURS]]&gt;1,LINGE[[#This Row],[Colonne2]]="X"),"OUI",""))</f>
        <v/>
      </c>
      <c r="N22" s="5"/>
    </row>
    <row r="23" spans="1:18" ht="16.5" thickTop="1" thickBot="1" x14ac:dyDescent="0.3">
      <c r="A23" s="19" t="str">
        <f>IF(LINGE[[#This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IF(AND(LINGE[[#This Row],[FOURNISSEURS]]&gt;1,LINGE[[#This Row],[Colonne2]]=""),"NON",IF(AND(LINGE[[#This Row],[FOURNISSEURS]]&gt;1,LINGE[[#This Row],[Colonne2]]="X"),"OUI",""))</f>
        <v/>
      </c>
      <c r="N23" s="5"/>
    </row>
    <row r="24" spans="1:18" ht="15.75" thickTop="1" x14ac:dyDescent="0.25">
      <c r="A24" s="29" t="str">
        <f>IF(LINGE[[#This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IF(AND(LINGE[[#This Row],[FOURNISSEURS]]&gt;1,LINGE[[#This Row],[Colonne2]]=""),"NON",IF(AND(LINGE[[#This Row],[FOURNISSEURS]]&gt;1,LINGE[[#This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SUBTOTAL(109,LINGE[DEBIT])</f>
        <v>0</v>
      </c>
      <c r="F25" s="73">
        <f>SUBTOTAL(109,LINGE[CREDIT])</f>
        <v>0</v>
      </c>
      <c r="G25" s="74">
        <f>LINGE[[#Totals],[DEBIT]]-LINGE[[#Totals],[CREDIT]]</f>
        <v>0</v>
      </c>
      <c r="I25" s="30"/>
      <c r="J25" s="76" t="s">
        <v>26</v>
      </c>
      <c r="K25" s="73">
        <f>SUMIF(M6,"NON",LINGE[MONTANT])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IF(F3-LINGE[[#Totals],[N° PIECE]]&lt;0,0,F3-LINGE[[#Totals],[N° PIECE]])</f>
        <v>1190</v>
      </c>
      <c r="F27" s="182"/>
      <c r="G27" s="183" t="s">
        <v>10</v>
      </c>
      <c r="H27" s="184"/>
      <c r="I27" s="184"/>
      <c r="J27" s="184"/>
      <c r="K27" s="185"/>
      <c r="L27" s="186">
        <f>E27-LINGE[[#Totals],[MONTANT]]</f>
        <v>1190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IF(E27=0,LINGE[[#Totals],[N°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591" priority="22">
      <formula>MONTH($B7)=MONTH($B6)</formula>
    </cfRule>
  </conditionalFormatting>
  <conditionalFormatting sqref="J6:M24">
    <cfRule type="expression" dxfId="590" priority="18">
      <formula>$L6=""</formula>
    </cfRule>
    <cfRule type="expression" dxfId="589" priority="19">
      <formula>$L6="NON"</formula>
    </cfRule>
    <cfRule type="expression" dxfId="588" priority="21">
      <formula>$M6="OUI"</formula>
    </cfRule>
  </conditionalFormatting>
  <conditionalFormatting sqref="N6:N24">
    <cfRule type="expression" dxfId="587" priority="20">
      <formula>$N6="X"</formula>
    </cfRule>
  </conditionalFormatting>
  <conditionalFormatting sqref="J25:K25">
    <cfRule type="expression" dxfId="586" priority="17">
      <formula>$K$25=0</formula>
    </cfRule>
  </conditionalFormatting>
  <conditionalFormatting sqref="G27:M27">
    <cfRule type="expression" dxfId="585" priority="16">
      <formula>$K$25=0</formula>
    </cfRule>
  </conditionalFormatting>
  <conditionalFormatting sqref="E27">
    <cfRule type="expression" dxfId="584" priority="14">
      <formula>$E$27=0</formula>
    </cfRule>
    <cfRule type="expression" dxfId="583" priority="15">
      <formula>$E$27&gt;0</formula>
    </cfRule>
  </conditionalFormatting>
  <conditionalFormatting sqref="A27:D27">
    <cfRule type="expression" dxfId="582" priority="2">
      <formula>$E$27&lt;=100</formula>
    </cfRule>
    <cfRule type="expression" dxfId="581" priority="13">
      <formula>$E$27=0</formula>
    </cfRule>
  </conditionalFormatting>
  <conditionalFormatting sqref="J34:J35">
    <cfRule type="expression" dxfId="580" priority="11">
      <formula>$J$36="OUI"</formula>
    </cfRule>
    <cfRule type="expression" dxfId="579" priority="12">
      <formula>$E$36&gt;0</formula>
    </cfRule>
  </conditionalFormatting>
  <conditionalFormatting sqref="J36:J37">
    <cfRule type="expression" dxfId="578" priority="9">
      <formula>$J$36="OUI"</formula>
    </cfRule>
    <cfRule type="expression" dxfId="577" priority="10">
      <formula>$E$36&gt;0</formula>
    </cfRule>
  </conditionalFormatting>
  <conditionalFormatting sqref="J52:J53">
    <cfRule type="expression" dxfId="576" priority="7">
      <formula>$J$54="OUI"</formula>
    </cfRule>
    <cfRule type="expression" dxfId="575" priority="8">
      <formula>$E$54&gt;0</formula>
    </cfRule>
  </conditionalFormatting>
  <conditionalFormatting sqref="J54:J55">
    <cfRule type="expression" dxfId="574" priority="5">
      <formula>$J$54="OUI"</formula>
    </cfRule>
    <cfRule type="expression" dxfId="573" priority="6">
      <formula>$E$54&gt;0</formula>
    </cfRule>
  </conditionalFormatting>
  <conditionalFormatting sqref="L6:L24">
    <cfRule type="expression" dxfId="572" priority="3">
      <formula>$L6="OUI"</formula>
    </cfRule>
    <cfRule type="expression" dxfId="571" priority="4">
      <formula>$J6&gt;0</formula>
    </cfRule>
  </conditionalFormatting>
  <conditionalFormatting sqref="A31:H31">
    <cfRule type="expression" dxfId="570" priority="23">
      <formula>$J$36="OUI"</formula>
    </cfRule>
  </conditionalFormatting>
  <conditionalFormatting sqref="A32:H32">
    <cfRule type="expression" dxfId="569" priority="24">
      <formula>$J$54="OUI"</formula>
    </cfRule>
  </conditionalFormatting>
  <conditionalFormatting sqref="A28:F28">
    <cfRule type="expression" dxfId="568" priority="1">
      <formula>$E$27&gt;0</formula>
    </cfRule>
  </conditionalFormatting>
  <dataValidations count="3">
    <dataValidation type="list" allowBlank="1" showInputMessage="1" showErrorMessage="1" sqref="N6:N24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J36:J37 J54:J55">
      <formula1>$R$32:$R$33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68"/>
  <sheetViews>
    <sheetView showGridLines="0" topLeftCell="A16" workbookViewId="0">
      <selection activeCell="B6" sqref="B6:E20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+BUDGET!K11</f>
        <v>300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IF(AUTRE_F[[#This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IF(AND(AUTRE_F[[#This Row],[FOURNISSEURS]]&gt;1,AUTRE_F[[#This Row],[Colonne2]]=""),"NON",IF(AND(AUTRE_F[[#This Row],[FOURNISSEURS]]&gt;1,AUTRE_F[[#This Row],[Colonne2]]="X"),"OUI",""))</f>
        <v/>
      </c>
      <c r="N6" s="5"/>
    </row>
    <row r="7" spans="1:18" ht="16.5" thickTop="1" thickBot="1" x14ac:dyDescent="0.3">
      <c r="A7" s="41" t="str">
        <f>IF(AUTRE_F[[#This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IF(AND(AUTRE_F[[#This Row],[FOURNISSEURS]]&gt;1,AUTRE_F[[#This Row],[Colonne2]]=""),"NON",IF(AND(AUTRE_F[[#This Row],[FOURNISSEURS]]&gt;1,AUTRE_F[[#This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IF(AUTRE_F[[#This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IF(AND(AUTRE_F[[#This Row],[FOURNISSEURS]]&gt;1,AUTRE_F[[#This Row],[Colonne2]]=""),"NON",IF(AND(AUTRE_F[[#This Row],[FOURNISSEURS]]&gt;1,AUTRE_F[[#This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IF(AUTRE_F[[#This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IF(AND(AUTRE_F[[#This Row],[FOURNISSEURS]]&gt;1,AUTRE_F[[#This Row],[Colonne2]]=""),"NON",IF(AND(AUTRE_F[[#This Row],[FOURNISSEURS]]&gt;1,AUTRE_F[[#This Row],[Colonne2]]="X"),"OUI",""))</f>
        <v/>
      </c>
      <c r="N9" s="5"/>
    </row>
    <row r="10" spans="1:18" ht="16.5" thickTop="1" thickBot="1" x14ac:dyDescent="0.3">
      <c r="A10" s="19" t="str">
        <f>IF(AUTRE_F[[#This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IF(AND(AUTRE_F[[#This Row],[FOURNISSEURS]]&gt;1,AUTRE_F[[#This Row],[Colonne2]]=""),"NON",IF(AND(AUTRE_F[[#This Row],[FOURNISSEURS]]&gt;1,AUTRE_F[[#This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IF(AUTRE_F[[#This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IF(AND(AUTRE_F[[#This Row],[FOURNISSEURS]]&gt;1,AUTRE_F[[#This Row],[Colonne2]]=""),"NON",IF(AND(AUTRE_F[[#This Row],[FOURNISSEURS]]&gt;1,AUTRE_F[[#This Row],[Colonne2]]="X"),"OUI",""))</f>
        <v/>
      </c>
      <c r="N11" s="5"/>
    </row>
    <row r="12" spans="1:18" ht="16.5" thickTop="1" thickBot="1" x14ac:dyDescent="0.3">
      <c r="A12" s="19" t="str">
        <f>IF(AUTRE_F[[#This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IF(AND(AUTRE_F[[#This Row],[FOURNISSEURS]]&gt;1,AUTRE_F[[#This Row],[Colonne2]]=""),"NON",IF(AND(AUTRE_F[[#This Row],[FOURNISSEURS]]&gt;1,AUTRE_F[[#This Row],[Colonne2]]="X"),"OUI",""))</f>
        <v/>
      </c>
      <c r="N12" s="5"/>
    </row>
    <row r="13" spans="1:18" ht="16.5" thickTop="1" thickBot="1" x14ac:dyDescent="0.3">
      <c r="A13" s="19" t="str">
        <f>IF(AUTRE_F[[#This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IF(AND(AUTRE_F[[#This Row],[FOURNISSEURS]]&gt;1,AUTRE_F[[#This Row],[Colonne2]]=""),"NON",IF(AND(AUTRE_F[[#This Row],[FOURNISSEURS]]&gt;1,AUTRE_F[[#This Row],[Colonne2]]="X"),"OUI",""))</f>
        <v/>
      </c>
      <c r="N13" s="5"/>
    </row>
    <row r="14" spans="1:18" ht="16.5" thickTop="1" thickBot="1" x14ac:dyDescent="0.3">
      <c r="A14" s="19" t="str">
        <f>IF(AUTRE_F[[#This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IF(AND(AUTRE_F[[#This Row],[FOURNISSEURS]]&gt;1,AUTRE_F[[#This Row],[Colonne2]]=""),"NON",IF(AND(AUTRE_F[[#This Row],[FOURNISSEURS]]&gt;1,AUTRE_F[[#This Row],[Colonne2]]="X"),"OUI",""))</f>
        <v/>
      </c>
      <c r="N14" s="5"/>
    </row>
    <row r="15" spans="1:18" ht="16.5" thickTop="1" thickBot="1" x14ac:dyDescent="0.3">
      <c r="A15" s="19" t="str">
        <f>IF(AUTRE_F[[#This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IF(AND(AUTRE_F[[#This Row],[FOURNISSEURS]]&gt;1,AUTRE_F[[#This Row],[Colonne2]]=""),"NON",IF(AND(AUTRE_F[[#This Row],[FOURNISSEURS]]&gt;1,AUTRE_F[[#This Row],[Colonne2]]="X"),"OUI",""))</f>
        <v/>
      </c>
      <c r="N15" s="5"/>
    </row>
    <row r="16" spans="1:18" ht="16.5" thickTop="1" thickBot="1" x14ac:dyDescent="0.3">
      <c r="A16" s="19" t="str">
        <f>IF(AUTRE_F[[#This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IF(AND(AUTRE_F[[#This Row],[FOURNISSEURS]]&gt;1,AUTRE_F[[#This Row],[Colonne2]]=""),"NON",IF(AND(AUTRE_F[[#This Row],[FOURNISSEURS]]&gt;1,AUTRE_F[[#This Row],[Colonne2]]="X"),"OUI",""))</f>
        <v/>
      </c>
      <c r="N16" s="5"/>
    </row>
    <row r="17" spans="1:18" ht="16.5" thickTop="1" thickBot="1" x14ac:dyDescent="0.3">
      <c r="A17" s="19" t="str">
        <f>IF(AUTRE_F[[#This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IF(AND(AUTRE_F[[#This Row],[FOURNISSEURS]]&gt;1,AUTRE_F[[#This Row],[Colonne2]]=""),"NON",IF(AND(AUTRE_F[[#This Row],[FOURNISSEURS]]&gt;1,AUTRE_F[[#This Row],[Colonne2]]="X"),"OUI",""))</f>
        <v/>
      </c>
      <c r="N17" s="5"/>
    </row>
    <row r="18" spans="1:18" ht="16.5" thickTop="1" thickBot="1" x14ac:dyDescent="0.3">
      <c r="A18" s="19" t="str">
        <f>IF(AUTRE_F[[#This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IF(AND(AUTRE_F[[#This Row],[FOURNISSEURS]]&gt;1,AUTRE_F[[#This Row],[Colonne2]]=""),"NON",IF(AND(AUTRE_F[[#This Row],[FOURNISSEURS]]&gt;1,AUTRE_F[[#This Row],[Colonne2]]="X"),"OUI",""))</f>
        <v/>
      </c>
      <c r="N18" s="5"/>
    </row>
    <row r="19" spans="1:18" ht="16.5" thickTop="1" thickBot="1" x14ac:dyDescent="0.3">
      <c r="A19" s="19" t="str">
        <f>IF(AUTRE_F[[#This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IF(AND(AUTRE_F[[#This Row],[FOURNISSEURS]]&gt;1,AUTRE_F[[#This Row],[Colonne2]]=""),"NON",IF(AND(AUTRE_F[[#This Row],[FOURNISSEURS]]&gt;1,AUTRE_F[[#This Row],[Colonne2]]="X"),"OUI",""))</f>
        <v/>
      </c>
      <c r="N19" s="5"/>
    </row>
    <row r="20" spans="1:18" ht="16.5" thickTop="1" thickBot="1" x14ac:dyDescent="0.3">
      <c r="A20" s="19" t="str">
        <f>IF(AUTRE_F[[#This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IF(AND(AUTRE_F[[#This Row],[FOURNISSEURS]]&gt;1,AUTRE_F[[#This Row],[Colonne2]]=""),"NON",IF(AND(AUTRE_F[[#This Row],[FOURNISSEURS]]&gt;1,AUTRE_F[[#This Row],[Colonne2]]="X"),"OUI",""))</f>
        <v/>
      </c>
      <c r="N20" s="5"/>
    </row>
    <row r="21" spans="1:18" ht="16.5" thickTop="1" thickBot="1" x14ac:dyDescent="0.3">
      <c r="A21" s="19" t="str">
        <f>IF(AUTRE_F[[#This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IF(AND(AUTRE_F[[#This Row],[FOURNISSEURS]]&gt;1,AUTRE_F[[#This Row],[Colonne2]]=""),"NON",IF(AND(AUTRE_F[[#This Row],[FOURNISSEURS]]&gt;1,AUTRE_F[[#This Row],[Colonne2]]="X"),"OUI",""))</f>
        <v/>
      </c>
      <c r="N21" s="5"/>
    </row>
    <row r="22" spans="1:18" ht="16.5" thickTop="1" thickBot="1" x14ac:dyDescent="0.3">
      <c r="A22" s="19" t="str">
        <f>IF(AUTRE_F[[#This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IF(AND(AUTRE_F[[#This Row],[FOURNISSEURS]]&gt;1,AUTRE_F[[#This Row],[Colonne2]]=""),"NON",IF(AND(AUTRE_F[[#This Row],[FOURNISSEURS]]&gt;1,AUTRE_F[[#This Row],[Colonne2]]="X"),"OUI",""))</f>
        <v/>
      </c>
      <c r="N22" s="5"/>
    </row>
    <row r="23" spans="1:18" ht="16.5" thickTop="1" thickBot="1" x14ac:dyDescent="0.3">
      <c r="A23" s="19" t="str">
        <f>IF(AUTRE_F[[#This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IF(AND(AUTRE_F[[#This Row],[FOURNISSEURS]]&gt;1,AUTRE_F[[#This Row],[Colonne2]]=""),"NON",IF(AND(AUTRE_F[[#This Row],[FOURNISSEURS]]&gt;1,AUTRE_F[[#This Row],[Colonne2]]="X"),"OUI",""))</f>
        <v/>
      </c>
      <c r="N23" s="5"/>
    </row>
    <row r="24" spans="1:18" ht="15.75" thickTop="1" x14ac:dyDescent="0.25">
      <c r="A24" s="29" t="str">
        <f>IF(AUTRE_F[[#This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IF(AND(AUTRE_F[[#This Row],[FOURNISSEURS]]&gt;1,AUTRE_F[[#This Row],[Colonne2]]=""),"NON",IF(AND(AUTRE_F[[#This Row],[FOURNISSEURS]]&gt;1,AUTRE_F[[#This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SUBTOTAL(109,AUTRE_F[DEBIT])</f>
        <v>0</v>
      </c>
      <c r="F25" s="73">
        <f>SUBTOTAL(109,AUTRE_F[CREDIT])</f>
        <v>0</v>
      </c>
      <c r="G25" s="74">
        <f>AUTRE_F[[#Totals],[DEBIT]]-AUTRE_F[[#Totals],[CREDIT]]</f>
        <v>0</v>
      </c>
      <c r="I25" s="30"/>
      <c r="J25" s="76" t="s">
        <v>26</v>
      </c>
      <c r="K25" s="73">
        <f>SUMIF(M6,"NON",AUTRE_F[MONTANT])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IF(F3-AUTRE_F[[#Totals],[N° PIECE]]&lt;0,0,F3-AUTRE_F[[#Totals],[N° PIECE]])</f>
        <v>300</v>
      </c>
      <c r="F27" s="182"/>
      <c r="G27" s="183" t="s">
        <v>10</v>
      </c>
      <c r="H27" s="184"/>
      <c r="I27" s="184"/>
      <c r="J27" s="184"/>
      <c r="K27" s="185"/>
      <c r="L27" s="186">
        <f>E27-AUTRE_F[[#Totals],[MONTANT]]</f>
        <v>300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IF(E27=0,AUTRE_F[[#Totals],[N°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550" priority="22">
      <formula>MONTH($B7)=MONTH($B6)</formula>
    </cfRule>
  </conditionalFormatting>
  <conditionalFormatting sqref="J6:M24">
    <cfRule type="expression" dxfId="549" priority="18">
      <formula>$L6=""</formula>
    </cfRule>
    <cfRule type="expression" dxfId="548" priority="19">
      <formula>$L6="NON"</formula>
    </cfRule>
    <cfRule type="expression" dxfId="547" priority="21">
      <formula>$M6="OUI"</formula>
    </cfRule>
  </conditionalFormatting>
  <conditionalFormatting sqref="N6:N24">
    <cfRule type="expression" dxfId="546" priority="20">
      <formula>$N6="X"</formula>
    </cfRule>
  </conditionalFormatting>
  <conditionalFormatting sqref="J25:K25">
    <cfRule type="expression" dxfId="545" priority="17">
      <formula>$K$25=0</formula>
    </cfRule>
  </conditionalFormatting>
  <conditionalFormatting sqref="G27:M27">
    <cfRule type="expression" dxfId="544" priority="16">
      <formula>$K$25=0</formula>
    </cfRule>
  </conditionalFormatting>
  <conditionalFormatting sqref="E27">
    <cfRule type="expression" dxfId="543" priority="14">
      <formula>$E$27=0</formula>
    </cfRule>
    <cfRule type="expression" dxfId="542" priority="15">
      <formula>$E$27&gt;0</formula>
    </cfRule>
  </conditionalFormatting>
  <conditionalFormatting sqref="A27:D27">
    <cfRule type="expression" dxfId="541" priority="2">
      <formula>$E$27&lt;=100</formula>
    </cfRule>
    <cfRule type="expression" dxfId="540" priority="13">
      <formula>$E$27=0</formula>
    </cfRule>
  </conditionalFormatting>
  <conditionalFormatting sqref="J34:J35">
    <cfRule type="expression" dxfId="539" priority="11">
      <formula>$J$36="OUI"</formula>
    </cfRule>
    <cfRule type="expression" dxfId="538" priority="12">
      <formula>$E$36&gt;0</formula>
    </cfRule>
  </conditionalFormatting>
  <conditionalFormatting sqref="J36:J37">
    <cfRule type="expression" dxfId="537" priority="9">
      <formula>$J$36="OUI"</formula>
    </cfRule>
    <cfRule type="expression" dxfId="536" priority="10">
      <formula>$E$36&gt;0</formula>
    </cfRule>
  </conditionalFormatting>
  <conditionalFormatting sqref="J52:J53">
    <cfRule type="expression" dxfId="535" priority="7">
      <formula>$J$54="OUI"</formula>
    </cfRule>
    <cfRule type="expression" dxfId="534" priority="8">
      <formula>$E$54&gt;0</formula>
    </cfRule>
  </conditionalFormatting>
  <conditionalFormatting sqref="J54:J55">
    <cfRule type="expression" dxfId="533" priority="5">
      <formula>$J$54="OUI"</formula>
    </cfRule>
    <cfRule type="expression" dxfId="532" priority="6">
      <formula>$E$54&gt;0</formula>
    </cfRule>
  </conditionalFormatting>
  <conditionalFormatting sqref="L6:L24">
    <cfRule type="expression" dxfId="531" priority="3">
      <formula>$L6="OUI"</formula>
    </cfRule>
    <cfRule type="expression" dxfId="530" priority="4">
      <formula>$J6&gt;0</formula>
    </cfRule>
  </conditionalFormatting>
  <conditionalFormatting sqref="A31:H31">
    <cfRule type="expression" dxfId="529" priority="23">
      <formula>$J$36="OUI"</formula>
    </cfRule>
  </conditionalFormatting>
  <conditionalFormatting sqref="A32:H32">
    <cfRule type="expression" dxfId="528" priority="24">
      <formula>$J$54="OUI"</formula>
    </cfRule>
  </conditionalFormatting>
  <conditionalFormatting sqref="A28:F28">
    <cfRule type="expression" dxfId="527" priority="1">
      <formula>$E$27&gt;0</formula>
    </cfRule>
  </conditionalFormatting>
  <dataValidations count="3">
    <dataValidation type="list" allowBlank="1" showInputMessage="1" showErrorMessage="1" sqref="J36:J37 J54:J55">
      <formula1>$R$32:$R$33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N6:N24">
      <formula1>$R$10:$R$11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68"/>
  <sheetViews>
    <sheetView showGridLines="0" workbookViewId="0">
      <selection activeCell="B6" sqref="B6:E8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+BUDGET!K12</f>
        <v>400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IF(PHARM[[#This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IF(AND(PHARM[[#This Row],[FOURNISSEURS]]&gt;1,PHARM[[#This Row],[Colonne2]]=""),"NON",IF(AND(PHARM[[#This Row],[FOURNISSEURS]]&gt;1,PHARM[[#This Row],[Colonne2]]="X"),"OUI",""))</f>
        <v/>
      </c>
      <c r="N6" s="5"/>
    </row>
    <row r="7" spans="1:18" ht="16.5" thickTop="1" thickBot="1" x14ac:dyDescent="0.3">
      <c r="A7" s="41" t="str">
        <f>IF(PHARM[[#This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IF(AND(PHARM[[#This Row],[FOURNISSEURS]]&gt;1,PHARM[[#This Row],[Colonne2]]=""),"NON",IF(AND(PHARM[[#This Row],[FOURNISSEURS]]&gt;1,PHARM[[#This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IF(PHARM[[#This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IF(AND(PHARM[[#This Row],[FOURNISSEURS]]&gt;1,PHARM[[#This Row],[Colonne2]]=""),"NON",IF(AND(PHARM[[#This Row],[FOURNISSEURS]]&gt;1,PHARM[[#This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IF(PHARM[[#This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IF(AND(PHARM[[#This Row],[FOURNISSEURS]]&gt;1,PHARM[[#This Row],[Colonne2]]=""),"NON",IF(AND(PHARM[[#This Row],[FOURNISSEURS]]&gt;1,PHARM[[#This Row],[Colonne2]]="X"),"OUI",""))</f>
        <v/>
      </c>
      <c r="N9" s="5"/>
    </row>
    <row r="10" spans="1:18" ht="16.5" thickTop="1" thickBot="1" x14ac:dyDescent="0.3">
      <c r="A10" s="19" t="str">
        <f>IF(PHARM[[#This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IF(AND(PHARM[[#This Row],[FOURNISSEURS]]&gt;1,PHARM[[#This Row],[Colonne2]]=""),"NON",IF(AND(PHARM[[#This Row],[FOURNISSEURS]]&gt;1,PHARM[[#This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IF(PHARM[[#This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IF(AND(PHARM[[#This Row],[FOURNISSEURS]]&gt;1,PHARM[[#This Row],[Colonne2]]=""),"NON",IF(AND(PHARM[[#This Row],[FOURNISSEURS]]&gt;1,PHARM[[#This Row],[Colonne2]]="X"),"OUI",""))</f>
        <v/>
      </c>
      <c r="N11" s="5"/>
    </row>
    <row r="12" spans="1:18" ht="16.5" thickTop="1" thickBot="1" x14ac:dyDescent="0.3">
      <c r="A12" s="19" t="str">
        <f>IF(PHARM[[#This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IF(AND(PHARM[[#This Row],[FOURNISSEURS]]&gt;1,PHARM[[#This Row],[Colonne2]]=""),"NON",IF(AND(PHARM[[#This Row],[FOURNISSEURS]]&gt;1,PHARM[[#This Row],[Colonne2]]="X"),"OUI",""))</f>
        <v/>
      </c>
      <c r="N12" s="5"/>
    </row>
    <row r="13" spans="1:18" ht="16.5" thickTop="1" thickBot="1" x14ac:dyDescent="0.3">
      <c r="A13" s="19" t="str">
        <f>IF(PHARM[[#This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IF(AND(PHARM[[#This Row],[FOURNISSEURS]]&gt;1,PHARM[[#This Row],[Colonne2]]=""),"NON",IF(AND(PHARM[[#This Row],[FOURNISSEURS]]&gt;1,PHARM[[#This Row],[Colonne2]]="X"),"OUI",""))</f>
        <v/>
      </c>
      <c r="N13" s="5"/>
    </row>
    <row r="14" spans="1:18" ht="16.5" thickTop="1" thickBot="1" x14ac:dyDescent="0.3">
      <c r="A14" s="19" t="str">
        <f>IF(PHARM[[#This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IF(AND(PHARM[[#This Row],[FOURNISSEURS]]&gt;1,PHARM[[#This Row],[Colonne2]]=""),"NON",IF(AND(PHARM[[#This Row],[FOURNISSEURS]]&gt;1,PHARM[[#This Row],[Colonne2]]="X"),"OUI",""))</f>
        <v/>
      </c>
      <c r="N14" s="5"/>
    </row>
    <row r="15" spans="1:18" ht="16.5" thickTop="1" thickBot="1" x14ac:dyDescent="0.3">
      <c r="A15" s="19" t="str">
        <f>IF(PHARM[[#This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IF(AND(PHARM[[#This Row],[FOURNISSEURS]]&gt;1,PHARM[[#This Row],[Colonne2]]=""),"NON",IF(AND(PHARM[[#This Row],[FOURNISSEURS]]&gt;1,PHARM[[#This Row],[Colonne2]]="X"),"OUI",""))</f>
        <v/>
      </c>
      <c r="N15" s="5"/>
    </row>
    <row r="16" spans="1:18" ht="16.5" thickTop="1" thickBot="1" x14ac:dyDescent="0.3">
      <c r="A16" s="19" t="str">
        <f>IF(PHARM[[#This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IF(AND(PHARM[[#This Row],[FOURNISSEURS]]&gt;1,PHARM[[#This Row],[Colonne2]]=""),"NON",IF(AND(PHARM[[#This Row],[FOURNISSEURS]]&gt;1,PHARM[[#This Row],[Colonne2]]="X"),"OUI",""))</f>
        <v/>
      </c>
      <c r="N16" s="5"/>
    </row>
    <row r="17" spans="1:18" ht="16.5" thickTop="1" thickBot="1" x14ac:dyDescent="0.3">
      <c r="A17" s="19" t="str">
        <f>IF(PHARM[[#This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IF(AND(PHARM[[#This Row],[FOURNISSEURS]]&gt;1,PHARM[[#This Row],[Colonne2]]=""),"NON",IF(AND(PHARM[[#This Row],[FOURNISSEURS]]&gt;1,PHARM[[#This Row],[Colonne2]]="X"),"OUI",""))</f>
        <v/>
      </c>
      <c r="N17" s="5"/>
    </row>
    <row r="18" spans="1:18" ht="16.5" thickTop="1" thickBot="1" x14ac:dyDescent="0.3">
      <c r="A18" s="19" t="str">
        <f>IF(PHARM[[#This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IF(AND(PHARM[[#This Row],[FOURNISSEURS]]&gt;1,PHARM[[#This Row],[Colonne2]]=""),"NON",IF(AND(PHARM[[#This Row],[FOURNISSEURS]]&gt;1,PHARM[[#This Row],[Colonne2]]="X"),"OUI",""))</f>
        <v/>
      </c>
      <c r="N18" s="5"/>
    </row>
    <row r="19" spans="1:18" ht="16.5" thickTop="1" thickBot="1" x14ac:dyDescent="0.3">
      <c r="A19" s="19" t="str">
        <f>IF(PHARM[[#This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IF(AND(PHARM[[#This Row],[FOURNISSEURS]]&gt;1,PHARM[[#This Row],[Colonne2]]=""),"NON",IF(AND(PHARM[[#This Row],[FOURNISSEURS]]&gt;1,PHARM[[#This Row],[Colonne2]]="X"),"OUI",""))</f>
        <v/>
      </c>
      <c r="N19" s="5"/>
    </row>
    <row r="20" spans="1:18" ht="16.5" thickTop="1" thickBot="1" x14ac:dyDescent="0.3">
      <c r="A20" s="19" t="str">
        <f>IF(PHARM[[#This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IF(AND(PHARM[[#This Row],[FOURNISSEURS]]&gt;1,PHARM[[#This Row],[Colonne2]]=""),"NON",IF(AND(PHARM[[#This Row],[FOURNISSEURS]]&gt;1,PHARM[[#This Row],[Colonne2]]="X"),"OUI",""))</f>
        <v/>
      </c>
      <c r="N20" s="5"/>
    </row>
    <row r="21" spans="1:18" ht="16.5" thickTop="1" thickBot="1" x14ac:dyDescent="0.3">
      <c r="A21" s="19" t="str">
        <f>IF(PHARM[[#This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IF(AND(PHARM[[#This Row],[FOURNISSEURS]]&gt;1,PHARM[[#This Row],[Colonne2]]=""),"NON",IF(AND(PHARM[[#This Row],[FOURNISSEURS]]&gt;1,PHARM[[#This Row],[Colonne2]]="X"),"OUI",""))</f>
        <v/>
      </c>
      <c r="N21" s="5"/>
    </row>
    <row r="22" spans="1:18" ht="16.5" thickTop="1" thickBot="1" x14ac:dyDescent="0.3">
      <c r="A22" s="19" t="str">
        <f>IF(PHARM[[#This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IF(AND(PHARM[[#This Row],[FOURNISSEURS]]&gt;1,PHARM[[#This Row],[Colonne2]]=""),"NON",IF(AND(PHARM[[#This Row],[FOURNISSEURS]]&gt;1,PHARM[[#This Row],[Colonne2]]="X"),"OUI",""))</f>
        <v/>
      </c>
      <c r="N22" s="5"/>
    </row>
    <row r="23" spans="1:18" ht="16.5" thickTop="1" thickBot="1" x14ac:dyDescent="0.3">
      <c r="A23" s="19" t="str">
        <f>IF(PHARM[[#This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IF(AND(PHARM[[#This Row],[FOURNISSEURS]]&gt;1,PHARM[[#This Row],[Colonne2]]=""),"NON",IF(AND(PHARM[[#This Row],[FOURNISSEURS]]&gt;1,PHARM[[#This Row],[Colonne2]]="X"),"OUI",""))</f>
        <v/>
      </c>
      <c r="N23" s="5"/>
    </row>
    <row r="24" spans="1:18" ht="15.75" thickTop="1" x14ac:dyDescent="0.25">
      <c r="A24" s="29" t="str">
        <f>IF(PHARM[[#This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IF(AND(PHARM[[#This Row],[FOURNISSEURS]]&gt;1,PHARM[[#This Row],[Colonne2]]=""),"NON",IF(AND(PHARM[[#This Row],[FOURNISSEURS]]&gt;1,PHARM[[#This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SUBTOTAL(109,PHARM[DEBIT])</f>
        <v>0</v>
      </c>
      <c r="F25" s="73">
        <f>SUBTOTAL(109,PHARM[CREDIT])</f>
        <v>0</v>
      </c>
      <c r="G25" s="74">
        <f>PHARM[[#Totals],[DEBIT]]-PHARM[[#Totals],[CREDIT]]</f>
        <v>0</v>
      </c>
      <c r="I25" s="30"/>
      <c r="J25" s="76" t="s">
        <v>26</v>
      </c>
      <c r="K25" s="73">
        <f>SUMIF(M6,"NON",PHARM[MONTANT])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IF(F3-PHARM[[#Totals],[N° PIECE]]&lt;0,0,F3-PHARM[[#Totals],[N° PIECE]])</f>
        <v>400</v>
      </c>
      <c r="F27" s="182"/>
      <c r="G27" s="183" t="s">
        <v>10</v>
      </c>
      <c r="H27" s="184"/>
      <c r="I27" s="184"/>
      <c r="J27" s="184"/>
      <c r="K27" s="185"/>
      <c r="L27" s="186">
        <f>E27-PHARM[[#Totals],[MONTANT]]</f>
        <v>400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IF(E27=0,PHARM[[#Totals],[N°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509" priority="22">
      <formula>MONTH($B7)=MONTH($B6)</formula>
    </cfRule>
  </conditionalFormatting>
  <conditionalFormatting sqref="J6:M24">
    <cfRule type="expression" dxfId="508" priority="18">
      <formula>$L6=""</formula>
    </cfRule>
    <cfRule type="expression" dxfId="507" priority="19">
      <formula>$L6="NON"</formula>
    </cfRule>
    <cfRule type="expression" dxfId="506" priority="21">
      <formula>$M6="OUI"</formula>
    </cfRule>
  </conditionalFormatting>
  <conditionalFormatting sqref="N6:N24">
    <cfRule type="expression" dxfId="505" priority="20">
      <formula>$N6="X"</formula>
    </cfRule>
  </conditionalFormatting>
  <conditionalFormatting sqref="J25:K25">
    <cfRule type="expression" dxfId="504" priority="17">
      <formula>$K$25=0</formula>
    </cfRule>
  </conditionalFormatting>
  <conditionalFormatting sqref="G27:M27">
    <cfRule type="expression" dxfId="503" priority="16">
      <formula>$K$25=0</formula>
    </cfRule>
  </conditionalFormatting>
  <conditionalFormatting sqref="E27">
    <cfRule type="expression" dxfId="502" priority="14">
      <formula>$E$27=0</formula>
    </cfRule>
    <cfRule type="expression" dxfId="501" priority="15">
      <formula>$E$27&gt;0</formula>
    </cfRule>
  </conditionalFormatting>
  <conditionalFormatting sqref="A27:D27">
    <cfRule type="expression" dxfId="500" priority="2">
      <formula>$E$27&lt;=100</formula>
    </cfRule>
    <cfRule type="expression" dxfId="499" priority="13">
      <formula>$E$27=0</formula>
    </cfRule>
  </conditionalFormatting>
  <conditionalFormatting sqref="J34:J35">
    <cfRule type="expression" dxfId="498" priority="11">
      <formula>$J$36="OUI"</formula>
    </cfRule>
    <cfRule type="expression" dxfId="497" priority="12">
      <formula>$E$36&gt;0</formula>
    </cfRule>
  </conditionalFormatting>
  <conditionalFormatting sqref="J36:J37">
    <cfRule type="expression" dxfId="496" priority="9">
      <formula>$J$36="OUI"</formula>
    </cfRule>
    <cfRule type="expression" dxfId="495" priority="10">
      <formula>$E$36&gt;0</formula>
    </cfRule>
  </conditionalFormatting>
  <conditionalFormatting sqref="J52:J53">
    <cfRule type="expression" dxfId="494" priority="7">
      <formula>$J$54="OUI"</formula>
    </cfRule>
    <cfRule type="expression" dxfId="493" priority="8">
      <formula>$E$54&gt;0</formula>
    </cfRule>
  </conditionalFormatting>
  <conditionalFormatting sqref="J54:J55">
    <cfRule type="expression" dxfId="492" priority="5">
      <formula>$J$54="OUI"</formula>
    </cfRule>
    <cfRule type="expression" dxfId="491" priority="6">
      <formula>$E$54&gt;0</formula>
    </cfRule>
  </conditionalFormatting>
  <conditionalFormatting sqref="L6:L24">
    <cfRule type="expression" dxfId="490" priority="3">
      <formula>$L6="OUI"</formula>
    </cfRule>
    <cfRule type="expression" dxfId="489" priority="4">
      <formula>$J6&gt;0</formula>
    </cfRule>
  </conditionalFormatting>
  <conditionalFormatting sqref="A31:H31">
    <cfRule type="expression" dxfId="488" priority="23">
      <formula>$J$36="OUI"</formula>
    </cfRule>
  </conditionalFormatting>
  <conditionalFormatting sqref="A32:H32">
    <cfRule type="expression" dxfId="487" priority="24">
      <formula>$J$54="OUI"</formula>
    </cfRule>
  </conditionalFormatting>
  <conditionalFormatting sqref="A28:F28">
    <cfRule type="expression" dxfId="486" priority="1">
      <formula>$E$27&gt;0</formula>
    </cfRule>
  </conditionalFormatting>
  <dataValidations count="3">
    <dataValidation type="list" allowBlank="1" showInputMessage="1" showErrorMessage="1" sqref="N6:N24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J36:J37 J54:J55">
      <formula1>$R$32:$R$33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68"/>
  <sheetViews>
    <sheetView showGridLines="0" workbookViewId="0">
      <selection activeCell="G6" sqref="G6:G10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+BUDGET!K13</f>
        <v>2300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IF(P_ENT[[#This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IF(AND(P_ENT[[#This Row],[FOURNISSEURS]]&gt;1,P_ENT[[#This Row],[Colonne2]]=""),"NON",IF(AND(P_ENT[[#This Row],[FOURNISSEURS]]&gt;1,P_ENT[[#This Row],[Colonne2]]="X"),"OUI",""))</f>
        <v/>
      </c>
      <c r="N6" s="5"/>
    </row>
    <row r="7" spans="1:18" ht="16.5" thickTop="1" thickBot="1" x14ac:dyDescent="0.3">
      <c r="A7" s="41" t="str">
        <f>IF(P_ENT[[#This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IF(AND(P_ENT[[#This Row],[FOURNISSEURS]]&gt;1,P_ENT[[#This Row],[Colonne2]]=""),"NON",IF(AND(P_ENT[[#This Row],[FOURNISSEURS]]&gt;1,P_ENT[[#This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IF(P_ENT[[#This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IF(AND(P_ENT[[#This Row],[FOURNISSEURS]]&gt;1,P_ENT[[#This Row],[Colonne2]]=""),"NON",IF(AND(P_ENT[[#This Row],[FOURNISSEURS]]&gt;1,P_ENT[[#This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IF(P_ENT[[#This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IF(AND(P_ENT[[#This Row],[FOURNISSEURS]]&gt;1,P_ENT[[#This Row],[Colonne2]]=""),"NON",IF(AND(P_ENT[[#This Row],[FOURNISSEURS]]&gt;1,P_ENT[[#This Row],[Colonne2]]="X"),"OUI",""))</f>
        <v/>
      </c>
      <c r="N9" s="5"/>
    </row>
    <row r="10" spans="1:18" ht="16.5" thickTop="1" thickBot="1" x14ac:dyDescent="0.3">
      <c r="A10" s="19" t="str">
        <f>IF(P_ENT[[#This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IF(AND(P_ENT[[#This Row],[FOURNISSEURS]]&gt;1,P_ENT[[#This Row],[Colonne2]]=""),"NON",IF(AND(P_ENT[[#This Row],[FOURNISSEURS]]&gt;1,P_ENT[[#This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IF(P_ENT[[#This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IF(AND(P_ENT[[#This Row],[FOURNISSEURS]]&gt;1,P_ENT[[#This Row],[Colonne2]]=""),"NON",IF(AND(P_ENT[[#This Row],[FOURNISSEURS]]&gt;1,P_ENT[[#This Row],[Colonne2]]="X"),"OUI",""))</f>
        <v/>
      </c>
      <c r="N11" s="5"/>
    </row>
    <row r="12" spans="1:18" ht="16.5" thickTop="1" thickBot="1" x14ac:dyDescent="0.3">
      <c r="A12" s="19" t="str">
        <f>IF(P_ENT[[#This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IF(AND(P_ENT[[#This Row],[FOURNISSEURS]]&gt;1,P_ENT[[#This Row],[Colonne2]]=""),"NON",IF(AND(P_ENT[[#This Row],[FOURNISSEURS]]&gt;1,P_ENT[[#This Row],[Colonne2]]="X"),"OUI",""))</f>
        <v/>
      </c>
      <c r="N12" s="5"/>
    </row>
    <row r="13" spans="1:18" ht="16.5" thickTop="1" thickBot="1" x14ac:dyDescent="0.3">
      <c r="A13" s="19" t="str">
        <f>IF(P_ENT[[#This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IF(AND(P_ENT[[#This Row],[FOURNISSEURS]]&gt;1,P_ENT[[#This Row],[Colonne2]]=""),"NON",IF(AND(P_ENT[[#This Row],[FOURNISSEURS]]&gt;1,P_ENT[[#This Row],[Colonne2]]="X"),"OUI",""))</f>
        <v/>
      </c>
      <c r="N13" s="5"/>
    </row>
    <row r="14" spans="1:18" ht="16.5" thickTop="1" thickBot="1" x14ac:dyDescent="0.3">
      <c r="A14" s="19" t="str">
        <f>IF(P_ENT[[#This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IF(AND(P_ENT[[#This Row],[FOURNISSEURS]]&gt;1,P_ENT[[#This Row],[Colonne2]]=""),"NON",IF(AND(P_ENT[[#This Row],[FOURNISSEURS]]&gt;1,P_ENT[[#This Row],[Colonne2]]="X"),"OUI",""))</f>
        <v/>
      </c>
      <c r="N14" s="5"/>
    </row>
    <row r="15" spans="1:18" ht="16.5" thickTop="1" thickBot="1" x14ac:dyDescent="0.3">
      <c r="A15" s="19" t="str">
        <f>IF(P_ENT[[#This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IF(AND(P_ENT[[#This Row],[FOURNISSEURS]]&gt;1,P_ENT[[#This Row],[Colonne2]]=""),"NON",IF(AND(P_ENT[[#This Row],[FOURNISSEURS]]&gt;1,P_ENT[[#This Row],[Colonne2]]="X"),"OUI",""))</f>
        <v/>
      </c>
      <c r="N15" s="5"/>
    </row>
    <row r="16" spans="1:18" ht="16.5" thickTop="1" thickBot="1" x14ac:dyDescent="0.3">
      <c r="A16" s="19" t="str">
        <f>IF(P_ENT[[#This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IF(AND(P_ENT[[#This Row],[FOURNISSEURS]]&gt;1,P_ENT[[#This Row],[Colonne2]]=""),"NON",IF(AND(P_ENT[[#This Row],[FOURNISSEURS]]&gt;1,P_ENT[[#This Row],[Colonne2]]="X"),"OUI",""))</f>
        <v/>
      </c>
      <c r="N16" s="5"/>
    </row>
    <row r="17" spans="1:18" ht="16.5" thickTop="1" thickBot="1" x14ac:dyDescent="0.3">
      <c r="A17" s="19" t="str">
        <f>IF(P_ENT[[#This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IF(AND(P_ENT[[#This Row],[FOURNISSEURS]]&gt;1,P_ENT[[#This Row],[Colonne2]]=""),"NON",IF(AND(P_ENT[[#This Row],[FOURNISSEURS]]&gt;1,P_ENT[[#This Row],[Colonne2]]="X"),"OUI",""))</f>
        <v/>
      </c>
      <c r="N17" s="5"/>
    </row>
    <row r="18" spans="1:18" ht="16.5" thickTop="1" thickBot="1" x14ac:dyDescent="0.3">
      <c r="A18" s="19" t="str">
        <f>IF(P_ENT[[#This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IF(AND(P_ENT[[#This Row],[FOURNISSEURS]]&gt;1,P_ENT[[#This Row],[Colonne2]]=""),"NON",IF(AND(P_ENT[[#This Row],[FOURNISSEURS]]&gt;1,P_ENT[[#This Row],[Colonne2]]="X"),"OUI",""))</f>
        <v/>
      </c>
      <c r="N18" s="5"/>
    </row>
    <row r="19" spans="1:18" ht="16.5" thickTop="1" thickBot="1" x14ac:dyDescent="0.3">
      <c r="A19" s="19" t="str">
        <f>IF(P_ENT[[#This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IF(AND(P_ENT[[#This Row],[FOURNISSEURS]]&gt;1,P_ENT[[#This Row],[Colonne2]]=""),"NON",IF(AND(P_ENT[[#This Row],[FOURNISSEURS]]&gt;1,P_ENT[[#This Row],[Colonne2]]="X"),"OUI",""))</f>
        <v/>
      </c>
      <c r="N19" s="5"/>
    </row>
    <row r="20" spans="1:18" ht="16.5" thickTop="1" thickBot="1" x14ac:dyDescent="0.3">
      <c r="A20" s="19" t="str">
        <f>IF(P_ENT[[#This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IF(AND(P_ENT[[#This Row],[FOURNISSEURS]]&gt;1,P_ENT[[#This Row],[Colonne2]]=""),"NON",IF(AND(P_ENT[[#This Row],[FOURNISSEURS]]&gt;1,P_ENT[[#This Row],[Colonne2]]="X"),"OUI",""))</f>
        <v/>
      </c>
      <c r="N20" s="5"/>
    </row>
    <row r="21" spans="1:18" ht="16.5" thickTop="1" thickBot="1" x14ac:dyDescent="0.3">
      <c r="A21" s="19" t="str">
        <f>IF(P_ENT[[#This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IF(AND(P_ENT[[#This Row],[FOURNISSEURS]]&gt;1,P_ENT[[#This Row],[Colonne2]]=""),"NON",IF(AND(P_ENT[[#This Row],[FOURNISSEURS]]&gt;1,P_ENT[[#This Row],[Colonne2]]="X"),"OUI",""))</f>
        <v/>
      </c>
      <c r="N21" s="5"/>
    </row>
    <row r="22" spans="1:18" ht="16.5" thickTop="1" thickBot="1" x14ac:dyDescent="0.3">
      <c r="A22" s="19" t="str">
        <f>IF(P_ENT[[#This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IF(AND(P_ENT[[#This Row],[FOURNISSEURS]]&gt;1,P_ENT[[#This Row],[Colonne2]]=""),"NON",IF(AND(P_ENT[[#This Row],[FOURNISSEURS]]&gt;1,P_ENT[[#This Row],[Colonne2]]="X"),"OUI",""))</f>
        <v/>
      </c>
      <c r="N22" s="5"/>
    </row>
    <row r="23" spans="1:18" ht="16.5" thickTop="1" thickBot="1" x14ac:dyDescent="0.3">
      <c r="A23" s="19" t="str">
        <f>IF(P_ENT[[#This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IF(AND(P_ENT[[#This Row],[FOURNISSEURS]]&gt;1,P_ENT[[#This Row],[Colonne2]]=""),"NON",IF(AND(P_ENT[[#This Row],[FOURNISSEURS]]&gt;1,P_ENT[[#This Row],[Colonne2]]="X"),"OUI",""))</f>
        <v/>
      </c>
      <c r="N23" s="5"/>
    </row>
    <row r="24" spans="1:18" ht="15.75" thickTop="1" x14ac:dyDescent="0.25">
      <c r="A24" s="29" t="str">
        <f>IF(P_ENT[[#This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IF(AND(P_ENT[[#This Row],[FOURNISSEURS]]&gt;1,P_ENT[[#This Row],[Colonne2]]=""),"NON",IF(AND(P_ENT[[#This Row],[FOURNISSEURS]]&gt;1,P_ENT[[#This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SUBTOTAL(109,P_ENT[DEBIT])</f>
        <v>0</v>
      </c>
      <c r="F25" s="73">
        <f>SUBTOTAL(109,P_ENT[CREDIT])</f>
        <v>0</v>
      </c>
      <c r="G25" s="74">
        <f>P_ENT[[#Totals],[DEBIT]]-P_ENT[[#Totals],[CREDIT]]</f>
        <v>0</v>
      </c>
      <c r="I25" s="30"/>
      <c r="J25" s="76" t="s">
        <v>26</v>
      </c>
      <c r="K25" s="73">
        <f>SUMIF(M6,"NON",P_ENT[MONTANT])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IF(F3-P_ENT[[#Totals],[N° PIECE]]&lt;0,0,F3-P_ENT[[#Totals],[N° PIECE]])</f>
        <v>2300</v>
      </c>
      <c r="F27" s="182"/>
      <c r="G27" s="183" t="s">
        <v>10</v>
      </c>
      <c r="H27" s="184"/>
      <c r="I27" s="184"/>
      <c r="J27" s="184"/>
      <c r="K27" s="185"/>
      <c r="L27" s="186">
        <f>E27-P_ENT[[#Totals],[MONTANT]]</f>
        <v>2300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IF(E27=0,P_ENT[[#Totals],[N°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468" priority="22">
      <formula>MONTH($B7)=MONTH($B6)</formula>
    </cfRule>
  </conditionalFormatting>
  <conditionalFormatting sqref="J6:M24">
    <cfRule type="expression" dxfId="467" priority="18">
      <formula>$L6=""</formula>
    </cfRule>
    <cfRule type="expression" dxfId="466" priority="19">
      <formula>$L6="NON"</formula>
    </cfRule>
    <cfRule type="expression" dxfId="465" priority="21">
      <formula>$M6="OUI"</formula>
    </cfRule>
  </conditionalFormatting>
  <conditionalFormatting sqref="N6:N24">
    <cfRule type="expression" dxfId="464" priority="20">
      <formula>$N6="X"</formula>
    </cfRule>
  </conditionalFormatting>
  <conditionalFormatting sqref="J25:K25">
    <cfRule type="expression" dxfId="463" priority="17">
      <formula>$K$25=0</formula>
    </cfRule>
  </conditionalFormatting>
  <conditionalFormatting sqref="G27:M27">
    <cfRule type="expression" dxfId="462" priority="16">
      <formula>$K$25=0</formula>
    </cfRule>
  </conditionalFormatting>
  <conditionalFormatting sqref="E27">
    <cfRule type="expression" dxfId="461" priority="14">
      <formula>$E$27=0</formula>
    </cfRule>
    <cfRule type="expression" dxfId="460" priority="15">
      <formula>$E$27&gt;0</formula>
    </cfRule>
  </conditionalFormatting>
  <conditionalFormatting sqref="A27:D27">
    <cfRule type="expression" dxfId="459" priority="2">
      <formula>$E$27&lt;=100</formula>
    </cfRule>
    <cfRule type="expression" dxfId="458" priority="13">
      <formula>$E$27=0</formula>
    </cfRule>
  </conditionalFormatting>
  <conditionalFormatting sqref="J34:J35">
    <cfRule type="expression" dxfId="457" priority="11">
      <formula>$J$36="OUI"</formula>
    </cfRule>
    <cfRule type="expression" dxfId="456" priority="12">
      <formula>$E$36&gt;0</formula>
    </cfRule>
  </conditionalFormatting>
  <conditionalFormatting sqref="J36:J37">
    <cfRule type="expression" dxfId="455" priority="9">
      <formula>$J$36="OUI"</formula>
    </cfRule>
    <cfRule type="expression" dxfId="454" priority="10">
      <formula>$E$36&gt;0</formula>
    </cfRule>
  </conditionalFormatting>
  <conditionalFormatting sqref="J52:J53">
    <cfRule type="expression" dxfId="453" priority="7">
      <formula>$J$54="OUI"</formula>
    </cfRule>
    <cfRule type="expression" dxfId="452" priority="8">
      <formula>$E$54&gt;0</formula>
    </cfRule>
  </conditionalFormatting>
  <conditionalFormatting sqref="J54:J55">
    <cfRule type="expression" dxfId="451" priority="5">
      <formula>$J$54="OUI"</formula>
    </cfRule>
    <cfRule type="expression" dxfId="450" priority="6">
      <formula>$E$54&gt;0</formula>
    </cfRule>
  </conditionalFormatting>
  <conditionalFormatting sqref="L6:L24">
    <cfRule type="expression" dxfId="449" priority="3">
      <formula>$L6="OUI"</formula>
    </cfRule>
    <cfRule type="expression" dxfId="448" priority="4">
      <formula>$J6&gt;0</formula>
    </cfRule>
  </conditionalFormatting>
  <conditionalFormatting sqref="A31:H31">
    <cfRule type="expression" dxfId="447" priority="23">
      <formula>$J$36="OUI"</formula>
    </cfRule>
  </conditionalFormatting>
  <conditionalFormatting sqref="A32:H32">
    <cfRule type="expression" dxfId="446" priority="24">
      <formula>$J$54="OUI"</formula>
    </cfRule>
  </conditionalFormatting>
  <conditionalFormatting sqref="A28:F28">
    <cfRule type="expression" dxfId="445" priority="1">
      <formula>$E$27&gt;0</formula>
    </cfRule>
  </conditionalFormatting>
  <dataValidations count="3">
    <dataValidation type="list" allowBlank="1" showInputMessage="1" showErrorMessage="1" sqref="J36:J37 J54:J55">
      <formula1>$R$32:$R$33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N6:N24">
      <formula1>$R$10:$R$11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68"/>
  <sheetViews>
    <sheetView showGridLines="0" workbookViewId="0">
      <selection activeCell="B6" sqref="B6:E15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+BUDGET!K14</f>
        <v>3000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IF(CHANGE[[#This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IF(AND(CHANGE[[#This Row],[FOURNISSEURS]]&gt;1,CHANGE[[#This Row],[Colonne2]]=""),"NON",IF(AND(CHANGE[[#This Row],[FOURNISSEURS]]&gt;1,CHANGE[[#This Row],[Colonne2]]="X"),"OUI",""))</f>
        <v/>
      </c>
      <c r="N6" s="5"/>
    </row>
    <row r="7" spans="1:18" ht="16.5" thickTop="1" thickBot="1" x14ac:dyDescent="0.3">
      <c r="A7" s="41" t="str">
        <f>IF(CHANGE[[#This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IF(AND(CHANGE[[#This Row],[FOURNISSEURS]]&gt;1,CHANGE[[#This Row],[Colonne2]]=""),"NON",IF(AND(CHANGE[[#This Row],[FOURNISSEURS]]&gt;1,CHANGE[[#This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IF(CHANGE[[#This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IF(AND(CHANGE[[#This Row],[FOURNISSEURS]]&gt;1,CHANGE[[#This Row],[Colonne2]]=""),"NON",IF(AND(CHANGE[[#This Row],[FOURNISSEURS]]&gt;1,CHANGE[[#This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IF(CHANGE[[#This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IF(AND(CHANGE[[#This Row],[FOURNISSEURS]]&gt;1,CHANGE[[#This Row],[Colonne2]]=""),"NON",IF(AND(CHANGE[[#This Row],[FOURNISSEURS]]&gt;1,CHANGE[[#This Row],[Colonne2]]="X"),"OUI",""))</f>
        <v/>
      </c>
      <c r="N9" s="5"/>
    </row>
    <row r="10" spans="1:18" ht="16.5" thickTop="1" thickBot="1" x14ac:dyDescent="0.3">
      <c r="A10" s="19" t="str">
        <f>IF(CHANGE[[#This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IF(AND(CHANGE[[#This Row],[FOURNISSEURS]]&gt;1,CHANGE[[#This Row],[Colonne2]]=""),"NON",IF(AND(CHANGE[[#This Row],[FOURNISSEURS]]&gt;1,CHANGE[[#This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IF(CHANGE[[#This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IF(AND(CHANGE[[#This Row],[FOURNISSEURS]]&gt;1,CHANGE[[#This Row],[Colonne2]]=""),"NON",IF(AND(CHANGE[[#This Row],[FOURNISSEURS]]&gt;1,CHANGE[[#This Row],[Colonne2]]="X"),"OUI",""))</f>
        <v/>
      </c>
      <c r="N11" s="5"/>
    </row>
    <row r="12" spans="1:18" ht="16.5" thickTop="1" thickBot="1" x14ac:dyDescent="0.3">
      <c r="A12" s="19" t="str">
        <f>IF(CHANGE[[#This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IF(AND(CHANGE[[#This Row],[FOURNISSEURS]]&gt;1,CHANGE[[#This Row],[Colonne2]]=""),"NON",IF(AND(CHANGE[[#This Row],[FOURNISSEURS]]&gt;1,CHANGE[[#This Row],[Colonne2]]="X"),"OUI",""))</f>
        <v/>
      </c>
      <c r="N12" s="5"/>
    </row>
    <row r="13" spans="1:18" ht="16.5" thickTop="1" thickBot="1" x14ac:dyDescent="0.3">
      <c r="A13" s="19" t="str">
        <f>IF(CHANGE[[#This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IF(AND(CHANGE[[#This Row],[FOURNISSEURS]]&gt;1,CHANGE[[#This Row],[Colonne2]]=""),"NON",IF(AND(CHANGE[[#This Row],[FOURNISSEURS]]&gt;1,CHANGE[[#This Row],[Colonne2]]="X"),"OUI",""))</f>
        <v/>
      </c>
      <c r="N13" s="5"/>
    </row>
    <row r="14" spans="1:18" ht="16.5" thickTop="1" thickBot="1" x14ac:dyDescent="0.3">
      <c r="A14" s="19" t="str">
        <f>IF(CHANGE[[#This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IF(AND(CHANGE[[#This Row],[FOURNISSEURS]]&gt;1,CHANGE[[#This Row],[Colonne2]]=""),"NON",IF(AND(CHANGE[[#This Row],[FOURNISSEURS]]&gt;1,CHANGE[[#This Row],[Colonne2]]="X"),"OUI",""))</f>
        <v/>
      </c>
      <c r="N14" s="5"/>
    </row>
    <row r="15" spans="1:18" ht="16.5" thickTop="1" thickBot="1" x14ac:dyDescent="0.3">
      <c r="A15" s="19" t="str">
        <f>IF(CHANGE[[#This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IF(AND(CHANGE[[#This Row],[FOURNISSEURS]]&gt;1,CHANGE[[#This Row],[Colonne2]]=""),"NON",IF(AND(CHANGE[[#This Row],[FOURNISSEURS]]&gt;1,CHANGE[[#This Row],[Colonne2]]="X"),"OUI",""))</f>
        <v/>
      </c>
      <c r="N15" s="5"/>
    </row>
    <row r="16" spans="1:18" ht="16.5" thickTop="1" thickBot="1" x14ac:dyDescent="0.3">
      <c r="A16" s="19" t="str">
        <f>IF(CHANGE[[#This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IF(AND(CHANGE[[#This Row],[FOURNISSEURS]]&gt;1,CHANGE[[#This Row],[Colonne2]]=""),"NON",IF(AND(CHANGE[[#This Row],[FOURNISSEURS]]&gt;1,CHANGE[[#This Row],[Colonne2]]="X"),"OUI",""))</f>
        <v/>
      </c>
      <c r="N16" s="5"/>
    </row>
    <row r="17" spans="1:18" ht="16.5" thickTop="1" thickBot="1" x14ac:dyDescent="0.3">
      <c r="A17" s="19" t="str">
        <f>IF(CHANGE[[#This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IF(AND(CHANGE[[#This Row],[FOURNISSEURS]]&gt;1,CHANGE[[#This Row],[Colonne2]]=""),"NON",IF(AND(CHANGE[[#This Row],[FOURNISSEURS]]&gt;1,CHANGE[[#This Row],[Colonne2]]="X"),"OUI",""))</f>
        <v/>
      </c>
      <c r="N17" s="5"/>
    </row>
    <row r="18" spans="1:18" ht="16.5" thickTop="1" thickBot="1" x14ac:dyDescent="0.3">
      <c r="A18" s="19" t="str">
        <f>IF(CHANGE[[#This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IF(AND(CHANGE[[#This Row],[FOURNISSEURS]]&gt;1,CHANGE[[#This Row],[Colonne2]]=""),"NON",IF(AND(CHANGE[[#This Row],[FOURNISSEURS]]&gt;1,CHANGE[[#This Row],[Colonne2]]="X"),"OUI",""))</f>
        <v/>
      </c>
      <c r="N18" s="5"/>
    </row>
    <row r="19" spans="1:18" ht="16.5" thickTop="1" thickBot="1" x14ac:dyDescent="0.3">
      <c r="A19" s="19" t="str">
        <f>IF(CHANGE[[#This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IF(AND(CHANGE[[#This Row],[FOURNISSEURS]]&gt;1,CHANGE[[#This Row],[Colonne2]]=""),"NON",IF(AND(CHANGE[[#This Row],[FOURNISSEURS]]&gt;1,CHANGE[[#This Row],[Colonne2]]="X"),"OUI",""))</f>
        <v/>
      </c>
      <c r="N19" s="5"/>
    </row>
    <row r="20" spans="1:18" ht="16.5" thickTop="1" thickBot="1" x14ac:dyDescent="0.3">
      <c r="A20" s="19" t="str">
        <f>IF(CHANGE[[#This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IF(AND(CHANGE[[#This Row],[FOURNISSEURS]]&gt;1,CHANGE[[#This Row],[Colonne2]]=""),"NON",IF(AND(CHANGE[[#This Row],[FOURNISSEURS]]&gt;1,CHANGE[[#This Row],[Colonne2]]="X"),"OUI",""))</f>
        <v/>
      </c>
      <c r="N20" s="5"/>
    </row>
    <row r="21" spans="1:18" ht="16.5" thickTop="1" thickBot="1" x14ac:dyDescent="0.3">
      <c r="A21" s="19" t="str">
        <f>IF(CHANGE[[#This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IF(AND(CHANGE[[#This Row],[FOURNISSEURS]]&gt;1,CHANGE[[#This Row],[Colonne2]]=""),"NON",IF(AND(CHANGE[[#This Row],[FOURNISSEURS]]&gt;1,CHANGE[[#This Row],[Colonne2]]="X"),"OUI",""))</f>
        <v/>
      </c>
      <c r="N21" s="5"/>
    </row>
    <row r="22" spans="1:18" ht="16.5" thickTop="1" thickBot="1" x14ac:dyDescent="0.3">
      <c r="A22" s="19" t="str">
        <f>IF(CHANGE[[#This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IF(AND(CHANGE[[#This Row],[FOURNISSEURS]]&gt;1,CHANGE[[#This Row],[Colonne2]]=""),"NON",IF(AND(CHANGE[[#This Row],[FOURNISSEURS]]&gt;1,CHANGE[[#This Row],[Colonne2]]="X"),"OUI",""))</f>
        <v/>
      </c>
      <c r="N22" s="5"/>
    </row>
    <row r="23" spans="1:18" ht="16.5" thickTop="1" thickBot="1" x14ac:dyDescent="0.3">
      <c r="A23" s="19" t="str">
        <f>IF(CHANGE[[#This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IF(AND(CHANGE[[#This Row],[FOURNISSEURS]]&gt;1,CHANGE[[#This Row],[Colonne2]]=""),"NON",IF(AND(CHANGE[[#This Row],[FOURNISSEURS]]&gt;1,CHANGE[[#This Row],[Colonne2]]="X"),"OUI",""))</f>
        <v/>
      </c>
      <c r="N23" s="5"/>
    </row>
    <row r="24" spans="1:18" ht="15.75" thickTop="1" x14ac:dyDescent="0.25">
      <c r="A24" s="29" t="str">
        <f>IF(CHANGE[[#This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IF(AND(CHANGE[[#This Row],[FOURNISSEURS]]&gt;1,CHANGE[[#This Row],[Colonne2]]=""),"NON",IF(AND(CHANGE[[#This Row],[FOURNISSEURS]]&gt;1,CHANGE[[#This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SUBTOTAL(109,CHANGE[DEBIT])</f>
        <v>0</v>
      </c>
      <c r="F25" s="73">
        <f>SUBTOTAL(109,CHANGE[CREDIT])</f>
        <v>0</v>
      </c>
      <c r="G25" s="74">
        <f>CHANGE[[#Totals],[DEBIT]]-CHANGE[[#Totals],[CREDIT]]</f>
        <v>0</v>
      </c>
      <c r="I25" s="30"/>
      <c r="J25" s="76" t="s">
        <v>26</v>
      </c>
      <c r="K25" s="73">
        <f>SUMIF(M6,"NON",CHANGE[MONTANT])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IF(F3-CHANGE[[#Totals],[N° PIECE]]&lt;0,0,F3-CHANGE[[#Totals],[N° PIECE]])</f>
        <v>3000</v>
      </c>
      <c r="F27" s="182"/>
      <c r="G27" s="183" t="s">
        <v>10</v>
      </c>
      <c r="H27" s="184"/>
      <c r="I27" s="184"/>
      <c r="J27" s="184"/>
      <c r="K27" s="185"/>
      <c r="L27" s="186">
        <f>E27-CHANGE[[#Totals],[MONTANT]]</f>
        <v>3000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IF(E27=0,CHANGE[[#Totals],[N°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427" priority="22">
      <formula>MONTH($B7)=MONTH($B6)</formula>
    </cfRule>
  </conditionalFormatting>
  <conditionalFormatting sqref="J6:M24">
    <cfRule type="expression" dxfId="426" priority="18">
      <formula>$L6=""</formula>
    </cfRule>
    <cfRule type="expression" dxfId="425" priority="19">
      <formula>$L6="NON"</formula>
    </cfRule>
    <cfRule type="expression" dxfId="424" priority="21">
      <formula>$M6="OUI"</formula>
    </cfRule>
  </conditionalFormatting>
  <conditionalFormatting sqref="N6:N24">
    <cfRule type="expression" dxfId="423" priority="20">
      <formula>$N6="X"</formula>
    </cfRule>
  </conditionalFormatting>
  <conditionalFormatting sqref="J25:K25">
    <cfRule type="expression" dxfId="422" priority="17">
      <formula>$K$25=0</formula>
    </cfRule>
  </conditionalFormatting>
  <conditionalFormatting sqref="G27:M27">
    <cfRule type="expression" dxfId="421" priority="16">
      <formula>$K$25=0</formula>
    </cfRule>
  </conditionalFormatting>
  <conditionalFormatting sqref="E27">
    <cfRule type="expression" dxfId="420" priority="14">
      <formula>$E$27=0</formula>
    </cfRule>
    <cfRule type="expression" dxfId="419" priority="15">
      <formula>$E$27&gt;0</formula>
    </cfRule>
  </conditionalFormatting>
  <conditionalFormatting sqref="A27:D27">
    <cfRule type="expression" dxfId="418" priority="2">
      <formula>$E$27&lt;=100</formula>
    </cfRule>
    <cfRule type="expression" dxfId="417" priority="13">
      <formula>$E$27=0</formula>
    </cfRule>
  </conditionalFormatting>
  <conditionalFormatting sqref="J34:J35">
    <cfRule type="expression" dxfId="416" priority="11">
      <formula>$J$36="OUI"</formula>
    </cfRule>
    <cfRule type="expression" dxfId="415" priority="12">
      <formula>$E$36&gt;0</formula>
    </cfRule>
  </conditionalFormatting>
  <conditionalFormatting sqref="J36:J37">
    <cfRule type="expression" dxfId="414" priority="9">
      <formula>$J$36="OUI"</formula>
    </cfRule>
    <cfRule type="expression" dxfId="413" priority="10">
      <formula>$E$36&gt;0</formula>
    </cfRule>
  </conditionalFormatting>
  <conditionalFormatting sqref="J52:J53">
    <cfRule type="expression" dxfId="412" priority="7">
      <formula>$J$54="OUI"</formula>
    </cfRule>
    <cfRule type="expression" dxfId="411" priority="8">
      <formula>$E$54&gt;0</formula>
    </cfRule>
  </conditionalFormatting>
  <conditionalFormatting sqref="J54:J55">
    <cfRule type="expression" dxfId="410" priority="5">
      <formula>$J$54="OUI"</formula>
    </cfRule>
    <cfRule type="expression" dxfId="409" priority="6">
      <formula>$E$54&gt;0</formula>
    </cfRule>
  </conditionalFormatting>
  <conditionalFormatting sqref="L6:L24">
    <cfRule type="expression" dxfId="408" priority="3">
      <formula>$L6="OUI"</formula>
    </cfRule>
    <cfRule type="expression" dxfId="407" priority="4">
      <formula>$J6&gt;0</formula>
    </cfRule>
  </conditionalFormatting>
  <conditionalFormatting sqref="A31:H31">
    <cfRule type="expression" dxfId="406" priority="23">
      <formula>$J$36="OUI"</formula>
    </cfRule>
  </conditionalFormatting>
  <conditionalFormatting sqref="A32:H32">
    <cfRule type="expression" dxfId="405" priority="24">
      <formula>$J$54="OUI"</formula>
    </cfRule>
  </conditionalFormatting>
  <conditionalFormatting sqref="A28:F28">
    <cfRule type="expression" dxfId="404" priority="1">
      <formula>$E$27&gt;0</formula>
    </cfRule>
  </conditionalFormatting>
  <dataValidations count="3">
    <dataValidation type="list" allowBlank="1" showInputMessage="1" showErrorMessage="1" sqref="N6:N24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J36:J37 J54:J55">
      <formula1>$R$32:$R$33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229"/>
  <sheetViews>
    <sheetView showGridLines="0" topLeftCell="A13" zoomScaleNormal="100" workbookViewId="0">
      <selection activeCell="H170" sqref="H170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5" width="2.7109375" style="1" customWidth="1"/>
    <col min="16" max="18" width="11.42578125" style="1"/>
    <col min="19" max="19" width="11.42578125" style="1" customWidth="1"/>
    <col min="20" max="20" width="11.42578125" style="1"/>
    <col min="21" max="21" width="0" style="1" hidden="1" customWidth="1"/>
    <col min="22" max="16384" width="11.42578125" style="1"/>
  </cols>
  <sheetData>
    <row r="1" spans="1:21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21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21" ht="20.25" thickTop="1" thickBot="1" x14ac:dyDescent="0.3">
      <c r="A3" s="5"/>
      <c r="B3" s="5"/>
      <c r="C3" s="5"/>
      <c r="D3" s="21"/>
      <c r="E3" s="54" t="s">
        <v>1</v>
      </c>
      <c r="F3" s="177">
        <f>+BUDGET!K15</f>
        <v>14000</v>
      </c>
      <c r="G3" s="178"/>
      <c r="H3" s="5"/>
      <c r="I3" s="5"/>
      <c r="J3" s="175"/>
      <c r="K3" s="175"/>
      <c r="L3" s="175"/>
      <c r="M3" s="175"/>
    </row>
    <row r="4" spans="1:21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21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3" t="s">
        <v>3</v>
      </c>
      <c r="K5" s="3" t="s">
        <v>4</v>
      </c>
      <c r="L5" s="14" t="s">
        <v>5</v>
      </c>
      <c r="M5" s="14" t="s">
        <v>9</v>
      </c>
      <c r="N5" s="153" t="s">
        <v>24</v>
      </c>
      <c r="O5" s="31"/>
      <c r="P5" s="5"/>
      <c r="Q5" s="137" t="s">
        <v>61</v>
      </c>
      <c r="R5" s="138" t="s">
        <v>62</v>
      </c>
      <c r="S5" s="139" t="s">
        <v>63</v>
      </c>
      <c r="U5" s="1" t="s">
        <v>6</v>
      </c>
    </row>
    <row r="6" spans="1:21" ht="15.75" thickBot="1" x14ac:dyDescent="0.3">
      <c r="A6" s="125" t="str">
        <f>IF(ALIM[[#This Row],[J]]="CAT","FACTURE CAISSE","")</f>
        <v/>
      </c>
      <c r="B6" s="66"/>
      <c r="C6" s="67"/>
      <c r="D6" s="68"/>
      <c r="E6" s="69"/>
      <c r="F6" s="69"/>
      <c r="G6" s="126"/>
      <c r="H6" s="48"/>
      <c r="I6" s="61"/>
      <c r="J6" s="7"/>
      <c r="K6" s="12"/>
      <c r="L6" s="9"/>
      <c r="M6" s="10" t="str">
        <f>IF(AND(ALIM[[#This Row],[FOURNISSEURS]]&gt;1,ALIM[[#This Row],[Colonne2]]=""),"NON",IF(AND(ALIM[[#This Row],[FOURNISSEURS]]&gt;1,ALIM[[#This Row],[Colonne2]]="X"),"OUI",""))</f>
        <v/>
      </c>
      <c r="N6" s="5"/>
      <c r="P6" s="140" t="s">
        <v>64</v>
      </c>
      <c r="Q6" s="141">
        <f t="array" ref="Q6">SUM(IF(MONTH(ALIM[DATE])=1,ALIM[DEBIT]))-SUM(IF(MONTH(ALIM[DATE])=1,ALIM[CREDIT]))</f>
        <v>0</v>
      </c>
      <c r="R6" s="142">
        <v>774</v>
      </c>
      <c r="S6" s="143" t="str">
        <f>IF(Q6=0,"",Q6/R6)</f>
        <v/>
      </c>
      <c r="U6" s="1" t="s">
        <v>7</v>
      </c>
    </row>
    <row r="7" spans="1:21" ht="16.5" thickTop="1" thickBot="1" x14ac:dyDescent="0.3">
      <c r="A7" s="19" t="str">
        <f>IF(ALIM[[#This Row],[J]]="CAT","FACTURE CAISSE","")</f>
        <v/>
      </c>
      <c r="B7" s="32"/>
      <c r="C7" s="28"/>
      <c r="D7" s="33"/>
      <c r="E7" s="26"/>
      <c r="F7" s="57"/>
      <c r="G7" s="34"/>
      <c r="H7" s="35"/>
      <c r="I7" s="61"/>
      <c r="J7" s="8"/>
      <c r="K7" s="13"/>
      <c r="L7" s="9"/>
      <c r="M7" s="11" t="str">
        <f>IF(AND(ALIM[[#This Row],[FOURNISSEURS]]&gt;1,ALIM[[#This Row],[Colonne2]]=""),"NON",IF(AND(ALIM[[#This Row],[FOURNISSEURS]]&gt;1,ALIM[[#This Row],[Colonne2]]="X"),"OUI",""))</f>
        <v/>
      </c>
      <c r="N7" s="5"/>
      <c r="P7" s="144" t="s">
        <v>65</v>
      </c>
      <c r="Q7" s="145">
        <f t="array" ref="Q7">SUM(IF(MONTH(ALIM[DATE])=2,ALIM[DEBIT]))-SUM(IF(MONTH(ALIM[DATE])=2,ALIM[CREDIT]))</f>
        <v>0</v>
      </c>
      <c r="R7" s="146">
        <v>773</v>
      </c>
      <c r="S7" s="147" t="str">
        <f t="shared" ref="S7:S17" si="0">IF(Q7=0,"",Q7/R7)</f>
        <v/>
      </c>
    </row>
    <row r="8" spans="1:21" ht="16.5" thickTop="1" thickBot="1" x14ac:dyDescent="0.3">
      <c r="A8" s="19" t="str">
        <f>IF(ALIM[[#This Row],[J]]="CAT","FACTURE CAISSE","")</f>
        <v/>
      </c>
      <c r="B8" s="32"/>
      <c r="C8" s="28"/>
      <c r="D8" s="33"/>
      <c r="E8" s="26"/>
      <c r="F8" s="57"/>
      <c r="G8" s="34"/>
      <c r="H8" s="35"/>
      <c r="I8" s="61"/>
      <c r="J8" s="8"/>
      <c r="K8" s="13"/>
      <c r="L8" s="9"/>
      <c r="M8" s="11" t="str">
        <f>IF(AND(ALIM[[#This Row],[FOURNISSEURS]]&gt;1,ALIM[[#This Row],[Colonne2]]=""),"NON",IF(AND(ALIM[[#This Row],[FOURNISSEURS]]&gt;1,ALIM[[#This Row],[Colonne2]]="X"),"OUI",""))</f>
        <v/>
      </c>
      <c r="N8" s="5"/>
      <c r="P8" s="140" t="s">
        <v>66</v>
      </c>
      <c r="Q8" s="148">
        <f t="array" ref="Q8">SUM(IF(MONTH(ALIM[DATE])=3,ALIM[DEBIT]))-SUM(IF(MONTH(ALIM[DATE])=3,ALIM[CREDIT]))</f>
        <v>0</v>
      </c>
      <c r="R8" s="142">
        <v>847</v>
      </c>
      <c r="S8" s="143" t="str">
        <f t="shared" si="0"/>
        <v/>
      </c>
      <c r="U8" s="1" t="s">
        <v>2</v>
      </c>
    </row>
    <row r="9" spans="1:21" ht="16.5" thickTop="1" thickBot="1" x14ac:dyDescent="0.3">
      <c r="A9" s="19" t="str">
        <f>IF(ALIM[[#This Row],[J]]="CAT","FACTURE CAISSE","")</f>
        <v/>
      </c>
      <c r="B9" s="32"/>
      <c r="C9" s="28"/>
      <c r="D9" s="33"/>
      <c r="E9" s="26"/>
      <c r="F9" s="57"/>
      <c r="G9" s="34"/>
      <c r="H9" s="35"/>
      <c r="I9" s="61"/>
      <c r="J9" s="8"/>
      <c r="K9" s="13"/>
      <c r="L9" s="9"/>
      <c r="M9" s="11" t="str">
        <f>IF(AND(ALIM[[#This Row],[FOURNISSEURS]]&gt;1,ALIM[[#This Row],[Colonne2]]=""),"NON",IF(AND(ALIM[[#This Row],[FOURNISSEURS]]&gt;1,ALIM[[#This Row],[Colonne2]]="X"),"OUI",""))</f>
        <v/>
      </c>
      <c r="N9" s="5"/>
      <c r="P9" s="144" t="s">
        <v>67</v>
      </c>
      <c r="Q9" s="145">
        <f t="array" ref="Q9">SUM(IF(MONTH(ALIM[DATE])=4,ALIM[DEBIT]))-SUM(IF(MONTH(ALIM[DATE])=4,ALIM[CREDIT]))</f>
        <v>0</v>
      </c>
      <c r="R9" s="146">
        <v>748</v>
      </c>
      <c r="S9" s="147" t="str">
        <f t="shared" si="0"/>
        <v/>
      </c>
    </row>
    <row r="10" spans="1:21" ht="16.5" thickTop="1" thickBot="1" x14ac:dyDescent="0.3">
      <c r="A10" s="19" t="str">
        <f>IF(ALIM[[#This Row],[J]]="CAT","FACTURE CAISSE","")</f>
        <v/>
      </c>
      <c r="B10" s="32"/>
      <c r="C10" s="28"/>
      <c r="D10" s="33"/>
      <c r="E10" s="26"/>
      <c r="F10" s="57"/>
      <c r="G10" s="34"/>
      <c r="H10" s="35"/>
      <c r="I10" s="61"/>
      <c r="J10" s="8"/>
      <c r="K10" s="13"/>
      <c r="L10" s="9"/>
      <c r="M10" s="11" t="str">
        <f>IF(AND(ALIM[[#This Row],[FOURNISSEURS]]&gt;1,ALIM[[#This Row],[Colonne2]]=""),"NON",IF(AND(ALIM[[#This Row],[FOURNISSEURS]]&gt;1,ALIM[[#This Row],[Colonne2]]="X"),"OUI",""))</f>
        <v/>
      </c>
      <c r="N10" s="5"/>
      <c r="P10" s="140" t="s">
        <v>68</v>
      </c>
      <c r="Q10" s="148">
        <f t="array" ref="Q10">SUM(IF(MONTH(ALIM[DATE])=5,ALIM[DEBIT]))-SUM(IF(MONTH(ALIM[DATE])=5,ALIM[CREDIT]))</f>
        <v>0</v>
      </c>
      <c r="R10" s="142">
        <v>762</v>
      </c>
      <c r="S10" s="143" t="str">
        <f t="shared" si="0"/>
        <v/>
      </c>
    </row>
    <row r="11" spans="1:21" ht="16.5" thickTop="1" thickBot="1" x14ac:dyDescent="0.3">
      <c r="A11" s="19" t="str">
        <f>IF(ALIM[[#This Row],[J]]="CAT","FACTURE CAISSE","")</f>
        <v/>
      </c>
      <c r="B11" s="32"/>
      <c r="C11" s="28"/>
      <c r="D11" s="33"/>
      <c r="E11" s="26"/>
      <c r="F11" s="57"/>
      <c r="G11" s="34"/>
      <c r="H11" s="35"/>
      <c r="I11" s="61"/>
      <c r="J11" s="8"/>
      <c r="K11" s="13"/>
      <c r="L11" s="9"/>
      <c r="M11" s="11" t="str">
        <f>IF(AND(ALIM[[#This Row],[FOURNISSEURS]]&gt;1,ALIM[[#This Row],[Colonne2]]=""),"NON",IF(AND(ALIM[[#This Row],[FOURNISSEURS]]&gt;1,ALIM[[#This Row],[Colonne2]]="X"),"OUI",""))</f>
        <v/>
      </c>
      <c r="N11" s="5"/>
      <c r="P11" s="144" t="s">
        <v>69</v>
      </c>
      <c r="Q11" s="145">
        <f t="array" ref="Q11">SUM(IF(MONTH(ALIM[DATE])=6,ALIM[DEBIT]))-SUM(IF(MONTH(ALIM[DATE])=6,ALIM[CREDIT]))</f>
        <v>0</v>
      </c>
      <c r="R11" s="146">
        <v>810</v>
      </c>
      <c r="S11" s="147" t="str">
        <f t="shared" si="0"/>
        <v/>
      </c>
    </row>
    <row r="12" spans="1:21" ht="16.5" thickTop="1" thickBot="1" x14ac:dyDescent="0.3">
      <c r="A12" s="19" t="str">
        <f>IF(ALIM[[#This Row],[J]]="CAT","FACTURE CAISSE","")</f>
        <v/>
      </c>
      <c r="B12" s="32"/>
      <c r="C12" s="36"/>
      <c r="D12" s="37"/>
      <c r="E12" s="26"/>
      <c r="F12" s="57"/>
      <c r="G12" s="34"/>
      <c r="H12" s="35"/>
      <c r="I12" s="61"/>
      <c r="J12" s="8"/>
      <c r="K12" s="13"/>
      <c r="L12" s="9"/>
      <c r="M12" s="11" t="str">
        <f>IF(AND(ALIM[[#This Row],[FOURNISSEURS]]&gt;1,ALIM[[#This Row],[Colonne2]]=""),"NON",IF(AND(ALIM[[#This Row],[FOURNISSEURS]]&gt;1,ALIM[[#This Row],[Colonne2]]="X"),"OUI",""))</f>
        <v/>
      </c>
      <c r="N12" s="5"/>
      <c r="P12" s="140" t="s">
        <v>70</v>
      </c>
      <c r="Q12" s="148">
        <f t="array" ref="Q12">SUM(IF(MONTH(ALIM[DATE])=7,ALIM[DEBIT]))-SUM(IF(MONTH(ALIM[DATE])=7,ALIM[CREDIT]))</f>
        <v>0</v>
      </c>
      <c r="R12" s="142"/>
      <c r="S12" s="143" t="str">
        <f t="shared" si="0"/>
        <v/>
      </c>
    </row>
    <row r="13" spans="1:21" ht="16.5" thickTop="1" thickBot="1" x14ac:dyDescent="0.3">
      <c r="A13" s="19" t="str">
        <f>IF(ALIM[[#This Row],[J]]="CAT","FACTURE CAISSE","")</f>
        <v/>
      </c>
      <c r="B13" s="32"/>
      <c r="C13" s="28"/>
      <c r="D13" s="33"/>
      <c r="E13" s="26"/>
      <c r="F13" s="57"/>
      <c r="G13" s="34"/>
      <c r="H13" s="35"/>
      <c r="I13" s="61"/>
      <c r="J13" s="8"/>
      <c r="K13" s="13"/>
      <c r="L13" s="9"/>
      <c r="M13" s="11" t="str">
        <f>IF(AND(ALIM[[#This Row],[FOURNISSEURS]]&gt;1,ALIM[[#This Row],[Colonne2]]=""),"NON",IF(AND(ALIM[[#This Row],[FOURNISSEURS]]&gt;1,ALIM[[#This Row],[Colonne2]]="X"),"OUI",""))</f>
        <v/>
      </c>
      <c r="N13" s="5"/>
      <c r="P13" s="144" t="s">
        <v>71</v>
      </c>
      <c r="Q13" s="145">
        <f t="array" ref="Q13">SUM(IF(MONTH(ALIM[DATE])=8,ALIM[DEBIT]))-SUM(IF(MONTH(ALIM[DATE])=8,ALIM[CREDIT]))</f>
        <v>0</v>
      </c>
      <c r="R13" s="146"/>
      <c r="S13" s="147" t="str">
        <f t="shared" si="0"/>
        <v/>
      </c>
    </row>
    <row r="14" spans="1:21" ht="16.5" thickTop="1" thickBot="1" x14ac:dyDescent="0.3">
      <c r="A14" s="19" t="str">
        <f>IF(ALIM[[#This Row],[J]]="CAT","FACTURE CAISSE","")</f>
        <v/>
      </c>
      <c r="B14" s="32"/>
      <c r="C14" s="28"/>
      <c r="D14" s="33"/>
      <c r="E14" s="26"/>
      <c r="F14" s="57"/>
      <c r="G14" s="34"/>
      <c r="H14" s="35"/>
      <c r="I14" s="61"/>
      <c r="J14" s="8"/>
      <c r="K14" s="13"/>
      <c r="L14" s="9"/>
      <c r="M14" s="11" t="str">
        <f>IF(AND(ALIM[[#This Row],[FOURNISSEURS]]&gt;1,ALIM[[#This Row],[Colonne2]]=""),"NON",IF(AND(ALIM[[#This Row],[FOURNISSEURS]]&gt;1,ALIM[[#This Row],[Colonne2]]="X"),"OUI",""))</f>
        <v/>
      </c>
      <c r="N14" s="5"/>
      <c r="P14" s="140" t="s">
        <v>72</v>
      </c>
      <c r="Q14" s="148">
        <f t="array" ref="Q14">SUM(IF(MONTH(ALIM[DATE])=9,ALIM[DEBIT]))-SUM(IF(MONTH(ALIM[DATE])=9,ALIM[CREDIT]))</f>
        <v>0</v>
      </c>
      <c r="R14" s="149"/>
      <c r="S14" s="143" t="str">
        <f t="shared" si="0"/>
        <v/>
      </c>
    </row>
    <row r="15" spans="1:21" ht="16.5" thickTop="1" thickBot="1" x14ac:dyDescent="0.3">
      <c r="A15" s="19" t="str">
        <f>IF(ALIM[[#This Row],[J]]="CAT","FACTURE CAISSE","")</f>
        <v/>
      </c>
      <c r="B15" s="32"/>
      <c r="C15" s="28"/>
      <c r="D15" s="33"/>
      <c r="E15" s="26"/>
      <c r="F15" s="57"/>
      <c r="G15" s="34"/>
      <c r="H15" s="35"/>
      <c r="I15" s="61"/>
      <c r="J15" s="8"/>
      <c r="K15" s="13"/>
      <c r="L15" s="9"/>
      <c r="M15" s="11" t="str">
        <f>IF(AND(ALIM[[#This Row],[FOURNISSEURS]]&gt;1,ALIM[[#This Row],[Colonne2]]=""),"NON",IF(AND(ALIM[[#This Row],[FOURNISSEURS]]&gt;1,ALIM[[#This Row],[Colonne2]]="X"),"OUI",""))</f>
        <v/>
      </c>
      <c r="N15" s="5"/>
      <c r="P15" s="144" t="s">
        <v>73</v>
      </c>
      <c r="Q15" s="145">
        <f t="array" ref="Q15">SUM(IF(MONTH(ALIM[DATE])=10,ALIM[DEBIT]))-SUM(IF(MONTH(ALIM[DATE])=10,ALIM[CREDIT]))</f>
        <v>0</v>
      </c>
      <c r="R15" s="150"/>
      <c r="S15" s="147" t="str">
        <f t="shared" si="0"/>
        <v/>
      </c>
    </row>
    <row r="16" spans="1:21" ht="16.5" thickTop="1" thickBot="1" x14ac:dyDescent="0.3">
      <c r="A16" s="19" t="str">
        <f>IF(ALIM[[#This Row],[J]]="CAT","FACTURE CAISSE","")</f>
        <v/>
      </c>
      <c r="B16" s="32"/>
      <c r="C16" s="28"/>
      <c r="D16" s="33"/>
      <c r="E16" s="26"/>
      <c r="F16" s="57"/>
      <c r="G16" s="34"/>
      <c r="H16" s="35"/>
      <c r="I16" s="61"/>
      <c r="J16" s="8"/>
      <c r="K16" s="13"/>
      <c r="L16" s="9"/>
      <c r="M16" s="11" t="str">
        <f>IF(AND(ALIM[[#This Row],[FOURNISSEURS]]&gt;1,ALIM[[#This Row],[Colonne2]]=""),"NON",IF(AND(ALIM[[#This Row],[FOURNISSEURS]]&gt;1,ALIM[[#This Row],[Colonne2]]="X"),"OUI",""))</f>
        <v/>
      </c>
      <c r="N16" s="5"/>
      <c r="P16" s="140" t="s">
        <v>74</v>
      </c>
      <c r="Q16" s="148">
        <f t="array" ref="Q16">SUM(IF(MONTH(ALIM[DATE])=11,ALIM[DEBIT]))-SUM(IF(MONTH(ALIM[DATE])=11,ALIM[CREDIT]))</f>
        <v>0</v>
      </c>
      <c r="R16" s="140"/>
      <c r="S16" s="143" t="str">
        <f t="shared" si="0"/>
        <v/>
      </c>
    </row>
    <row r="17" spans="1:19" ht="16.5" thickTop="1" thickBot="1" x14ac:dyDescent="0.3">
      <c r="A17" s="19" t="str">
        <f>IF(ALIM[[#This Row],[J]]="CAT","FACTURE CAISSE","")</f>
        <v/>
      </c>
      <c r="B17" s="32"/>
      <c r="C17" s="28"/>
      <c r="D17" s="33"/>
      <c r="E17" s="26"/>
      <c r="F17" s="57"/>
      <c r="G17" s="34"/>
      <c r="H17" s="35"/>
      <c r="I17" s="61"/>
      <c r="J17" s="8"/>
      <c r="K17" s="13"/>
      <c r="L17" s="9"/>
      <c r="M17" s="11" t="str">
        <f>IF(AND(ALIM[[#This Row],[FOURNISSEURS]]&gt;1,ALIM[[#This Row],[Colonne2]]=""),"NON",IF(AND(ALIM[[#This Row],[FOURNISSEURS]]&gt;1,ALIM[[#This Row],[Colonne2]]="X"),"OUI",""))</f>
        <v/>
      </c>
      <c r="N17" s="5"/>
      <c r="P17" s="144" t="s">
        <v>75</v>
      </c>
      <c r="Q17" s="145">
        <f t="array" ref="Q17">SUM(IF(MONTH(ALIM[DATE])=12,ALIM[DEBIT]))-SUM(IF(MONTH(ALIM[DATE])=12,ALIM[CREDIT]))</f>
        <v>0</v>
      </c>
      <c r="R17" s="150"/>
      <c r="S17" s="147" t="str">
        <f t="shared" si="0"/>
        <v/>
      </c>
    </row>
    <row r="18" spans="1:19" ht="16.5" thickTop="1" thickBot="1" x14ac:dyDescent="0.3">
      <c r="A18" s="19" t="str">
        <f>IF(ALIM[[#This Row],[J]]="CAT","FACTURE CAISSE","")</f>
        <v/>
      </c>
      <c r="B18" s="32"/>
      <c r="C18" s="28"/>
      <c r="D18" s="33"/>
      <c r="E18" s="26"/>
      <c r="F18" s="57"/>
      <c r="G18" s="34"/>
      <c r="H18" s="35"/>
      <c r="I18" s="61"/>
      <c r="J18" s="8"/>
      <c r="K18" s="13"/>
      <c r="L18" s="9"/>
      <c r="M18" s="11" t="str">
        <f>IF(AND(ALIM[[#This Row],[FOURNISSEURS]]&gt;1,ALIM[[#This Row],[Colonne2]]=""),"NON",IF(AND(ALIM[[#This Row],[FOURNISSEURS]]&gt;1,ALIM[[#This Row],[Colonne2]]="X"),"OUI",""))</f>
        <v/>
      </c>
      <c r="N18" s="5"/>
      <c r="P18" s="151" t="s">
        <v>76</v>
      </c>
      <c r="Q18" s="152">
        <f>SUM(Q6:Q17)</f>
        <v>0</v>
      </c>
      <c r="R18" s="149">
        <f>SUM(R6:R17)</f>
        <v>4714</v>
      </c>
      <c r="S18" s="143">
        <f>IF(Q18="","",Q18/R18)</f>
        <v>0</v>
      </c>
    </row>
    <row r="19" spans="1:19" ht="16.5" thickTop="1" thickBot="1" x14ac:dyDescent="0.3">
      <c r="A19" s="19" t="str">
        <f>IF(ALIM[[#This Row],[J]]="CAT","FACTURE CAISSE","")</f>
        <v/>
      </c>
      <c r="B19" s="32"/>
      <c r="C19" s="28"/>
      <c r="D19" s="33"/>
      <c r="E19" s="26"/>
      <c r="F19" s="57"/>
      <c r="G19" s="34"/>
      <c r="H19" s="35"/>
      <c r="I19" s="61"/>
      <c r="J19" s="8"/>
      <c r="K19" s="13"/>
      <c r="L19" s="9"/>
      <c r="M19" s="11" t="str">
        <f>IF(AND(ALIM[[#This Row],[FOURNISSEURS]]&gt;1,ALIM[[#This Row],[Colonne2]]=""),"NON",IF(AND(ALIM[[#This Row],[FOURNISSEURS]]&gt;1,ALIM[[#This Row],[Colonne2]]="X"),"OUI",""))</f>
        <v/>
      </c>
      <c r="N19" s="5"/>
      <c r="P19" s="5"/>
      <c r="Q19" s="5" t="str">
        <f>IF(ALIM[[#Totals],[N° PIECE]]=Q18,"",Q18-ALIM[[#Totals],[N° PIECE]])</f>
        <v/>
      </c>
      <c r="R19" s="5"/>
      <c r="S19" s="5"/>
    </row>
    <row r="20" spans="1:19" ht="16.5" thickTop="1" thickBot="1" x14ac:dyDescent="0.3">
      <c r="A20" s="19" t="str">
        <f>IF(ALIM[[#This Row],[J]]="CAT","FACTURE CAISSE","")</f>
        <v/>
      </c>
      <c r="B20" s="32"/>
      <c r="C20" s="28"/>
      <c r="D20" s="33"/>
      <c r="E20" s="38"/>
      <c r="F20" s="58"/>
      <c r="G20" s="34"/>
      <c r="H20" s="35"/>
      <c r="I20" s="61"/>
      <c r="J20" s="8"/>
      <c r="K20" s="13"/>
      <c r="L20" s="9"/>
      <c r="M20" s="11" t="str">
        <f>IF(AND(ALIM[[#This Row],[FOURNISSEURS]]&gt;1,ALIM[[#This Row],[Colonne2]]=""),"NON",IF(AND(ALIM[[#This Row],[FOURNISSEURS]]&gt;1,ALIM[[#This Row],[Colonne2]]="X"),"OUI",""))</f>
        <v/>
      </c>
      <c r="N20" s="5"/>
    </row>
    <row r="21" spans="1:19" ht="16.5" thickTop="1" thickBot="1" x14ac:dyDescent="0.3">
      <c r="A21" s="19" t="str">
        <f>IF(ALIM[[#This Row],[J]]="CAT","FACTURE CAISSE","")</f>
        <v/>
      </c>
      <c r="B21" s="32"/>
      <c r="C21" s="28"/>
      <c r="D21" s="33"/>
      <c r="E21" s="38"/>
      <c r="F21" s="58"/>
      <c r="G21" s="34"/>
      <c r="H21" s="35"/>
      <c r="I21" s="61"/>
      <c r="J21" s="8"/>
      <c r="K21" s="13"/>
      <c r="L21" s="9"/>
      <c r="M21" s="11" t="str">
        <f>IF(AND(ALIM[[#This Row],[FOURNISSEURS]]&gt;1,ALIM[[#This Row],[Colonne2]]=""),"NON",IF(AND(ALIM[[#This Row],[FOURNISSEURS]]&gt;1,ALIM[[#This Row],[Colonne2]]="X"),"OUI",""))</f>
        <v/>
      </c>
      <c r="N21" s="5"/>
    </row>
    <row r="22" spans="1:19" ht="16.5" thickTop="1" thickBot="1" x14ac:dyDescent="0.3">
      <c r="A22" s="19" t="str">
        <f>IF(ALIM[[#This Row],[J]]="CAT","FACTURE CAISSE","")</f>
        <v/>
      </c>
      <c r="B22" s="32"/>
      <c r="C22" s="28"/>
      <c r="D22" s="33"/>
      <c r="E22" s="38"/>
      <c r="F22" s="58"/>
      <c r="G22" s="34"/>
      <c r="H22" s="35"/>
      <c r="I22" s="61"/>
      <c r="J22" s="8"/>
      <c r="K22" s="13"/>
      <c r="L22" s="9"/>
      <c r="M22" s="11" t="str">
        <f>IF(AND(ALIM[[#This Row],[FOURNISSEURS]]&gt;1,ALIM[[#This Row],[Colonne2]]=""),"NON",IF(AND(ALIM[[#This Row],[FOURNISSEURS]]&gt;1,ALIM[[#This Row],[Colonne2]]="X"),"OUI",""))</f>
        <v/>
      </c>
      <c r="N22" s="5"/>
    </row>
    <row r="23" spans="1:19" ht="16.5" thickTop="1" thickBot="1" x14ac:dyDescent="0.3">
      <c r="A23" s="19" t="str">
        <f>IF(ALIM[[#This Row],[J]]="CAT","FACTURE CAISSE","")</f>
        <v/>
      </c>
      <c r="B23" s="32"/>
      <c r="C23" s="28"/>
      <c r="D23" s="33"/>
      <c r="E23" s="26"/>
      <c r="F23" s="57"/>
      <c r="G23" s="34"/>
      <c r="H23" s="35"/>
      <c r="I23" s="61"/>
      <c r="J23" s="8"/>
      <c r="K23" s="13"/>
      <c r="L23" s="9"/>
      <c r="M23" s="11" t="str">
        <f>IF(AND(ALIM[[#This Row],[FOURNISSEURS]]&gt;1,ALIM[[#This Row],[Colonne2]]=""),"NON",IF(AND(ALIM[[#This Row],[FOURNISSEURS]]&gt;1,ALIM[[#This Row],[Colonne2]]="X"),"OUI",""))</f>
        <v/>
      </c>
      <c r="N23" s="5"/>
    </row>
    <row r="24" spans="1:19" ht="16.5" thickTop="1" thickBot="1" x14ac:dyDescent="0.3">
      <c r="A24" s="131" t="str">
        <f>IF(ALIM[[#This Row],[J]]="CAT","FACTURE CAISSE","")</f>
        <v/>
      </c>
      <c r="B24" s="132"/>
      <c r="C24" s="36"/>
      <c r="D24" s="37"/>
      <c r="E24" s="57"/>
      <c r="F24" s="57"/>
      <c r="G24" s="34"/>
      <c r="H24" s="35"/>
      <c r="I24" s="61"/>
      <c r="J24" s="8"/>
      <c r="K24" s="13"/>
      <c r="L24" s="9"/>
      <c r="M24" s="11" t="str">
        <f>IF(AND(ALIM[[#This Row],[FOURNISSEURS]]&gt;1,ALIM[[#This Row],[Colonne2]]=""),"NON",IF(AND(ALIM[[#This Row],[FOURNISSEURS]]&gt;1,ALIM[[#This Row],[Colonne2]]="X"),"OUI",""))</f>
        <v/>
      </c>
      <c r="N24" s="5"/>
    </row>
    <row r="25" spans="1:19" ht="16.5" thickTop="1" thickBot="1" x14ac:dyDescent="0.3">
      <c r="A25" s="131" t="str">
        <f>IF(ALIM[[#This Row],[J]]="CAT","FACTURE CAISSE","")</f>
        <v/>
      </c>
      <c r="B25" s="132"/>
      <c r="C25" s="36"/>
      <c r="D25" s="37"/>
      <c r="E25" s="57"/>
      <c r="F25" s="57"/>
      <c r="G25" s="34"/>
      <c r="H25" s="35"/>
      <c r="I25" s="61"/>
      <c r="J25" s="8"/>
      <c r="K25" s="13"/>
      <c r="L25" s="9"/>
      <c r="M25" s="11" t="str">
        <f>IF(AND(ALIM[[#This Row],[FOURNISSEURS]]&gt;1,ALIM[[#This Row],[Colonne2]]=""),"NON",IF(AND(ALIM[[#This Row],[FOURNISSEURS]]&gt;1,ALIM[[#This Row],[Colonne2]]="X"),"OUI",""))</f>
        <v/>
      </c>
      <c r="N25" s="5"/>
    </row>
    <row r="26" spans="1:19" ht="16.5" thickTop="1" thickBot="1" x14ac:dyDescent="0.3">
      <c r="A26" s="131" t="str">
        <f>IF(ALIM[[#This Row],[J]]="CAT","FACTURE CAISSE","")</f>
        <v/>
      </c>
      <c r="B26" s="132"/>
      <c r="C26" s="36"/>
      <c r="D26" s="37"/>
      <c r="E26" s="57"/>
      <c r="F26" s="57"/>
      <c r="G26" s="34"/>
      <c r="H26" s="35"/>
      <c r="I26" s="61"/>
      <c r="J26" s="8"/>
      <c r="K26" s="13"/>
      <c r="L26" s="9"/>
      <c r="M26" s="11" t="str">
        <f>IF(AND(ALIM[[#This Row],[FOURNISSEURS]]&gt;1,ALIM[[#This Row],[Colonne2]]=""),"NON",IF(AND(ALIM[[#This Row],[FOURNISSEURS]]&gt;1,ALIM[[#This Row],[Colonne2]]="X"),"OUI",""))</f>
        <v/>
      </c>
      <c r="N26" s="5"/>
    </row>
    <row r="27" spans="1:19" ht="16.5" thickTop="1" thickBot="1" x14ac:dyDescent="0.3">
      <c r="A27" s="131" t="str">
        <f>IF(ALIM[[#This Row],[J]]="CAT","FACTURE CAISSE","")</f>
        <v/>
      </c>
      <c r="B27" s="132"/>
      <c r="C27" s="36"/>
      <c r="D27" s="37"/>
      <c r="E27" s="57"/>
      <c r="F27" s="57"/>
      <c r="G27" s="34"/>
      <c r="H27" s="35"/>
      <c r="I27" s="61"/>
      <c r="J27" s="8"/>
      <c r="K27" s="13"/>
      <c r="L27" s="9"/>
      <c r="M27" s="11" t="str">
        <f>IF(AND(ALIM[[#This Row],[FOURNISSEURS]]&gt;1,ALIM[[#This Row],[Colonne2]]=""),"NON",IF(AND(ALIM[[#This Row],[FOURNISSEURS]]&gt;1,ALIM[[#This Row],[Colonne2]]="X"),"OUI",""))</f>
        <v/>
      </c>
      <c r="N27" s="5"/>
    </row>
    <row r="28" spans="1:19" ht="16.5" thickTop="1" thickBot="1" x14ac:dyDescent="0.3">
      <c r="A28" s="131" t="str">
        <f>IF(ALIM[[#This Row],[J]]="CAT","FACTURE CAISSE","")</f>
        <v/>
      </c>
      <c r="B28" s="132"/>
      <c r="C28" s="36"/>
      <c r="D28" s="37"/>
      <c r="E28" s="57"/>
      <c r="F28" s="57"/>
      <c r="G28" s="34"/>
      <c r="H28" s="35"/>
      <c r="I28" s="61"/>
      <c r="J28" s="8"/>
      <c r="K28" s="13"/>
      <c r="L28" s="9"/>
      <c r="M28" s="11" t="str">
        <f>IF(AND(ALIM[[#This Row],[FOURNISSEURS]]&gt;1,ALIM[[#This Row],[Colonne2]]=""),"NON",IF(AND(ALIM[[#This Row],[FOURNISSEURS]]&gt;1,ALIM[[#This Row],[Colonne2]]="X"),"OUI",""))</f>
        <v/>
      </c>
      <c r="N28" s="5"/>
    </row>
    <row r="29" spans="1:19" ht="16.5" thickTop="1" thickBot="1" x14ac:dyDescent="0.3">
      <c r="A29" s="131" t="str">
        <f>IF(ALIM[[#This Row],[J]]="CAT","FACTURE CAISSE","")</f>
        <v/>
      </c>
      <c r="B29" s="132"/>
      <c r="C29" s="36"/>
      <c r="D29" s="37"/>
      <c r="E29" s="57"/>
      <c r="F29" s="57"/>
      <c r="G29" s="34"/>
      <c r="H29" s="35"/>
      <c r="I29" s="61"/>
      <c r="J29" s="8"/>
      <c r="K29" s="13"/>
      <c r="L29" s="9"/>
      <c r="M29" s="11" t="str">
        <f>IF(AND(ALIM[[#This Row],[FOURNISSEURS]]&gt;1,ALIM[[#This Row],[Colonne2]]=""),"NON",IF(AND(ALIM[[#This Row],[FOURNISSEURS]]&gt;1,ALIM[[#This Row],[Colonne2]]="X"),"OUI",""))</f>
        <v/>
      </c>
      <c r="N29" s="5"/>
    </row>
    <row r="30" spans="1:19" ht="16.5" thickTop="1" thickBot="1" x14ac:dyDescent="0.3">
      <c r="A30" s="131" t="str">
        <f>IF(ALIM[[#This Row],[J]]="CAT","FACTURE CAISSE","")</f>
        <v/>
      </c>
      <c r="B30" s="132"/>
      <c r="C30" s="36"/>
      <c r="D30" s="37"/>
      <c r="E30" s="57"/>
      <c r="F30" s="57"/>
      <c r="G30" s="34"/>
      <c r="H30" s="35"/>
      <c r="I30" s="61"/>
      <c r="J30" s="8"/>
      <c r="K30" s="13"/>
      <c r="L30" s="9"/>
      <c r="M30" s="11" t="str">
        <f>IF(AND(ALIM[[#This Row],[FOURNISSEURS]]&gt;1,ALIM[[#This Row],[Colonne2]]=""),"NON",IF(AND(ALIM[[#This Row],[FOURNISSEURS]]&gt;1,ALIM[[#This Row],[Colonne2]]="X"),"OUI",""))</f>
        <v/>
      </c>
      <c r="N30" s="5"/>
    </row>
    <row r="31" spans="1:19" ht="16.5" thickTop="1" thickBot="1" x14ac:dyDescent="0.3">
      <c r="A31" s="131" t="str">
        <f>IF(ALIM[[#This Row],[J]]="CAT","FACTURE CAISSE","")</f>
        <v/>
      </c>
      <c r="B31" s="132"/>
      <c r="C31" s="36"/>
      <c r="D31" s="37"/>
      <c r="E31" s="57"/>
      <c r="F31" s="57"/>
      <c r="G31" s="34"/>
      <c r="H31" s="35"/>
      <c r="I31" s="61"/>
      <c r="J31" s="8"/>
      <c r="K31" s="13"/>
      <c r="L31" s="9"/>
      <c r="M31" s="11" t="str">
        <f>IF(AND(ALIM[[#This Row],[FOURNISSEURS]]&gt;1,ALIM[[#This Row],[Colonne2]]=""),"NON",IF(AND(ALIM[[#This Row],[FOURNISSEURS]]&gt;1,ALIM[[#This Row],[Colonne2]]="X"),"OUI",""))</f>
        <v/>
      </c>
      <c r="N31" s="5"/>
    </row>
    <row r="32" spans="1:19" ht="16.5" thickTop="1" thickBot="1" x14ac:dyDescent="0.3">
      <c r="A32" s="131" t="str">
        <f>IF(ALIM[[#This Row],[J]]="CAT","FACTURE CAISSE","")</f>
        <v/>
      </c>
      <c r="B32" s="132"/>
      <c r="C32" s="36"/>
      <c r="D32" s="37"/>
      <c r="E32" s="57"/>
      <c r="F32" s="57"/>
      <c r="G32" s="34"/>
      <c r="H32" s="35"/>
      <c r="I32" s="61"/>
      <c r="J32" s="8"/>
      <c r="K32" s="13"/>
      <c r="L32" s="9"/>
      <c r="M32" s="11" t="str">
        <f>IF(AND(ALIM[[#This Row],[FOURNISSEURS]]&gt;1,ALIM[[#This Row],[Colonne2]]=""),"NON",IF(AND(ALIM[[#This Row],[FOURNISSEURS]]&gt;1,ALIM[[#This Row],[Colonne2]]="X"),"OUI",""))</f>
        <v/>
      </c>
      <c r="N32" s="5"/>
    </row>
    <row r="33" spans="1:14" ht="16.5" thickTop="1" thickBot="1" x14ac:dyDescent="0.3">
      <c r="A33" s="131" t="str">
        <f>IF(ALIM[[#This Row],[J]]="CAT","FACTURE CAISSE","")</f>
        <v/>
      </c>
      <c r="B33" s="132"/>
      <c r="C33" s="36"/>
      <c r="D33" s="37"/>
      <c r="E33" s="57"/>
      <c r="F33" s="57"/>
      <c r="G33" s="34"/>
      <c r="H33" s="35"/>
      <c r="I33" s="61"/>
      <c r="J33" s="8"/>
      <c r="K33" s="13"/>
      <c r="L33" s="9"/>
      <c r="M33" s="11" t="str">
        <f>IF(AND(ALIM[[#This Row],[FOURNISSEURS]]&gt;1,ALIM[[#This Row],[Colonne2]]=""),"NON",IF(AND(ALIM[[#This Row],[FOURNISSEURS]]&gt;1,ALIM[[#This Row],[Colonne2]]="X"),"OUI",""))</f>
        <v/>
      </c>
      <c r="N33" s="5"/>
    </row>
    <row r="34" spans="1:14" ht="16.5" thickTop="1" thickBot="1" x14ac:dyDescent="0.3">
      <c r="A34" s="131" t="str">
        <f>IF(ALIM[[#This Row],[J]]="CAT","FACTURE CAISSE","")</f>
        <v/>
      </c>
      <c r="B34" s="132"/>
      <c r="C34" s="36"/>
      <c r="D34" s="37"/>
      <c r="E34" s="57"/>
      <c r="F34" s="57"/>
      <c r="G34" s="34"/>
      <c r="H34" s="35"/>
      <c r="I34" s="61"/>
      <c r="J34" s="8"/>
      <c r="K34" s="13"/>
      <c r="L34" s="9"/>
      <c r="M34" s="11" t="str">
        <f>IF(AND(ALIM[[#This Row],[FOURNISSEURS]]&gt;1,ALIM[[#This Row],[Colonne2]]=""),"NON",IF(AND(ALIM[[#This Row],[FOURNISSEURS]]&gt;1,ALIM[[#This Row],[Colonne2]]="X"),"OUI",""))</f>
        <v/>
      </c>
      <c r="N34" s="5"/>
    </row>
    <row r="35" spans="1:14" ht="16.5" thickTop="1" thickBot="1" x14ac:dyDescent="0.3">
      <c r="A35" s="131" t="str">
        <f>IF(ALIM[[#This Row],[J]]="CAT","FACTURE CAISSE","")</f>
        <v/>
      </c>
      <c r="B35" s="132"/>
      <c r="C35" s="36"/>
      <c r="D35" s="37"/>
      <c r="E35" s="57"/>
      <c r="F35" s="57"/>
      <c r="G35" s="34"/>
      <c r="H35" s="35"/>
      <c r="I35" s="61"/>
      <c r="J35" s="8"/>
      <c r="K35" s="13"/>
      <c r="L35" s="9"/>
      <c r="M35" s="11" t="str">
        <f>IF(AND(ALIM[[#This Row],[FOURNISSEURS]]&gt;1,ALIM[[#This Row],[Colonne2]]=""),"NON",IF(AND(ALIM[[#This Row],[FOURNISSEURS]]&gt;1,ALIM[[#This Row],[Colonne2]]="X"),"OUI",""))</f>
        <v/>
      </c>
      <c r="N35" s="5"/>
    </row>
    <row r="36" spans="1:14" ht="16.5" thickTop="1" thickBot="1" x14ac:dyDescent="0.3">
      <c r="A36" s="131" t="str">
        <f>IF(ALIM[[#This Row],[J]]="CAT","FACTURE CAISSE","")</f>
        <v/>
      </c>
      <c r="B36" s="132"/>
      <c r="C36" s="36"/>
      <c r="D36" s="37"/>
      <c r="E36" s="57"/>
      <c r="F36" s="57"/>
      <c r="G36" s="34"/>
      <c r="H36" s="35"/>
      <c r="I36" s="61"/>
      <c r="J36" s="8"/>
      <c r="K36" s="13"/>
      <c r="L36" s="9"/>
      <c r="M36" s="11" t="str">
        <f>IF(AND(ALIM[[#This Row],[FOURNISSEURS]]&gt;1,ALIM[[#This Row],[Colonne2]]=""),"NON",IF(AND(ALIM[[#This Row],[FOURNISSEURS]]&gt;1,ALIM[[#This Row],[Colonne2]]="X"),"OUI",""))</f>
        <v/>
      </c>
      <c r="N36" s="5"/>
    </row>
    <row r="37" spans="1:14" ht="16.5" thickTop="1" thickBot="1" x14ac:dyDescent="0.3">
      <c r="A37" s="131" t="str">
        <f>IF(ALIM[[#This Row],[J]]="CAT","FACTURE CAISSE","")</f>
        <v/>
      </c>
      <c r="B37" s="132"/>
      <c r="C37" s="36"/>
      <c r="D37" s="37"/>
      <c r="E37" s="57"/>
      <c r="F37" s="57"/>
      <c r="G37" s="34"/>
      <c r="H37" s="35"/>
      <c r="I37" s="61"/>
      <c r="J37" s="8"/>
      <c r="K37" s="13"/>
      <c r="L37" s="9"/>
      <c r="M37" s="11" t="str">
        <f>IF(AND(ALIM[[#This Row],[FOURNISSEURS]]&gt;1,ALIM[[#This Row],[Colonne2]]=""),"NON",IF(AND(ALIM[[#This Row],[FOURNISSEURS]]&gt;1,ALIM[[#This Row],[Colonne2]]="X"),"OUI",""))</f>
        <v/>
      </c>
      <c r="N37" s="5"/>
    </row>
    <row r="38" spans="1:14" ht="16.5" thickTop="1" thickBot="1" x14ac:dyDescent="0.3">
      <c r="A38" s="131" t="str">
        <f>IF(ALIM[[#This Row],[J]]="CAT","FACTURE CAISSE","")</f>
        <v/>
      </c>
      <c r="B38" s="132"/>
      <c r="C38" s="36"/>
      <c r="D38" s="37"/>
      <c r="E38" s="57"/>
      <c r="F38" s="57"/>
      <c r="G38" s="34"/>
      <c r="H38" s="35"/>
      <c r="I38" s="61"/>
      <c r="J38" s="8"/>
      <c r="K38" s="13"/>
      <c r="L38" s="9"/>
      <c r="M38" s="11" t="str">
        <f>IF(AND(ALIM[[#This Row],[FOURNISSEURS]]&gt;1,ALIM[[#This Row],[Colonne2]]=""),"NON",IF(AND(ALIM[[#This Row],[FOURNISSEURS]]&gt;1,ALIM[[#This Row],[Colonne2]]="X"),"OUI",""))</f>
        <v/>
      </c>
      <c r="N38" s="5"/>
    </row>
    <row r="39" spans="1:14" ht="16.5" thickTop="1" thickBot="1" x14ac:dyDescent="0.3">
      <c r="A39" s="131" t="str">
        <f>IF(ALIM[[#This Row],[J]]="CAT","FACTURE CAISSE","")</f>
        <v/>
      </c>
      <c r="B39" s="132"/>
      <c r="C39" s="36"/>
      <c r="D39" s="37"/>
      <c r="E39" s="57"/>
      <c r="F39" s="57"/>
      <c r="G39" s="34"/>
      <c r="H39" s="35"/>
      <c r="I39" s="61"/>
      <c r="J39" s="8"/>
      <c r="K39" s="13"/>
      <c r="L39" s="9"/>
      <c r="M39" s="11" t="str">
        <f>IF(AND(ALIM[[#This Row],[FOURNISSEURS]]&gt;1,ALIM[[#This Row],[Colonne2]]=""),"NON",IF(AND(ALIM[[#This Row],[FOURNISSEURS]]&gt;1,ALIM[[#This Row],[Colonne2]]="X"),"OUI",""))</f>
        <v/>
      </c>
      <c r="N39" s="5"/>
    </row>
    <row r="40" spans="1:14" ht="16.5" thickTop="1" thickBot="1" x14ac:dyDescent="0.3">
      <c r="A40" s="131" t="str">
        <f>IF(ALIM[[#This Row],[J]]="CAT","FACTURE CAISSE","")</f>
        <v/>
      </c>
      <c r="B40" s="132"/>
      <c r="C40" s="36"/>
      <c r="D40" s="37"/>
      <c r="E40" s="57"/>
      <c r="F40" s="57"/>
      <c r="G40" s="34"/>
      <c r="H40" s="35"/>
      <c r="I40" s="61"/>
      <c r="J40" s="8"/>
      <c r="K40" s="13"/>
      <c r="L40" s="9"/>
      <c r="M40" s="11" t="str">
        <f>IF(AND(ALIM[[#This Row],[FOURNISSEURS]]&gt;1,ALIM[[#This Row],[Colonne2]]=""),"NON",IF(AND(ALIM[[#This Row],[FOURNISSEURS]]&gt;1,ALIM[[#This Row],[Colonne2]]="X"),"OUI",""))</f>
        <v/>
      </c>
      <c r="N40" s="5"/>
    </row>
    <row r="41" spans="1:14" ht="16.5" thickTop="1" thickBot="1" x14ac:dyDescent="0.3">
      <c r="A41" s="131" t="str">
        <f>IF(ALIM[[#This Row],[J]]="CAT","FACTURE CAISSE","")</f>
        <v/>
      </c>
      <c r="B41" s="132"/>
      <c r="C41" s="36"/>
      <c r="D41" s="37"/>
      <c r="E41" s="57"/>
      <c r="F41" s="57"/>
      <c r="G41" s="34"/>
      <c r="H41" s="35"/>
      <c r="I41" s="61"/>
      <c r="J41" s="8"/>
      <c r="K41" s="13"/>
      <c r="L41" s="9"/>
      <c r="M41" s="11" t="str">
        <f>IF(AND(ALIM[[#This Row],[FOURNISSEURS]]&gt;1,ALIM[[#This Row],[Colonne2]]=""),"NON",IF(AND(ALIM[[#This Row],[FOURNISSEURS]]&gt;1,ALIM[[#This Row],[Colonne2]]="X"),"OUI",""))</f>
        <v/>
      </c>
      <c r="N41" s="5"/>
    </row>
    <row r="42" spans="1:14" ht="16.5" thickTop="1" thickBot="1" x14ac:dyDescent="0.3">
      <c r="A42" s="131" t="str">
        <f>IF(ALIM[[#This Row],[J]]="CAT","FACTURE CAISSE","")</f>
        <v/>
      </c>
      <c r="B42" s="132"/>
      <c r="C42" s="36"/>
      <c r="D42" s="37"/>
      <c r="E42" s="57"/>
      <c r="F42" s="57"/>
      <c r="G42" s="34"/>
      <c r="H42" s="35"/>
      <c r="I42" s="61"/>
      <c r="J42" s="8"/>
      <c r="K42" s="13"/>
      <c r="L42" s="9"/>
      <c r="M42" s="11" t="str">
        <f>IF(AND(ALIM[[#This Row],[FOURNISSEURS]]&gt;1,ALIM[[#This Row],[Colonne2]]=""),"NON",IF(AND(ALIM[[#This Row],[FOURNISSEURS]]&gt;1,ALIM[[#This Row],[Colonne2]]="X"),"OUI",""))</f>
        <v/>
      </c>
      <c r="N42" s="5"/>
    </row>
    <row r="43" spans="1:14" ht="16.5" thickTop="1" thickBot="1" x14ac:dyDescent="0.3">
      <c r="A43" s="131" t="str">
        <f>IF(ALIM[[#This Row],[J]]="CAT","FACTURE CAISSE","")</f>
        <v/>
      </c>
      <c r="B43" s="132"/>
      <c r="C43" s="36"/>
      <c r="D43" s="37"/>
      <c r="E43" s="57"/>
      <c r="F43" s="57"/>
      <c r="G43" s="34"/>
      <c r="H43" s="35"/>
      <c r="I43" s="61"/>
      <c r="J43" s="8"/>
      <c r="K43" s="13"/>
      <c r="L43" s="9"/>
      <c r="M43" s="11" t="str">
        <f>IF(AND(ALIM[[#This Row],[FOURNISSEURS]]&gt;1,ALIM[[#This Row],[Colonne2]]=""),"NON",IF(AND(ALIM[[#This Row],[FOURNISSEURS]]&gt;1,ALIM[[#This Row],[Colonne2]]="X"),"OUI",""))</f>
        <v/>
      </c>
      <c r="N43" s="5"/>
    </row>
    <row r="44" spans="1:14" ht="16.5" thickTop="1" thickBot="1" x14ac:dyDescent="0.3">
      <c r="A44" s="131" t="str">
        <f>IF(ALIM[[#This Row],[J]]="CAT","FACTURE CAISSE","")</f>
        <v/>
      </c>
      <c r="B44" s="132"/>
      <c r="C44" s="36"/>
      <c r="D44" s="37"/>
      <c r="E44" s="57"/>
      <c r="F44" s="57"/>
      <c r="G44" s="34"/>
      <c r="H44" s="35"/>
      <c r="I44" s="61"/>
      <c r="J44" s="8"/>
      <c r="K44" s="13"/>
      <c r="L44" s="9"/>
      <c r="M44" s="11" t="str">
        <f>IF(AND(ALIM[[#This Row],[FOURNISSEURS]]&gt;1,ALIM[[#This Row],[Colonne2]]=""),"NON",IF(AND(ALIM[[#This Row],[FOURNISSEURS]]&gt;1,ALIM[[#This Row],[Colonne2]]="X"),"OUI",""))</f>
        <v/>
      </c>
      <c r="N44" s="5"/>
    </row>
    <row r="45" spans="1:14" ht="16.5" thickTop="1" thickBot="1" x14ac:dyDescent="0.3">
      <c r="A45" s="131" t="str">
        <f>IF(ALIM[[#This Row],[J]]="CAT","FACTURE CAISSE","")</f>
        <v/>
      </c>
      <c r="B45" s="132"/>
      <c r="C45" s="36"/>
      <c r="D45" s="37"/>
      <c r="E45" s="57"/>
      <c r="F45" s="57"/>
      <c r="G45" s="34"/>
      <c r="H45" s="35"/>
      <c r="I45" s="61"/>
      <c r="J45" s="8"/>
      <c r="K45" s="13"/>
      <c r="L45" s="9"/>
      <c r="M45" s="11" t="str">
        <f>IF(AND(ALIM[[#This Row],[FOURNISSEURS]]&gt;1,ALIM[[#This Row],[Colonne2]]=""),"NON",IF(AND(ALIM[[#This Row],[FOURNISSEURS]]&gt;1,ALIM[[#This Row],[Colonne2]]="X"),"OUI",""))</f>
        <v/>
      </c>
      <c r="N45" s="5"/>
    </row>
    <row r="46" spans="1:14" ht="16.5" thickTop="1" thickBot="1" x14ac:dyDescent="0.3">
      <c r="A46" s="131" t="str">
        <f>IF(ALIM[[#This Row],[J]]="CAT","FACTURE CAISSE","")</f>
        <v/>
      </c>
      <c r="B46" s="132"/>
      <c r="C46" s="36"/>
      <c r="D46" s="37"/>
      <c r="E46" s="57"/>
      <c r="F46" s="57"/>
      <c r="G46" s="34"/>
      <c r="H46" s="35"/>
      <c r="I46" s="61"/>
      <c r="J46" s="8"/>
      <c r="K46" s="13"/>
      <c r="L46" s="9"/>
      <c r="M46" s="11" t="str">
        <f>IF(AND(ALIM[[#This Row],[FOURNISSEURS]]&gt;1,ALIM[[#This Row],[Colonne2]]=""),"NON",IF(AND(ALIM[[#This Row],[FOURNISSEURS]]&gt;1,ALIM[[#This Row],[Colonne2]]="X"),"OUI",""))</f>
        <v/>
      </c>
      <c r="N46" s="5"/>
    </row>
    <row r="47" spans="1:14" ht="16.5" thickTop="1" thickBot="1" x14ac:dyDescent="0.3">
      <c r="A47" s="131" t="str">
        <f>IF(ALIM[[#This Row],[J]]="CAT","FACTURE CAISSE","")</f>
        <v/>
      </c>
      <c r="B47" s="132"/>
      <c r="C47" s="36"/>
      <c r="D47" s="37"/>
      <c r="E47" s="57"/>
      <c r="F47" s="57"/>
      <c r="G47" s="34"/>
      <c r="H47" s="35"/>
      <c r="I47" s="61"/>
      <c r="J47" s="8"/>
      <c r="K47" s="13"/>
      <c r="L47" s="9"/>
      <c r="M47" s="11" t="str">
        <f>IF(AND(ALIM[[#This Row],[FOURNISSEURS]]&gt;1,ALIM[[#This Row],[Colonne2]]=""),"NON",IF(AND(ALIM[[#This Row],[FOURNISSEURS]]&gt;1,ALIM[[#This Row],[Colonne2]]="X"),"OUI",""))</f>
        <v/>
      </c>
      <c r="N47" s="5"/>
    </row>
    <row r="48" spans="1:14" ht="16.5" thickTop="1" thickBot="1" x14ac:dyDescent="0.3">
      <c r="A48" s="131" t="str">
        <f>IF(ALIM[[#This Row],[J]]="CAT","FACTURE CAISSE","")</f>
        <v/>
      </c>
      <c r="B48" s="132"/>
      <c r="C48" s="36"/>
      <c r="D48" s="37"/>
      <c r="E48" s="57"/>
      <c r="F48" s="57"/>
      <c r="G48" s="34"/>
      <c r="H48" s="35"/>
      <c r="I48" s="61"/>
      <c r="J48" s="8"/>
      <c r="K48" s="13"/>
      <c r="L48" s="9"/>
      <c r="M48" s="11" t="str">
        <f>IF(AND(ALIM[[#This Row],[FOURNISSEURS]]&gt;1,ALIM[[#This Row],[Colonne2]]=""),"NON",IF(AND(ALIM[[#This Row],[FOURNISSEURS]]&gt;1,ALIM[[#This Row],[Colonne2]]="X"),"OUI",""))</f>
        <v/>
      </c>
      <c r="N48" s="5"/>
    </row>
    <row r="49" spans="1:14" ht="16.5" thickTop="1" thickBot="1" x14ac:dyDescent="0.3">
      <c r="A49" s="131" t="str">
        <f>IF(ALIM[[#This Row],[J]]="CAT","FACTURE CAISSE","")</f>
        <v/>
      </c>
      <c r="B49" s="132"/>
      <c r="C49" s="36"/>
      <c r="D49" s="37"/>
      <c r="E49" s="57"/>
      <c r="F49" s="57"/>
      <c r="G49" s="34"/>
      <c r="H49" s="35"/>
      <c r="I49" s="61"/>
      <c r="J49" s="8"/>
      <c r="K49" s="13"/>
      <c r="L49" s="9"/>
      <c r="M49" s="11" t="str">
        <f>IF(AND(ALIM[[#This Row],[FOURNISSEURS]]&gt;1,ALIM[[#This Row],[Colonne2]]=""),"NON",IF(AND(ALIM[[#This Row],[FOURNISSEURS]]&gt;1,ALIM[[#This Row],[Colonne2]]="X"),"OUI",""))</f>
        <v/>
      </c>
      <c r="N49" s="5"/>
    </row>
    <row r="50" spans="1:14" ht="16.5" thickTop="1" thickBot="1" x14ac:dyDescent="0.3">
      <c r="A50" s="131" t="str">
        <f>IF(ALIM[[#This Row],[J]]="CAT","FACTURE CAISSE","")</f>
        <v/>
      </c>
      <c r="B50" s="132"/>
      <c r="C50" s="36"/>
      <c r="D50" s="37"/>
      <c r="E50" s="57"/>
      <c r="F50" s="57"/>
      <c r="G50" s="34"/>
      <c r="H50" s="35"/>
      <c r="I50" s="61"/>
      <c r="J50" s="8"/>
      <c r="K50" s="13"/>
      <c r="L50" s="9"/>
      <c r="M50" s="11" t="str">
        <f>IF(AND(ALIM[[#This Row],[FOURNISSEURS]]&gt;1,ALIM[[#This Row],[Colonne2]]=""),"NON",IF(AND(ALIM[[#This Row],[FOURNISSEURS]]&gt;1,ALIM[[#This Row],[Colonne2]]="X"),"OUI",""))</f>
        <v/>
      </c>
      <c r="N50" s="5"/>
    </row>
    <row r="51" spans="1:14" ht="16.5" thickTop="1" thickBot="1" x14ac:dyDescent="0.3">
      <c r="A51" s="131" t="str">
        <f>IF(ALIM[[#This Row],[J]]="CAT","FACTURE CAISSE","")</f>
        <v/>
      </c>
      <c r="B51" s="132"/>
      <c r="C51" s="36"/>
      <c r="D51" s="37"/>
      <c r="E51" s="57"/>
      <c r="F51" s="57"/>
      <c r="G51" s="34"/>
      <c r="H51" s="35"/>
      <c r="I51" s="61"/>
      <c r="J51" s="8"/>
      <c r="K51" s="13"/>
      <c r="L51" s="9"/>
      <c r="M51" s="11" t="str">
        <f>IF(AND(ALIM[[#This Row],[FOURNISSEURS]]&gt;1,ALIM[[#This Row],[Colonne2]]=""),"NON",IF(AND(ALIM[[#This Row],[FOURNISSEURS]]&gt;1,ALIM[[#This Row],[Colonne2]]="X"),"OUI",""))</f>
        <v/>
      </c>
      <c r="N51" s="5"/>
    </row>
    <row r="52" spans="1:14" ht="16.5" thickTop="1" thickBot="1" x14ac:dyDescent="0.3">
      <c r="A52" s="131" t="str">
        <f>IF(ALIM[[#This Row],[J]]="CAT","FACTURE CAISSE","")</f>
        <v/>
      </c>
      <c r="B52" s="132"/>
      <c r="C52" s="36"/>
      <c r="D52" s="37"/>
      <c r="E52" s="57"/>
      <c r="F52" s="57"/>
      <c r="G52" s="34"/>
      <c r="H52" s="35"/>
      <c r="I52" s="61"/>
      <c r="J52" s="8"/>
      <c r="K52" s="13"/>
      <c r="L52" s="9"/>
      <c r="M52" s="11" t="str">
        <f>IF(AND(ALIM[[#This Row],[FOURNISSEURS]]&gt;1,ALIM[[#This Row],[Colonne2]]=""),"NON",IF(AND(ALIM[[#This Row],[FOURNISSEURS]]&gt;1,ALIM[[#This Row],[Colonne2]]="X"),"OUI",""))</f>
        <v/>
      </c>
      <c r="N52" s="5"/>
    </row>
    <row r="53" spans="1:14" ht="16.5" thickTop="1" thickBot="1" x14ac:dyDescent="0.3">
      <c r="A53" s="131" t="str">
        <f>IF(ALIM[[#This Row],[J]]="CAT","FACTURE CAISSE","")</f>
        <v/>
      </c>
      <c r="B53" s="132"/>
      <c r="C53" s="36"/>
      <c r="D53" s="37"/>
      <c r="E53" s="57"/>
      <c r="F53" s="57"/>
      <c r="G53" s="34"/>
      <c r="H53" s="35"/>
      <c r="I53" s="61"/>
      <c r="J53" s="8"/>
      <c r="K53" s="13"/>
      <c r="L53" s="9"/>
      <c r="M53" s="11" t="str">
        <f>IF(AND(ALIM[[#This Row],[FOURNISSEURS]]&gt;1,ALIM[[#This Row],[Colonne2]]=""),"NON",IF(AND(ALIM[[#This Row],[FOURNISSEURS]]&gt;1,ALIM[[#This Row],[Colonne2]]="X"),"OUI",""))</f>
        <v/>
      </c>
      <c r="N53" s="5"/>
    </row>
    <row r="54" spans="1:14" ht="16.5" thickTop="1" thickBot="1" x14ac:dyDescent="0.3">
      <c r="A54" s="131" t="str">
        <f>IF(ALIM[[#This Row],[J]]="CAT","FACTURE CAISSE","")</f>
        <v/>
      </c>
      <c r="B54" s="132"/>
      <c r="C54" s="36"/>
      <c r="D54" s="37"/>
      <c r="E54" s="57"/>
      <c r="F54" s="57"/>
      <c r="G54" s="34"/>
      <c r="H54" s="35"/>
      <c r="I54" s="61"/>
      <c r="J54" s="8"/>
      <c r="K54" s="13"/>
      <c r="L54" s="9"/>
      <c r="M54" s="11" t="str">
        <f>IF(AND(ALIM[[#This Row],[FOURNISSEURS]]&gt;1,ALIM[[#This Row],[Colonne2]]=""),"NON",IF(AND(ALIM[[#This Row],[FOURNISSEURS]]&gt;1,ALIM[[#This Row],[Colonne2]]="X"),"OUI",""))</f>
        <v/>
      </c>
      <c r="N54" s="5"/>
    </row>
    <row r="55" spans="1:14" ht="16.5" thickTop="1" thickBot="1" x14ac:dyDescent="0.3">
      <c r="A55" s="131" t="str">
        <f>IF(ALIM[[#This Row],[J]]="CAT","FACTURE CAISSE","")</f>
        <v/>
      </c>
      <c r="B55" s="132"/>
      <c r="C55" s="36"/>
      <c r="D55" s="37"/>
      <c r="E55" s="57"/>
      <c r="F55" s="57"/>
      <c r="G55" s="34"/>
      <c r="H55" s="35"/>
      <c r="I55" s="61"/>
      <c r="J55" s="8"/>
      <c r="K55" s="13"/>
      <c r="L55" s="9"/>
      <c r="M55" s="11" t="str">
        <f>IF(AND(ALIM[[#This Row],[FOURNISSEURS]]&gt;1,ALIM[[#This Row],[Colonne2]]=""),"NON",IF(AND(ALIM[[#This Row],[FOURNISSEURS]]&gt;1,ALIM[[#This Row],[Colonne2]]="X"),"OUI",""))</f>
        <v/>
      </c>
      <c r="N55" s="5"/>
    </row>
    <row r="56" spans="1:14" ht="16.5" thickTop="1" thickBot="1" x14ac:dyDescent="0.3">
      <c r="A56" s="131" t="str">
        <f>IF(ALIM[[#This Row],[J]]="CAT","FACTURE CAISSE","")</f>
        <v/>
      </c>
      <c r="B56" s="132"/>
      <c r="C56" s="36"/>
      <c r="D56" s="37"/>
      <c r="E56" s="57"/>
      <c r="F56" s="57"/>
      <c r="G56" s="34"/>
      <c r="H56" s="35"/>
      <c r="I56" s="61"/>
      <c r="J56" s="8"/>
      <c r="K56" s="13"/>
      <c r="L56" s="9"/>
      <c r="M56" s="11" t="str">
        <f>IF(AND(ALIM[[#This Row],[FOURNISSEURS]]&gt;1,ALIM[[#This Row],[Colonne2]]=""),"NON",IF(AND(ALIM[[#This Row],[FOURNISSEURS]]&gt;1,ALIM[[#This Row],[Colonne2]]="X"),"OUI",""))</f>
        <v/>
      </c>
      <c r="N56" s="5"/>
    </row>
    <row r="57" spans="1:14" ht="16.5" thickTop="1" thickBot="1" x14ac:dyDescent="0.3">
      <c r="A57" s="131" t="str">
        <f>IF(ALIM[[#This Row],[J]]="CAT","FACTURE CAISSE","")</f>
        <v/>
      </c>
      <c r="B57" s="132"/>
      <c r="C57" s="36"/>
      <c r="D57" s="37"/>
      <c r="E57" s="57"/>
      <c r="F57" s="57"/>
      <c r="G57" s="34"/>
      <c r="H57" s="35"/>
      <c r="I57" s="61"/>
      <c r="J57" s="8"/>
      <c r="K57" s="13"/>
      <c r="L57" s="9"/>
      <c r="M57" s="11" t="str">
        <f>IF(AND(ALIM[[#This Row],[FOURNISSEURS]]&gt;1,ALIM[[#This Row],[Colonne2]]=""),"NON",IF(AND(ALIM[[#This Row],[FOURNISSEURS]]&gt;1,ALIM[[#This Row],[Colonne2]]="X"),"OUI",""))</f>
        <v/>
      </c>
      <c r="N57" s="5"/>
    </row>
    <row r="58" spans="1:14" ht="16.5" thickTop="1" thickBot="1" x14ac:dyDescent="0.3">
      <c r="A58" s="131" t="str">
        <f>IF(ALIM[[#This Row],[J]]="CAT","FACTURE CAISSE","")</f>
        <v/>
      </c>
      <c r="B58" s="132"/>
      <c r="C58" s="36"/>
      <c r="D58" s="37"/>
      <c r="E58" s="57"/>
      <c r="F58" s="57"/>
      <c r="G58" s="34"/>
      <c r="H58" s="35"/>
      <c r="I58" s="61"/>
      <c r="J58" s="8"/>
      <c r="K58" s="13"/>
      <c r="L58" s="9"/>
      <c r="M58" s="11" t="str">
        <f>IF(AND(ALIM[[#This Row],[FOURNISSEURS]]&gt;1,ALIM[[#This Row],[Colonne2]]=""),"NON",IF(AND(ALIM[[#This Row],[FOURNISSEURS]]&gt;1,ALIM[[#This Row],[Colonne2]]="X"),"OUI",""))</f>
        <v/>
      </c>
      <c r="N58" s="5"/>
    </row>
    <row r="59" spans="1:14" ht="16.5" thickTop="1" thickBot="1" x14ac:dyDescent="0.3">
      <c r="A59" s="131" t="str">
        <f>IF(ALIM[[#This Row],[J]]="CAT","FACTURE CAISSE","")</f>
        <v/>
      </c>
      <c r="B59" s="132"/>
      <c r="C59" s="36"/>
      <c r="D59" s="37"/>
      <c r="E59" s="57"/>
      <c r="F59" s="57"/>
      <c r="G59" s="34"/>
      <c r="H59" s="35"/>
      <c r="I59" s="61"/>
      <c r="J59" s="8"/>
      <c r="K59" s="13"/>
      <c r="L59" s="9"/>
      <c r="M59" s="11" t="str">
        <f>IF(AND(ALIM[[#This Row],[FOURNISSEURS]]&gt;1,ALIM[[#This Row],[Colonne2]]=""),"NON",IF(AND(ALIM[[#This Row],[FOURNISSEURS]]&gt;1,ALIM[[#This Row],[Colonne2]]="X"),"OUI",""))</f>
        <v/>
      </c>
      <c r="N59" s="5"/>
    </row>
    <row r="60" spans="1:14" ht="16.5" thickTop="1" thickBot="1" x14ac:dyDescent="0.3">
      <c r="A60" s="131" t="str">
        <f>IF(ALIM[[#This Row],[J]]="CAT","FACTURE CAISSE","")</f>
        <v/>
      </c>
      <c r="B60" s="132"/>
      <c r="C60" s="36"/>
      <c r="D60" s="37"/>
      <c r="E60" s="57"/>
      <c r="F60" s="57"/>
      <c r="G60" s="34"/>
      <c r="H60" s="35"/>
      <c r="I60" s="61"/>
      <c r="J60" s="8"/>
      <c r="K60" s="13"/>
      <c r="L60" s="9"/>
      <c r="M60" s="11" t="str">
        <f>IF(AND(ALIM[[#This Row],[FOURNISSEURS]]&gt;1,ALIM[[#This Row],[Colonne2]]=""),"NON",IF(AND(ALIM[[#This Row],[FOURNISSEURS]]&gt;1,ALIM[[#This Row],[Colonne2]]="X"),"OUI",""))</f>
        <v/>
      </c>
      <c r="N60" s="5"/>
    </row>
    <row r="61" spans="1:14" ht="16.5" thickTop="1" thickBot="1" x14ac:dyDescent="0.3">
      <c r="A61" s="131" t="str">
        <f>IF(ALIM[[#This Row],[J]]="CAT","FACTURE CAISSE","")</f>
        <v/>
      </c>
      <c r="B61" s="132"/>
      <c r="C61" s="36"/>
      <c r="D61" s="37"/>
      <c r="E61" s="57"/>
      <c r="F61" s="57"/>
      <c r="G61" s="34"/>
      <c r="H61" s="35"/>
      <c r="I61" s="61"/>
      <c r="J61" s="8"/>
      <c r="K61" s="13"/>
      <c r="L61" s="9"/>
      <c r="M61" s="11" t="str">
        <f>IF(AND(ALIM[[#This Row],[FOURNISSEURS]]&gt;1,ALIM[[#This Row],[Colonne2]]=""),"NON",IF(AND(ALIM[[#This Row],[FOURNISSEURS]]&gt;1,ALIM[[#This Row],[Colonne2]]="X"),"OUI",""))</f>
        <v/>
      </c>
      <c r="N61" s="5"/>
    </row>
    <row r="62" spans="1:14" ht="16.5" thickTop="1" thickBot="1" x14ac:dyDescent="0.3">
      <c r="A62" s="131" t="str">
        <f>IF(ALIM[[#This Row],[J]]="CAT","FACTURE CAISSE","")</f>
        <v/>
      </c>
      <c r="B62" s="132"/>
      <c r="C62" s="36"/>
      <c r="D62" s="37"/>
      <c r="E62" s="57"/>
      <c r="F62" s="57"/>
      <c r="G62" s="34"/>
      <c r="H62" s="35"/>
      <c r="I62" s="61"/>
      <c r="J62" s="8"/>
      <c r="K62" s="13"/>
      <c r="L62" s="9"/>
      <c r="M62" s="11" t="str">
        <f>IF(AND(ALIM[[#This Row],[FOURNISSEURS]]&gt;1,ALIM[[#This Row],[Colonne2]]=""),"NON",IF(AND(ALIM[[#This Row],[FOURNISSEURS]]&gt;1,ALIM[[#This Row],[Colonne2]]="X"),"OUI",""))</f>
        <v/>
      </c>
      <c r="N62" s="5"/>
    </row>
    <row r="63" spans="1:14" ht="16.5" thickTop="1" thickBot="1" x14ac:dyDescent="0.3">
      <c r="A63" s="131" t="str">
        <f>IF(ALIM[[#This Row],[J]]="CAT","FACTURE CAISSE","")</f>
        <v/>
      </c>
      <c r="B63" s="132"/>
      <c r="C63" s="36"/>
      <c r="D63" s="37"/>
      <c r="E63" s="57"/>
      <c r="F63" s="57"/>
      <c r="G63" s="34"/>
      <c r="H63" s="35"/>
      <c r="I63" s="61"/>
      <c r="J63" s="8"/>
      <c r="K63" s="13"/>
      <c r="L63" s="9"/>
      <c r="M63" s="11" t="str">
        <f>IF(AND(ALIM[[#This Row],[FOURNISSEURS]]&gt;1,ALIM[[#This Row],[Colonne2]]=""),"NON",IF(AND(ALIM[[#This Row],[FOURNISSEURS]]&gt;1,ALIM[[#This Row],[Colonne2]]="X"),"OUI",""))</f>
        <v/>
      </c>
      <c r="N63" s="5"/>
    </row>
    <row r="64" spans="1:14" ht="16.5" thickTop="1" thickBot="1" x14ac:dyDescent="0.3">
      <c r="A64" s="131" t="str">
        <f>IF(ALIM[[#This Row],[J]]="CAT","FACTURE CAISSE","")</f>
        <v/>
      </c>
      <c r="B64" s="132"/>
      <c r="C64" s="36"/>
      <c r="D64" s="37"/>
      <c r="E64" s="57"/>
      <c r="F64" s="57"/>
      <c r="G64" s="34"/>
      <c r="H64" s="35"/>
      <c r="I64" s="61"/>
      <c r="J64" s="8"/>
      <c r="K64" s="13"/>
      <c r="L64" s="9"/>
      <c r="M64" s="11" t="str">
        <f>IF(AND(ALIM[[#This Row],[FOURNISSEURS]]&gt;1,ALIM[[#This Row],[Colonne2]]=""),"NON",IF(AND(ALIM[[#This Row],[FOURNISSEURS]]&gt;1,ALIM[[#This Row],[Colonne2]]="X"),"OUI",""))</f>
        <v/>
      </c>
      <c r="N64" s="5"/>
    </row>
    <row r="65" spans="1:14" ht="16.5" thickTop="1" thickBot="1" x14ac:dyDescent="0.3">
      <c r="A65" s="131" t="str">
        <f>IF(ALIM[[#This Row],[J]]="CAT","FACTURE CAISSE","")</f>
        <v/>
      </c>
      <c r="B65" s="132"/>
      <c r="C65" s="36"/>
      <c r="D65" s="37"/>
      <c r="E65" s="57"/>
      <c r="F65" s="57"/>
      <c r="G65" s="34"/>
      <c r="H65" s="35"/>
      <c r="I65" s="61"/>
      <c r="J65" s="8"/>
      <c r="K65" s="13"/>
      <c r="L65" s="9"/>
      <c r="M65" s="11" t="str">
        <f>IF(AND(ALIM[[#This Row],[FOURNISSEURS]]&gt;1,ALIM[[#This Row],[Colonne2]]=""),"NON",IF(AND(ALIM[[#This Row],[FOURNISSEURS]]&gt;1,ALIM[[#This Row],[Colonne2]]="X"),"OUI",""))</f>
        <v/>
      </c>
      <c r="N65" s="5"/>
    </row>
    <row r="66" spans="1:14" ht="16.5" thickTop="1" thickBot="1" x14ac:dyDescent="0.3">
      <c r="A66" s="131" t="str">
        <f>IF(ALIM[[#This Row],[J]]="CAT","FACTURE CAISSE","")</f>
        <v/>
      </c>
      <c r="B66" s="132"/>
      <c r="C66" s="36"/>
      <c r="D66" s="37"/>
      <c r="E66" s="57"/>
      <c r="F66" s="57"/>
      <c r="G66" s="34"/>
      <c r="H66" s="35"/>
      <c r="I66" s="61"/>
      <c r="J66" s="8"/>
      <c r="K66" s="13"/>
      <c r="L66" s="9"/>
      <c r="M66" s="11" t="str">
        <f>IF(AND(ALIM[[#This Row],[FOURNISSEURS]]&gt;1,ALIM[[#This Row],[Colonne2]]=""),"NON",IF(AND(ALIM[[#This Row],[FOURNISSEURS]]&gt;1,ALIM[[#This Row],[Colonne2]]="X"),"OUI",""))</f>
        <v/>
      </c>
      <c r="N66" s="5"/>
    </row>
    <row r="67" spans="1:14" ht="16.5" thickTop="1" thickBot="1" x14ac:dyDescent="0.3">
      <c r="A67" s="131" t="str">
        <f>IF(ALIM[[#This Row],[J]]="CAT","FACTURE CAISSE","")</f>
        <v/>
      </c>
      <c r="B67" s="132"/>
      <c r="C67" s="36"/>
      <c r="D67" s="37"/>
      <c r="E67" s="57"/>
      <c r="F67" s="57"/>
      <c r="G67" s="34"/>
      <c r="H67" s="35"/>
      <c r="I67" s="61"/>
      <c r="J67" s="8"/>
      <c r="K67" s="13"/>
      <c r="L67" s="9"/>
      <c r="M67" s="11" t="str">
        <f>IF(AND(ALIM[[#This Row],[FOURNISSEURS]]&gt;1,ALIM[[#This Row],[Colonne2]]=""),"NON",IF(AND(ALIM[[#This Row],[FOURNISSEURS]]&gt;1,ALIM[[#This Row],[Colonne2]]="X"),"OUI",""))</f>
        <v/>
      </c>
      <c r="N67" s="5"/>
    </row>
    <row r="68" spans="1:14" ht="16.5" thickTop="1" thickBot="1" x14ac:dyDescent="0.3">
      <c r="A68" s="131" t="str">
        <f>IF(ALIM[[#This Row],[J]]="CAT","FACTURE CAISSE","")</f>
        <v/>
      </c>
      <c r="B68" s="132"/>
      <c r="C68" s="36"/>
      <c r="D68" s="37"/>
      <c r="E68" s="57"/>
      <c r="F68" s="57"/>
      <c r="G68" s="34"/>
      <c r="H68" s="35"/>
      <c r="I68" s="61"/>
      <c r="J68" s="8"/>
      <c r="K68" s="13"/>
      <c r="L68" s="9"/>
      <c r="M68" s="11" t="str">
        <f>IF(AND(ALIM[[#This Row],[FOURNISSEURS]]&gt;1,ALIM[[#This Row],[Colonne2]]=""),"NON",IF(AND(ALIM[[#This Row],[FOURNISSEURS]]&gt;1,ALIM[[#This Row],[Colonne2]]="X"),"OUI",""))</f>
        <v/>
      </c>
      <c r="N68" s="5"/>
    </row>
    <row r="69" spans="1:14" ht="16.5" thickTop="1" thickBot="1" x14ac:dyDescent="0.3">
      <c r="A69" s="131" t="str">
        <f>IF(ALIM[[#This Row],[J]]="CAT","FACTURE CAISSE","")</f>
        <v/>
      </c>
      <c r="B69" s="132"/>
      <c r="C69" s="36"/>
      <c r="D69" s="37"/>
      <c r="E69" s="57"/>
      <c r="F69" s="57"/>
      <c r="G69" s="34"/>
      <c r="H69" s="35"/>
      <c r="I69" s="61"/>
      <c r="J69" s="8"/>
      <c r="K69" s="13"/>
      <c r="L69" s="9"/>
      <c r="M69" s="11" t="str">
        <f>IF(AND(ALIM[[#This Row],[FOURNISSEURS]]&gt;1,ALIM[[#This Row],[Colonne2]]=""),"NON",IF(AND(ALIM[[#This Row],[FOURNISSEURS]]&gt;1,ALIM[[#This Row],[Colonne2]]="X"),"OUI",""))</f>
        <v/>
      </c>
      <c r="N69" s="5"/>
    </row>
    <row r="70" spans="1:14" ht="16.5" thickTop="1" thickBot="1" x14ac:dyDescent="0.3">
      <c r="A70" s="131" t="str">
        <f>IF(ALIM[[#This Row],[J]]="CAT","FACTURE CAISSE","")</f>
        <v/>
      </c>
      <c r="B70" s="132"/>
      <c r="C70" s="36"/>
      <c r="D70" s="37"/>
      <c r="E70" s="57"/>
      <c r="F70" s="57"/>
      <c r="G70" s="34"/>
      <c r="H70" s="35"/>
      <c r="I70" s="61"/>
      <c r="J70" s="8"/>
      <c r="K70" s="13"/>
      <c r="L70" s="9"/>
      <c r="M70" s="11" t="str">
        <f>IF(AND(ALIM[[#This Row],[FOURNISSEURS]]&gt;1,ALIM[[#This Row],[Colonne2]]=""),"NON",IF(AND(ALIM[[#This Row],[FOURNISSEURS]]&gt;1,ALIM[[#This Row],[Colonne2]]="X"),"OUI",""))</f>
        <v/>
      </c>
      <c r="N70" s="5"/>
    </row>
    <row r="71" spans="1:14" ht="16.5" thickTop="1" thickBot="1" x14ac:dyDescent="0.3">
      <c r="A71" s="131" t="str">
        <f>IF(ALIM[[#This Row],[J]]="CAT","FACTURE CAISSE","")</f>
        <v/>
      </c>
      <c r="B71" s="132"/>
      <c r="C71" s="36"/>
      <c r="D71" s="37"/>
      <c r="E71" s="57"/>
      <c r="F71" s="57"/>
      <c r="G71" s="34"/>
      <c r="H71" s="35"/>
      <c r="I71" s="61"/>
      <c r="J71" s="8"/>
      <c r="K71" s="13"/>
      <c r="L71" s="9"/>
      <c r="M71" s="11" t="str">
        <f>IF(AND(ALIM[[#This Row],[FOURNISSEURS]]&gt;1,ALIM[[#This Row],[Colonne2]]=""),"NON",IF(AND(ALIM[[#This Row],[FOURNISSEURS]]&gt;1,ALIM[[#This Row],[Colonne2]]="X"),"OUI",""))</f>
        <v/>
      </c>
      <c r="N71" s="5"/>
    </row>
    <row r="72" spans="1:14" ht="16.5" thickTop="1" thickBot="1" x14ac:dyDescent="0.3">
      <c r="A72" s="131" t="str">
        <f>IF(ALIM[[#This Row],[J]]="CAT","FACTURE CAISSE","")</f>
        <v/>
      </c>
      <c r="B72" s="132"/>
      <c r="C72" s="36"/>
      <c r="D72" s="37"/>
      <c r="E72" s="57"/>
      <c r="F72" s="57"/>
      <c r="G72" s="34"/>
      <c r="H72" s="35"/>
      <c r="I72" s="61"/>
      <c r="J72" s="8"/>
      <c r="K72" s="13"/>
      <c r="L72" s="9"/>
      <c r="M72" s="11" t="str">
        <f>IF(AND(ALIM[[#This Row],[FOURNISSEURS]]&gt;1,ALIM[[#This Row],[Colonne2]]=""),"NON",IF(AND(ALIM[[#This Row],[FOURNISSEURS]]&gt;1,ALIM[[#This Row],[Colonne2]]="X"),"OUI",""))</f>
        <v/>
      </c>
      <c r="N72" s="5"/>
    </row>
    <row r="73" spans="1:14" ht="16.5" thickTop="1" thickBot="1" x14ac:dyDescent="0.3">
      <c r="A73" s="131" t="str">
        <f>IF(ALIM[[#This Row],[J]]="CAT","FACTURE CAISSE","")</f>
        <v/>
      </c>
      <c r="B73" s="132"/>
      <c r="C73" s="36"/>
      <c r="D73" s="37"/>
      <c r="E73" s="57"/>
      <c r="F73" s="57"/>
      <c r="G73" s="34"/>
      <c r="H73" s="35"/>
      <c r="I73" s="61"/>
      <c r="J73" s="8"/>
      <c r="K73" s="13"/>
      <c r="L73" s="9"/>
      <c r="M73" s="11" t="str">
        <f>IF(AND(ALIM[[#This Row],[FOURNISSEURS]]&gt;1,ALIM[[#This Row],[Colonne2]]=""),"NON",IF(AND(ALIM[[#This Row],[FOURNISSEURS]]&gt;1,ALIM[[#This Row],[Colonne2]]="X"),"OUI",""))</f>
        <v/>
      </c>
      <c r="N73" s="5"/>
    </row>
    <row r="74" spans="1:14" ht="16.5" thickTop="1" thickBot="1" x14ac:dyDescent="0.3">
      <c r="A74" s="131" t="str">
        <f>IF(ALIM[[#This Row],[J]]="CAT","FACTURE CAISSE","")</f>
        <v/>
      </c>
      <c r="B74" s="132"/>
      <c r="C74" s="36"/>
      <c r="D74" s="37"/>
      <c r="E74" s="57"/>
      <c r="F74" s="57"/>
      <c r="G74" s="34"/>
      <c r="H74" s="35"/>
      <c r="I74" s="61"/>
      <c r="J74" s="8"/>
      <c r="K74" s="13"/>
      <c r="L74" s="9"/>
      <c r="M74" s="11" t="str">
        <f>IF(AND(ALIM[[#This Row],[FOURNISSEURS]]&gt;1,ALIM[[#This Row],[Colonne2]]=""),"NON",IF(AND(ALIM[[#This Row],[FOURNISSEURS]]&gt;1,ALIM[[#This Row],[Colonne2]]="X"),"OUI",""))</f>
        <v/>
      </c>
      <c r="N74" s="5"/>
    </row>
    <row r="75" spans="1:14" ht="16.5" thickTop="1" thickBot="1" x14ac:dyDescent="0.3">
      <c r="A75" s="131" t="str">
        <f>IF(ALIM[[#This Row],[J]]="CAT","FACTURE CAISSE","")</f>
        <v/>
      </c>
      <c r="B75" s="132"/>
      <c r="C75" s="36"/>
      <c r="D75" s="37"/>
      <c r="E75" s="57"/>
      <c r="F75" s="57"/>
      <c r="G75" s="34"/>
      <c r="H75" s="35"/>
      <c r="I75" s="61"/>
      <c r="J75" s="8"/>
      <c r="K75" s="13"/>
      <c r="L75" s="9"/>
      <c r="M75" s="11" t="str">
        <f>IF(AND(ALIM[[#This Row],[FOURNISSEURS]]&gt;1,ALIM[[#This Row],[Colonne2]]=""),"NON",IF(AND(ALIM[[#This Row],[FOURNISSEURS]]&gt;1,ALIM[[#This Row],[Colonne2]]="X"),"OUI",""))</f>
        <v/>
      </c>
      <c r="N75" s="5"/>
    </row>
    <row r="76" spans="1:14" ht="16.5" thickTop="1" thickBot="1" x14ac:dyDescent="0.3">
      <c r="A76" s="131" t="str">
        <f>IF(ALIM[[#This Row],[J]]="CAT","FACTURE CAISSE","")</f>
        <v/>
      </c>
      <c r="B76" s="132"/>
      <c r="C76" s="36"/>
      <c r="D76" s="37"/>
      <c r="E76" s="57"/>
      <c r="F76" s="57"/>
      <c r="G76" s="34"/>
      <c r="H76" s="35"/>
      <c r="I76" s="61"/>
      <c r="J76" s="8"/>
      <c r="K76" s="13"/>
      <c r="L76" s="9"/>
      <c r="M76" s="11" t="str">
        <f>IF(AND(ALIM[[#This Row],[FOURNISSEURS]]&gt;1,ALIM[[#This Row],[Colonne2]]=""),"NON",IF(AND(ALIM[[#This Row],[FOURNISSEURS]]&gt;1,ALIM[[#This Row],[Colonne2]]="X"),"OUI",""))</f>
        <v/>
      </c>
      <c r="N76" s="5"/>
    </row>
    <row r="77" spans="1:14" ht="16.5" thickTop="1" thickBot="1" x14ac:dyDescent="0.3">
      <c r="A77" s="131" t="str">
        <f>IF(ALIM[[#This Row],[J]]="CAT","FACTURE CAISSE","")</f>
        <v/>
      </c>
      <c r="B77" s="132"/>
      <c r="C77" s="36"/>
      <c r="D77" s="37"/>
      <c r="E77" s="57"/>
      <c r="F77" s="57"/>
      <c r="G77" s="34"/>
      <c r="H77" s="35"/>
      <c r="I77" s="61"/>
      <c r="J77" s="8"/>
      <c r="K77" s="13"/>
      <c r="L77" s="9"/>
      <c r="M77" s="11" t="str">
        <f>IF(AND(ALIM[[#This Row],[FOURNISSEURS]]&gt;1,ALIM[[#This Row],[Colonne2]]=""),"NON",IF(AND(ALIM[[#This Row],[FOURNISSEURS]]&gt;1,ALIM[[#This Row],[Colonne2]]="X"),"OUI",""))</f>
        <v/>
      </c>
      <c r="N77" s="5"/>
    </row>
    <row r="78" spans="1:14" ht="16.5" thickTop="1" thickBot="1" x14ac:dyDescent="0.3">
      <c r="A78" s="131" t="str">
        <f>IF(ALIM[[#This Row],[J]]="CAT","FACTURE CAISSE","")</f>
        <v/>
      </c>
      <c r="B78" s="132"/>
      <c r="C78" s="36"/>
      <c r="D78" s="37"/>
      <c r="E78" s="57"/>
      <c r="F78" s="57"/>
      <c r="G78" s="34"/>
      <c r="H78" s="35"/>
      <c r="I78" s="61"/>
      <c r="J78" s="8"/>
      <c r="K78" s="13"/>
      <c r="L78" s="9"/>
      <c r="M78" s="11" t="str">
        <f>IF(AND(ALIM[[#This Row],[FOURNISSEURS]]&gt;1,ALIM[[#This Row],[Colonne2]]=""),"NON",IF(AND(ALIM[[#This Row],[FOURNISSEURS]]&gt;1,ALIM[[#This Row],[Colonne2]]="X"),"OUI",""))</f>
        <v/>
      </c>
      <c r="N78" s="5"/>
    </row>
    <row r="79" spans="1:14" ht="16.5" thickTop="1" thickBot="1" x14ac:dyDescent="0.3">
      <c r="A79" s="131" t="str">
        <f>IF(ALIM[[#This Row],[J]]="CAT","FACTURE CAISSE","")</f>
        <v/>
      </c>
      <c r="B79" s="132"/>
      <c r="C79" s="36"/>
      <c r="D79" s="37"/>
      <c r="E79" s="57"/>
      <c r="F79" s="57"/>
      <c r="G79" s="34"/>
      <c r="H79" s="35"/>
      <c r="I79" s="61"/>
      <c r="J79" s="8"/>
      <c r="K79" s="13"/>
      <c r="L79" s="9"/>
      <c r="M79" s="11" t="str">
        <f>IF(AND(ALIM[[#This Row],[FOURNISSEURS]]&gt;1,ALIM[[#This Row],[Colonne2]]=""),"NON",IF(AND(ALIM[[#This Row],[FOURNISSEURS]]&gt;1,ALIM[[#This Row],[Colonne2]]="X"),"OUI",""))</f>
        <v/>
      </c>
      <c r="N79" s="5"/>
    </row>
    <row r="80" spans="1:14" ht="16.5" thickTop="1" thickBot="1" x14ac:dyDescent="0.3">
      <c r="A80" s="131" t="str">
        <f>IF(ALIM[[#This Row],[J]]="CAT","FACTURE CAISSE","")</f>
        <v/>
      </c>
      <c r="B80" s="132"/>
      <c r="C80" s="36"/>
      <c r="D80" s="37"/>
      <c r="E80" s="57"/>
      <c r="F80" s="57"/>
      <c r="G80" s="34"/>
      <c r="H80" s="35"/>
      <c r="I80" s="61"/>
      <c r="J80" s="8"/>
      <c r="K80" s="13"/>
      <c r="L80" s="9"/>
      <c r="M80" s="11" t="str">
        <f>IF(AND(ALIM[[#This Row],[FOURNISSEURS]]&gt;1,ALIM[[#This Row],[Colonne2]]=""),"NON",IF(AND(ALIM[[#This Row],[FOURNISSEURS]]&gt;1,ALIM[[#This Row],[Colonne2]]="X"),"OUI",""))</f>
        <v/>
      </c>
      <c r="N80" s="5"/>
    </row>
    <row r="81" spans="1:14" ht="16.5" thickTop="1" thickBot="1" x14ac:dyDescent="0.3">
      <c r="A81" s="131" t="str">
        <f>IF(ALIM[[#This Row],[J]]="CAT","FACTURE CAISSE","")</f>
        <v/>
      </c>
      <c r="B81" s="132"/>
      <c r="C81" s="36"/>
      <c r="D81" s="37"/>
      <c r="E81" s="57"/>
      <c r="F81" s="57"/>
      <c r="G81" s="34"/>
      <c r="H81" s="35"/>
      <c r="I81" s="61"/>
      <c r="J81" s="8"/>
      <c r="K81" s="13"/>
      <c r="L81" s="9"/>
      <c r="M81" s="11" t="str">
        <f>IF(AND(ALIM[[#This Row],[FOURNISSEURS]]&gt;1,ALIM[[#This Row],[Colonne2]]=""),"NON",IF(AND(ALIM[[#This Row],[FOURNISSEURS]]&gt;1,ALIM[[#This Row],[Colonne2]]="X"),"OUI",""))</f>
        <v/>
      </c>
      <c r="N81" s="5"/>
    </row>
    <row r="82" spans="1:14" ht="16.5" thickTop="1" thickBot="1" x14ac:dyDescent="0.3">
      <c r="A82" s="131" t="str">
        <f>IF(ALIM[[#This Row],[J]]="CAT","FACTURE CAISSE","")</f>
        <v/>
      </c>
      <c r="B82" s="132"/>
      <c r="C82" s="36"/>
      <c r="D82" s="37"/>
      <c r="E82" s="57"/>
      <c r="F82" s="57"/>
      <c r="G82" s="34"/>
      <c r="H82" s="35"/>
      <c r="I82" s="61"/>
      <c r="J82" s="8"/>
      <c r="K82" s="13"/>
      <c r="L82" s="9"/>
      <c r="M82" s="11" t="str">
        <f>IF(AND(ALIM[[#This Row],[FOURNISSEURS]]&gt;1,ALIM[[#This Row],[Colonne2]]=""),"NON",IF(AND(ALIM[[#This Row],[FOURNISSEURS]]&gt;1,ALIM[[#This Row],[Colonne2]]="X"),"OUI",""))</f>
        <v/>
      </c>
      <c r="N82" s="5"/>
    </row>
    <row r="83" spans="1:14" ht="16.5" thickTop="1" thickBot="1" x14ac:dyDescent="0.3">
      <c r="A83" s="131" t="str">
        <f>IF(ALIM[[#This Row],[J]]="CAT","FACTURE CAISSE","")</f>
        <v/>
      </c>
      <c r="B83" s="132"/>
      <c r="C83" s="36"/>
      <c r="D83" s="37"/>
      <c r="E83" s="57"/>
      <c r="F83" s="57"/>
      <c r="G83" s="34"/>
      <c r="H83" s="35"/>
      <c r="I83" s="61"/>
      <c r="J83" s="8"/>
      <c r="K83" s="13"/>
      <c r="L83" s="9"/>
      <c r="M83" s="11" t="str">
        <f>IF(AND(ALIM[[#This Row],[FOURNISSEURS]]&gt;1,ALIM[[#This Row],[Colonne2]]=""),"NON",IF(AND(ALIM[[#This Row],[FOURNISSEURS]]&gt;1,ALIM[[#This Row],[Colonne2]]="X"),"OUI",""))</f>
        <v/>
      </c>
      <c r="N83" s="5"/>
    </row>
    <row r="84" spans="1:14" ht="16.5" thickTop="1" thickBot="1" x14ac:dyDescent="0.3">
      <c r="A84" s="131" t="str">
        <f>IF(ALIM[[#This Row],[J]]="CAT","FACTURE CAISSE","")</f>
        <v/>
      </c>
      <c r="B84" s="132"/>
      <c r="C84" s="36"/>
      <c r="D84" s="37"/>
      <c r="E84" s="57"/>
      <c r="F84" s="57"/>
      <c r="G84" s="34"/>
      <c r="H84" s="35"/>
      <c r="I84" s="61"/>
      <c r="J84" s="8"/>
      <c r="K84" s="13"/>
      <c r="L84" s="9"/>
      <c r="M84" s="11" t="str">
        <f>IF(AND(ALIM[[#This Row],[FOURNISSEURS]]&gt;1,ALIM[[#This Row],[Colonne2]]=""),"NON",IF(AND(ALIM[[#This Row],[FOURNISSEURS]]&gt;1,ALIM[[#This Row],[Colonne2]]="X"),"OUI",""))</f>
        <v/>
      </c>
      <c r="N84" s="5"/>
    </row>
    <row r="85" spans="1:14" ht="16.5" thickTop="1" thickBot="1" x14ac:dyDescent="0.3">
      <c r="A85" s="131" t="str">
        <f>IF(ALIM[[#This Row],[J]]="CAT","FACTURE CAISSE","")</f>
        <v/>
      </c>
      <c r="B85" s="132"/>
      <c r="C85" s="36"/>
      <c r="D85" s="37"/>
      <c r="E85" s="57"/>
      <c r="F85" s="57"/>
      <c r="G85" s="34"/>
      <c r="H85" s="35"/>
      <c r="I85" s="61"/>
      <c r="J85" s="8"/>
      <c r="K85" s="13"/>
      <c r="L85" s="9"/>
      <c r="M85" s="11" t="str">
        <f>IF(AND(ALIM[[#This Row],[FOURNISSEURS]]&gt;1,ALIM[[#This Row],[Colonne2]]=""),"NON",IF(AND(ALIM[[#This Row],[FOURNISSEURS]]&gt;1,ALIM[[#This Row],[Colonne2]]="X"),"OUI",""))</f>
        <v/>
      </c>
      <c r="N85" s="5"/>
    </row>
    <row r="86" spans="1:14" ht="16.5" thickTop="1" thickBot="1" x14ac:dyDescent="0.3">
      <c r="A86" s="131" t="str">
        <f>IF(ALIM[[#This Row],[J]]="CAT","FACTURE CAISSE","")</f>
        <v/>
      </c>
      <c r="B86" s="132"/>
      <c r="C86" s="36"/>
      <c r="D86" s="37"/>
      <c r="E86" s="57"/>
      <c r="F86" s="57"/>
      <c r="G86" s="34"/>
      <c r="H86" s="35"/>
      <c r="I86" s="61"/>
      <c r="J86" s="8"/>
      <c r="K86" s="13"/>
      <c r="L86" s="9"/>
      <c r="M86" s="11" t="str">
        <f>IF(AND(ALIM[[#This Row],[FOURNISSEURS]]&gt;1,ALIM[[#This Row],[Colonne2]]=""),"NON",IF(AND(ALIM[[#This Row],[FOURNISSEURS]]&gt;1,ALIM[[#This Row],[Colonne2]]="X"),"OUI",""))</f>
        <v/>
      </c>
      <c r="N86" s="5"/>
    </row>
    <row r="87" spans="1:14" ht="16.5" thickTop="1" thickBot="1" x14ac:dyDescent="0.3">
      <c r="A87" s="131" t="str">
        <f>IF(ALIM[[#This Row],[J]]="CAT","FACTURE CAISSE","")</f>
        <v/>
      </c>
      <c r="B87" s="132"/>
      <c r="C87" s="36"/>
      <c r="D87" s="37"/>
      <c r="E87" s="57"/>
      <c r="F87" s="57"/>
      <c r="G87" s="34"/>
      <c r="H87" s="35"/>
      <c r="I87" s="61"/>
      <c r="J87" s="8"/>
      <c r="K87" s="13"/>
      <c r="L87" s="9"/>
      <c r="M87" s="11" t="str">
        <f>IF(AND(ALIM[[#This Row],[FOURNISSEURS]]&gt;1,ALIM[[#This Row],[Colonne2]]=""),"NON",IF(AND(ALIM[[#This Row],[FOURNISSEURS]]&gt;1,ALIM[[#This Row],[Colonne2]]="X"),"OUI",""))</f>
        <v/>
      </c>
      <c r="N87" s="5"/>
    </row>
    <row r="88" spans="1:14" ht="16.5" thickTop="1" thickBot="1" x14ac:dyDescent="0.3">
      <c r="A88" s="131" t="str">
        <f>IF(ALIM[[#This Row],[J]]="CAT","FACTURE CAISSE","")</f>
        <v/>
      </c>
      <c r="B88" s="132"/>
      <c r="C88" s="36"/>
      <c r="D88" s="37"/>
      <c r="E88" s="57"/>
      <c r="F88" s="57"/>
      <c r="G88" s="34"/>
      <c r="H88" s="35"/>
      <c r="I88" s="61"/>
      <c r="J88" s="8"/>
      <c r="K88" s="13"/>
      <c r="L88" s="9"/>
      <c r="M88" s="11" t="str">
        <f>IF(AND(ALIM[[#This Row],[FOURNISSEURS]]&gt;1,ALIM[[#This Row],[Colonne2]]=""),"NON",IF(AND(ALIM[[#This Row],[FOURNISSEURS]]&gt;1,ALIM[[#This Row],[Colonne2]]="X"),"OUI",""))</f>
        <v/>
      </c>
      <c r="N88" s="5"/>
    </row>
    <row r="89" spans="1:14" ht="16.5" thickTop="1" thickBot="1" x14ac:dyDescent="0.3">
      <c r="A89" s="131" t="str">
        <f>IF(ALIM[[#This Row],[J]]="CAT","FACTURE CAISSE","")</f>
        <v/>
      </c>
      <c r="B89" s="132"/>
      <c r="C89" s="36"/>
      <c r="D89" s="37"/>
      <c r="E89" s="57"/>
      <c r="F89" s="57"/>
      <c r="G89" s="34"/>
      <c r="H89" s="35"/>
      <c r="I89" s="61"/>
      <c r="J89" s="8"/>
      <c r="K89" s="13"/>
      <c r="L89" s="9"/>
      <c r="M89" s="11" t="str">
        <f>IF(AND(ALIM[[#This Row],[FOURNISSEURS]]&gt;1,ALIM[[#This Row],[Colonne2]]=""),"NON",IF(AND(ALIM[[#This Row],[FOURNISSEURS]]&gt;1,ALIM[[#This Row],[Colonne2]]="X"),"OUI",""))</f>
        <v/>
      </c>
      <c r="N89" s="5"/>
    </row>
    <row r="90" spans="1:14" ht="16.5" thickTop="1" thickBot="1" x14ac:dyDescent="0.3">
      <c r="A90" s="131" t="str">
        <f>IF(ALIM[[#This Row],[J]]="CAT","FACTURE CAISSE","")</f>
        <v/>
      </c>
      <c r="B90" s="132"/>
      <c r="C90" s="36"/>
      <c r="D90" s="37"/>
      <c r="E90" s="57"/>
      <c r="F90" s="57"/>
      <c r="G90" s="34"/>
      <c r="H90" s="35"/>
      <c r="I90" s="61"/>
      <c r="J90" s="8"/>
      <c r="K90" s="13"/>
      <c r="L90" s="9"/>
      <c r="M90" s="11" t="str">
        <f>IF(AND(ALIM[[#This Row],[FOURNISSEURS]]&gt;1,ALIM[[#This Row],[Colonne2]]=""),"NON",IF(AND(ALIM[[#This Row],[FOURNISSEURS]]&gt;1,ALIM[[#This Row],[Colonne2]]="X"),"OUI",""))</f>
        <v/>
      </c>
      <c r="N90" s="5"/>
    </row>
    <row r="91" spans="1:14" ht="16.5" thickTop="1" thickBot="1" x14ac:dyDescent="0.3">
      <c r="A91" s="131" t="str">
        <f>IF(ALIM[[#This Row],[J]]="CAT","FACTURE CAISSE","")</f>
        <v/>
      </c>
      <c r="B91" s="132"/>
      <c r="C91" s="36"/>
      <c r="D91" s="37"/>
      <c r="E91" s="57"/>
      <c r="F91" s="57"/>
      <c r="G91" s="34"/>
      <c r="H91" s="35"/>
      <c r="I91" s="61"/>
      <c r="J91" s="8"/>
      <c r="K91" s="13"/>
      <c r="L91" s="9"/>
      <c r="M91" s="11" t="str">
        <f>IF(AND(ALIM[[#This Row],[FOURNISSEURS]]&gt;1,ALIM[[#This Row],[Colonne2]]=""),"NON",IF(AND(ALIM[[#This Row],[FOURNISSEURS]]&gt;1,ALIM[[#This Row],[Colonne2]]="X"),"OUI",""))</f>
        <v/>
      </c>
      <c r="N91" s="5"/>
    </row>
    <row r="92" spans="1:14" ht="16.5" thickTop="1" thickBot="1" x14ac:dyDescent="0.3">
      <c r="A92" s="131" t="str">
        <f>IF(ALIM[[#This Row],[J]]="CAT","FACTURE CAISSE","")</f>
        <v/>
      </c>
      <c r="B92" s="132"/>
      <c r="C92" s="36"/>
      <c r="D92" s="37"/>
      <c r="E92" s="57"/>
      <c r="F92" s="57"/>
      <c r="G92" s="34"/>
      <c r="H92" s="35"/>
      <c r="I92" s="61"/>
      <c r="J92" s="8"/>
      <c r="K92" s="13"/>
      <c r="L92" s="9"/>
      <c r="M92" s="11" t="str">
        <f>IF(AND(ALIM[[#This Row],[FOURNISSEURS]]&gt;1,ALIM[[#This Row],[Colonne2]]=""),"NON",IF(AND(ALIM[[#This Row],[FOURNISSEURS]]&gt;1,ALIM[[#This Row],[Colonne2]]="X"),"OUI",""))</f>
        <v/>
      </c>
      <c r="N92" s="5"/>
    </row>
    <row r="93" spans="1:14" ht="16.5" thickTop="1" thickBot="1" x14ac:dyDescent="0.3">
      <c r="A93" s="131" t="str">
        <f>IF(ALIM[[#This Row],[J]]="CAT","FACTURE CAISSE","")</f>
        <v/>
      </c>
      <c r="B93" s="132"/>
      <c r="C93" s="36"/>
      <c r="D93" s="37"/>
      <c r="E93" s="57"/>
      <c r="F93" s="57"/>
      <c r="G93" s="34"/>
      <c r="H93" s="35"/>
      <c r="I93" s="61"/>
      <c r="J93" s="8"/>
      <c r="K93" s="13"/>
      <c r="L93" s="9"/>
      <c r="M93" s="11" t="str">
        <f>IF(AND(ALIM[[#This Row],[FOURNISSEURS]]&gt;1,ALIM[[#This Row],[Colonne2]]=""),"NON",IF(AND(ALIM[[#This Row],[FOURNISSEURS]]&gt;1,ALIM[[#This Row],[Colonne2]]="X"),"OUI",""))</f>
        <v/>
      </c>
      <c r="N93" s="5"/>
    </row>
    <row r="94" spans="1:14" ht="16.5" thickTop="1" thickBot="1" x14ac:dyDescent="0.3">
      <c r="A94" s="131" t="str">
        <f>IF(ALIM[[#This Row],[J]]="CAT","FACTURE CAISSE","")</f>
        <v/>
      </c>
      <c r="B94" s="132"/>
      <c r="C94" s="36"/>
      <c r="D94" s="37"/>
      <c r="E94" s="57"/>
      <c r="F94" s="57"/>
      <c r="G94" s="34"/>
      <c r="H94" s="35"/>
      <c r="I94" s="61"/>
      <c r="J94" s="8"/>
      <c r="K94" s="13"/>
      <c r="L94" s="9"/>
      <c r="M94" s="11" t="str">
        <f>IF(AND(ALIM[[#This Row],[FOURNISSEURS]]&gt;1,ALIM[[#This Row],[Colonne2]]=""),"NON",IF(AND(ALIM[[#This Row],[FOURNISSEURS]]&gt;1,ALIM[[#This Row],[Colonne2]]="X"),"OUI",""))</f>
        <v/>
      </c>
      <c r="N94" s="5"/>
    </row>
    <row r="95" spans="1:14" ht="16.5" thickTop="1" thickBot="1" x14ac:dyDescent="0.3">
      <c r="A95" s="131" t="str">
        <f>IF(ALIM[[#This Row],[J]]="CAT","FACTURE CAISSE","")</f>
        <v/>
      </c>
      <c r="B95" s="132"/>
      <c r="C95" s="36"/>
      <c r="D95" s="37"/>
      <c r="E95" s="57"/>
      <c r="F95" s="57"/>
      <c r="G95" s="34"/>
      <c r="H95" s="35"/>
      <c r="I95" s="61"/>
      <c r="J95" s="8"/>
      <c r="K95" s="13"/>
      <c r="L95" s="9"/>
      <c r="M95" s="11" t="str">
        <f>IF(AND(ALIM[[#This Row],[FOURNISSEURS]]&gt;1,ALIM[[#This Row],[Colonne2]]=""),"NON",IF(AND(ALIM[[#This Row],[FOURNISSEURS]]&gt;1,ALIM[[#This Row],[Colonne2]]="X"),"OUI",""))</f>
        <v/>
      </c>
      <c r="N95" s="5"/>
    </row>
    <row r="96" spans="1:14" ht="16.5" thickTop="1" thickBot="1" x14ac:dyDescent="0.3">
      <c r="A96" s="131" t="str">
        <f>IF(ALIM[[#This Row],[J]]="CAT","FACTURE CAISSE","")</f>
        <v/>
      </c>
      <c r="B96" s="132"/>
      <c r="C96" s="36"/>
      <c r="D96" s="37"/>
      <c r="E96" s="57"/>
      <c r="F96" s="57"/>
      <c r="G96" s="34"/>
      <c r="H96" s="35"/>
      <c r="I96" s="61"/>
      <c r="J96" s="8"/>
      <c r="K96" s="13"/>
      <c r="L96" s="9"/>
      <c r="M96" s="11" t="str">
        <f>IF(AND(ALIM[[#This Row],[FOURNISSEURS]]&gt;1,ALIM[[#This Row],[Colonne2]]=""),"NON",IF(AND(ALIM[[#This Row],[FOURNISSEURS]]&gt;1,ALIM[[#This Row],[Colonne2]]="X"),"OUI",""))</f>
        <v/>
      </c>
      <c r="N96" s="5"/>
    </row>
    <row r="97" spans="1:14" ht="16.5" thickTop="1" thickBot="1" x14ac:dyDescent="0.3">
      <c r="A97" s="131" t="str">
        <f>IF(ALIM[[#This Row],[J]]="CAT","FACTURE CAISSE","")</f>
        <v/>
      </c>
      <c r="B97" s="132"/>
      <c r="C97" s="36"/>
      <c r="D97" s="37"/>
      <c r="E97" s="57"/>
      <c r="F97" s="57"/>
      <c r="G97" s="34"/>
      <c r="H97" s="35"/>
      <c r="I97" s="61"/>
      <c r="J97" s="8"/>
      <c r="K97" s="13"/>
      <c r="L97" s="9"/>
      <c r="M97" s="11" t="str">
        <f>IF(AND(ALIM[[#This Row],[FOURNISSEURS]]&gt;1,ALIM[[#This Row],[Colonne2]]=""),"NON",IF(AND(ALIM[[#This Row],[FOURNISSEURS]]&gt;1,ALIM[[#This Row],[Colonne2]]="X"),"OUI",""))</f>
        <v/>
      </c>
      <c r="N97" s="5"/>
    </row>
    <row r="98" spans="1:14" ht="16.5" thickTop="1" thickBot="1" x14ac:dyDescent="0.3">
      <c r="A98" s="131" t="str">
        <f>IF(ALIM[[#This Row],[J]]="CAT","FACTURE CAISSE","")</f>
        <v/>
      </c>
      <c r="B98" s="132"/>
      <c r="C98" s="36"/>
      <c r="D98" s="37"/>
      <c r="E98" s="57"/>
      <c r="F98" s="57"/>
      <c r="G98" s="34"/>
      <c r="H98" s="35"/>
      <c r="I98" s="61"/>
      <c r="J98" s="8"/>
      <c r="K98" s="13"/>
      <c r="L98" s="9"/>
      <c r="M98" s="11" t="str">
        <f>IF(AND(ALIM[[#This Row],[FOURNISSEURS]]&gt;1,ALIM[[#This Row],[Colonne2]]=""),"NON",IF(AND(ALIM[[#This Row],[FOURNISSEURS]]&gt;1,ALIM[[#This Row],[Colonne2]]="X"),"OUI",""))</f>
        <v/>
      </c>
      <c r="N98" s="5"/>
    </row>
    <row r="99" spans="1:14" ht="16.5" thickTop="1" thickBot="1" x14ac:dyDescent="0.3">
      <c r="A99" s="131" t="str">
        <f>IF(ALIM[[#This Row],[J]]="CAT","FACTURE CAISSE","")</f>
        <v/>
      </c>
      <c r="B99" s="132"/>
      <c r="C99" s="36"/>
      <c r="D99" s="37"/>
      <c r="E99" s="57"/>
      <c r="F99" s="57"/>
      <c r="G99" s="34"/>
      <c r="H99" s="35"/>
      <c r="I99" s="61"/>
      <c r="J99" s="8"/>
      <c r="K99" s="13"/>
      <c r="L99" s="9"/>
      <c r="M99" s="11" t="str">
        <f>IF(AND(ALIM[[#This Row],[FOURNISSEURS]]&gt;1,ALIM[[#This Row],[Colonne2]]=""),"NON",IF(AND(ALIM[[#This Row],[FOURNISSEURS]]&gt;1,ALIM[[#This Row],[Colonne2]]="X"),"OUI",""))</f>
        <v/>
      </c>
      <c r="N99" s="5"/>
    </row>
    <row r="100" spans="1:14" ht="16.5" thickTop="1" thickBot="1" x14ac:dyDescent="0.3">
      <c r="A100" s="131" t="str">
        <f>IF(ALIM[[#This Row],[J]]="CAT","FACTURE CAISSE","")</f>
        <v/>
      </c>
      <c r="B100" s="132"/>
      <c r="C100" s="36"/>
      <c r="D100" s="37"/>
      <c r="E100" s="57"/>
      <c r="F100" s="57"/>
      <c r="G100" s="34"/>
      <c r="H100" s="35"/>
      <c r="I100" s="61"/>
      <c r="J100" s="8"/>
      <c r="K100" s="13"/>
      <c r="L100" s="9"/>
      <c r="M100" s="11" t="str">
        <f>IF(AND(ALIM[[#This Row],[FOURNISSEURS]]&gt;1,ALIM[[#This Row],[Colonne2]]=""),"NON",IF(AND(ALIM[[#This Row],[FOURNISSEURS]]&gt;1,ALIM[[#This Row],[Colonne2]]="X"),"OUI",""))</f>
        <v/>
      </c>
      <c r="N100" s="5"/>
    </row>
    <row r="101" spans="1:14" ht="16.5" thickTop="1" thickBot="1" x14ac:dyDescent="0.3">
      <c r="A101" s="131" t="str">
        <f>IF(ALIM[[#This Row],[J]]="CAT","FACTURE CAISSE","")</f>
        <v/>
      </c>
      <c r="B101" s="132"/>
      <c r="C101" s="36"/>
      <c r="D101" s="37"/>
      <c r="E101" s="57"/>
      <c r="F101" s="57"/>
      <c r="G101" s="34"/>
      <c r="H101" s="35"/>
      <c r="I101" s="61"/>
      <c r="J101" s="8"/>
      <c r="K101" s="13"/>
      <c r="L101" s="9"/>
      <c r="M101" s="11" t="str">
        <f>IF(AND(ALIM[[#This Row],[FOURNISSEURS]]&gt;1,ALIM[[#This Row],[Colonne2]]=""),"NON",IF(AND(ALIM[[#This Row],[FOURNISSEURS]]&gt;1,ALIM[[#This Row],[Colonne2]]="X"),"OUI",""))</f>
        <v/>
      </c>
      <c r="N101" s="5"/>
    </row>
    <row r="102" spans="1:14" ht="16.5" thickTop="1" thickBot="1" x14ac:dyDescent="0.3">
      <c r="A102" s="131" t="str">
        <f>IF(ALIM[[#This Row],[J]]="CAT","FACTURE CAISSE","")</f>
        <v/>
      </c>
      <c r="B102" s="132"/>
      <c r="C102" s="36"/>
      <c r="D102" s="37"/>
      <c r="E102" s="57"/>
      <c r="F102" s="57"/>
      <c r="G102" s="34"/>
      <c r="H102" s="35"/>
      <c r="I102" s="61"/>
      <c r="J102" s="8"/>
      <c r="K102" s="13"/>
      <c r="L102" s="9"/>
      <c r="M102" s="11" t="str">
        <f>IF(AND(ALIM[[#This Row],[FOURNISSEURS]]&gt;1,ALIM[[#This Row],[Colonne2]]=""),"NON",IF(AND(ALIM[[#This Row],[FOURNISSEURS]]&gt;1,ALIM[[#This Row],[Colonne2]]="X"),"OUI",""))</f>
        <v/>
      </c>
      <c r="N102" s="5"/>
    </row>
    <row r="103" spans="1:14" ht="16.5" thickTop="1" thickBot="1" x14ac:dyDescent="0.3">
      <c r="A103" s="131" t="str">
        <f>IF(ALIM[[#This Row],[J]]="CAT","FACTURE CAISSE","")</f>
        <v/>
      </c>
      <c r="B103" s="132"/>
      <c r="C103" s="36"/>
      <c r="D103" s="37"/>
      <c r="E103" s="57"/>
      <c r="F103" s="57"/>
      <c r="G103" s="34"/>
      <c r="H103" s="35"/>
      <c r="I103" s="61"/>
      <c r="J103" s="8"/>
      <c r="K103" s="13"/>
      <c r="L103" s="9"/>
      <c r="M103" s="11" t="str">
        <f>IF(AND(ALIM[[#This Row],[FOURNISSEURS]]&gt;1,ALIM[[#This Row],[Colonne2]]=""),"NON",IF(AND(ALIM[[#This Row],[FOURNISSEURS]]&gt;1,ALIM[[#This Row],[Colonne2]]="X"),"OUI",""))</f>
        <v/>
      </c>
      <c r="N103" s="5"/>
    </row>
    <row r="104" spans="1:14" ht="16.5" thickTop="1" thickBot="1" x14ac:dyDescent="0.3">
      <c r="A104" s="131" t="str">
        <f>IF(ALIM[[#This Row],[J]]="CAT","FACTURE CAISSE","")</f>
        <v/>
      </c>
      <c r="B104" s="132"/>
      <c r="C104" s="36"/>
      <c r="D104" s="37"/>
      <c r="E104" s="57"/>
      <c r="F104" s="57"/>
      <c r="G104" s="34"/>
      <c r="H104" s="35"/>
      <c r="I104" s="61"/>
      <c r="J104" s="8"/>
      <c r="K104" s="13"/>
      <c r="L104" s="9"/>
      <c r="M104" s="11" t="str">
        <f>IF(AND(ALIM[[#This Row],[FOURNISSEURS]]&gt;1,ALIM[[#This Row],[Colonne2]]=""),"NON",IF(AND(ALIM[[#This Row],[FOURNISSEURS]]&gt;1,ALIM[[#This Row],[Colonne2]]="X"),"OUI",""))</f>
        <v/>
      </c>
      <c r="N104" s="5"/>
    </row>
    <row r="105" spans="1:14" ht="16.5" thickTop="1" thickBot="1" x14ac:dyDescent="0.3">
      <c r="A105" s="131" t="str">
        <f>IF(ALIM[[#This Row],[J]]="CAT","FACTURE CAISSE","")</f>
        <v/>
      </c>
      <c r="B105" s="132"/>
      <c r="C105" s="36"/>
      <c r="D105" s="37"/>
      <c r="E105" s="57"/>
      <c r="F105" s="57"/>
      <c r="G105" s="34"/>
      <c r="H105" s="35"/>
      <c r="I105" s="61"/>
      <c r="J105" s="8"/>
      <c r="K105" s="13"/>
      <c r="L105" s="9"/>
      <c r="M105" s="11" t="str">
        <f>IF(AND(ALIM[[#This Row],[FOURNISSEURS]]&gt;1,ALIM[[#This Row],[Colonne2]]=""),"NON",IF(AND(ALIM[[#This Row],[FOURNISSEURS]]&gt;1,ALIM[[#This Row],[Colonne2]]="X"),"OUI",""))</f>
        <v/>
      </c>
      <c r="N105" s="5"/>
    </row>
    <row r="106" spans="1:14" ht="16.5" thickTop="1" thickBot="1" x14ac:dyDescent="0.3">
      <c r="A106" s="131" t="str">
        <f>IF(ALIM[[#This Row],[J]]="CAT","FACTURE CAISSE","")</f>
        <v/>
      </c>
      <c r="B106" s="132"/>
      <c r="C106" s="36"/>
      <c r="D106" s="37"/>
      <c r="E106" s="57"/>
      <c r="F106" s="57"/>
      <c r="G106" s="34"/>
      <c r="H106" s="35"/>
      <c r="I106" s="61"/>
      <c r="J106" s="8"/>
      <c r="K106" s="13"/>
      <c r="L106" s="9"/>
      <c r="M106" s="11" t="str">
        <f>IF(AND(ALIM[[#This Row],[FOURNISSEURS]]&gt;1,ALIM[[#This Row],[Colonne2]]=""),"NON",IF(AND(ALIM[[#This Row],[FOURNISSEURS]]&gt;1,ALIM[[#This Row],[Colonne2]]="X"),"OUI",""))</f>
        <v/>
      </c>
      <c r="N106" s="5"/>
    </row>
    <row r="107" spans="1:14" ht="16.5" thickTop="1" thickBot="1" x14ac:dyDescent="0.3">
      <c r="A107" s="131" t="str">
        <f>IF(ALIM[[#This Row],[J]]="CAT","FACTURE CAISSE","")</f>
        <v/>
      </c>
      <c r="B107" s="132"/>
      <c r="C107" s="36"/>
      <c r="D107" s="37"/>
      <c r="E107" s="57"/>
      <c r="F107" s="57"/>
      <c r="G107" s="34"/>
      <c r="H107" s="35"/>
      <c r="I107" s="61"/>
      <c r="J107" s="8"/>
      <c r="K107" s="13"/>
      <c r="L107" s="9"/>
      <c r="M107" s="11" t="str">
        <f>IF(AND(ALIM[[#This Row],[FOURNISSEURS]]&gt;1,ALIM[[#This Row],[Colonne2]]=""),"NON",IF(AND(ALIM[[#This Row],[FOURNISSEURS]]&gt;1,ALIM[[#This Row],[Colonne2]]="X"),"OUI",""))</f>
        <v/>
      </c>
      <c r="N107" s="5"/>
    </row>
    <row r="108" spans="1:14" ht="16.5" thickTop="1" thickBot="1" x14ac:dyDescent="0.3">
      <c r="A108" s="131" t="str">
        <f>IF(ALIM[[#This Row],[J]]="CAT","FACTURE CAISSE","")</f>
        <v/>
      </c>
      <c r="B108" s="132"/>
      <c r="C108" s="36"/>
      <c r="D108" s="37"/>
      <c r="E108" s="57"/>
      <c r="F108" s="57"/>
      <c r="G108" s="34"/>
      <c r="H108" s="35"/>
      <c r="I108" s="61"/>
      <c r="J108" s="8"/>
      <c r="K108" s="13"/>
      <c r="L108" s="9"/>
      <c r="M108" s="11" t="str">
        <f>IF(AND(ALIM[[#This Row],[FOURNISSEURS]]&gt;1,ALIM[[#This Row],[Colonne2]]=""),"NON",IF(AND(ALIM[[#This Row],[FOURNISSEURS]]&gt;1,ALIM[[#This Row],[Colonne2]]="X"),"OUI",""))</f>
        <v/>
      </c>
      <c r="N108" s="5"/>
    </row>
    <row r="109" spans="1:14" ht="16.5" thickTop="1" thickBot="1" x14ac:dyDescent="0.3">
      <c r="A109" s="131" t="str">
        <f>IF(ALIM[[#This Row],[J]]="CAT","FACTURE CAISSE","")</f>
        <v/>
      </c>
      <c r="B109" s="132"/>
      <c r="C109" s="36"/>
      <c r="D109" s="37"/>
      <c r="E109" s="57"/>
      <c r="F109" s="57"/>
      <c r="G109" s="34"/>
      <c r="H109" s="35"/>
      <c r="I109" s="61"/>
      <c r="J109" s="8"/>
      <c r="K109" s="13"/>
      <c r="L109" s="9"/>
      <c r="M109" s="11" t="str">
        <f>IF(AND(ALIM[[#This Row],[FOURNISSEURS]]&gt;1,ALIM[[#This Row],[Colonne2]]=""),"NON",IF(AND(ALIM[[#This Row],[FOURNISSEURS]]&gt;1,ALIM[[#This Row],[Colonne2]]="X"),"OUI",""))</f>
        <v/>
      </c>
      <c r="N109" s="5"/>
    </row>
    <row r="110" spans="1:14" ht="16.5" thickTop="1" thickBot="1" x14ac:dyDescent="0.3">
      <c r="A110" s="131" t="str">
        <f>IF(ALIM[[#This Row],[J]]="CAT","FACTURE CAISSE","")</f>
        <v/>
      </c>
      <c r="B110" s="132"/>
      <c r="C110" s="36"/>
      <c r="D110" s="37"/>
      <c r="E110" s="57"/>
      <c r="F110" s="57"/>
      <c r="G110" s="34"/>
      <c r="H110" s="35"/>
      <c r="I110" s="61"/>
      <c r="J110" s="8"/>
      <c r="K110" s="13"/>
      <c r="L110" s="9"/>
      <c r="M110" s="11" t="str">
        <f>IF(AND(ALIM[[#This Row],[FOURNISSEURS]]&gt;1,ALIM[[#This Row],[Colonne2]]=""),"NON",IF(AND(ALIM[[#This Row],[FOURNISSEURS]]&gt;1,ALIM[[#This Row],[Colonne2]]="X"),"OUI",""))</f>
        <v/>
      </c>
      <c r="N110" s="5"/>
    </row>
    <row r="111" spans="1:14" ht="16.5" thickTop="1" thickBot="1" x14ac:dyDescent="0.3">
      <c r="A111" s="131" t="str">
        <f>IF(ALIM[[#This Row],[J]]="CAT","FACTURE CAISSE","")</f>
        <v/>
      </c>
      <c r="B111" s="132"/>
      <c r="C111" s="36"/>
      <c r="D111" s="37"/>
      <c r="E111" s="57"/>
      <c r="F111" s="57"/>
      <c r="G111" s="34"/>
      <c r="H111" s="35"/>
      <c r="I111" s="61"/>
      <c r="J111" s="8"/>
      <c r="K111" s="13"/>
      <c r="L111" s="9"/>
      <c r="M111" s="11" t="str">
        <f>IF(AND(ALIM[[#This Row],[FOURNISSEURS]]&gt;1,ALIM[[#This Row],[Colonne2]]=""),"NON",IF(AND(ALIM[[#This Row],[FOURNISSEURS]]&gt;1,ALIM[[#This Row],[Colonne2]]="X"),"OUI",""))</f>
        <v/>
      </c>
      <c r="N111" s="5"/>
    </row>
    <row r="112" spans="1:14" ht="16.5" thickTop="1" thickBot="1" x14ac:dyDescent="0.3">
      <c r="A112" s="131" t="str">
        <f>IF(ALIM[[#This Row],[J]]="CAT","FACTURE CAISSE","")</f>
        <v/>
      </c>
      <c r="B112" s="132"/>
      <c r="C112" s="36"/>
      <c r="D112" s="37"/>
      <c r="E112" s="57"/>
      <c r="F112" s="57"/>
      <c r="G112" s="34"/>
      <c r="H112" s="35"/>
      <c r="I112" s="61"/>
      <c r="J112" s="8"/>
      <c r="K112" s="13"/>
      <c r="L112" s="9"/>
      <c r="M112" s="11" t="str">
        <f>IF(AND(ALIM[[#This Row],[FOURNISSEURS]]&gt;1,ALIM[[#This Row],[Colonne2]]=""),"NON",IF(AND(ALIM[[#This Row],[FOURNISSEURS]]&gt;1,ALIM[[#This Row],[Colonne2]]="X"),"OUI",""))</f>
        <v/>
      </c>
      <c r="N112" s="5"/>
    </row>
    <row r="113" spans="1:14" ht="16.5" thickTop="1" thickBot="1" x14ac:dyDescent="0.3">
      <c r="A113" s="131" t="str">
        <f>IF(ALIM[[#This Row],[J]]="CAT","FACTURE CAISSE","")</f>
        <v/>
      </c>
      <c r="B113" s="132"/>
      <c r="C113" s="36"/>
      <c r="D113" s="37"/>
      <c r="E113" s="57"/>
      <c r="F113" s="57"/>
      <c r="G113" s="34"/>
      <c r="H113" s="35"/>
      <c r="I113" s="61"/>
      <c r="J113" s="8"/>
      <c r="K113" s="13"/>
      <c r="L113" s="9"/>
      <c r="M113" s="11" t="str">
        <f>IF(AND(ALIM[[#This Row],[FOURNISSEURS]]&gt;1,ALIM[[#This Row],[Colonne2]]=""),"NON",IF(AND(ALIM[[#This Row],[FOURNISSEURS]]&gt;1,ALIM[[#This Row],[Colonne2]]="X"),"OUI",""))</f>
        <v/>
      </c>
      <c r="N113" s="5"/>
    </row>
    <row r="114" spans="1:14" ht="16.5" thickTop="1" thickBot="1" x14ac:dyDescent="0.3">
      <c r="A114" s="131" t="str">
        <f>IF(ALIM[[#This Row],[J]]="CAT","FACTURE CAISSE","")</f>
        <v/>
      </c>
      <c r="B114" s="132"/>
      <c r="C114" s="36"/>
      <c r="D114" s="37"/>
      <c r="E114" s="57"/>
      <c r="F114" s="57"/>
      <c r="G114" s="34"/>
      <c r="H114" s="35"/>
      <c r="I114" s="61"/>
      <c r="J114" s="8"/>
      <c r="K114" s="13"/>
      <c r="L114" s="9"/>
      <c r="M114" s="11" t="str">
        <f>IF(AND(ALIM[[#This Row],[FOURNISSEURS]]&gt;1,ALIM[[#This Row],[Colonne2]]=""),"NON",IF(AND(ALIM[[#This Row],[FOURNISSEURS]]&gt;1,ALIM[[#This Row],[Colonne2]]="X"),"OUI",""))</f>
        <v/>
      </c>
      <c r="N114" s="5"/>
    </row>
    <row r="115" spans="1:14" ht="16.5" thickTop="1" thickBot="1" x14ac:dyDescent="0.3">
      <c r="A115" s="131" t="str">
        <f>IF(ALIM[[#This Row],[J]]="CAT","FACTURE CAISSE","")</f>
        <v/>
      </c>
      <c r="B115" s="132"/>
      <c r="C115" s="36"/>
      <c r="D115" s="37"/>
      <c r="E115" s="57"/>
      <c r="F115" s="57"/>
      <c r="G115" s="34"/>
      <c r="H115" s="35"/>
      <c r="I115" s="61"/>
      <c r="J115" s="8"/>
      <c r="K115" s="13"/>
      <c r="L115" s="9"/>
      <c r="M115" s="11" t="str">
        <f>IF(AND(ALIM[[#This Row],[FOURNISSEURS]]&gt;1,ALIM[[#This Row],[Colonne2]]=""),"NON",IF(AND(ALIM[[#This Row],[FOURNISSEURS]]&gt;1,ALIM[[#This Row],[Colonne2]]="X"),"OUI",""))</f>
        <v/>
      </c>
      <c r="N115" s="5"/>
    </row>
    <row r="116" spans="1:14" ht="16.5" thickTop="1" thickBot="1" x14ac:dyDescent="0.3">
      <c r="A116" s="131" t="str">
        <f>IF(ALIM[[#This Row],[J]]="CAT","FACTURE CAISSE","")</f>
        <v/>
      </c>
      <c r="B116" s="132"/>
      <c r="C116" s="36"/>
      <c r="D116" s="37"/>
      <c r="E116" s="57"/>
      <c r="F116" s="57"/>
      <c r="G116" s="34"/>
      <c r="H116" s="35"/>
      <c r="I116" s="61"/>
      <c r="J116" s="8"/>
      <c r="K116" s="13"/>
      <c r="L116" s="9"/>
      <c r="M116" s="11" t="str">
        <f>IF(AND(ALIM[[#This Row],[FOURNISSEURS]]&gt;1,ALIM[[#This Row],[Colonne2]]=""),"NON",IF(AND(ALIM[[#This Row],[FOURNISSEURS]]&gt;1,ALIM[[#This Row],[Colonne2]]="X"),"OUI",""))</f>
        <v/>
      </c>
      <c r="N116" s="5"/>
    </row>
    <row r="117" spans="1:14" ht="16.5" thickTop="1" thickBot="1" x14ac:dyDescent="0.3">
      <c r="A117" s="131" t="str">
        <f>IF(ALIM[[#This Row],[J]]="CAT","FACTURE CAISSE","")</f>
        <v/>
      </c>
      <c r="B117" s="132"/>
      <c r="C117" s="36"/>
      <c r="D117" s="37"/>
      <c r="E117" s="57"/>
      <c r="F117" s="57"/>
      <c r="G117" s="34"/>
      <c r="H117" s="35"/>
      <c r="I117" s="61"/>
      <c r="J117" s="8"/>
      <c r="K117" s="13"/>
      <c r="L117" s="9"/>
      <c r="M117" s="11" t="str">
        <f>IF(AND(ALIM[[#This Row],[FOURNISSEURS]]&gt;1,ALIM[[#This Row],[Colonne2]]=""),"NON",IF(AND(ALIM[[#This Row],[FOURNISSEURS]]&gt;1,ALIM[[#This Row],[Colonne2]]="X"),"OUI",""))</f>
        <v/>
      </c>
      <c r="N117" s="5"/>
    </row>
    <row r="118" spans="1:14" ht="16.5" thickTop="1" thickBot="1" x14ac:dyDescent="0.3">
      <c r="A118" s="131" t="str">
        <f>IF(ALIM[[#This Row],[J]]="CAT","FACTURE CAISSE","")</f>
        <v/>
      </c>
      <c r="B118" s="132"/>
      <c r="C118" s="36"/>
      <c r="D118" s="37"/>
      <c r="E118" s="57"/>
      <c r="F118" s="57"/>
      <c r="G118" s="34"/>
      <c r="H118" s="35"/>
      <c r="I118" s="61"/>
      <c r="J118" s="8"/>
      <c r="K118" s="13"/>
      <c r="L118" s="9"/>
      <c r="M118" s="11" t="str">
        <f>IF(AND(ALIM[[#This Row],[FOURNISSEURS]]&gt;1,ALIM[[#This Row],[Colonne2]]=""),"NON",IF(AND(ALIM[[#This Row],[FOURNISSEURS]]&gt;1,ALIM[[#This Row],[Colonne2]]="X"),"OUI",""))</f>
        <v/>
      </c>
      <c r="N118" s="5"/>
    </row>
    <row r="119" spans="1:14" ht="16.5" thickTop="1" thickBot="1" x14ac:dyDescent="0.3">
      <c r="A119" s="131" t="str">
        <f>IF(ALIM[[#This Row],[J]]="CAT","FACTURE CAISSE","")</f>
        <v/>
      </c>
      <c r="B119" s="132"/>
      <c r="C119" s="36"/>
      <c r="D119" s="37"/>
      <c r="E119" s="57"/>
      <c r="F119" s="57"/>
      <c r="G119" s="34"/>
      <c r="H119" s="35"/>
      <c r="I119" s="61"/>
      <c r="J119" s="8"/>
      <c r="K119" s="13"/>
      <c r="L119" s="9"/>
      <c r="M119" s="11" t="str">
        <f>IF(AND(ALIM[[#This Row],[FOURNISSEURS]]&gt;1,ALIM[[#This Row],[Colonne2]]=""),"NON",IF(AND(ALIM[[#This Row],[FOURNISSEURS]]&gt;1,ALIM[[#This Row],[Colonne2]]="X"),"OUI",""))</f>
        <v/>
      </c>
      <c r="N119" s="5"/>
    </row>
    <row r="120" spans="1:14" ht="16.5" thickTop="1" thickBot="1" x14ac:dyDescent="0.3">
      <c r="A120" s="131" t="str">
        <f>IF(ALIM[[#This Row],[J]]="CAT","FACTURE CAISSE","")</f>
        <v/>
      </c>
      <c r="B120" s="132"/>
      <c r="C120" s="36"/>
      <c r="D120" s="37"/>
      <c r="E120" s="57"/>
      <c r="F120" s="57"/>
      <c r="G120" s="34"/>
      <c r="H120" s="35"/>
      <c r="I120" s="61"/>
      <c r="J120" s="8"/>
      <c r="K120" s="13"/>
      <c r="L120" s="9"/>
      <c r="M120" s="11" t="str">
        <f>IF(AND(ALIM[[#This Row],[FOURNISSEURS]]&gt;1,ALIM[[#This Row],[Colonne2]]=""),"NON",IF(AND(ALIM[[#This Row],[FOURNISSEURS]]&gt;1,ALIM[[#This Row],[Colonne2]]="X"),"OUI",""))</f>
        <v/>
      </c>
      <c r="N120" s="5"/>
    </row>
    <row r="121" spans="1:14" ht="16.5" thickTop="1" thickBot="1" x14ac:dyDescent="0.3">
      <c r="A121" s="131" t="str">
        <f>IF(ALIM[[#This Row],[J]]="CAT","FACTURE CAISSE","")</f>
        <v/>
      </c>
      <c r="B121" s="132"/>
      <c r="C121" s="36"/>
      <c r="D121" s="37"/>
      <c r="E121" s="57"/>
      <c r="F121" s="57"/>
      <c r="G121" s="34"/>
      <c r="H121" s="35"/>
      <c r="I121" s="61"/>
      <c r="J121" s="8"/>
      <c r="K121" s="13"/>
      <c r="L121" s="9"/>
      <c r="M121" s="11" t="str">
        <f>IF(AND(ALIM[[#This Row],[FOURNISSEURS]]&gt;1,ALIM[[#This Row],[Colonne2]]=""),"NON",IF(AND(ALIM[[#This Row],[FOURNISSEURS]]&gt;1,ALIM[[#This Row],[Colonne2]]="X"),"OUI",""))</f>
        <v/>
      </c>
      <c r="N121" s="5"/>
    </row>
    <row r="122" spans="1:14" ht="16.5" thickTop="1" thickBot="1" x14ac:dyDescent="0.3">
      <c r="A122" s="131" t="str">
        <f>IF(ALIM[[#This Row],[J]]="CAT","FACTURE CAISSE","")</f>
        <v/>
      </c>
      <c r="B122" s="132"/>
      <c r="C122" s="36"/>
      <c r="D122" s="37"/>
      <c r="E122" s="57"/>
      <c r="F122" s="57"/>
      <c r="G122" s="34"/>
      <c r="H122" s="35"/>
      <c r="I122" s="61"/>
      <c r="J122" s="8"/>
      <c r="K122" s="13"/>
      <c r="L122" s="9"/>
      <c r="M122" s="11" t="str">
        <f>IF(AND(ALIM[[#This Row],[FOURNISSEURS]]&gt;1,ALIM[[#This Row],[Colonne2]]=""),"NON",IF(AND(ALIM[[#This Row],[FOURNISSEURS]]&gt;1,ALIM[[#This Row],[Colonne2]]="X"),"OUI",""))</f>
        <v/>
      </c>
      <c r="N122" s="5"/>
    </row>
    <row r="123" spans="1:14" ht="16.5" thickTop="1" thickBot="1" x14ac:dyDescent="0.3">
      <c r="A123" s="131" t="str">
        <f>IF(ALIM[[#This Row],[J]]="CAT","FACTURE CAISSE","")</f>
        <v/>
      </c>
      <c r="B123" s="132"/>
      <c r="C123" s="36"/>
      <c r="D123" s="37"/>
      <c r="E123" s="57"/>
      <c r="F123" s="57"/>
      <c r="G123" s="34"/>
      <c r="H123" s="35"/>
      <c r="I123" s="61"/>
      <c r="J123" s="8"/>
      <c r="K123" s="13"/>
      <c r="L123" s="9"/>
      <c r="M123" s="11" t="str">
        <f>IF(AND(ALIM[[#This Row],[FOURNISSEURS]]&gt;1,ALIM[[#This Row],[Colonne2]]=""),"NON",IF(AND(ALIM[[#This Row],[FOURNISSEURS]]&gt;1,ALIM[[#This Row],[Colonne2]]="X"),"OUI",""))</f>
        <v/>
      </c>
      <c r="N123" s="5"/>
    </row>
    <row r="124" spans="1:14" ht="16.5" thickTop="1" thickBot="1" x14ac:dyDescent="0.3">
      <c r="A124" s="131" t="str">
        <f>IF(ALIM[[#This Row],[J]]="CAT","FACTURE CAISSE","")</f>
        <v/>
      </c>
      <c r="B124" s="132"/>
      <c r="C124" s="36"/>
      <c r="D124" s="37"/>
      <c r="E124" s="57"/>
      <c r="F124" s="57"/>
      <c r="G124" s="34"/>
      <c r="H124" s="35"/>
      <c r="I124" s="61"/>
      <c r="J124" s="8"/>
      <c r="K124" s="13"/>
      <c r="L124" s="9"/>
      <c r="M124" s="11" t="str">
        <f>IF(AND(ALIM[[#This Row],[FOURNISSEURS]]&gt;1,ALIM[[#This Row],[Colonne2]]=""),"NON",IF(AND(ALIM[[#This Row],[FOURNISSEURS]]&gt;1,ALIM[[#This Row],[Colonne2]]="X"),"OUI",""))</f>
        <v/>
      </c>
      <c r="N124" s="5"/>
    </row>
    <row r="125" spans="1:14" ht="16.5" thickTop="1" thickBot="1" x14ac:dyDescent="0.3">
      <c r="A125" s="131" t="str">
        <f>IF(ALIM[[#This Row],[J]]="CAT","FACTURE CAISSE","")</f>
        <v/>
      </c>
      <c r="B125" s="132"/>
      <c r="C125" s="36"/>
      <c r="D125" s="37"/>
      <c r="E125" s="57"/>
      <c r="F125" s="57"/>
      <c r="G125" s="34"/>
      <c r="H125" s="35"/>
      <c r="I125" s="61"/>
      <c r="J125" s="8"/>
      <c r="K125" s="13"/>
      <c r="L125" s="9"/>
      <c r="M125" s="11" t="str">
        <f>IF(AND(ALIM[[#This Row],[FOURNISSEURS]]&gt;1,ALIM[[#This Row],[Colonne2]]=""),"NON",IF(AND(ALIM[[#This Row],[FOURNISSEURS]]&gt;1,ALIM[[#This Row],[Colonne2]]="X"),"OUI",""))</f>
        <v/>
      </c>
      <c r="N125" s="5"/>
    </row>
    <row r="126" spans="1:14" ht="16.5" thickTop="1" thickBot="1" x14ac:dyDescent="0.3">
      <c r="A126" s="131" t="str">
        <f>IF(ALIM[[#This Row],[J]]="CAT","FACTURE CAISSE","")</f>
        <v/>
      </c>
      <c r="B126" s="132"/>
      <c r="C126" s="36"/>
      <c r="D126" s="37"/>
      <c r="E126" s="57"/>
      <c r="F126" s="57"/>
      <c r="G126" s="34"/>
      <c r="H126" s="35"/>
      <c r="I126" s="61"/>
      <c r="J126" s="8"/>
      <c r="K126" s="13"/>
      <c r="L126" s="9"/>
      <c r="M126" s="11" t="str">
        <f>IF(AND(ALIM[[#This Row],[FOURNISSEURS]]&gt;1,ALIM[[#This Row],[Colonne2]]=""),"NON",IF(AND(ALIM[[#This Row],[FOURNISSEURS]]&gt;1,ALIM[[#This Row],[Colonne2]]="X"),"OUI",""))</f>
        <v/>
      </c>
      <c r="N126" s="5"/>
    </row>
    <row r="127" spans="1:14" ht="16.5" thickTop="1" thickBot="1" x14ac:dyDescent="0.3">
      <c r="A127" s="131" t="str">
        <f>IF(ALIM[[#This Row],[J]]="CAT","FACTURE CAISSE","")</f>
        <v/>
      </c>
      <c r="B127" s="132"/>
      <c r="C127" s="36"/>
      <c r="D127" s="37"/>
      <c r="E127" s="57"/>
      <c r="F127" s="57"/>
      <c r="G127" s="34"/>
      <c r="H127" s="35"/>
      <c r="I127" s="61"/>
      <c r="J127" s="8"/>
      <c r="K127" s="13"/>
      <c r="L127" s="9"/>
      <c r="M127" s="11" t="str">
        <f>IF(AND(ALIM[[#This Row],[FOURNISSEURS]]&gt;1,ALIM[[#This Row],[Colonne2]]=""),"NON",IF(AND(ALIM[[#This Row],[FOURNISSEURS]]&gt;1,ALIM[[#This Row],[Colonne2]]="X"),"OUI",""))</f>
        <v/>
      </c>
      <c r="N127" s="5"/>
    </row>
    <row r="128" spans="1:14" ht="16.5" thickTop="1" thickBot="1" x14ac:dyDescent="0.3">
      <c r="A128" s="131" t="str">
        <f>IF(ALIM[[#This Row],[J]]="CAT","FACTURE CAISSE","")</f>
        <v/>
      </c>
      <c r="B128" s="132"/>
      <c r="C128" s="36"/>
      <c r="D128" s="37"/>
      <c r="E128" s="57"/>
      <c r="F128" s="57"/>
      <c r="G128" s="34"/>
      <c r="H128" s="35"/>
      <c r="I128" s="61"/>
      <c r="J128" s="8"/>
      <c r="K128" s="13"/>
      <c r="L128" s="9"/>
      <c r="M128" s="11" t="str">
        <f>IF(AND(ALIM[[#This Row],[FOURNISSEURS]]&gt;1,ALIM[[#This Row],[Colonne2]]=""),"NON",IF(AND(ALIM[[#This Row],[FOURNISSEURS]]&gt;1,ALIM[[#This Row],[Colonne2]]="X"),"OUI",""))</f>
        <v/>
      </c>
      <c r="N128" s="5"/>
    </row>
    <row r="129" spans="1:14" ht="16.5" thickTop="1" thickBot="1" x14ac:dyDescent="0.3">
      <c r="A129" s="131" t="str">
        <f>IF(ALIM[[#This Row],[J]]="CAT","FACTURE CAISSE","")</f>
        <v/>
      </c>
      <c r="B129" s="132"/>
      <c r="C129" s="36"/>
      <c r="D129" s="37"/>
      <c r="E129" s="57"/>
      <c r="F129" s="57"/>
      <c r="G129" s="34"/>
      <c r="H129" s="35"/>
      <c r="I129" s="61"/>
      <c r="J129" s="8"/>
      <c r="K129" s="13"/>
      <c r="L129" s="9"/>
      <c r="M129" s="11" t="str">
        <f>IF(AND(ALIM[[#This Row],[FOURNISSEURS]]&gt;1,ALIM[[#This Row],[Colonne2]]=""),"NON",IF(AND(ALIM[[#This Row],[FOURNISSEURS]]&gt;1,ALIM[[#This Row],[Colonne2]]="X"),"OUI",""))</f>
        <v/>
      </c>
      <c r="N129" s="5"/>
    </row>
    <row r="130" spans="1:14" ht="16.5" thickTop="1" thickBot="1" x14ac:dyDescent="0.3">
      <c r="A130" s="131" t="str">
        <f>IF(ALIM[[#This Row],[J]]="CAT","FACTURE CAISSE","")</f>
        <v/>
      </c>
      <c r="B130" s="132"/>
      <c r="C130" s="36"/>
      <c r="D130" s="37"/>
      <c r="E130" s="57"/>
      <c r="F130" s="57"/>
      <c r="G130" s="34"/>
      <c r="H130" s="35"/>
      <c r="I130" s="61"/>
      <c r="J130" s="8"/>
      <c r="K130" s="13"/>
      <c r="L130" s="9"/>
      <c r="M130" s="11" t="str">
        <f>IF(AND(ALIM[[#This Row],[FOURNISSEURS]]&gt;1,ALIM[[#This Row],[Colonne2]]=""),"NON",IF(AND(ALIM[[#This Row],[FOURNISSEURS]]&gt;1,ALIM[[#This Row],[Colonne2]]="X"),"OUI",""))</f>
        <v/>
      </c>
      <c r="N130" s="5"/>
    </row>
    <row r="131" spans="1:14" ht="16.5" thickTop="1" thickBot="1" x14ac:dyDescent="0.3">
      <c r="A131" s="131" t="str">
        <f>IF(ALIM[[#This Row],[J]]="CAT","FACTURE CAISSE","")</f>
        <v/>
      </c>
      <c r="B131" s="132"/>
      <c r="C131" s="36"/>
      <c r="D131" s="37"/>
      <c r="E131" s="57"/>
      <c r="F131" s="57"/>
      <c r="G131" s="34"/>
      <c r="H131" s="35"/>
      <c r="I131" s="61"/>
      <c r="J131" s="8"/>
      <c r="K131" s="13"/>
      <c r="L131" s="9"/>
      <c r="M131" s="11" t="str">
        <f>IF(AND(ALIM[[#This Row],[FOURNISSEURS]]&gt;1,ALIM[[#This Row],[Colonne2]]=""),"NON",IF(AND(ALIM[[#This Row],[FOURNISSEURS]]&gt;1,ALIM[[#This Row],[Colonne2]]="X"),"OUI",""))</f>
        <v/>
      </c>
      <c r="N131" s="5"/>
    </row>
    <row r="132" spans="1:14" ht="16.5" thickTop="1" thickBot="1" x14ac:dyDescent="0.3">
      <c r="A132" s="131" t="str">
        <f>IF(ALIM[[#This Row],[J]]="CAT","FACTURE CAISSE","")</f>
        <v/>
      </c>
      <c r="B132" s="132"/>
      <c r="C132" s="36"/>
      <c r="D132" s="37"/>
      <c r="E132" s="57"/>
      <c r="F132" s="57"/>
      <c r="G132" s="34"/>
      <c r="H132" s="35"/>
      <c r="I132" s="61"/>
      <c r="J132" s="8"/>
      <c r="K132" s="13"/>
      <c r="L132" s="9"/>
      <c r="M132" s="11" t="str">
        <f>IF(AND(ALIM[[#This Row],[FOURNISSEURS]]&gt;1,ALIM[[#This Row],[Colonne2]]=""),"NON",IF(AND(ALIM[[#This Row],[FOURNISSEURS]]&gt;1,ALIM[[#This Row],[Colonne2]]="X"),"OUI",""))</f>
        <v/>
      </c>
      <c r="N132" s="5"/>
    </row>
    <row r="133" spans="1:14" ht="16.5" thickTop="1" thickBot="1" x14ac:dyDescent="0.3">
      <c r="A133" s="131" t="str">
        <f>IF(ALIM[[#This Row],[J]]="CAT","FACTURE CAISSE","")</f>
        <v/>
      </c>
      <c r="B133" s="132"/>
      <c r="C133" s="36"/>
      <c r="D133" s="37"/>
      <c r="E133" s="57"/>
      <c r="F133" s="57"/>
      <c r="G133" s="34"/>
      <c r="H133" s="35"/>
      <c r="I133" s="61"/>
      <c r="J133" s="8"/>
      <c r="K133" s="13"/>
      <c r="L133" s="9"/>
      <c r="M133" s="11" t="str">
        <f>IF(AND(ALIM[[#This Row],[FOURNISSEURS]]&gt;1,ALIM[[#This Row],[Colonne2]]=""),"NON",IF(AND(ALIM[[#This Row],[FOURNISSEURS]]&gt;1,ALIM[[#This Row],[Colonne2]]="X"),"OUI",""))</f>
        <v/>
      </c>
      <c r="N133" s="5"/>
    </row>
    <row r="134" spans="1:14" ht="16.5" thickTop="1" thickBot="1" x14ac:dyDescent="0.3">
      <c r="A134" s="131" t="str">
        <f>IF(ALIM[[#This Row],[J]]="CAT","FACTURE CAISSE","")</f>
        <v/>
      </c>
      <c r="B134" s="132"/>
      <c r="C134" s="36"/>
      <c r="D134" s="37"/>
      <c r="E134" s="57"/>
      <c r="F134" s="57"/>
      <c r="G134" s="34"/>
      <c r="H134" s="35"/>
      <c r="I134" s="61"/>
      <c r="J134" s="8"/>
      <c r="K134" s="13"/>
      <c r="L134" s="9"/>
      <c r="M134" s="11" t="str">
        <f>IF(AND(ALIM[[#This Row],[FOURNISSEURS]]&gt;1,ALIM[[#This Row],[Colonne2]]=""),"NON",IF(AND(ALIM[[#This Row],[FOURNISSEURS]]&gt;1,ALIM[[#This Row],[Colonne2]]="X"),"OUI",""))</f>
        <v/>
      </c>
      <c r="N134" s="5"/>
    </row>
    <row r="135" spans="1:14" ht="16.5" thickTop="1" thickBot="1" x14ac:dyDescent="0.3">
      <c r="A135" s="131" t="str">
        <f>IF(ALIM[[#This Row],[J]]="CAT","FACTURE CAISSE","")</f>
        <v/>
      </c>
      <c r="B135" s="132"/>
      <c r="C135" s="36"/>
      <c r="D135" s="37"/>
      <c r="E135" s="57"/>
      <c r="F135" s="57"/>
      <c r="G135" s="34"/>
      <c r="H135" s="35"/>
      <c r="I135" s="61"/>
      <c r="J135" s="8"/>
      <c r="K135" s="13"/>
      <c r="L135" s="9"/>
      <c r="M135" s="11" t="str">
        <f>IF(AND(ALIM[[#This Row],[FOURNISSEURS]]&gt;1,ALIM[[#This Row],[Colonne2]]=""),"NON",IF(AND(ALIM[[#This Row],[FOURNISSEURS]]&gt;1,ALIM[[#This Row],[Colonne2]]="X"),"OUI",""))</f>
        <v/>
      </c>
      <c r="N135" s="5"/>
    </row>
    <row r="136" spans="1:14" ht="16.5" thickTop="1" thickBot="1" x14ac:dyDescent="0.3">
      <c r="A136" s="131" t="str">
        <f>IF(ALIM[[#This Row],[J]]="CAT","FACTURE CAISSE","")</f>
        <v/>
      </c>
      <c r="B136" s="132"/>
      <c r="C136" s="36"/>
      <c r="D136" s="37"/>
      <c r="E136" s="57"/>
      <c r="F136" s="57"/>
      <c r="G136" s="34"/>
      <c r="H136" s="35"/>
      <c r="I136" s="61"/>
      <c r="J136" s="8"/>
      <c r="K136" s="13"/>
      <c r="L136" s="9"/>
      <c r="M136" s="11" t="str">
        <f>IF(AND(ALIM[[#This Row],[FOURNISSEURS]]&gt;1,ALIM[[#This Row],[Colonne2]]=""),"NON",IF(AND(ALIM[[#This Row],[FOURNISSEURS]]&gt;1,ALIM[[#This Row],[Colonne2]]="X"),"OUI",""))</f>
        <v/>
      </c>
      <c r="N136" s="5"/>
    </row>
    <row r="137" spans="1:14" ht="16.5" thickTop="1" thickBot="1" x14ac:dyDescent="0.3">
      <c r="A137" s="131" t="str">
        <f>IF(ALIM[[#This Row],[J]]="CAT","FACTURE CAISSE","")</f>
        <v/>
      </c>
      <c r="B137" s="132"/>
      <c r="C137" s="36"/>
      <c r="D137" s="37"/>
      <c r="E137" s="57"/>
      <c r="F137" s="57"/>
      <c r="G137" s="34"/>
      <c r="H137" s="35"/>
      <c r="I137" s="61"/>
      <c r="J137" s="8"/>
      <c r="K137" s="13"/>
      <c r="L137" s="9"/>
      <c r="M137" s="11" t="str">
        <f>IF(AND(ALIM[[#This Row],[FOURNISSEURS]]&gt;1,ALIM[[#This Row],[Colonne2]]=""),"NON",IF(AND(ALIM[[#This Row],[FOURNISSEURS]]&gt;1,ALIM[[#This Row],[Colonne2]]="X"),"OUI",""))</f>
        <v/>
      </c>
      <c r="N137" s="5"/>
    </row>
    <row r="138" spans="1:14" ht="16.5" thickTop="1" thickBot="1" x14ac:dyDescent="0.3">
      <c r="A138" s="131" t="str">
        <f>IF(ALIM[[#This Row],[J]]="CAT","FACTURE CAISSE","")</f>
        <v/>
      </c>
      <c r="B138" s="132"/>
      <c r="C138" s="36"/>
      <c r="D138" s="37"/>
      <c r="E138" s="57"/>
      <c r="F138" s="57"/>
      <c r="G138" s="34"/>
      <c r="H138" s="35"/>
      <c r="I138" s="61"/>
      <c r="J138" s="8"/>
      <c r="K138" s="13"/>
      <c r="L138" s="9"/>
      <c r="M138" s="11" t="str">
        <f>IF(AND(ALIM[[#This Row],[FOURNISSEURS]]&gt;1,ALIM[[#This Row],[Colonne2]]=""),"NON",IF(AND(ALIM[[#This Row],[FOURNISSEURS]]&gt;1,ALIM[[#This Row],[Colonne2]]="X"),"OUI",""))</f>
        <v/>
      </c>
      <c r="N138" s="5"/>
    </row>
    <row r="139" spans="1:14" ht="16.5" thickTop="1" thickBot="1" x14ac:dyDescent="0.3">
      <c r="A139" s="131" t="str">
        <f>IF(ALIM[[#This Row],[J]]="CAT","FACTURE CAISSE","")</f>
        <v/>
      </c>
      <c r="B139" s="132"/>
      <c r="C139" s="36"/>
      <c r="D139" s="37"/>
      <c r="E139" s="57"/>
      <c r="F139" s="57"/>
      <c r="G139" s="34"/>
      <c r="H139" s="35"/>
      <c r="I139" s="61"/>
      <c r="J139" s="8"/>
      <c r="K139" s="13"/>
      <c r="L139" s="9"/>
      <c r="M139" s="11" t="str">
        <f>IF(AND(ALIM[[#This Row],[FOURNISSEURS]]&gt;1,ALIM[[#This Row],[Colonne2]]=""),"NON",IF(AND(ALIM[[#This Row],[FOURNISSEURS]]&gt;1,ALIM[[#This Row],[Colonne2]]="X"),"OUI",""))</f>
        <v/>
      </c>
      <c r="N139" s="5"/>
    </row>
    <row r="140" spans="1:14" ht="16.5" thickTop="1" thickBot="1" x14ac:dyDescent="0.3">
      <c r="A140" s="131" t="str">
        <f>IF(ALIM[[#This Row],[J]]="CAT","FACTURE CAISSE","")</f>
        <v/>
      </c>
      <c r="B140" s="132"/>
      <c r="C140" s="36"/>
      <c r="D140" s="37"/>
      <c r="E140" s="57"/>
      <c r="F140" s="57"/>
      <c r="G140" s="34"/>
      <c r="H140" s="35"/>
      <c r="I140" s="61"/>
      <c r="J140" s="8"/>
      <c r="K140" s="13"/>
      <c r="L140" s="9"/>
      <c r="M140" s="11" t="str">
        <f>IF(AND(ALIM[[#This Row],[FOURNISSEURS]]&gt;1,ALIM[[#This Row],[Colonne2]]=""),"NON",IF(AND(ALIM[[#This Row],[FOURNISSEURS]]&gt;1,ALIM[[#This Row],[Colonne2]]="X"),"OUI",""))</f>
        <v/>
      </c>
      <c r="N140" s="5"/>
    </row>
    <row r="141" spans="1:14" ht="16.5" thickTop="1" thickBot="1" x14ac:dyDescent="0.3">
      <c r="A141" s="131" t="str">
        <f>IF(ALIM[[#This Row],[J]]="CAT","FACTURE CAISSE","")</f>
        <v/>
      </c>
      <c r="B141" s="132"/>
      <c r="C141" s="36"/>
      <c r="D141" s="37"/>
      <c r="E141" s="57"/>
      <c r="F141" s="57"/>
      <c r="G141" s="34"/>
      <c r="H141" s="35"/>
      <c r="I141" s="61"/>
      <c r="J141" s="8"/>
      <c r="K141" s="13"/>
      <c r="L141" s="9"/>
      <c r="M141" s="11" t="str">
        <f>IF(AND(ALIM[[#This Row],[FOURNISSEURS]]&gt;1,ALIM[[#This Row],[Colonne2]]=""),"NON",IF(AND(ALIM[[#This Row],[FOURNISSEURS]]&gt;1,ALIM[[#This Row],[Colonne2]]="X"),"OUI",""))</f>
        <v/>
      </c>
      <c r="N141" s="5"/>
    </row>
    <row r="142" spans="1:14" ht="16.5" thickTop="1" thickBot="1" x14ac:dyDescent="0.3">
      <c r="A142" s="131" t="str">
        <f>IF(ALIM[[#This Row],[J]]="CAT","FACTURE CAISSE","")</f>
        <v/>
      </c>
      <c r="B142" s="132"/>
      <c r="C142" s="36"/>
      <c r="D142" s="37"/>
      <c r="E142" s="57"/>
      <c r="F142" s="57"/>
      <c r="G142" s="34"/>
      <c r="H142" s="35"/>
      <c r="I142" s="61"/>
      <c r="J142" s="8"/>
      <c r="K142" s="13"/>
      <c r="L142" s="9"/>
      <c r="M142" s="11" t="str">
        <f>IF(AND(ALIM[[#This Row],[FOURNISSEURS]]&gt;1,ALIM[[#This Row],[Colonne2]]=""),"NON",IF(AND(ALIM[[#This Row],[FOURNISSEURS]]&gt;1,ALIM[[#This Row],[Colonne2]]="X"),"OUI",""))</f>
        <v/>
      </c>
      <c r="N142" s="5"/>
    </row>
    <row r="143" spans="1:14" ht="16.5" thickTop="1" thickBot="1" x14ac:dyDescent="0.3">
      <c r="A143" s="131" t="str">
        <f>IF(ALIM[[#This Row],[J]]="CAT","FACTURE CAISSE","")</f>
        <v/>
      </c>
      <c r="B143" s="132"/>
      <c r="C143" s="36"/>
      <c r="D143" s="37"/>
      <c r="E143" s="57"/>
      <c r="F143" s="57"/>
      <c r="G143" s="34"/>
      <c r="H143" s="35"/>
      <c r="I143" s="61"/>
      <c r="J143" s="8"/>
      <c r="K143" s="13"/>
      <c r="L143" s="9"/>
      <c r="M143" s="11" t="str">
        <f>IF(AND(ALIM[[#This Row],[FOURNISSEURS]]&gt;1,ALIM[[#This Row],[Colonne2]]=""),"NON",IF(AND(ALIM[[#This Row],[FOURNISSEURS]]&gt;1,ALIM[[#This Row],[Colonne2]]="X"),"OUI",""))</f>
        <v/>
      </c>
      <c r="N143" s="5"/>
    </row>
    <row r="144" spans="1:14" ht="16.5" thickTop="1" thickBot="1" x14ac:dyDescent="0.3">
      <c r="A144" s="131" t="str">
        <f>IF(ALIM[[#This Row],[J]]="CAT","FACTURE CAISSE","")</f>
        <v/>
      </c>
      <c r="B144" s="132"/>
      <c r="C144" s="36"/>
      <c r="D144" s="37"/>
      <c r="E144" s="57"/>
      <c r="F144" s="57"/>
      <c r="G144" s="34"/>
      <c r="H144" s="35"/>
      <c r="I144" s="61"/>
      <c r="J144" s="8"/>
      <c r="K144" s="13"/>
      <c r="L144" s="9"/>
      <c r="M144" s="11" t="str">
        <f>IF(AND(ALIM[[#This Row],[FOURNISSEURS]]&gt;1,ALIM[[#This Row],[Colonne2]]=""),"NON",IF(AND(ALIM[[#This Row],[FOURNISSEURS]]&gt;1,ALIM[[#This Row],[Colonne2]]="X"),"OUI",""))</f>
        <v/>
      </c>
      <c r="N144" s="5"/>
    </row>
    <row r="145" spans="1:14" ht="16.5" thickTop="1" thickBot="1" x14ac:dyDescent="0.3">
      <c r="A145" s="131" t="str">
        <f>IF(ALIM[[#This Row],[J]]="CAT","FACTURE CAISSE","")</f>
        <v/>
      </c>
      <c r="B145" s="132"/>
      <c r="C145" s="36"/>
      <c r="D145" s="37"/>
      <c r="E145" s="57"/>
      <c r="F145" s="57"/>
      <c r="G145" s="34"/>
      <c r="H145" s="35"/>
      <c r="I145" s="61"/>
      <c r="J145" s="8"/>
      <c r="K145" s="13"/>
      <c r="L145" s="9"/>
      <c r="M145" s="11" t="str">
        <f>IF(AND(ALIM[[#This Row],[FOURNISSEURS]]&gt;1,ALIM[[#This Row],[Colonne2]]=""),"NON",IF(AND(ALIM[[#This Row],[FOURNISSEURS]]&gt;1,ALIM[[#This Row],[Colonne2]]="X"),"OUI",""))</f>
        <v/>
      </c>
      <c r="N145" s="5"/>
    </row>
    <row r="146" spans="1:14" ht="16.5" thickTop="1" thickBot="1" x14ac:dyDescent="0.3">
      <c r="A146" s="131" t="str">
        <f>IF(ALIM[[#This Row],[J]]="CAT","FACTURE CAISSE","")</f>
        <v/>
      </c>
      <c r="B146" s="132"/>
      <c r="C146" s="36"/>
      <c r="D146" s="37"/>
      <c r="E146" s="57"/>
      <c r="F146" s="57"/>
      <c r="G146" s="34"/>
      <c r="H146" s="35"/>
      <c r="I146" s="61"/>
      <c r="J146" s="8"/>
      <c r="K146" s="13"/>
      <c r="L146" s="9"/>
      <c r="M146" s="11" t="str">
        <f>IF(AND(ALIM[[#This Row],[FOURNISSEURS]]&gt;1,ALIM[[#This Row],[Colonne2]]=""),"NON",IF(AND(ALIM[[#This Row],[FOURNISSEURS]]&gt;1,ALIM[[#This Row],[Colonne2]]="X"),"OUI",""))</f>
        <v/>
      </c>
      <c r="N146" s="5"/>
    </row>
    <row r="147" spans="1:14" ht="16.5" thickTop="1" thickBot="1" x14ac:dyDescent="0.3">
      <c r="A147" s="131" t="str">
        <f>IF(ALIM[[#This Row],[J]]="CAT","FACTURE CAISSE","")</f>
        <v/>
      </c>
      <c r="B147" s="132"/>
      <c r="C147" s="36"/>
      <c r="D147" s="37"/>
      <c r="E147" s="57"/>
      <c r="F147" s="57"/>
      <c r="G147" s="34"/>
      <c r="H147" s="35"/>
      <c r="I147" s="61"/>
      <c r="J147" s="8"/>
      <c r="K147" s="13"/>
      <c r="L147" s="9"/>
      <c r="M147" s="11" t="str">
        <f>IF(AND(ALIM[[#This Row],[FOURNISSEURS]]&gt;1,ALIM[[#This Row],[Colonne2]]=""),"NON",IF(AND(ALIM[[#This Row],[FOURNISSEURS]]&gt;1,ALIM[[#This Row],[Colonne2]]="X"),"OUI",""))</f>
        <v/>
      </c>
      <c r="N147" s="5"/>
    </row>
    <row r="148" spans="1:14" ht="16.5" thickTop="1" thickBot="1" x14ac:dyDescent="0.3">
      <c r="A148" s="131" t="str">
        <f>IF(ALIM[[#This Row],[J]]="CAT","FACTURE CAISSE","")</f>
        <v/>
      </c>
      <c r="B148" s="132"/>
      <c r="C148" s="36"/>
      <c r="D148" s="37"/>
      <c r="E148" s="57"/>
      <c r="F148" s="57"/>
      <c r="G148" s="34"/>
      <c r="H148" s="35"/>
      <c r="I148" s="61"/>
      <c r="J148" s="8"/>
      <c r="K148" s="13"/>
      <c r="L148" s="9"/>
      <c r="M148" s="11" t="str">
        <f>IF(AND(ALIM[[#This Row],[FOURNISSEURS]]&gt;1,ALIM[[#This Row],[Colonne2]]=""),"NON",IF(AND(ALIM[[#This Row],[FOURNISSEURS]]&gt;1,ALIM[[#This Row],[Colonne2]]="X"),"OUI",""))</f>
        <v/>
      </c>
      <c r="N148" s="5"/>
    </row>
    <row r="149" spans="1:14" ht="16.5" thickTop="1" thickBot="1" x14ac:dyDescent="0.3">
      <c r="A149" s="131" t="str">
        <f>IF(ALIM[[#This Row],[J]]="CAT","FACTURE CAISSE","")</f>
        <v/>
      </c>
      <c r="B149" s="132"/>
      <c r="C149" s="36"/>
      <c r="D149" s="37"/>
      <c r="E149" s="57"/>
      <c r="F149" s="57"/>
      <c r="G149" s="34"/>
      <c r="H149" s="35"/>
      <c r="I149" s="61"/>
      <c r="J149" s="8"/>
      <c r="K149" s="13"/>
      <c r="L149" s="9"/>
      <c r="M149" s="11" t="str">
        <f>IF(AND(ALIM[[#This Row],[FOURNISSEURS]]&gt;1,ALIM[[#This Row],[Colonne2]]=""),"NON",IF(AND(ALIM[[#This Row],[FOURNISSEURS]]&gt;1,ALIM[[#This Row],[Colonne2]]="X"),"OUI",""))</f>
        <v/>
      </c>
      <c r="N149" s="5"/>
    </row>
    <row r="150" spans="1:14" ht="16.5" thickTop="1" thickBot="1" x14ac:dyDescent="0.3">
      <c r="A150" s="131" t="str">
        <f>IF(ALIM[[#This Row],[J]]="CAT","FACTURE CAISSE","")</f>
        <v/>
      </c>
      <c r="B150" s="132"/>
      <c r="C150" s="36"/>
      <c r="D150" s="37"/>
      <c r="E150" s="57"/>
      <c r="F150" s="57"/>
      <c r="G150" s="34"/>
      <c r="H150" s="35"/>
      <c r="I150" s="61"/>
      <c r="J150" s="8"/>
      <c r="K150" s="13"/>
      <c r="L150" s="9"/>
      <c r="M150" s="11" t="str">
        <f>IF(AND(ALIM[[#This Row],[FOURNISSEURS]]&gt;1,ALIM[[#This Row],[Colonne2]]=""),"NON",IF(AND(ALIM[[#This Row],[FOURNISSEURS]]&gt;1,ALIM[[#This Row],[Colonne2]]="X"),"OUI",""))</f>
        <v/>
      </c>
      <c r="N150" s="5"/>
    </row>
    <row r="151" spans="1:14" ht="16.5" thickTop="1" thickBot="1" x14ac:dyDescent="0.3">
      <c r="A151" s="131" t="str">
        <f>IF(ALIM[[#This Row],[J]]="CAT","FACTURE CAISSE","")</f>
        <v/>
      </c>
      <c r="B151" s="132"/>
      <c r="C151" s="36"/>
      <c r="D151" s="37"/>
      <c r="E151" s="57"/>
      <c r="F151" s="57"/>
      <c r="G151" s="34"/>
      <c r="H151" s="35"/>
      <c r="I151" s="61"/>
      <c r="J151" s="8"/>
      <c r="K151" s="13"/>
      <c r="L151" s="9"/>
      <c r="M151" s="11" t="str">
        <f>IF(AND(ALIM[[#This Row],[FOURNISSEURS]]&gt;1,ALIM[[#This Row],[Colonne2]]=""),"NON",IF(AND(ALIM[[#This Row],[FOURNISSEURS]]&gt;1,ALIM[[#This Row],[Colonne2]]="X"),"OUI",""))</f>
        <v/>
      </c>
      <c r="N151" s="5"/>
    </row>
    <row r="152" spans="1:14" ht="16.5" thickTop="1" thickBot="1" x14ac:dyDescent="0.3">
      <c r="A152" s="131" t="str">
        <f>IF(ALIM[[#This Row],[J]]="CAT","FACTURE CAISSE","")</f>
        <v/>
      </c>
      <c r="B152" s="132"/>
      <c r="C152" s="36"/>
      <c r="D152" s="37"/>
      <c r="E152" s="57"/>
      <c r="F152" s="57"/>
      <c r="G152" s="34"/>
      <c r="H152" s="35"/>
      <c r="I152" s="61"/>
      <c r="J152" s="8"/>
      <c r="K152" s="13"/>
      <c r="L152" s="9"/>
      <c r="M152" s="11" t="str">
        <f>IF(AND(ALIM[[#This Row],[FOURNISSEURS]]&gt;1,ALIM[[#This Row],[Colonne2]]=""),"NON",IF(AND(ALIM[[#This Row],[FOURNISSEURS]]&gt;1,ALIM[[#This Row],[Colonne2]]="X"),"OUI",""))</f>
        <v/>
      </c>
      <c r="N152" s="5"/>
    </row>
    <row r="153" spans="1:14" ht="16.5" thickTop="1" thickBot="1" x14ac:dyDescent="0.3">
      <c r="A153" s="131" t="str">
        <f>IF(ALIM[[#This Row],[J]]="CAT","FACTURE CAISSE","")</f>
        <v/>
      </c>
      <c r="B153" s="132"/>
      <c r="C153" s="36"/>
      <c r="D153" s="37"/>
      <c r="E153" s="57"/>
      <c r="F153" s="57"/>
      <c r="G153" s="34"/>
      <c r="H153" s="35"/>
      <c r="I153" s="61"/>
      <c r="J153" s="8"/>
      <c r="K153" s="13"/>
      <c r="L153" s="9"/>
      <c r="M153" s="11" t="str">
        <f>IF(AND(ALIM[[#This Row],[FOURNISSEURS]]&gt;1,ALIM[[#This Row],[Colonne2]]=""),"NON",IF(AND(ALIM[[#This Row],[FOURNISSEURS]]&gt;1,ALIM[[#This Row],[Colonne2]]="X"),"OUI",""))</f>
        <v/>
      </c>
      <c r="N153" s="5"/>
    </row>
    <row r="154" spans="1:14" ht="16.5" thickTop="1" thickBot="1" x14ac:dyDescent="0.3">
      <c r="A154" s="131" t="str">
        <f>IF(ALIM[[#This Row],[J]]="CAT","FACTURE CAISSE","")</f>
        <v/>
      </c>
      <c r="B154" s="132"/>
      <c r="C154" s="36"/>
      <c r="D154" s="37"/>
      <c r="E154" s="57"/>
      <c r="F154" s="57"/>
      <c r="G154" s="34"/>
      <c r="H154" s="35"/>
      <c r="I154" s="61"/>
      <c r="J154" s="8"/>
      <c r="K154" s="13"/>
      <c r="L154" s="9"/>
      <c r="M154" s="11" t="str">
        <f>IF(AND(ALIM[[#This Row],[FOURNISSEURS]]&gt;1,ALIM[[#This Row],[Colonne2]]=""),"NON",IF(AND(ALIM[[#This Row],[FOURNISSEURS]]&gt;1,ALIM[[#This Row],[Colonne2]]="X"),"OUI",""))</f>
        <v/>
      </c>
      <c r="N154" s="5"/>
    </row>
    <row r="155" spans="1:14" ht="16.5" thickTop="1" thickBot="1" x14ac:dyDescent="0.3">
      <c r="A155" s="131" t="str">
        <f>IF(ALIM[[#This Row],[J]]="CAT","FACTURE CAISSE","")</f>
        <v/>
      </c>
      <c r="B155" s="132"/>
      <c r="C155" s="36"/>
      <c r="D155" s="37"/>
      <c r="E155" s="57"/>
      <c r="F155" s="57"/>
      <c r="G155" s="34"/>
      <c r="H155" s="35"/>
      <c r="I155" s="61"/>
      <c r="J155" s="8"/>
      <c r="K155" s="13"/>
      <c r="L155" s="9"/>
      <c r="M155" s="11" t="str">
        <f>IF(AND(ALIM[[#This Row],[FOURNISSEURS]]&gt;1,ALIM[[#This Row],[Colonne2]]=""),"NON",IF(AND(ALIM[[#This Row],[FOURNISSEURS]]&gt;1,ALIM[[#This Row],[Colonne2]]="X"),"OUI",""))</f>
        <v/>
      </c>
      <c r="N155" s="5"/>
    </row>
    <row r="156" spans="1:14" ht="16.5" thickTop="1" thickBot="1" x14ac:dyDescent="0.3">
      <c r="A156" s="131" t="str">
        <f>IF(ALIM[[#This Row],[J]]="CAT","FACTURE CAISSE","")</f>
        <v/>
      </c>
      <c r="B156" s="132"/>
      <c r="C156" s="36"/>
      <c r="D156" s="37"/>
      <c r="E156" s="57"/>
      <c r="F156" s="57"/>
      <c r="G156" s="34"/>
      <c r="H156" s="35"/>
      <c r="I156" s="61"/>
      <c r="J156" s="8"/>
      <c r="K156" s="13"/>
      <c r="L156" s="9"/>
      <c r="M156" s="11" t="str">
        <f>IF(AND(ALIM[[#This Row],[FOURNISSEURS]]&gt;1,ALIM[[#This Row],[Colonne2]]=""),"NON",IF(AND(ALIM[[#This Row],[FOURNISSEURS]]&gt;1,ALIM[[#This Row],[Colonne2]]="X"),"OUI",""))</f>
        <v/>
      </c>
      <c r="N156" s="5"/>
    </row>
    <row r="157" spans="1:14" ht="16.5" thickTop="1" thickBot="1" x14ac:dyDescent="0.3">
      <c r="A157" s="131" t="str">
        <f>IF(ALIM[[#This Row],[J]]="CAT","FACTURE CAISSE","")</f>
        <v/>
      </c>
      <c r="B157" s="132"/>
      <c r="C157" s="36"/>
      <c r="D157" s="37"/>
      <c r="E157" s="57"/>
      <c r="F157" s="57"/>
      <c r="G157" s="34"/>
      <c r="H157" s="35"/>
      <c r="I157" s="61"/>
      <c r="J157" s="8"/>
      <c r="K157" s="13"/>
      <c r="L157" s="9"/>
      <c r="M157" s="11" t="str">
        <f>IF(AND(ALIM[[#This Row],[FOURNISSEURS]]&gt;1,ALIM[[#This Row],[Colonne2]]=""),"NON",IF(AND(ALIM[[#This Row],[FOURNISSEURS]]&gt;1,ALIM[[#This Row],[Colonne2]]="X"),"OUI",""))</f>
        <v/>
      </c>
      <c r="N157" s="5"/>
    </row>
    <row r="158" spans="1:14" ht="16.5" thickTop="1" thickBot="1" x14ac:dyDescent="0.3">
      <c r="A158" s="131" t="str">
        <f>IF(ALIM[[#This Row],[J]]="CAT","FACTURE CAISSE","")</f>
        <v/>
      </c>
      <c r="B158" s="132"/>
      <c r="C158" s="36"/>
      <c r="D158" s="37"/>
      <c r="E158" s="57"/>
      <c r="F158" s="57"/>
      <c r="G158" s="34"/>
      <c r="H158" s="35"/>
      <c r="I158" s="61"/>
      <c r="J158" s="8"/>
      <c r="K158" s="13"/>
      <c r="L158" s="9"/>
      <c r="M158" s="11" t="str">
        <f>IF(AND(ALIM[[#This Row],[FOURNISSEURS]]&gt;1,ALIM[[#This Row],[Colonne2]]=""),"NON",IF(AND(ALIM[[#This Row],[FOURNISSEURS]]&gt;1,ALIM[[#This Row],[Colonne2]]="X"),"OUI",""))</f>
        <v/>
      </c>
      <c r="N158" s="5"/>
    </row>
    <row r="159" spans="1:14" ht="16.5" thickTop="1" thickBot="1" x14ac:dyDescent="0.3">
      <c r="A159" s="131" t="str">
        <f>IF(ALIM[[#This Row],[J]]="CAT","FACTURE CAISSE","")</f>
        <v/>
      </c>
      <c r="B159" s="132"/>
      <c r="C159" s="36"/>
      <c r="D159" s="37"/>
      <c r="E159" s="57"/>
      <c r="F159" s="57"/>
      <c r="G159" s="34"/>
      <c r="H159" s="35"/>
      <c r="I159" s="61"/>
      <c r="J159" s="8"/>
      <c r="K159" s="13"/>
      <c r="L159" s="9"/>
      <c r="M159" s="11" t="str">
        <f>IF(AND(ALIM[[#This Row],[FOURNISSEURS]]&gt;1,ALIM[[#This Row],[Colonne2]]=""),"NON",IF(AND(ALIM[[#This Row],[FOURNISSEURS]]&gt;1,ALIM[[#This Row],[Colonne2]]="X"),"OUI",""))</f>
        <v/>
      </c>
      <c r="N159" s="5"/>
    </row>
    <row r="160" spans="1:14" ht="16.5" thickTop="1" thickBot="1" x14ac:dyDescent="0.3">
      <c r="A160" s="131" t="str">
        <f>IF(ALIM[[#This Row],[J]]="CAT","FACTURE CAISSE","")</f>
        <v/>
      </c>
      <c r="B160" s="132"/>
      <c r="C160" s="36"/>
      <c r="D160" s="37"/>
      <c r="E160" s="57"/>
      <c r="F160" s="57"/>
      <c r="G160" s="34"/>
      <c r="H160" s="35"/>
      <c r="I160" s="61"/>
      <c r="J160" s="8"/>
      <c r="K160" s="13"/>
      <c r="L160" s="9"/>
      <c r="M160" s="11" t="str">
        <f>IF(AND(ALIM[[#This Row],[FOURNISSEURS]]&gt;1,ALIM[[#This Row],[Colonne2]]=""),"NON",IF(AND(ALIM[[#This Row],[FOURNISSEURS]]&gt;1,ALIM[[#This Row],[Colonne2]]="X"),"OUI",""))</f>
        <v/>
      </c>
      <c r="N160" s="5"/>
    </row>
    <row r="161" spans="1:14" ht="16.5" thickTop="1" thickBot="1" x14ac:dyDescent="0.3">
      <c r="A161" s="131" t="str">
        <f>IF(ALIM[[#This Row],[J]]="CAT","FACTURE CAISSE","")</f>
        <v/>
      </c>
      <c r="B161" s="132"/>
      <c r="C161" s="36"/>
      <c r="D161" s="37"/>
      <c r="E161" s="57"/>
      <c r="F161" s="57"/>
      <c r="G161" s="34"/>
      <c r="H161" s="35"/>
      <c r="I161" s="61"/>
      <c r="J161" s="8"/>
      <c r="K161" s="13"/>
      <c r="L161" s="9"/>
      <c r="M161" s="11" t="str">
        <f>IF(AND(ALIM[[#This Row],[FOURNISSEURS]]&gt;1,ALIM[[#This Row],[Colonne2]]=""),"NON",IF(AND(ALIM[[#This Row],[FOURNISSEURS]]&gt;1,ALIM[[#This Row],[Colonne2]]="X"),"OUI",""))</f>
        <v/>
      </c>
      <c r="N161" s="5"/>
    </row>
    <row r="162" spans="1:14" ht="16.5" thickTop="1" thickBot="1" x14ac:dyDescent="0.3">
      <c r="A162" s="131" t="str">
        <f>IF(ALIM[[#This Row],[J]]="CAT","FACTURE CAISSE","")</f>
        <v/>
      </c>
      <c r="B162" s="132"/>
      <c r="C162" s="36"/>
      <c r="D162" s="37"/>
      <c r="E162" s="57"/>
      <c r="F162" s="57"/>
      <c r="G162" s="34"/>
      <c r="H162" s="35"/>
      <c r="I162" s="61"/>
      <c r="J162" s="8"/>
      <c r="K162" s="13"/>
      <c r="L162" s="9"/>
      <c r="M162" s="11" t="str">
        <f>IF(AND(ALIM[[#This Row],[FOURNISSEURS]]&gt;1,ALIM[[#This Row],[Colonne2]]=""),"NON",IF(AND(ALIM[[#This Row],[FOURNISSEURS]]&gt;1,ALIM[[#This Row],[Colonne2]]="X"),"OUI",""))</f>
        <v/>
      </c>
      <c r="N162" s="5"/>
    </row>
    <row r="163" spans="1:14" ht="16.5" thickTop="1" thickBot="1" x14ac:dyDescent="0.3">
      <c r="A163" s="131" t="str">
        <f>IF(ALIM[[#This Row],[J]]="CAT","FACTURE CAISSE","")</f>
        <v/>
      </c>
      <c r="B163" s="132"/>
      <c r="C163" s="36"/>
      <c r="D163" s="37"/>
      <c r="E163" s="57"/>
      <c r="F163" s="57"/>
      <c r="G163" s="34"/>
      <c r="H163" s="35"/>
      <c r="I163" s="61"/>
      <c r="J163" s="8"/>
      <c r="K163" s="13"/>
      <c r="L163" s="9"/>
      <c r="M163" s="11" t="str">
        <f>IF(AND(ALIM[[#This Row],[FOURNISSEURS]]&gt;1,ALIM[[#This Row],[Colonne2]]=""),"NON",IF(AND(ALIM[[#This Row],[FOURNISSEURS]]&gt;1,ALIM[[#This Row],[Colonne2]]="X"),"OUI",""))</f>
        <v/>
      </c>
      <c r="N163" s="5"/>
    </row>
    <row r="164" spans="1:14" ht="16.5" thickTop="1" thickBot="1" x14ac:dyDescent="0.3">
      <c r="A164" s="131" t="str">
        <f>IF(ALIM[[#This Row],[J]]="CAT","FACTURE CAISSE","")</f>
        <v/>
      </c>
      <c r="B164" s="132"/>
      <c r="C164" s="36"/>
      <c r="D164" s="37"/>
      <c r="E164" s="57"/>
      <c r="F164" s="57"/>
      <c r="G164" s="34"/>
      <c r="H164" s="35"/>
      <c r="I164" s="61"/>
      <c r="J164" s="8"/>
      <c r="K164" s="13"/>
      <c r="L164" s="9"/>
      <c r="M164" s="11" t="str">
        <f>IF(AND(ALIM[[#This Row],[FOURNISSEURS]]&gt;1,ALIM[[#This Row],[Colonne2]]=""),"NON",IF(AND(ALIM[[#This Row],[FOURNISSEURS]]&gt;1,ALIM[[#This Row],[Colonne2]]="X"),"OUI",""))</f>
        <v/>
      </c>
      <c r="N164" s="5"/>
    </row>
    <row r="165" spans="1:14" ht="16.5" thickTop="1" thickBot="1" x14ac:dyDescent="0.3">
      <c r="A165" s="131" t="str">
        <f>IF(ALIM[[#This Row],[J]]="CAT","FACTURE CAISSE","")</f>
        <v/>
      </c>
      <c r="B165" s="132"/>
      <c r="C165" s="36"/>
      <c r="D165" s="37"/>
      <c r="E165" s="57"/>
      <c r="F165" s="57"/>
      <c r="G165" s="34"/>
      <c r="H165" s="35"/>
      <c r="I165" s="61"/>
      <c r="J165" s="8"/>
      <c r="K165" s="13"/>
      <c r="L165" s="9"/>
      <c r="M165" s="11" t="str">
        <f>IF(AND(ALIM[[#This Row],[FOURNISSEURS]]&gt;1,ALIM[[#This Row],[Colonne2]]=""),"NON",IF(AND(ALIM[[#This Row],[FOURNISSEURS]]&gt;1,ALIM[[#This Row],[Colonne2]]="X"),"OUI",""))</f>
        <v/>
      </c>
      <c r="N165" s="5"/>
    </row>
    <row r="166" spans="1:14" ht="16.5" thickTop="1" thickBot="1" x14ac:dyDescent="0.3">
      <c r="A166" s="131" t="str">
        <f>IF(ALIM[[#This Row],[J]]="CAT","FACTURE CAISSE","")</f>
        <v/>
      </c>
      <c r="B166" s="132"/>
      <c r="C166" s="36"/>
      <c r="D166" s="37"/>
      <c r="E166" s="57"/>
      <c r="F166" s="57"/>
      <c r="G166" s="34"/>
      <c r="H166" s="35"/>
      <c r="I166" s="61"/>
      <c r="J166" s="8"/>
      <c r="K166" s="13"/>
      <c r="L166" s="9"/>
      <c r="M166" s="11" t="str">
        <f>IF(AND(ALIM[[#This Row],[FOURNISSEURS]]&gt;1,ALIM[[#This Row],[Colonne2]]=""),"NON",IF(AND(ALIM[[#This Row],[FOURNISSEURS]]&gt;1,ALIM[[#This Row],[Colonne2]]="X"),"OUI",""))</f>
        <v/>
      </c>
      <c r="N166" s="5"/>
    </row>
    <row r="167" spans="1:14" ht="16.5" thickTop="1" thickBot="1" x14ac:dyDescent="0.3">
      <c r="A167" s="131" t="str">
        <f>IF(ALIM[[#This Row],[J]]="CAT","FACTURE CAISSE","")</f>
        <v/>
      </c>
      <c r="B167" s="132"/>
      <c r="C167" s="36"/>
      <c r="D167" s="37"/>
      <c r="E167" s="57"/>
      <c r="F167" s="57"/>
      <c r="G167" s="34"/>
      <c r="H167" s="35"/>
      <c r="I167" s="61"/>
      <c r="J167" s="8"/>
      <c r="K167" s="13"/>
      <c r="L167" s="9"/>
      <c r="M167" s="11" t="str">
        <f>IF(AND(ALIM[[#This Row],[FOURNISSEURS]]&gt;1,ALIM[[#This Row],[Colonne2]]=""),"NON",IF(AND(ALIM[[#This Row],[FOURNISSEURS]]&gt;1,ALIM[[#This Row],[Colonne2]]="X"),"OUI",""))</f>
        <v/>
      </c>
      <c r="N167" s="5"/>
    </row>
    <row r="168" spans="1:14" ht="16.5" thickTop="1" thickBot="1" x14ac:dyDescent="0.3">
      <c r="A168" s="131" t="str">
        <f>IF(ALIM[[#This Row],[J]]="CAT","FACTURE CAISSE","")</f>
        <v/>
      </c>
      <c r="B168" s="132"/>
      <c r="C168" s="36"/>
      <c r="D168" s="37"/>
      <c r="E168" s="57"/>
      <c r="F168" s="57"/>
      <c r="G168" s="34"/>
      <c r="H168" s="35"/>
      <c r="I168" s="61"/>
      <c r="J168" s="8"/>
      <c r="K168" s="13"/>
      <c r="L168" s="9"/>
      <c r="M168" s="11" t="str">
        <f>IF(AND(ALIM[[#This Row],[FOURNISSEURS]]&gt;1,ALIM[[#This Row],[Colonne2]]=""),"NON",IF(AND(ALIM[[#This Row],[FOURNISSEURS]]&gt;1,ALIM[[#This Row],[Colonne2]]="X"),"OUI",""))</f>
        <v/>
      </c>
      <c r="N168" s="5"/>
    </row>
    <row r="169" spans="1:14" ht="16.5" thickTop="1" thickBot="1" x14ac:dyDescent="0.3">
      <c r="A169" s="131" t="str">
        <f>IF(ALIM[[#This Row],[J]]="CAT","FACTURE CAISSE","")</f>
        <v/>
      </c>
      <c r="B169" s="132"/>
      <c r="C169" s="36"/>
      <c r="D169" s="37"/>
      <c r="E169" s="57"/>
      <c r="F169" s="57"/>
      <c r="G169" s="34"/>
      <c r="H169" s="35"/>
      <c r="I169" s="61"/>
      <c r="J169" s="8"/>
      <c r="K169" s="13"/>
      <c r="L169" s="9"/>
      <c r="M169" s="11" t="str">
        <f>IF(AND(ALIM[[#This Row],[FOURNISSEURS]]&gt;1,ALIM[[#This Row],[Colonne2]]=""),"NON",IF(AND(ALIM[[#This Row],[FOURNISSEURS]]&gt;1,ALIM[[#This Row],[Colonne2]]="X"),"OUI",""))</f>
        <v/>
      </c>
      <c r="N169" s="5"/>
    </row>
    <row r="170" spans="1:14" ht="16.5" thickTop="1" thickBot="1" x14ac:dyDescent="0.3">
      <c r="A170" s="131" t="str">
        <f>IF(ALIM[[#This Row],[J]]="CAT","FACTURE CAISSE","")</f>
        <v/>
      </c>
      <c r="B170" s="132"/>
      <c r="C170" s="36"/>
      <c r="D170" s="37"/>
      <c r="E170" s="57"/>
      <c r="F170" s="57"/>
      <c r="G170" s="34"/>
      <c r="H170" s="35"/>
      <c r="I170" s="61"/>
      <c r="J170" s="8"/>
      <c r="K170" s="13"/>
      <c r="L170" s="9"/>
      <c r="M170" s="11" t="str">
        <f>IF(AND(ALIM[[#This Row],[FOURNISSEURS]]&gt;1,ALIM[[#This Row],[Colonne2]]=""),"NON",IF(AND(ALIM[[#This Row],[FOURNISSEURS]]&gt;1,ALIM[[#This Row],[Colonne2]]="X"),"OUI",""))</f>
        <v/>
      </c>
      <c r="N170" s="5"/>
    </row>
    <row r="171" spans="1:14" ht="16.5" thickTop="1" thickBot="1" x14ac:dyDescent="0.3">
      <c r="A171" s="131" t="str">
        <f>IF(ALIM[[#This Row],[J]]="CAT","FACTURE CAISSE","")</f>
        <v/>
      </c>
      <c r="B171" s="132"/>
      <c r="C171" s="36"/>
      <c r="D171" s="37"/>
      <c r="E171" s="57"/>
      <c r="F171" s="57"/>
      <c r="G171" s="34"/>
      <c r="H171" s="35"/>
      <c r="I171" s="61"/>
      <c r="J171" s="8"/>
      <c r="K171" s="13"/>
      <c r="L171" s="9"/>
      <c r="M171" s="11" t="str">
        <f>IF(AND(ALIM[[#This Row],[FOURNISSEURS]]&gt;1,ALIM[[#This Row],[Colonne2]]=""),"NON",IF(AND(ALIM[[#This Row],[FOURNISSEURS]]&gt;1,ALIM[[#This Row],[Colonne2]]="X"),"OUI",""))</f>
        <v/>
      </c>
      <c r="N171" s="5"/>
    </row>
    <row r="172" spans="1:14" ht="16.5" thickTop="1" thickBot="1" x14ac:dyDescent="0.3">
      <c r="A172" s="131" t="str">
        <f>IF(ALIM[[#This Row],[J]]="CAT","FACTURE CAISSE","")</f>
        <v/>
      </c>
      <c r="B172" s="132"/>
      <c r="C172" s="36"/>
      <c r="D172" s="37"/>
      <c r="E172" s="57"/>
      <c r="F172" s="57"/>
      <c r="G172" s="34"/>
      <c r="H172" s="35"/>
      <c r="I172" s="61"/>
      <c r="J172" s="8"/>
      <c r="K172" s="13"/>
      <c r="L172" s="9"/>
      <c r="M172" s="11" t="str">
        <f>IF(AND(ALIM[[#This Row],[FOURNISSEURS]]&gt;1,ALIM[[#This Row],[Colonne2]]=""),"NON",IF(AND(ALIM[[#This Row],[FOURNISSEURS]]&gt;1,ALIM[[#This Row],[Colonne2]]="X"),"OUI",""))</f>
        <v/>
      </c>
      <c r="N172" s="5"/>
    </row>
    <row r="173" spans="1:14" ht="16.5" thickTop="1" thickBot="1" x14ac:dyDescent="0.3">
      <c r="A173" s="131" t="str">
        <f>IF(ALIM[[#This Row],[J]]="CAT","FACTURE CAISSE","")</f>
        <v/>
      </c>
      <c r="B173" s="132"/>
      <c r="C173" s="36"/>
      <c r="D173" s="37"/>
      <c r="E173" s="57"/>
      <c r="F173" s="57"/>
      <c r="G173" s="34"/>
      <c r="H173" s="35"/>
      <c r="I173" s="61"/>
      <c r="J173" s="8"/>
      <c r="K173" s="13"/>
      <c r="L173" s="9"/>
      <c r="M173" s="11" t="str">
        <f>IF(AND(ALIM[[#This Row],[FOURNISSEURS]]&gt;1,ALIM[[#This Row],[Colonne2]]=""),"NON",IF(AND(ALIM[[#This Row],[FOURNISSEURS]]&gt;1,ALIM[[#This Row],[Colonne2]]="X"),"OUI",""))</f>
        <v/>
      </c>
      <c r="N173" s="5"/>
    </row>
    <row r="174" spans="1:14" ht="16.5" thickTop="1" thickBot="1" x14ac:dyDescent="0.3">
      <c r="A174" s="131" t="str">
        <f>IF(ALIM[[#This Row],[J]]="CAT","FACTURE CAISSE","")</f>
        <v/>
      </c>
      <c r="B174" s="132"/>
      <c r="C174" s="36"/>
      <c r="D174" s="37"/>
      <c r="E174" s="57"/>
      <c r="F174" s="57"/>
      <c r="G174" s="34"/>
      <c r="H174" s="35"/>
      <c r="I174" s="61"/>
      <c r="J174" s="8"/>
      <c r="K174" s="13"/>
      <c r="L174" s="9"/>
      <c r="M174" s="11" t="str">
        <f>IF(AND(ALIM[[#This Row],[FOURNISSEURS]]&gt;1,ALIM[[#This Row],[Colonne2]]=""),"NON",IF(AND(ALIM[[#This Row],[FOURNISSEURS]]&gt;1,ALIM[[#This Row],[Colonne2]]="X"),"OUI",""))</f>
        <v/>
      </c>
      <c r="N174" s="5"/>
    </row>
    <row r="175" spans="1:14" ht="16.5" thickTop="1" thickBot="1" x14ac:dyDescent="0.3">
      <c r="A175" s="131" t="str">
        <f>IF(ALIM[[#This Row],[J]]="CAT","FACTURE CAISSE","")</f>
        <v/>
      </c>
      <c r="B175" s="132"/>
      <c r="C175" s="36"/>
      <c r="D175" s="37"/>
      <c r="E175" s="57"/>
      <c r="F175" s="57"/>
      <c r="G175" s="34"/>
      <c r="H175" s="35"/>
      <c r="I175" s="61"/>
      <c r="J175" s="8"/>
      <c r="K175" s="13"/>
      <c r="L175" s="9"/>
      <c r="M175" s="11" t="str">
        <f>IF(AND(ALIM[[#This Row],[FOURNISSEURS]]&gt;1,ALIM[[#This Row],[Colonne2]]=""),"NON",IF(AND(ALIM[[#This Row],[FOURNISSEURS]]&gt;1,ALIM[[#This Row],[Colonne2]]="X"),"OUI",""))</f>
        <v/>
      </c>
      <c r="N175" s="5"/>
    </row>
    <row r="176" spans="1:14" ht="16.5" thickTop="1" thickBot="1" x14ac:dyDescent="0.3">
      <c r="A176" s="131" t="str">
        <f>IF(ALIM[[#This Row],[J]]="CAT","FACTURE CAISSE","")</f>
        <v/>
      </c>
      <c r="B176" s="132"/>
      <c r="C176" s="36"/>
      <c r="D176" s="37"/>
      <c r="E176" s="57"/>
      <c r="F176" s="57"/>
      <c r="G176" s="34"/>
      <c r="H176" s="35"/>
      <c r="I176" s="61"/>
      <c r="J176" s="8"/>
      <c r="K176" s="13"/>
      <c r="L176" s="9"/>
      <c r="M176" s="11" t="str">
        <f>IF(AND(ALIM[[#This Row],[FOURNISSEURS]]&gt;1,ALIM[[#This Row],[Colonne2]]=""),"NON",IF(AND(ALIM[[#This Row],[FOURNISSEURS]]&gt;1,ALIM[[#This Row],[Colonne2]]="X"),"OUI",""))</f>
        <v/>
      </c>
      <c r="N176" s="5"/>
    </row>
    <row r="177" spans="1:15" ht="16.5" thickTop="1" thickBot="1" x14ac:dyDescent="0.3">
      <c r="A177" s="131" t="str">
        <f>IF(ALIM[[#This Row],[J]]="CAT","FACTURE CAISSE","")</f>
        <v/>
      </c>
      <c r="B177" s="132"/>
      <c r="C177" s="36"/>
      <c r="D177" s="37"/>
      <c r="E177" s="57"/>
      <c r="F177" s="57"/>
      <c r="G177" s="34"/>
      <c r="H177" s="35"/>
      <c r="I177" s="61"/>
      <c r="J177" s="8"/>
      <c r="K177" s="13"/>
      <c r="L177" s="9"/>
      <c r="M177" s="11" t="str">
        <f>IF(AND(ALIM[[#This Row],[FOURNISSEURS]]&gt;1,ALIM[[#This Row],[Colonne2]]=""),"NON",IF(AND(ALIM[[#This Row],[FOURNISSEURS]]&gt;1,ALIM[[#This Row],[Colonne2]]="X"),"OUI",""))</f>
        <v/>
      </c>
      <c r="N177" s="5"/>
    </row>
    <row r="178" spans="1:15" ht="16.5" thickTop="1" thickBot="1" x14ac:dyDescent="0.3">
      <c r="A178" s="131" t="str">
        <f>IF(ALIM[[#This Row],[J]]="CAT","FACTURE CAISSE","")</f>
        <v/>
      </c>
      <c r="B178" s="132"/>
      <c r="C178" s="36"/>
      <c r="D178" s="37"/>
      <c r="E178" s="57"/>
      <c r="F178" s="57"/>
      <c r="G178" s="34"/>
      <c r="H178" s="35"/>
      <c r="I178" s="61"/>
      <c r="J178" s="8"/>
      <c r="K178" s="13"/>
      <c r="L178" s="9"/>
      <c r="M178" s="11" t="str">
        <f>IF(AND(ALIM[[#This Row],[FOURNISSEURS]]&gt;1,ALIM[[#This Row],[Colonne2]]=""),"NON",IF(AND(ALIM[[#This Row],[FOURNISSEURS]]&gt;1,ALIM[[#This Row],[Colonne2]]="X"),"OUI",""))</f>
        <v/>
      </c>
      <c r="N178" s="5"/>
    </row>
    <row r="179" spans="1:15" ht="16.5" thickTop="1" thickBot="1" x14ac:dyDescent="0.3">
      <c r="A179" s="131" t="str">
        <f>IF(ALIM[[#This Row],[J]]="CAT","FACTURE CAISSE","")</f>
        <v/>
      </c>
      <c r="B179" s="132"/>
      <c r="C179" s="36"/>
      <c r="D179" s="37"/>
      <c r="E179" s="57"/>
      <c r="F179" s="57"/>
      <c r="G179" s="34"/>
      <c r="H179" s="35"/>
      <c r="I179" s="61"/>
      <c r="J179" s="8"/>
      <c r="K179" s="13"/>
      <c r="L179" s="9"/>
      <c r="M179" s="11" t="str">
        <f>IF(AND(ALIM[[#This Row],[FOURNISSEURS]]&gt;1,ALIM[[#This Row],[Colonne2]]=""),"NON",IF(AND(ALIM[[#This Row],[FOURNISSEURS]]&gt;1,ALIM[[#This Row],[Colonne2]]="X"),"OUI",""))</f>
        <v/>
      </c>
      <c r="N179" s="5"/>
    </row>
    <row r="180" spans="1:15" ht="16.5" thickTop="1" thickBot="1" x14ac:dyDescent="0.3">
      <c r="A180" s="131" t="str">
        <f>IF(ALIM[[#This Row],[J]]="CAT","FACTURE CAISSE","")</f>
        <v/>
      </c>
      <c r="B180" s="132"/>
      <c r="C180" s="36"/>
      <c r="D180" s="37"/>
      <c r="E180" s="57"/>
      <c r="F180" s="57"/>
      <c r="G180" s="34"/>
      <c r="H180" s="35"/>
      <c r="I180" s="61"/>
      <c r="J180" s="8"/>
      <c r="K180" s="13"/>
      <c r="L180" s="9"/>
      <c r="M180" s="11" t="str">
        <f>IF(AND(ALIM[[#This Row],[FOURNISSEURS]]&gt;1,ALIM[[#This Row],[Colonne2]]=""),"NON",IF(AND(ALIM[[#This Row],[FOURNISSEURS]]&gt;1,ALIM[[#This Row],[Colonne2]]="X"),"OUI",""))</f>
        <v/>
      </c>
      <c r="N180" s="5"/>
    </row>
    <row r="181" spans="1:15" ht="16.5" thickTop="1" thickBot="1" x14ac:dyDescent="0.3">
      <c r="A181" s="131" t="str">
        <f>IF(ALIM[[#This Row],[J]]="CAT","FACTURE CAISSE","")</f>
        <v/>
      </c>
      <c r="B181" s="132"/>
      <c r="C181" s="36"/>
      <c r="D181" s="37"/>
      <c r="E181" s="57"/>
      <c r="F181" s="57"/>
      <c r="G181" s="34"/>
      <c r="H181" s="35"/>
      <c r="I181" s="61"/>
      <c r="J181" s="8"/>
      <c r="K181" s="13"/>
      <c r="L181" s="9"/>
      <c r="M181" s="11" t="str">
        <f>IF(AND(ALIM[[#This Row],[FOURNISSEURS]]&gt;1,ALIM[[#This Row],[Colonne2]]=""),"NON",IF(AND(ALIM[[#This Row],[FOURNISSEURS]]&gt;1,ALIM[[#This Row],[Colonne2]]="X"),"OUI",""))</f>
        <v/>
      </c>
      <c r="N181" s="5"/>
    </row>
    <row r="182" spans="1:15" ht="16.5" thickTop="1" thickBot="1" x14ac:dyDescent="0.3">
      <c r="A182" s="131" t="str">
        <f>IF(ALIM[[#This Row],[J]]="CAT","FACTURE CAISSE","")</f>
        <v/>
      </c>
      <c r="B182" s="132"/>
      <c r="C182" s="36"/>
      <c r="D182" s="37"/>
      <c r="E182" s="57"/>
      <c r="F182" s="57"/>
      <c r="G182" s="34"/>
      <c r="H182" s="35"/>
      <c r="I182" s="61"/>
      <c r="J182" s="8"/>
      <c r="K182" s="13"/>
      <c r="L182" s="9"/>
      <c r="M182" s="11" t="str">
        <f>IF(AND(ALIM[[#This Row],[FOURNISSEURS]]&gt;1,ALIM[[#This Row],[Colonne2]]=""),"NON",IF(AND(ALIM[[#This Row],[FOURNISSEURS]]&gt;1,ALIM[[#This Row],[Colonne2]]="X"),"OUI",""))</f>
        <v/>
      </c>
      <c r="N182" s="5"/>
    </row>
    <row r="183" spans="1:15" ht="16.5" thickTop="1" thickBot="1" x14ac:dyDescent="0.3">
      <c r="A183" s="131" t="str">
        <f>IF(ALIM[[#This Row],[J]]="CAT","FACTURE CAISSE","")</f>
        <v/>
      </c>
      <c r="B183" s="132"/>
      <c r="C183" s="36"/>
      <c r="D183" s="37"/>
      <c r="E183" s="57"/>
      <c r="F183" s="57"/>
      <c r="G183" s="34"/>
      <c r="H183" s="35"/>
      <c r="I183" s="61"/>
      <c r="J183" s="8"/>
      <c r="K183" s="13"/>
      <c r="L183" s="9"/>
      <c r="M183" s="11" t="str">
        <f>IF(AND(ALIM[[#This Row],[FOURNISSEURS]]&gt;1,ALIM[[#This Row],[Colonne2]]=""),"NON",IF(AND(ALIM[[#This Row],[FOURNISSEURS]]&gt;1,ALIM[[#This Row],[Colonne2]]="X"),"OUI",""))</f>
        <v/>
      </c>
      <c r="N183" s="5"/>
    </row>
    <row r="184" spans="1:15" ht="16.5" thickTop="1" thickBot="1" x14ac:dyDescent="0.3">
      <c r="A184" s="131" t="str">
        <f>IF(ALIM[[#This Row],[J]]="CAT","FACTURE CAISSE","")</f>
        <v/>
      </c>
      <c r="B184" s="132"/>
      <c r="C184" s="36"/>
      <c r="D184" s="37"/>
      <c r="E184" s="57"/>
      <c r="F184" s="57"/>
      <c r="G184" s="34"/>
      <c r="H184" s="35"/>
      <c r="I184" s="61"/>
      <c r="J184" s="8"/>
      <c r="K184" s="13"/>
      <c r="L184" s="9"/>
      <c r="M184" s="11" t="str">
        <f>IF(AND(ALIM[[#This Row],[FOURNISSEURS]]&gt;1,ALIM[[#This Row],[Colonne2]]=""),"NON",IF(AND(ALIM[[#This Row],[FOURNISSEURS]]&gt;1,ALIM[[#This Row],[Colonne2]]="X"),"OUI",""))</f>
        <v/>
      </c>
      <c r="N184" s="5"/>
    </row>
    <row r="185" spans="1:15" ht="16.5" thickTop="1" thickBot="1" x14ac:dyDescent="0.3">
      <c r="A185" s="133" t="str">
        <f>IF(ALIM[[#This Row],[J]]="CAT","FACTURE CAISSE","")</f>
        <v/>
      </c>
      <c r="B185" s="133"/>
      <c r="C185" s="133"/>
      <c r="D185" s="133"/>
      <c r="E185" s="134"/>
      <c r="F185" s="134"/>
      <c r="G185" s="135"/>
      <c r="H185" s="136"/>
      <c r="I185" s="61"/>
      <c r="J185" s="8"/>
      <c r="K185" s="13"/>
      <c r="L185" s="9"/>
      <c r="M185" s="11" t="str">
        <f>IF(AND(ALIM[[#This Row],[FOURNISSEURS]]&gt;1,ALIM[[#This Row],[Colonne2]]=""),"NON",IF(AND(ALIM[[#This Row],[FOURNISSEURS]]&gt;1,ALIM[[#This Row],[Colonne2]]="X"),"OUI",""))</f>
        <v/>
      </c>
      <c r="N185" s="5"/>
    </row>
    <row r="186" spans="1:15" ht="15.75" thickTop="1" x14ac:dyDescent="0.25">
      <c r="A186" s="127" t="s">
        <v>25</v>
      </c>
      <c r="B186" s="128"/>
      <c r="C186" s="128"/>
      <c r="D186" s="129"/>
      <c r="E186" s="130">
        <f>SUBTOTAL(109,ALIM[DEBIT])</f>
        <v>0</v>
      </c>
      <c r="F186" s="130">
        <f>SUBTOTAL(109,ALIM[CREDIT])</f>
        <v>0</v>
      </c>
      <c r="G186" s="74">
        <f>ALIM[[#Totals],[DEBIT]]-ALIM[[#Totals],[CREDIT]]</f>
        <v>0</v>
      </c>
      <c r="I186" s="63"/>
      <c r="J186" s="51" t="s">
        <v>26</v>
      </c>
      <c r="K186" s="52">
        <f>SUMIF(M6,"NON",ALIM[MONTANT])</f>
        <v>0</v>
      </c>
      <c r="L186" s="20"/>
      <c r="M186" s="64"/>
      <c r="N186" s="65"/>
    </row>
    <row r="187" spans="1:15" ht="15.75" thickBot="1" x14ac:dyDescent="0.3">
      <c r="A187" s="5"/>
      <c r="B187" s="5"/>
      <c r="C187" s="5"/>
      <c r="D187" s="5"/>
      <c r="E187" s="6"/>
      <c r="F187" s="6"/>
      <c r="G187" s="5"/>
      <c r="H187" s="5"/>
      <c r="I187" s="5"/>
      <c r="J187" s="5"/>
      <c r="K187" s="5"/>
      <c r="L187" s="5"/>
      <c r="M187" s="5"/>
      <c r="N187" s="5"/>
      <c r="O187" s="5"/>
    </row>
    <row r="188" spans="1:15" ht="20.25" thickTop="1" thickBot="1" x14ac:dyDescent="0.3">
      <c r="A188" s="180" t="str">
        <f>IF(E188=0,"BUDGET EPUISE",IF(E188&lt;=100,"ATTENTION VOTRE BUDGET A ATTEIND UN SEUIL D'ALERTE",IF(E188&lt;=F3,"TOTAL BUDGET RESTANT","")))</f>
        <v>TOTAL BUDGET RESTANT</v>
      </c>
      <c r="B188" s="180"/>
      <c r="C188" s="180"/>
      <c r="D188" s="180"/>
      <c r="E188" s="181">
        <f>IF(F3-ALIM[[#Totals],[N° PIECE]]&lt;0,0,F3-ALIM[[#Totals],[N° PIECE]])</f>
        <v>14000</v>
      </c>
      <c r="F188" s="182"/>
      <c r="G188" s="183" t="s">
        <v>10</v>
      </c>
      <c r="H188" s="184"/>
      <c r="I188" s="184"/>
      <c r="J188" s="184"/>
      <c r="K188" s="185"/>
      <c r="L188" s="186">
        <f>E188-ALIM[[#Totals],[MONTANT]]</f>
        <v>14000</v>
      </c>
      <c r="M188" s="186"/>
      <c r="N188" s="5"/>
      <c r="O188" s="5"/>
    </row>
    <row r="189" spans="1:15" ht="22.5" thickTop="1" thickBot="1" x14ac:dyDescent="0.3">
      <c r="A189" s="187" t="str">
        <f>IF(E189&gt;0,"DEPASSEMENT DE VOTRE BUDGET DE","")</f>
        <v>DEPASSEMENT DE VOTRE BUDGET DE</v>
      </c>
      <c r="B189" s="187"/>
      <c r="C189" s="187"/>
      <c r="D189" s="188"/>
      <c r="E189" s="189" t="str">
        <f>IF(E188=0,ALIM[[#Totals],[N° PIECE]]-F3,"")</f>
        <v/>
      </c>
      <c r="F189" s="190"/>
      <c r="G189" s="191" t="str">
        <f>IF(L188&lt;0,"DEPASSEMENT DU BUDGET","")</f>
        <v/>
      </c>
      <c r="H189" s="191"/>
      <c r="I189" s="191"/>
      <c r="J189" s="191"/>
      <c r="K189" s="191"/>
      <c r="L189" s="191"/>
      <c r="M189" s="191"/>
      <c r="N189" s="5"/>
      <c r="O189" s="5"/>
    </row>
    <row r="190" spans="1:15" ht="2.1" customHeight="1" thickTop="1" x14ac:dyDescent="0.25">
      <c r="A190" s="79"/>
      <c r="B190" s="79"/>
      <c r="C190" s="79"/>
      <c r="D190" s="79"/>
      <c r="E190" s="80"/>
      <c r="F190" s="80"/>
      <c r="G190" s="15"/>
      <c r="H190" s="15"/>
      <c r="I190" s="15"/>
      <c r="J190" s="15"/>
      <c r="K190" s="15"/>
      <c r="L190" s="15"/>
      <c r="M190" s="15"/>
      <c r="N190" s="5"/>
    </row>
    <row r="191" spans="1:15" ht="18.75" x14ac:dyDescent="0.25">
      <c r="A191" s="192"/>
      <c r="B191" s="192"/>
      <c r="C191" s="192"/>
      <c r="D191" s="192"/>
      <c r="E191" s="192"/>
      <c r="F191" s="53"/>
      <c r="G191" s="193"/>
      <c r="H191" s="193"/>
      <c r="I191" s="193"/>
      <c r="J191" s="193"/>
      <c r="K191" s="193"/>
      <c r="L191" s="193"/>
      <c r="M191" s="193"/>
      <c r="N191" s="193"/>
    </row>
    <row r="192" spans="1:15" ht="18.75" x14ac:dyDescent="0.3">
      <c r="A192" s="78" t="str">
        <f>IF(E197&gt;0,"VOUS AVEZ UN MESSAGE CI-DESSOUS, CLIQUEZ EN DESSOUS DE 'VU PAR LA CRECHE' QUAND VOUS L'AVEZ LU","")</f>
        <v/>
      </c>
      <c r="B192" s="78"/>
      <c r="C192" s="78"/>
      <c r="D192" s="78"/>
      <c r="E192" s="81"/>
      <c r="F192" s="81"/>
      <c r="G192" s="5"/>
      <c r="H192" s="5"/>
      <c r="I192" s="5"/>
      <c r="J192" s="5"/>
      <c r="K192" s="5"/>
      <c r="L192" s="5"/>
      <c r="M192" s="5"/>
      <c r="N192" s="5"/>
    </row>
    <row r="193" spans="1:21" ht="18.75" x14ac:dyDescent="0.3">
      <c r="A193" s="78" t="str">
        <f>IF(E215&gt;0,"VOUS AVEZ UNE REPONSE CI-DESSOUS, CLIQUEZ EN DESSOUS DE 'VU PAR LA CRECHE' QUAND VOUS L'AVEZ LU","")</f>
        <v/>
      </c>
      <c r="B193" s="78"/>
      <c r="C193" s="78"/>
      <c r="D193" s="78"/>
      <c r="E193" s="81"/>
      <c r="F193" s="81"/>
      <c r="G193" s="78"/>
      <c r="H193" s="78"/>
      <c r="I193" s="5"/>
      <c r="J193" s="5"/>
      <c r="K193" s="5"/>
      <c r="L193" s="5"/>
      <c r="M193" s="5"/>
      <c r="N193" s="5"/>
    </row>
    <row r="194" spans="1:2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</row>
    <row r="195" spans="1:21" x14ac:dyDescent="0.25">
      <c r="A195" s="172" t="s">
        <v>11</v>
      </c>
      <c r="B195" s="172"/>
      <c r="C195" s="172"/>
      <c r="D195" s="172"/>
      <c r="E195" s="172" t="s">
        <v>12</v>
      </c>
      <c r="F195" s="172"/>
      <c r="G195" s="172"/>
      <c r="H195" s="172"/>
      <c r="I195" s="5"/>
      <c r="J195" s="173" t="s">
        <v>15</v>
      </c>
      <c r="K195" s="5"/>
      <c r="L195" s="5"/>
      <c r="M195" s="5"/>
      <c r="N195" s="5"/>
      <c r="U195" s="1" t="s">
        <v>6</v>
      </c>
    </row>
    <row r="196" spans="1:21" x14ac:dyDescent="0.25">
      <c r="A196" s="172"/>
      <c r="B196" s="172"/>
      <c r="C196" s="172"/>
      <c r="D196" s="172"/>
      <c r="E196" s="172"/>
      <c r="F196" s="172"/>
      <c r="G196" s="172"/>
      <c r="H196" s="172"/>
      <c r="I196" s="5"/>
      <c r="J196" s="174"/>
      <c r="K196" s="5"/>
      <c r="L196" s="5"/>
      <c r="M196" s="5"/>
      <c r="N196" s="5"/>
    </row>
    <row r="197" spans="1:21" x14ac:dyDescent="0.25">
      <c r="A197" s="194"/>
      <c r="B197" s="194"/>
      <c r="C197" s="194"/>
      <c r="D197" s="194"/>
      <c r="E197" s="195"/>
      <c r="F197" s="195"/>
      <c r="G197" s="195"/>
      <c r="H197" s="195"/>
      <c r="J197" s="196"/>
    </row>
    <row r="198" spans="1:21" x14ac:dyDescent="0.25">
      <c r="A198" s="194"/>
      <c r="B198" s="194"/>
      <c r="C198" s="194"/>
      <c r="D198" s="194"/>
      <c r="E198" s="195"/>
      <c r="F198" s="195"/>
      <c r="G198" s="195"/>
      <c r="H198" s="195"/>
      <c r="J198" s="197"/>
    </row>
    <row r="199" spans="1:21" x14ac:dyDescent="0.25">
      <c r="A199" s="194"/>
      <c r="B199" s="194"/>
      <c r="C199" s="194"/>
      <c r="D199" s="194"/>
      <c r="E199" s="195"/>
      <c r="F199" s="195"/>
      <c r="G199" s="195"/>
      <c r="H199" s="195"/>
    </row>
    <row r="200" spans="1:21" x14ac:dyDescent="0.25">
      <c r="A200" s="194"/>
      <c r="B200" s="194"/>
      <c r="C200" s="194"/>
      <c r="D200" s="194"/>
      <c r="E200" s="195"/>
      <c r="F200" s="195"/>
      <c r="G200" s="195"/>
      <c r="H200" s="195"/>
    </row>
    <row r="201" spans="1:21" x14ac:dyDescent="0.25">
      <c r="A201" s="194"/>
      <c r="B201" s="194"/>
      <c r="C201" s="194"/>
      <c r="D201" s="194"/>
      <c r="E201" s="195"/>
      <c r="F201" s="195"/>
      <c r="G201" s="195"/>
      <c r="H201" s="195"/>
    </row>
    <row r="202" spans="1:21" x14ac:dyDescent="0.25">
      <c r="A202" s="194"/>
      <c r="B202" s="194"/>
      <c r="C202" s="194"/>
      <c r="D202" s="194"/>
      <c r="E202" s="195"/>
      <c r="F202" s="195"/>
      <c r="G202" s="195"/>
      <c r="H202" s="195"/>
    </row>
    <row r="203" spans="1:21" x14ac:dyDescent="0.25">
      <c r="A203" s="194"/>
      <c r="B203" s="194"/>
      <c r="C203" s="194"/>
      <c r="D203" s="194"/>
      <c r="E203" s="195"/>
      <c r="F203" s="195"/>
      <c r="G203" s="195"/>
      <c r="H203" s="195"/>
    </row>
    <row r="204" spans="1:21" x14ac:dyDescent="0.25">
      <c r="A204" s="194"/>
      <c r="B204" s="194"/>
      <c r="C204" s="194"/>
      <c r="D204" s="194"/>
      <c r="E204" s="195"/>
      <c r="F204" s="195"/>
      <c r="G204" s="195"/>
      <c r="H204" s="195"/>
    </row>
    <row r="205" spans="1:21" x14ac:dyDescent="0.25">
      <c r="A205" s="194"/>
      <c r="B205" s="194"/>
      <c r="C205" s="194"/>
      <c r="D205" s="194"/>
      <c r="E205" s="195"/>
      <c r="F205" s="195"/>
      <c r="G205" s="195"/>
      <c r="H205" s="195"/>
    </row>
    <row r="206" spans="1:21" x14ac:dyDescent="0.25">
      <c r="A206" s="194"/>
      <c r="B206" s="194"/>
      <c r="C206" s="194"/>
      <c r="D206" s="194"/>
      <c r="E206" s="195"/>
      <c r="F206" s="195"/>
      <c r="G206" s="195"/>
      <c r="H206" s="195"/>
    </row>
    <row r="207" spans="1:21" x14ac:dyDescent="0.25">
      <c r="A207" s="194"/>
      <c r="B207" s="194"/>
      <c r="C207" s="194"/>
      <c r="D207" s="194"/>
      <c r="E207" s="195"/>
      <c r="F207" s="195"/>
      <c r="G207" s="195"/>
      <c r="H207" s="195"/>
    </row>
    <row r="208" spans="1:21" x14ac:dyDescent="0.25">
      <c r="A208" s="194"/>
      <c r="B208" s="194"/>
      <c r="C208" s="194"/>
      <c r="D208" s="194"/>
      <c r="E208" s="195"/>
      <c r="F208" s="195"/>
      <c r="G208" s="195"/>
      <c r="H208" s="195"/>
    </row>
    <row r="209" spans="1:12" x14ac:dyDescent="0.25">
      <c r="A209" s="194"/>
      <c r="B209" s="194"/>
      <c r="C209" s="194"/>
      <c r="D209" s="194"/>
      <c r="E209" s="195"/>
      <c r="F209" s="195"/>
      <c r="G209" s="195"/>
      <c r="H209" s="195"/>
      <c r="L209" s="5"/>
    </row>
    <row r="210" spans="1:12" x14ac:dyDescent="0.25">
      <c r="A210" s="194"/>
      <c r="B210" s="194"/>
      <c r="C210" s="194"/>
      <c r="D210" s="194"/>
      <c r="E210" s="195"/>
      <c r="F210" s="195"/>
      <c r="G210" s="195"/>
      <c r="H210" s="195"/>
    </row>
    <row r="211" spans="1:12" x14ac:dyDescent="0.25">
      <c r="A211" s="194"/>
      <c r="B211" s="194"/>
      <c r="C211" s="194"/>
      <c r="D211" s="194"/>
      <c r="E211" s="195"/>
      <c r="F211" s="195"/>
      <c r="G211" s="195"/>
      <c r="H211" s="195"/>
    </row>
    <row r="212" spans="1:12" x14ac:dyDescent="0.25">
      <c r="A212" s="18"/>
      <c r="B212" s="18"/>
      <c r="C212" s="18"/>
      <c r="D212" s="18"/>
      <c r="E212" s="18"/>
      <c r="F212" s="18"/>
      <c r="G212" s="18"/>
      <c r="H212" s="18"/>
    </row>
    <row r="213" spans="1:12" x14ac:dyDescent="0.25">
      <c r="A213" s="172" t="s">
        <v>13</v>
      </c>
      <c r="B213" s="172"/>
      <c r="C213" s="172"/>
      <c r="D213" s="172"/>
      <c r="E213" s="172" t="s">
        <v>14</v>
      </c>
      <c r="F213" s="172"/>
      <c r="G213" s="172"/>
      <c r="H213" s="172"/>
      <c r="J213" s="173" t="s">
        <v>15</v>
      </c>
    </row>
    <row r="214" spans="1:12" x14ac:dyDescent="0.25">
      <c r="A214" s="172"/>
      <c r="B214" s="172"/>
      <c r="C214" s="172"/>
      <c r="D214" s="172"/>
      <c r="E214" s="172"/>
      <c r="F214" s="172"/>
      <c r="G214" s="172"/>
      <c r="H214" s="172"/>
      <c r="J214" s="174"/>
    </row>
    <row r="215" spans="1:12" ht="15" customHeight="1" x14ac:dyDescent="0.25">
      <c r="A215" s="194"/>
      <c r="B215" s="194"/>
      <c r="C215" s="194"/>
      <c r="D215" s="194"/>
      <c r="E215" s="195"/>
      <c r="F215" s="195"/>
      <c r="G215" s="195"/>
      <c r="H215" s="195"/>
      <c r="J215" s="196"/>
    </row>
    <row r="216" spans="1:12" ht="15" customHeight="1" x14ac:dyDescent="0.25">
      <c r="A216" s="194"/>
      <c r="B216" s="194"/>
      <c r="C216" s="194"/>
      <c r="D216" s="194"/>
      <c r="E216" s="195"/>
      <c r="F216" s="195"/>
      <c r="G216" s="195"/>
      <c r="H216" s="195"/>
      <c r="J216" s="197"/>
    </row>
    <row r="217" spans="1:12" x14ac:dyDescent="0.25">
      <c r="A217" s="194"/>
      <c r="B217" s="194"/>
      <c r="C217" s="194"/>
      <c r="D217" s="194"/>
      <c r="E217" s="195"/>
      <c r="F217" s="195"/>
      <c r="G217" s="195"/>
      <c r="H217" s="195"/>
    </row>
    <row r="218" spans="1:12" x14ac:dyDescent="0.25">
      <c r="A218" s="194"/>
      <c r="B218" s="194"/>
      <c r="C218" s="194"/>
      <c r="D218" s="194"/>
      <c r="E218" s="195"/>
      <c r="F218" s="195"/>
      <c r="G218" s="195"/>
      <c r="H218" s="195"/>
    </row>
    <row r="219" spans="1:12" x14ac:dyDescent="0.25">
      <c r="A219" s="194"/>
      <c r="B219" s="194"/>
      <c r="C219" s="194"/>
      <c r="D219" s="194"/>
      <c r="E219" s="195"/>
      <c r="F219" s="195"/>
      <c r="G219" s="195"/>
      <c r="H219" s="195"/>
    </row>
    <row r="220" spans="1:12" x14ac:dyDescent="0.25">
      <c r="A220" s="194"/>
      <c r="B220" s="194"/>
      <c r="C220" s="194"/>
      <c r="D220" s="194"/>
      <c r="E220" s="195"/>
      <c r="F220" s="195"/>
      <c r="G220" s="195"/>
      <c r="H220" s="195"/>
    </row>
    <row r="221" spans="1:12" x14ac:dyDescent="0.25">
      <c r="A221" s="194"/>
      <c r="B221" s="194"/>
      <c r="C221" s="194"/>
      <c r="D221" s="194"/>
      <c r="E221" s="195"/>
      <c r="F221" s="195"/>
      <c r="G221" s="195"/>
      <c r="H221" s="195"/>
    </row>
    <row r="222" spans="1:12" x14ac:dyDescent="0.25">
      <c r="A222" s="194"/>
      <c r="B222" s="194"/>
      <c r="C222" s="194"/>
      <c r="D222" s="194"/>
      <c r="E222" s="195"/>
      <c r="F222" s="195"/>
      <c r="G222" s="195"/>
      <c r="H222" s="195"/>
    </row>
    <row r="223" spans="1:12" x14ac:dyDescent="0.25">
      <c r="A223" s="194"/>
      <c r="B223" s="194"/>
      <c r="C223" s="194"/>
      <c r="D223" s="194"/>
      <c r="E223" s="195"/>
      <c r="F223" s="195"/>
      <c r="G223" s="195"/>
      <c r="H223" s="195"/>
    </row>
    <row r="224" spans="1:12" x14ac:dyDescent="0.25">
      <c r="A224" s="194"/>
      <c r="B224" s="194"/>
      <c r="C224" s="194"/>
      <c r="D224" s="194"/>
      <c r="E224" s="195"/>
      <c r="F224" s="195"/>
      <c r="G224" s="195"/>
      <c r="H224" s="195"/>
    </row>
    <row r="225" spans="1:8" x14ac:dyDescent="0.25">
      <c r="A225" s="194"/>
      <c r="B225" s="194"/>
      <c r="C225" s="194"/>
      <c r="D225" s="194"/>
      <c r="E225" s="195"/>
      <c r="F225" s="195"/>
      <c r="G225" s="195"/>
      <c r="H225" s="195"/>
    </row>
    <row r="226" spans="1:8" x14ac:dyDescent="0.25">
      <c r="A226" s="194"/>
      <c r="B226" s="194"/>
      <c r="C226" s="194"/>
      <c r="D226" s="194"/>
      <c r="E226" s="195"/>
      <c r="F226" s="195"/>
      <c r="G226" s="195"/>
      <c r="H226" s="195"/>
    </row>
    <row r="227" spans="1:8" x14ac:dyDescent="0.25">
      <c r="A227" s="194"/>
      <c r="B227" s="194"/>
      <c r="C227" s="194"/>
      <c r="D227" s="194"/>
      <c r="E227" s="195"/>
      <c r="F227" s="195"/>
      <c r="G227" s="195"/>
      <c r="H227" s="195"/>
    </row>
    <row r="228" spans="1:8" x14ac:dyDescent="0.25">
      <c r="A228" s="194"/>
      <c r="B228" s="194"/>
      <c r="C228" s="194"/>
      <c r="D228" s="194"/>
      <c r="E228" s="195"/>
      <c r="F228" s="195"/>
      <c r="G228" s="195"/>
      <c r="H228" s="195"/>
    </row>
    <row r="229" spans="1:8" x14ac:dyDescent="0.25">
      <c r="A229" s="194"/>
      <c r="B229" s="194"/>
      <c r="C229" s="194"/>
      <c r="D229" s="194"/>
      <c r="E229" s="195"/>
      <c r="F229" s="195"/>
      <c r="G229" s="195"/>
      <c r="H229" s="195"/>
    </row>
  </sheetData>
  <mergeCells count="24">
    <mergeCell ref="A215:D229"/>
    <mergeCell ref="E215:H229"/>
    <mergeCell ref="J215:J216"/>
    <mergeCell ref="A197:D211"/>
    <mergeCell ref="E197:H211"/>
    <mergeCell ref="J197:J198"/>
    <mergeCell ref="A213:D214"/>
    <mergeCell ref="E213:H214"/>
    <mergeCell ref="J213:J214"/>
    <mergeCell ref="A195:D196"/>
    <mergeCell ref="E195:H196"/>
    <mergeCell ref="J195:J196"/>
    <mergeCell ref="J1:M4"/>
    <mergeCell ref="F3:G3"/>
    <mergeCell ref="A4:H4"/>
    <mergeCell ref="A188:D188"/>
    <mergeCell ref="E188:F188"/>
    <mergeCell ref="G188:K188"/>
    <mergeCell ref="L188:M188"/>
    <mergeCell ref="A189:D189"/>
    <mergeCell ref="E189:F189"/>
    <mergeCell ref="G189:M189"/>
    <mergeCell ref="A191:E191"/>
    <mergeCell ref="G191:N191"/>
  </mergeCells>
  <conditionalFormatting sqref="A6:H185">
    <cfRule type="expression" dxfId="386" priority="24">
      <formula>MONTH($B7)=MONTH($B6)</formula>
    </cfRule>
  </conditionalFormatting>
  <conditionalFormatting sqref="J6:M185">
    <cfRule type="expression" dxfId="385" priority="20">
      <formula>$L6=""</formula>
    </cfRule>
    <cfRule type="expression" dxfId="384" priority="21">
      <formula>$L6="NON"</formula>
    </cfRule>
    <cfRule type="expression" dxfId="383" priority="23">
      <formula>$M6="OUI"</formula>
    </cfRule>
  </conditionalFormatting>
  <conditionalFormatting sqref="N6:N185">
    <cfRule type="expression" dxfId="382" priority="22">
      <formula>$N6="X"</formula>
    </cfRule>
  </conditionalFormatting>
  <conditionalFormatting sqref="J186:K186">
    <cfRule type="expression" dxfId="381" priority="19">
      <formula>$K$186=0</formula>
    </cfRule>
  </conditionalFormatting>
  <conditionalFormatting sqref="G188:M188">
    <cfRule type="expression" dxfId="380" priority="18">
      <formula>$K$186=0</formula>
    </cfRule>
  </conditionalFormatting>
  <conditionalFormatting sqref="E188">
    <cfRule type="expression" dxfId="379" priority="16">
      <formula>$E$188=0</formula>
    </cfRule>
    <cfRule type="expression" dxfId="378" priority="17">
      <formula>$E$188&gt;0</formula>
    </cfRule>
  </conditionalFormatting>
  <conditionalFormatting sqref="A188:D188">
    <cfRule type="expression" dxfId="377" priority="4">
      <formula>$E$188&lt;=100</formula>
    </cfRule>
    <cfRule type="expression" dxfId="376" priority="15">
      <formula>$E$188=0</formula>
    </cfRule>
  </conditionalFormatting>
  <conditionalFormatting sqref="J195:J196">
    <cfRule type="expression" dxfId="375" priority="13">
      <formula>$J$197="OUI"</formula>
    </cfRule>
    <cfRule type="expression" dxfId="374" priority="14">
      <formula>$E$197&gt;0</formula>
    </cfRule>
  </conditionalFormatting>
  <conditionalFormatting sqref="J197:J198">
    <cfRule type="expression" dxfId="373" priority="11">
      <formula>$J$197="OUI"</formula>
    </cfRule>
    <cfRule type="expression" dxfId="372" priority="12">
      <formula>$E$197&gt;0</formula>
    </cfRule>
  </conditionalFormatting>
  <conditionalFormatting sqref="J213:J214">
    <cfRule type="expression" dxfId="371" priority="9">
      <formula>$J$215="OUI"</formula>
    </cfRule>
    <cfRule type="expression" dxfId="370" priority="10">
      <formula>$E$215&gt;0</formula>
    </cfRule>
  </conditionalFormatting>
  <conditionalFormatting sqref="L6:L185">
    <cfRule type="expression" dxfId="369" priority="5">
      <formula>$L6="OUI"</formula>
    </cfRule>
    <cfRule type="expression" dxfId="368" priority="6">
      <formula>$J6&gt;0</formula>
    </cfRule>
  </conditionalFormatting>
  <conditionalFormatting sqref="A192:H192">
    <cfRule type="expression" dxfId="367" priority="25">
      <formula>$J$197="OUI"</formula>
    </cfRule>
  </conditionalFormatting>
  <conditionalFormatting sqref="A193:H193">
    <cfRule type="expression" dxfId="366" priority="26">
      <formula>$J$215="OUI"</formula>
    </cfRule>
  </conditionalFormatting>
  <conditionalFormatting sqref="A189:F189">
    <cfRule type="expression" dxfId="365" priority="3">
      <formula>$E$188&gt;0</formula>
    </cfRule>
  </conditionalFormatting>
  <conditionalFormatting sqref="J215:J216">
    <cfRule type="expression" dxfId="364" priority="1">
      <formula>$J$197="OUI"</formula>
    </cfRule>
    <cfRule type="expression" dxfId="363" priority="2">
      <formula>$E$197&gt;0</formula>
    </cfRule>
  </conditionalFormatting>
  <dataValidations count="3">
    <dataValidation type="list" allowBlank="1" showInputMessage="1" showErrorMessage="1" sqref="L6:L185">
      <formula1>$U$5:$U$7</formula1>
    </dataValidation>
    <dataValidation type="list" allowBlank="1" showInputMessage="1" showErrorMessage="1" sqref="N6:N185">
      <formula1>$U$8:$U$9</formula1>
    </dataValidation>
    <dataValidation type="list" allowBlank="1" showInputMessage="1" showErrorMessage="1" sqref="J197:J198 J215:J216">
      <formula1>$U$195:$U$196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68"/>
  <sheetViews>
    <sheetView showGridLines="0" workbookViewId="0">
      <selection activeCell="G28" sqref="G28:M28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+BUDGET!K16</f>
        <v>4900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IF(ANIM[[#This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IF(AND(ANIM[[#This Row],[FOURNISSEURS]]&gt;1,ANIM[[#This Row],[Colonne2]]=""),"NON",IF(AND(ANIM[[#This Row],[FOURNISSEURS]]&gt;1,ANIM[[#This Row],[Colonne2]]="X"),"OUI",""))</f>
        <v/>
      </c>
      <c r="N6" s="5"/>
    </row>
    <row r="7" spans="1:18" ht="16.5" thickTop="1" thickBot="1" x14ac:dyDescent="0.3">
      <c r="A7" s="41" t="str">
        <f>IF(ANIM[[#This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IF(AND(ANIM[[#This Row],[FOURNISSEURS]]&gt;1,ANIM[[#This Row],[Colonne2]]=""),"NON",IF(AND(ANIM[[#This Row],[FOURNISSEURS]]&gt;1,ANIM[[#This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IF(ANIM[[#This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IF(AND(ANIM[[#This Row],[FOURNISSEURS]]&gt;1,ANIM[[#This Row],[Colonne2]]=""),"NON",IF(AND(ANIM[[#This Row],[FOURNISSEURS]]&gt;1,ANIM[[#This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IF(ANIM[[#This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IF(AND(ANIM[[#This Row],[FOURNISSEURS]]&gt;1,ANIM[[#This Row],[Colonne2]]=""),"NON",IF(AND(ANIM[[#This Row],[FOURNISSEURS]]&gt;1,ANIM[[#This Row],[Colonne2]]="X"),"OUI",""))</f>
        <v/>
      </c>
      <c r="N9" s="5"/>
    </row>
    <row r="10" spans="1:18" ht="16.5" thickTop="1" thickBot="1" x14ac:dyDescent="0.3">
      <c r="A10" s="19" t="str">
        <f>IF(ANIM[[#This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IF(AND(ANIM[[#This Row],[FOURNISSEURS]]&gt;1,ANIM[[#This Row],[Colonne2]]=""),"NON",IF(AND(ANIM[[#This Row],[FOURNISSEURS]]&gt;1,ANIM[[#This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IF(ANIM[[#This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IF(AND(ANIM[[#This Row],[FOURNISSEURS]]&gt;1,ANIM[[#This Row],[Colonne2]]=""),"NON",IF(AND(ANIM[[#This Row],[FOURNISSEURS]]&gt;1,ANIM[[#This Row],[Colonne2]]="X"),"OUI",""))</f>
        <v/>
      </c>
      <c r="N11" s="5"/>
    </row>
    <row r="12" spans="1:18" ht="16.5" thickTop="1" thickBot="1" x14ac:dyDescent="0.3">
      <c r="A12" s="19" t="str">
        <f>IF(ANIM[[#This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IF(AND(ANIM[[#This Row],[FOURNISSEURS]]&gt;1,ANIM[[#This Row],[Colonne2]]=""),"NON",IF(AND(ANIM[[#This Row],[FOURNISSEURS]]&gt;1,ANIM[[#This Row],[Colonne2]]="X"),"OUI",""))</f>
        <v/>
      </c>
      <c r="N12" s="5"/>
    </row>
    <row r="13" spans="1:18" ht="16.5" thickTop="1" thickBot="1" x14ac:dyDescent="0.3">
      <c r="A13" s="19" t="str">
        <f>IF(ANIM[[#This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IF(AND(ANIM[[#This Row],[FOURNISSEURS]]&gt;1,ANIM[[#This Row],[Colonne2]]=""),"NON",IF(AND(ANIM[[#This Row],[FOURNISSEURS]]&gt;1,ANIM[[#This Row],[Colonne2]]="X"),"OUI",""))</f>
        <v/>
      </c>
      <c r="N13" s="5"/>
    </row>
    <row r="14" spans="1:18" ht="16.5" thickTop="1" thickBot="1" x14ac:dyDescent="0.3">
      <c r="A14" s="19" t="str">
        <f>IF(ANIM[[#This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IF(AND(ANIM[[#This Row],[FOURNISSEURS]]&gt;1,ANIM[[#This Row],[Colonne2]]=""),"NON",IF(AND(ANIM[[#This Row],[FOURNISSEURS]]&gt;1,ANIM[[#This Row],[Colonne2]]="X"),"OUI",""))</f>
        <v/>
      </c>
      <c r="N14" s="5"/>
    </row>
    <row r="15" spans="1:18" ht="16.5" thickTop="1" thickBot="1" x14ac:dyDescent="0.3">
      <c r="A15" s="19" t="str">
        <f>IF(ANIM[[#This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IF(AND(ANIM[[#This Row],[FOURNISSEURS]]&gt;1,ANIM[[#This Row],[Colonne2]]=""),"NON",IF(AND(ANIM[[#This Row],[FOURNISSEURS]]&gt;1,ANIM[[#This Row],[Colonne2]]="X"),"OUI",""))</f>
        <v/>
      </c>
      <c r="N15" s="5"/>
    </row>
    <row r="16" spans="1:18" ht="16.5" thickTop="1" thickBot="1" x14ac:dyDescent="0.3">
      <c r="A16" s="19" t="str">
        <f>IF(ANIM[[#This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IF(AND(ANIM[[#This Row],[FOURNISSEURS]]&gt;1,ANIM[[#This Row],[Colonne2]]=""),"NON",IF(AND(ANIM[[#This Row],[FOURNISSEURS]]&gt;1,ANIM[[#This Row],[Colonne2]]="X"),"OUI",""))</f>
        <v/>
      </c>
      <c r="N16" s="5"/>
    </row>
    <row r="17" spans="1:18" ht="16.5" thickTop="1" thickBot="1" x14ac:dyDescent="0.3">
      <c r="A17" s="19" t="str">
        <f>IF(ANIM[[#This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IF(AND(ANIM[[#This Row],[FOURNISSEURS]]&gt;1,ANIM[[#This Row],[Colonne2]]=""),"NON",IF(AND(ANIM[[#This Row],[FOURNISSEURS]]&gt;1,ANIM[[#This Row],[Colonne2]]="X"),"OUI",""))</f>
        <v/>
      </c>
      <c r="N17" s="5"/>
    </row>
    <row r="18" spans="1:18" ht="16.5" thickTop="1" thickBot="1" x14ac:dyDescent="0.3">
      <c r="A18" s="19" t="str">
        <f>IF(ANIM[[#This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IF(AND(ANIM[[#This Row],[FOURNISSEURS]]&gt;1,ANIM[[#This Row],[Colonne2]]=""),"NON",IF(AND(ANIM[[#This Row],[FOURNISSEURS]]&gt;1,ANIM[[#This Row],[Colonne2]]="X"),"OUI",""))</f>
        <v/>
      </c>
      <c r="N18" s="5"/>
    </row>
    <row r="19" spans="1:18" ht="16.5" thickTop="1" thickBot="1" x14ac:dyDescent="0.3">
      <c r="A19" s="19" t="str">
        <f>IF(ANIM[[#This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IF(AND(ANIM[[#This Row],[FOURNISSEURS]]&gt;1,ANIM[[#This Row],[Colonne2]]=""),"NON",IF(AND(ANIM[[#This Row],[FOURNISSEURS]]&gt;1,ANIM[[#This Row],[Colonne2]]="X"),"OUI",""))</f>
        <v/>
      </c>
      <c r="N19" s="5"/>
    </row>
    <row r="20" spans="1:18" ht="16.5" thickTop="1" thickBot="1" x14ac:dyDescent="0.3">
      <c r="A20" s="19" t="str">
        <f>IF(ANIM[[#This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IF(AND(ANIM[[#This Row],[FOURNISSEURS]]&gt;1,ANIM[[#This Row],[Colonne2]]=""),"NON",IF(AND(ANIM[[#This Row],[FOURNISSEURS]]&gt;1,ANIM[[#This Row],[Colonne2]]="X"),"OUI",""))</f>
        <v/>
      </c>
      <c r="N20" s="5"/>
    </row>
    <row r="21" spans="1:18" ht="16.5" thickTop="1" thickBot="1" x14ac:dyDescent="0.3">
      <c r="A21" s="19" t="str">
        <f>IF(ANIM[[#This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IF(AND(ANIM[[#This Row],[FOURNISSEURS]]&gt;1,ANIM[[#This Row],[Colonne2]]=""),"NON",IF(AND(ANIM[[#This Row],[FOURNISSEURS]]&gt;1,ANIM[[#This Row],[Colonne2]]="X"),"OUI",""))</f>
        <v/>
      </c>
      <c r="N21" s="5"/>
    </row>
    <row r="22" spans="1:18" ht="16.5" thickTop="1" thickBot="1" x14ac:dyDescent="0.3">
      <c r="A22" s="19" t="str">
        <f>IF(ANIM[[#This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IF(AND(ANIM[[#This Row],[FOURNISSEURS]]&gt;1,ANIM[[#This Row],[Colonne2]]=""),"NON",IF(AND(ANIM[[#This Row],[FOURNISSEURS]]&gt;1,ANIM[[#This Row],[Colonne2]]="X"),"OUI",""))</f>
        <v/>
      </c>
      <c r="N22" s="5"/>
    </row>
    <row r="23" spans="1:18" ht="16.5" thickTop="1" thickBot="1" x14ac:dyDescent="0.3">
      <c r="A23" s="19" t="str">
        <f>IF(ANIM[[#This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IF(AND(ANIM[[#This Row],[FOURNISSEURS]]&gt;1,ANIM[[#This Row],[Colonne2]]=""),"NON",IF(AND(ANIM[[#This Row],[FOURNISSEURS]]&gt;1,ANIM[[#This Row],[Colonne2]]="X"),"OUI",""))</f>
        <v/>
      </c>
      <c r="N23" s="5"/>
    </row>
    <row r="24" spans="1:18" ht="15.75" thickTop="1" x14ac:dyDescent="0.25">
      <c r="A24" s="29" t="str">
        <f>IF(ANIM[[#This Row],[J]]="CAT","FACTURE CAISSE","")</f>
        <v/>
      </c>
      <c r="B24" s="29"/>
      <c r="C24" s="29"/>
      <c r="D24" s="29"/>
      <c r="E24" s="39"/>
      <c r="F24" s="39"/>
      <c r="G24" s="154"/>
      <c r="H24" s="62"/>
      <c r="I24" s="17"/>
      <c r="J24" s="8"/>
      <c r="K24" s="13"/>
      <c r="L24" s="50"/>
      <c r="M24" s="11" t="str">
        <f>IF(AND(ANIM[[#This Row],[FOURNISSEURS]]&gt;1,ANIM[[#This Row],[Colonne2]]=""),"NON",IF(AND(ANIM[[#This Row],[FOURNISSEURS]]&gt;1,ANIM[[#This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SUBTOTAL(109,ANIM[DEBIT])</f>
        <v>0</v>
      </c>
      <c r="F25" s="73">
        <f>SUBTOTAL(109,ANIM[CREDIT])</f>
        <v>0</v>
      </c>
      <c r="G25" s="74">
        <f>ANIM[[#Totals],[DEBIT]]-ANIM[[#Totals],[CREDIT]]</f>
        <v>0</v>
      </c>
      <c r="I25" s="30"/>
      <c r="J25" s="76" t="s">
        <v>26</v>
      </c>
      <c r="K25" s="73">
        <f>SUMIF(M6,"NON",ANIM[MONTANT])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IF(F3-ANIM[[#Totals],[N° PIECE]]&lt;0,0,F3-ANIM[[#Totals],[N° PIECE]])</f>
        <v>4900</v>
      </c>
      <c r="F27" s="182"/>
      <c r="G27" s="183" t="s">
        <v>10</v>
      </c>
      <c r="H27" s="184"/>
      <c r="I27" s="184"/>
      <c r="J27" s="184"/>
      <c r="K27" s="185"/>
      <c r="L27" s="186">
        <f>E27-ANIM[[#Totals],[MONTANT]]</f>
        <v>4900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IF(E27=0,ANIM[[#Totals],[N°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345" priority="22">
      <formula>MONTH($B7)=MONTH($B6)</formula>
    </cfRule>
  </conditionalFormatting>
  <conditionalFormatting sqref="J6:M24">
    <cfRule type="expression" dxfId="344" priority="18">
      <formula>$L6=""</formula>
    </cfRule>
    <cfRule type="expression" dxfId="343" priority="19">
      <formula>$L6="NON"</formula>
    </cfRule>
    <cfRule type="expression" dxfId="342" priority="21">
      <formula>$M6="OUI"</formula>
    </cfRule>
  </conditionalFormatting>
  <conditionalFormatting sqref="N6:N24">
    <cfRule type="expression" dxfId="341" priority="20">
      <formula>$N6="X"</formula>
    </cfRule>
  </conditionalFormatting>
  <conditionalFormatting sqref="J25:K25">
    <cfRule type="expression" dxfId="340" priority="17">
      <formula>$K$25=0</formula>
    </cfRule>
  </conditionalFormatting>
  <conditionalFormatting sqref="G27:M27">
    <cfRule type="expression" dxfId="339" priority="16">
      <formula>$K$25=0</formula>
    </cfRule>
  </conditionalFormatting>
  <conditionalFormatting sqref="E27">
    <cfRule type="expression" dxfId="338" priority="14">
      <formula>$E$27=0</formula>
    </cfRule>
    <cfRule type="expression" dxfId="337" priority="15">
      <formula>$E$27&gt;0</formula>
    </cfRule>
  </conditionalFormatting>
  <conditionalFormatting sqref="A27:D27">
    <cfRule type="expression" dxfId="336" priority="2">
      <formula>$E$27&lt;=100</formula>
    </cfRule>
    <cfRule type="expression" dxfId="335" priority="13">
      <formula>$E$27=0</formula>
    </cfRule>
  </conditionalFormatting>
  <conditionalFormatting sqref="J34:J35">
    <cfRule type="expression" dxfId="334" priority="11">
      <formula>$J$36="OUI"</formula>
    </cfRule>
    <cfRule type="expression" dxfId="333" priority="12">
      <formula>$E$36&gt;0</formula>
    </cfRule>
  </conditionalFormatting>
  <conditionalFormatting sqref="J36:J37">
    <cfRule type="expression" dxfId="332" priority="9">
      <formula>$J$36="OUI"</formula>
    </cfRule>
    <cfRule type="expression" dxfId="331" priority="10">
      <formula>$E$36&gt;0</formula>
    </cfRule>
  </conditionalFormatting>
  <conditionalFormatting sqref="J52:J53">
    <cfRule type="expression" dxfId="330" priority="7">
      <formula>$J$54="OUI"</formula>
    </cfRule>
    <cfRule type="expression" dxfId="329" priority="8">
      <formula>$E$54&gt;0</formula>
    </cfRule>
  </conditionalFormatting>
  <conditionalFormatting sqref="J54:J55">
    <cfRule type="expression" dxfId="328" priority="5">
      <formula>$J$54="OUI"</formula>
    </cfRule>
    <cfRule type="expression" dxfId="327" priority="6">
      <formula>$E$54&gt;0</formula>
    </cfRule>
  </conditionalFormatting>
  <conditionalFormatting sqref="L6:L24">
    <cfRule type="expression" dxfId="326" priority="3">
      <formula>$L6="OUI"</formula>
    </cfRule>
    <cfRule type="expression" dxfId="325" priority="4">
      <formula>$J6&gt;0</formula>
    </cfRule>
  </conditionalFormatting>
  <conditionalFormatting sqref="A31:H31">
    <cfRule type="expression" dxfId="324" priority="23">
      <formula>$J$36="OUI"</formula>
    </cfRule>
  </conditionalFormatting>
  <conditionalFormatting sqref="A32:H32">
    <cfRule type="expression" dxfId="323" priority="24">
      <formula>$J$54="OUI"</formula>
    </cfRule>
  </conditionalFormatting>
  <conditionalFormatting sqref="A28:F28">
    <cfRule type="expression" dxfId="322" priority="1">
      <formula>$E$27&gt;0</formula>
    </cfRule>
  </conditionalFormatting>
  <dataValidations count="3">
    <dataValidation type="list" allowBlank="1" showInputMessage="1" showErrorMessage="1" sqref="N6:N24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J36:J37 J54:J55">
      <formula1>$R$32:$R$33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68"/>
  <sheetViews>
    <sheetView showGridLines="0" workbookViewId="0">
      <selection activeCell="G6" sqref="G6:G12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+BUDGET!K17</f>
        <v>5000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IF(ENT_REP[[#This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IF(AND(ENT_REP[[#This Row],[FOURNISSEURS]]&gt;1,ENT_REP[[#This Row],[Colonne2]]=""),"NON",IF(AND(ENT_REP[[#This Row],[FOURNISSEURS]]&gt;1,ENT_REP[[#This Row],[Colonne2]]="X"),"OUI",""))</f>
        <v/>
      </c>
      <c r="N6" s="5"/>
    </row>
    <row r="7" spans="1:18" ht="16.5" thickTop="1" thickBot="1" x14ac:dyDescent="0.3">
      <c r="A7" s="41" t="str">
        <f>IF(ENT_REP[[#This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IF(AND(ENT_REP[[#This Row],[FOURNISSEURS]]&gt;1,ENT_REP[[#This Row],[Colonne2]]=""),"NON",IF(AND(ENT_REP[[#This Row],[FOURNISSEURS]]&gt;1,ENT_REP[[#This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IF(ENT_REP[[#This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IF(AND(ENT_REP[[#This Row],[FOURNISSEURS]]&gt;1,ENT_REP[[#This Row],[Colonne2]]=""),"NON",IF(AND(ENT_REP[[#This Row],[FOURNISSEURS]]&gt;1,ENT_REP[[#This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IF(ENT_REP[[#This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IF(AND(ENT_REP[[#This Row],[FOURNISSEURS]]&gt;1,ENT_REP[[#This Row],[Colonne2]]=""),"NON",IF(AND(ENT_REP[[#This Row],[FOURNISSEURS]]&gt;1,ENT_REP[[#This Row],[Colonne2]]="X"),"OUI",""))</f>
        <v/>
      </c>
      <c r="N9" s="5"/>
    </row>
    <row r="10" spans="1:18" ht="16.5" thickTop="1" thickBot="1" x14ac:dyDescent="0.3">
      <c r="A10" s="19" t="str">
        <f>IF(ENT_REP[[#This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IF(AND(ENT_REP[[#This Row],[FOURNISSEURS]]&gt;1,ENT_REP[[#This Row],[Colonne2]]=""),"NON",IF(AND(ENT_REP[[#This Row],[FOURNISSEURS]]&gt;1,ENT_REP[[#This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IF(ENT_REP[[#This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IF(AND(ENT_REP[[#This Row],[FOURNISSEURS]]&gt;1,ENT_REP[[#This Row],[Colonne2]]=""),"NON",IF(AND(ENT_REP[[#This Row],[FOURNISSEURS]]&gt;1,ENT_REP[[#This Row],[Colonne2]]="X"),"OUI",""))</f>
        <v/>
      </c>
      <c r="N11" s="5"/>
    </row>
    <row r="12" spans="1:18" ht="16.5" thickTop="1" thickBot="1" x14ac:dyDescent="0.3">
      <c r="A12" s="19" t="str">
        <f>IF(ENT_REP[[#This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IF(AND(ENT_REP[[#This Row],[FOURNISSEURS]]&gt;1,ENT_REP[[#This Row],[Colonne2]]=""),"NON",IF(AND(ENT_REP[[#This Row],[FOURNISSEURS]]&gt;1,ENT_REP[[#This Row],[Colonne2]]="X"),"OUI",""))</f>
        <v/>
      </c>
      <c r="N12" s="5"/>
    </row>
    <row r="13" spans="1:18" ht="16.5" thickTop="1" thickBot="1" x14ac:dyDescent="0.3">
      <c r="A13" s="19" t="str">
        <f>IF(ENT_REP[[#This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IF(AND(ENT_REP[[#This Row],[FOURNISSEURS]]&gt;1,ENT_REP[[#This Row],[Colonne2]]=""),"NON",IF(AND(ENT_REP[[#This Row],[FOURNISSEURS]]&gt;1,ENT_REP[[#This Row],[Colonne2]]="X"),"OUI",""))</f>
        <v/>
      </c>
      <c r="N13" s="5"/>
    </row>
    <row r="14" spans="1:18" ht="16.5" thickTop="1" thickBot="1" x14ac:dyDescent="0.3">
      <c r="A14" s="19" t="str">
        <f>IF(ENT_REP[[#This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IF(AND(ENT_REP[[#This Row],[FOURNISSEURS]]&gt;1,ENT_REP[[#This Row],[Colonne2]]=""),"NON",IF(AND(ENT_REP[[#This Row],[FOURNISSEURS]]&gt;1,ENT_REP[[#This Row],[Colonne2]]="X"),"OUI",""))</f>
        <v/>
      </c>
      <c r="N14" s="5"/>
    </row>
    <row r="15" spans="1:18" ht="16.5" thickTop="1" thickBot="1" x14ac:dyDescent="0.3">
      <c r="A15" s="19" t="str">
        <f>IF(ENT_REP[[#This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IF(AND(ENT_REP[[#This Row],[FOURNISSEURS]]&gt;1,ENT_REP[[#This Row],[Colonne2]]=""),"NON",IF(AND(ENT_REP[[#This Row],[FOURNISSEURS]]&gt;1,ENT_REP[[#This Row],[Colonne2]]="X"),"OUI",""))</f>
        <v/>
      </c>
      <c r="N15" s="5"/>
    </row>
    <row r="16" spans="1:18" ht="16.5" thickTop="1" thickBot="1" x14ac:dyDescent="0.3">
      <c r="A16" s="19" t="str">
        <f>IF(ENT_REP[[#This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IF(AND(ENT_REP[[#This Row],[FOURNISSEURS]]&gt;1,ENT_REP[[#This Row],[Colonne2]]=""),"NON",IF(AND(ENT_REP[[#This Row],[FOURNISSEURS]]&gt;1,ENT_REP[[#This Row],[Colonne2]]="X"),"OUI",""))</f>
        <v/>
      </c>
      <c r="N16" s="5"/>
    </row>
    <row r="17" spans="1:18" ht="16.5" thickTop="1" thickBot="1" x14ac:dyDescent="0.3">
      <c r="A17" s="19" t="str">
        <f>IF(ENT_REP[[#This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IF(AND(ENT_REP[[#This Row],[FOURNISSEURS]]&gt;1,ENT_REP[[#This Row],[Colonne2]]=""),"NON",IF(AND(ENT_REP[[#This Row],[FOURNISSEURS]]&gt;1,ENT_REP[[#This Row],[Colonne2]]="X"),"OUI",""))</f>
        <v/>
      </c>
      <c r="N17" s="5"/>
    </row>
    <row r="18" spans="1:18" ht="16.5" thickTop="1" thickBot="1" x14ac:dyDescent="0.3">
      <c r="A18" s="19" t="str">
        <f>IF(ENT_REP[[#This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IF(AND(ENT_REP[[#This Row],[FOURNISSEURS]]&gt;1,ENT_REP[[#This Row],[Colonne2]]=""),"NON",IF(AND(ENT_REP[[#This Row],[FOURNISSEURS]]&gt;1,ENT_REP[[#This Row],[Colonne2]]="X"),"OUI",""))</f>
        <v/>
      </c>
      <c r="N18" s="5"/>
    </row>
    <row r="19" spans="1:18" ht="16.5" thickTop="1" thickBot="1" x14ac:dyDescent="0.3">
      <c r="A19" s="19" t="str">
        <f>IF(ENT_REP[[#This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IF(AND(ENT_REP[[#This Row],[FOURNISSEURS]]&gt;1,ENT_REP[[#This Row],[Colonne2]]=""),"NON",IF(AND(ENT_REP[[#This Row],[FOURNISSEURS]]&gt;1,ENT_REP[[#This Row],[Colonne2]]="X"),"OUI",""))</f>
        <v/>
      </c>
      <c r="N19" s="5"/>
    </row>
    <row r="20" spans="1:18" ht="16.5" thickTop="1" thickBot="1" x14ac:dyDescent="0.3">
      <c r="A20" s="19" t="str">
        <f>IF(ENT_REP[[#This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IF(AND(ENT_REP[[#This Row],[FOURNISSEURS]]&gt;1,ENT_REP[[#This Row],[Colonne2]]=""),"NON",IF(AND(ENT_REP[[#This Row],[FOURNISSEURS]]&gt;1,ENT_REP[[#This Row],[Colonne2]]="X"),"OUI",""))</f>
        <v/>
      </c>
      <c r="N20" s="5"/>
    </row>
    <row r="21" spans="1:18" ht="16.5" thickTop="1" thickBot="1" x14ac:dyDescent="0.3">
      <c r="A21" s="19" t="str">
        <f>IF(ENT_REP[[#This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IF(AND(ENT_REP[[#This Row],[FOURNISSEURS]]&gt;1,ENT_REP[[#This Row],[Colonne2]]=""),"NON",IF(AND(ENT_REP[[#This Row],[FOURNISSEURS]]&gt;1,ENT_REP[[#This Row],[Colonne2]]="X"),"OUI",""))</f>
        <v/>
      </c>
      <c r="N21" s="5"/>
    </row>
    <row r="22" spans="1:18" ht="16.5" thickTop="1" thickBot="1" x14ac:dyDescent="0.3">
      <c r="A22" s="19" t="str">
        <f>IF(ENT_REP[[#This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IF(AND(ENT_REP[[#This Row],[FOURNISSEURS]]&gt;1,ENT_REP[[#This Row],[Colonne2]]=""),"NON",IF(AND(ENT_REP[[#This Row],[FOURNISSEURS]]&gt;1,ENT_REP[[#This Row],[Colonne2]]="X"),"OUI",""))</f>
        <v/>
      </c>
      <c r="N22" s="5"/>
    </row>
    <row r="23" spans="1:18" ht="16.5" thickTop="1" thickBot="1" x14ac:dyDescent="0.3">
      <c r="A23" s="19" t="str">
        <f>IF(ENT_REP[[#This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IF(AND(ENT_REP[[#This Row],[FOURNISSEURS]]&gt;1,ENT_REP[[#This Row],[Colonne2]]=""),"NON",IF(AND(ENT_REP[[#This Row],[FOURNISSEURS]]&gt;1,ENT_REP[[#This Row],[Colonne2]]="X"),"OUI",""))</f>
        <v/>
      </c>
      <c r="N23" s="5"/>
    </row>
    <row r="24" spans="1:18" ht="15.75" thickTop="1" x14ac:dyDescent="0.25">
      <c r="A24" s="29" t="str">
        <f>IF(ENT_REP[[#This Row],[J]]="CAT","FACTURE CAISSE","")</f>
        <v/>
      </c>
      <c r="B24" s="29"/>
      <c r="C24" s="29"/>
      <c r="D24" s="29"/>
      <c r="E24" s="39"/>
      <c r="F24" s="39"/>
      <c r="G24" s="40"/>
      <c r="H24" s="62"/>
      <c r="I24" s="17"/>
      <c r="J24" s="8"/>
      <c r="K24" s="13"/>
      <c r="L24" s="50"/>
      <c r="M24" s="11" t="str">
        <f>IF(AND(ENT_REP[[#This Row],[FOURNISSEURS]]&gt;1,ENT_REP[[#This Row],[Colonne2]]=""),"NON",IF(AND(ENT_REP[[#This Row],[FOURNISSEURS]]&gt;1,ENT_REP[[#This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SUBTOTAL(109,ENT_REP[DEBIT])</f>
        <v>0</v>
      </c>
      <c r="F25" s="73">
        <f>SUBTOTAL(109,ENT_REP[CREDIT])</f>
        <v>0</v>
      </c>
      <c r="G25" s="74">
        <f>ENT_REP[[#Totals],[DEBIT]]-ENT_REP[[#Totals],[CREDIT]]</f>
        <v>0</v>
      </c>
      <c r="I25" s="30"/>
      <c r="J25" s="76" t="s">
        <v>26</v>
      </c>
      <c r="K25" s="73">
        <f>SUMIF(M6,"NON",ENT_REP[MONTANT])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IF(F3-ENT_REP[[#Totals],[N° PIECE]]&lt;0,0,F3-ENT_REP[[#Totals],[N° PIECE]])</f>
        <v>5000</v>
      </c>
      <c r="F27" s="182"/>
      <c r="G27" s="183" t="s">
        <v>10</v>
      </c>
      <c r="H27" s="184"/>
      <c r="I27" s="184"/>
      <c r="J27" s="184"/>
      <c r="K27" s="185"/>
      <c r="L27" s="186">
        <f>E27-ENT_REP[[#Totals],[MONTANT]]</f>
        <v>5000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IF(E27=0,ENT_REP[[#Totals],[N°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304" priority="22">
      <formula>MONTH($B7)=MONTH($B6)</formula>
    </cfRule>
  </conditionalFormatting>
  <conditionalFormatting sqref="J6:M24">
    <cfRule type="expression" dxfId="303" priority="18">
      <formula>$L6=""</formula>
    </cfRule>
    <cfRule type="expression" dxfId="302" priority="19">
      <formula>$L6="NON"</formula>
    </cfRule>
    <cfRule type="expression" dxfId="301" priority="21">
      <formula>$M6="OUI"</formula>
    </cfRule>
  </conditionalFormatting>
  <conditionalFormatting sqref="N6:N24">
    <cfRule type="expression" dxfId="300" priority="20">
      <formula>$N6="X"</formula>
    </cfRule>
  </conditionalFormatting>
  <conditionalFormatting sqref="J25:K25">
    <cfRule type="expression" dxfId="299" priority="17">
      <formula>$K$25=0</formula>
    </cfRule>
  </conditionalFormatting>
  <conditionalFormatting sqref="G27:M27">
    <cfRule type="expression" dxfId="298" priority="16">
      <formula>$K$25=0</formula>
    </cfRule>
  </conditionalFormatting>
  <conditionalFormatting sqref="E27">
    <cfRule type="expression" dxfId="297" priority="14">
      <formula>$E$27=0</formula>
    </cfRule>
    <cfRule type="expression" dxfId="296" priority="15">
      <formula>$E$27&gt;0</formula>
    </cfRule>
  </conditionalFormatting>
  <conditionalFormatting sqref="A27:D27">
    <cfRule type="expression" dxfId="295" priority="2">
      <formula>$E$27&lt;=100</formula>
    </cfRule>
    <cfRule type="expression" dxfId="294" priority="13">
      <formula>$E$27=0</formula>
    </cfRule>
  </conditionalFormatting>
  <conditionalFormatting sqref="J34:J35">
    <cfRule type="expression" dxfId="293" priority="11">
      <formula>$J$36="OUI"</formula>
    </cfRule>
    <cfRule type="expression" dxfId="292" priority="12">
      <formula>$E$36&gt;0</formula>
    </cfRule>
  </conditionalFormatting>
  <conditionalFormatting sqref="J36:J37">
    <cfRule type="expression" dxfId="291" priority="9">
      <formula>$J$36="OUI"</formula>
    </cfRule>
    <cfRule type="expression" dxfId="290" priority="10">
      <formula>$E$36&gt;0</formula>
    </cfRule>
  </conditionalFormatting>
  <conditionalFormatting sqref="J52:J53">
    <cfRule type="expression" dxfId="289" priority="7">
      <formula>$J$54="OUI"</formula>
    </cfRule>
    <cfRule type="expression" dxfId="288" priority="8">
      <formula>$E$54&gt;0</formula>
    </cfRule>
  </conditionalFormatting>
  <conditionalFormatting sqref="J54:J55">
    <cfRule type="expression" dxfId="287" priority="5">
      <formula>$J$54="OUI"</formula>
    </cfRule>
    <cfRule type="expression" dxfId="286" priority="6">
      <formula>$E$54&gt;0</formula>
    </cfRule>
  </conditionalFormatting>
  <conditionalFormatting sqref="L6:L24">
    <cfRule type="expression" dxfId="285" priority="3">
      <formula>$L6="OUI"</formula>
    </cfRule>
    <cfRule type="expression" dxfId="284" priority="4">
      <formula>$J6&gt;0</formula>
    </cfRule>
  </conditionalFormatting>
  <conditionalFormatting sqref="A31:H31">
    <cfRule type="expression" dxfId="283" priority="23">
      <formula>$J$36="OUI"</formula>
    </cfRule>
  </conditionalFormatting>
  <conditionalFormatting sqref="A32:H32">
    <cfRule type="expression" dxfId="282" priority="24">
      <formula>$J$54="OUI"</formula>
    </cfRule>
  </conditionalFormatting>
  <conditionalFormatting sqref="A28:F28">
    <cfRule type="expression" dxfId="281" priority="1">
      <formula>$E$27&gt;0</formula>
    </cfRule>
  </conditionalFormatting>
  <dataValidations count="3">
    <dataValidation type="list" allowBlank="1" showInputMessage="1" showErrorMessage="1" sqref="J36:J37 J54:J55">
      <formula1>$R$32:$R$33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N6:N24">
      <formula1>$R$10:$R$11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R68"/>
  <sheetViews>
    <sheetView showGridLines="0" tabSelected="1" workbookViewId="0">
      <selection activeCell="G6" sqref="G6:G14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+BUDGET!K22</f>
        <v>3960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IF(HONO[[#This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IF(AND(HONO[[#This Row],[FOURNISSEURS]]&gt;1,HONO[[#This Row],[Colonne2]]=""),"NON",IF(AND(HONO[[#This Row],[FOURNISSEURS]]&gt;1,HONO[[#This Row],[Colonne2]]="X"),"OUI",""))</f>
        <v/>
      </c>
      <c r="N6" s="5"/>
    </row>
    <row r="7" spans="1:18" ht="16.5" thickTop="1" thickBot="1" x14ac:dyDescent="0.3">
      <c r="A7" s="41" t="str">
        <f>IF(HONO[[#This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IF(AND(HONO[[#This Row],[FOURNISSEURS]]&gt;1,HONO[[#This Row],[Colonne2]]=""),"NON",IF(AND(HONO[[#This Row],[FOURNISSEURS]]&gt;1,HONO[[#This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IF(HONO[[#This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IF(AND(HONO[[#This Row],[FOURNISSEURS]]&gt;1,HONO[[#This Row],[Colonne2]]=""),"NON",IF(AND(HONO[[#This Row],[FOURNISSEURS]]&gt;1,HONO[[#This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IF(HONO[[#This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IF(AND(HONO[[#This Row],[FOURNISSEURS]]&gt;1,HONO[[#This Row],[Colonne2]]=""),"NON",IF(AND(HONO[[#This Row],[FOURNISSEURS]]&gt;1,HONO[[#This Row],[Colonne2]]="X"),"OUI",""))</f>
        <v/>
      </c>
      <c r="N9" s="5"/>
    </row>
    <row r="10" spans="1:18" ht="16.5" thickTop="1" thickBot="1" x14ac:dyDescent="0.3">
      <c r="A10" s="19" t="str">
        <f>IF(HONO[[#This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IF(AND(HONO[[#This Row],[FOURNISSEURS]]&gt;1,HONO[[#This Row],[Colonne2]]=""),"NON",IF(AND(HONO[[#This Row],[FOURNISSEURS]]&gt;1,HONO[[#This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IF(HONO[[#This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IF(AND(HONO[[#This Row],[FOURNISSEURS]]&gt;1,HONO[[#This Row],[Colonne2]]=""),"NON",IF(AND(HONO[[#This Row],[FOURNISSEURS]]&gt;1,HONO[[#This Row],[Colonne2]]="X"),"OUI",""))</f>
        <v/>
      </c>
      <c r="N11" s="5"/>
    </row>
    <row r="12" spans="1:18" ht="16.5" thickTop="1" thickBot="1" x14ac:dyDescent="0.3">
      <c r="A12" s="19" t="str">
        <f>IF(HONO[[#This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IF(AND(HONO[[#This Row],[FOURNISSEURS]]&gt;1,HONO[[#This Row],[Colonne2]]=""),"NON",IF(AND(HONO[[#This Row],[FOURNISSEURS]]&gt;1,HONO[[#This Row],[Colonne2]]="X"),"OUI",""))</f>
        <v/>
      </c>
      <c r="N12" s="5"/>
    </row>
    <row r="13" spans="1:18" ht="16.5" thickTop="1" thickBot="1" x14ac:dyDescent="0.3">
      <c r="A13" s="19" t="str">
        <f>IF(HONO[[#This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IF(AND(HONO[[#This Row],[FOURNISSEURS]]&gt;1,HONO[[#This Row],[Colonne2]]=""),"NON",IF(AND(HONO[[#This Row],[FOURNISSEURS]]&gt;1,HONO[[#This Row],[Colonne2]]="X"),"OUI",""))</f>
        <v/>
      </c>
      <c r="N13" s="5"/>
    </row>
    <row r="14" spans="1:18" ht="16.5" thickTop="1" thickBot="1" x14ac:dyDescent="0.3">
      <c r="A14" s="19" t="str">
        <f>IF(HONO[[#This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IF(AND(HONO[[#This Row],[FOURNISSEURS]]&gt;1,HONO[[#This Row],[Colonne2]]=""),"NON",IF(AND(HONO[[#This Row],[FOURNISSEURS]]&gt;1,HONO[[#This Row],[Colonne2]]="X"),"OUI",""))</f>
        <v/>
      </c>
      <c r="N14" s="5"/>
    </row>
    <row r="15" spans="1:18" ht="16.5" thickTop="1" thickBot="1" x14ac:dyDescent="0.3">
      <c r="A15" s="19" t="str">
        <f>IF(HONO[[#This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IF(AND(HONO[[#This Row],[FOURNISSEURS]]&gt;1,HONO[[#This Row],[Colonne2]]=""),"NON",IF(AND(HONO[[#This Row],[FOURNISSEURS]]&gt;1,HONO[[#This Row],[Colonne2]]="X"),"OUI",""))</f>
        <v/>
      </c>
      <c r="N15" s="5"/>
    </row>
    <row r="16" spans="1:18" ht="16.5" thickTop="1" thickBot="1" x14ac:dyDescent="0.3">
      <c r="A16" s="19" t="str">
        <f>IF(HONO[[#This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IF(AND(HONO[[#This Row],[FOURNISSEURS]]&gt;1,HONO[[#This Row],[Colonne2]]=""),"NON",IF(AND(HONO[[#This Row],[FOURNISSEURS]]&gt;1,HONO[[#This Row],[Colonne2]]="X"),"OUI",""))</f>
        <v/>
      </c>
      <c r="N16" s="5"/>
    </row>
    <row r="17" spans="1:18" ht="16.5" thickTop="1" thickBot="1" x14ac:dyDescent="0.3">
      <c r="A17" s="19" t="str">
        <f>IF(HONO[[#This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IF(AND(HONO[[#This Row],[FOURNISSEURS]]&gt;1,HONO[[#This Row],[Colonne2]]=""),"NON",IF(AND(HONO[[#This Row],[FOURNISSEURS]]&gt;1,HONO[[#This Row],[Colonne2]]="X"),"OUI",""))</f>
        <v/>
      </c>
      <c r="N17" s="5"/>
    </row>
    <row r="18" spans="1:18" ht="16.5" thickTop="1" thickBot="1" x14ac:dyDescent="0.3">
      <c r="A18" s="19" t="str">
        <f>IF(HONO[[#This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IF(AND(HONO[[#This Row],[FOURNISSEURS]]&gt;1,HONO[[#This Row],[Colonne2]]=""),"NON",IF(AND(HONO[[#This Row],[FOURNISSEURS]]&gt;1,HONO[[#This Row],[Colonne2]]="X"),"OUI",""))</f>
        <v/>
      </c>
      <c r="N18" s="5"/>
    </row>
    <row r="19" spans="1:18" ht="16.5" thickTop="1" thickBot="1" x14ac:dyDescent="0.3">
      <c r="A19" s="19" t="str">
        <f>IF(HONO[[#This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IF(AND(HONO[[#This Row],[FOURNISSEURS]]&gt;1,HONO[[#This Row],[Colonne2]]=""),"NON",IF(AND(HONO[[#This Row],[FOURNISSEURS]]&gt;1,HONO[[#This Row],[Colonne2]]="X"),"OUI",""))</f>
        <v/>
      </c>
      <c r="N19" s="5"/>
    </row>
    <row r="20" spans="1:18" ht="16.5" thickTop="1" thickBot="1" x14ac:dyDescent="0.3">
      <c r="A20" s="19" t="str">
        <f>IF(HONO[[#This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IF(AND(HONO[[#This Row],[FOURNISSEURS]]&gt;1,HONO[[#This Row],[Colonne2]]=""),"NON",IF(AND(HONO[[#This Row],[FOURNISSEURS]]&gt;1,HONO[[#This Row],[Colonne2]]="X"),"OUI",""))</f>
        <v/>
      </c>
      <c r="N20" s="5"/>
    </row>
    <row r="21" spans="1:18" ht="16.5" thickTop="1" thickBot="1" x14ac:dyDescent="0.3">
      <c r="A21" s="19" t="str">
        <f>IF(HONO[[#This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IF(AND(HONO[[#This Row],[FOURNISSEURS]]&gt;1,HONO[[#This Row],[Colonne2]]=""),"NON",IF(AND(HONO[[#This Row],[FOURNISSEURS]]&gt;1,HONO[[#This Row],[Colonne2]]="X"),"OUI",""))</f>
        <v/>
      </c>
      <c r="N21" s="5"/>
    </row>
    <row r="22" spans="1:18" ht="16.5" thickTop="1" thickBot="1" x14ac:dyDescent="0.3">
      <c r="A22" s="19" t="str">
        <f>IF(HONO[[#This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IF(AND(HONO[[#This Row],[FOURNISSEURS]]&gt;1,HONO[[#This Row],[Colonne2]]=""),"NON",IF(AND(HONO[[#This Row],[FOURNISSEURS]]&gt;1,HONO[[#This Row],[Colonne2]]="X"),"OUI",""))</f>
        <v/>
      </c>
      <c r="N22" s="5"/>
    </row>
    <row r="23" spans="1:18" ht="16.5" thickTop="1" thickBot="1" x14ac:dyDescent="0.3">
      <c r="A23" s="19" t="str">
        <f>IF(HONO[[#This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IF(AND(HONO[[#This Row],[FOURNISSEURS]]&gt;1,HONO[[#This Row],[Colonne2]]=""),"NON",IF(AND(HONO[[#This Row],[FOURNISSEURS]]&gt;1,HONO[[#This Row],[Colonne2]]="X"),"OUI",""))</f>
        <v/>
      </c>
      <c r="N23" s="5"/>
    </row>
    <row r="24" spans="1:18" ht="15.75" thickTop="1" x14ac:dyDescent="0.25">
      <c r="A24" s="29" t="str">
        <f>IF(HONO[[#This Row],[J]]="CAT","FACTURE CAISSE","")</f>
        <v/>
      </c>
      <c r="B24" s="29"/>
      <c r="C24" s="29"/>
      <c r="D24" s="29"/>
      <c r="E24" s="39"/>
      <c r="F24" s="39"/>
      <c r="G24" s="154"/>
      <c r="H24" s="62"/>
      <c r="I24" s="17"/>
      <c r="J24" s="8"/>
      <c r="K24" s="13"/>
      <c r="L24" s="50"/>
      <c r="M24" s="11" t="str">
        <f>IF(AND(HONO[[#This Row],[FOURNISSEURS]]&gt;1,HONO[[#This Row],[Colonne2]]=""),"NON",IF(AND(HONO[[#This Row],[FOURNISSEURS]]&gt;1,HONO[[#This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SUBTOTAL(109,HONO[DEBIT])</f>
        <v>0</v>
      </c>
      <c r="F25" s="73">
        <f>SUBTOTAL(109,HONO[CREDIT])</f>
        <v>0</v>
      </c>
      <c r="G25" s="74">
        <f>HONO[[#Totals],[DEBIT]]-HONO[[#Totals],[CREDIT]]</f>
        <v>0</v>
      </c>
      <c r="I25" s="30"/>
      <c r="J25" s="76" t="s">
        <v>26</v>
      </c>
      <c r="K25" s="73">
        <f>SUMIF(M6,"NON",HONO[MONTANT])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IF(F3-HONO[[#Totals],[N° PIECE]]&lt;0,0,F3-HONO[[#Totals],[N° PIECE]])</f>
        <v>3960</v>
      </c>
      <c r="F27" s="182"/>
      <c r="G27" s="183" t="s">
        <v>10</v>
      </c>
      <c r="H27" s="184"/>
      <c r="I27" s="184"/>
      <c r="J27" s="184"/>
      <c r="K27" s="185"/>
      <c r="L27" s="186">
        <f>E27-HONO[[#Totals],[MONTANT]]</f>
        <v>3960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IF(E27=0,HONO[[#Totals],[N°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263" priority="22">
      <formula>MONTH($B7)=MONTH($B6)</formula>
    </cfRule>
  </conditionalFormatting>
  <conditionalFormatting sqref="J6:M24">
    <cfRule type="expression" dxfId="262" priority="18">
      <formula>$L6=""</formula>
    </cfRule>
    <cfRule type="expression" dxfId="261" priority="19">
      <formula>$L6="NON"</formula>
    </cfRule>
    <cfRule type="expression" dxfId="260" priority="21">
      <formula>$M6="OUI"</formula>
    </cfRule>
  </conditionalFormatting>
  <conditionalFormatting sqref="N6:N24">
    <cfRule type="expression" dxfId="259" priority="20">
      <formula>$N6="X"</formula>
    </cfRule>
  </conditionalFormatting>
  <conditionalFormatting sqref="J25:K25">
    <cfRule type="expression" dxfId="258" priority="17">
      <formula>$K$25=0</formula>
    </cfRule>
  </conditionalFormatting>
  <conditionalFormatting sqref="G27:M27">
    <cfRule type="expression" dxfId="257" priority="16">
      <formula>$K$25=0</formula>
    </cfRule>
  </conditionalFormatting>
  <conditionalFormatting sqref="E27">
    <cfRule type="expression" dxfId="256" priority="14">
      <formula>$E$27=0</formula>
    </cfRule>
    <cfRule type="expression" dxfId="255" priority="15">
      <formula>$E$27&gt;0</formula>
    </cfRule>
  </conditionalFormatting>
  <conditionalFormatting sqref="A27:D27">
    <cfRule type="expression" dxfId="254" priority="2">
      <formula>$E$27&lt;=100</formula>
    </cfRule>
    <cfRule type="expression" dxfId="253" priority="13">
      <formula>$E$27=0</formula>
    </cfRule>
  </conditionalFormatting>
  <conditionalFormatting sqref="J34:J35">
    <cfRule type="expression" dxfId="252" priority="11">
      <formula>$J$36="OUI"</formula>
    </cfRule>
    <cfRule type="expression" dxfId="251" priority="12">
      <formula>$E$36&gt;0</formula>
    </cfRule>
  </conditionalFormatting>
  <conditionalFormatting sqref="J36:J37">
    <cfRule type="expression" dxfId="250" priority="9">
      <formula>$J$36="OUI"</formula>
    </cfRule>
    <cfRule type="expression" dxfId="249" priority="10">
      <formula>$E$36&gt;0</formula>
    </cfRule>
  </conditionalFormatting>
  <conditionalFormatting sqref="J52:J53">
    <cfRule type="expression" dxfId="248" priority="7">
      <formula>$J$54="OUI"</formula>
    </cfRule>
    <cfRule type="expression" dxfId="247" priority="8">
      <formula>$E$54&gt;0</formula>
    </cfRule>
  </conditionalFormatting>
  <conditionalFormatting sqref="J54:J55">
    <cfRule type="expression" dxfId="246" priority="5">
      <formula>$J$54="OUI"</formula>
    </cfRule>
    <cfRule type="expression" dxfId="245" priority="6">
      <formula>$E$54&gt;0</formula>
    </cfRule>
  </conditionalFormatting>
  <conditionalFormatting sqref="L6:L24">
    <cfRule type="expression" dxfId="244" priority="3">
      <formula>$L6="OUI"</formula>
    </cfRule>
    <cfRule type="expression" dxfId="243" priority="4">
      <formula>$J6&gt;0</formula>
    </cfRule>
  </conditionalFormatting>
  <conditionalFormatting sqref="A31:H31">
    <cfRule type="expression" dxfId="242" priority="23">
      <formula>$J$36="OUI"</formula>
    </cfRule>
  </conditionalFormatting>
  <conditionalFormatting sqref="A32:H32">
    <cfRule type="expression" dxfId="241" priority="24">
      <formula>$J$54="OUI"</formula>
    </cfRule>
  </conditionalFormatting>
  <conditionalFormatting sqref="A28:F28">
    <cfRule type="expression" dxfId="240" priority="1">
      <formula>$E$27&gt;0</formula>
    </cfRule>
  </conditionalFormatting>
  <dataValidations count="3">
    <dataValidation type="list" allowBlank="1" showInputMessage="1" showErrorMessage="1" sqref="N6:N24">
      <formula1>$R$10:$R$11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J36:J37 J54:J55">
      <formula1>$R$32:$R$33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R68"/>
  <sheetViews>
    <sheetView showGridLines="0" workbookViewId="0">
      <selection activeCell="H26" sqref="H26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6" style="1" customWidth="1"/>
    <col min="4" max="4" width="33.5703125" style="1" customWidth="1"/>
    <col min="5" max="6" width="11.42578125" style="2"/>
    <col min="7" max="7" width="11.42578125" style="1" customWidth="1"/>
    <col min="8" max="8" width="22.5703125" style="1" customWidth="1"/>
    <col min="9" max="9" width="2.7109375" style="1" customWidth="1"/>
    <col min="10" max="10" width="22.28515625" style="1" customWidth="1"/>
    <col min="11" max="11" width="12.5703125" style="1" customWidth="1"/>
    <col min="12" max="13" width="10.140625" style="1" customWidth="1"/>
    <col min="14" max="14" width="2.28515625" style="1" customWidth="1"/>
    <col min="15" max="17" width="11.42578125" style="1"/>
    <col min="18" max="18" width="11.42578125" style="1" hidden="1" customWidth="1"/>
    <col min="19" max="16384" width="11.42578125" style="1"/>
  </cols>
  <sheetData>
    <row r="1" spans="1:18" ht="18.75" x14ac:dyDescent="0.25">
      <c r="A1" s="24"/>
      <c r="B1" s="24"/>
      <c r="C1" s="24"/>
      <c r="D1" s="24"/>
      <c r="E1" s="24"/>
      <c r="F1" s="24"/>
      <c r="G1" s="24"/>
      <c r="H1" s="24"/>
      <c r="I1" s="5"/>
      <c r="J1" s="175" t="s">
        <v>8</v>
      </c>
      <c r="K1" s="175"/>
      <c r="L1" s="175"/>
      <c r="M1" s="175"/>
    </row>
    <row r="2" spans="1:18" ht="5.0999999999999996" customHeight="1" thickBot="1" x14ac:dyDescent="0.3">
      <c r="A2" s="22"/>
      <c r="B2" s="22"/>
      <c r="C2" s="22"/>
      <c r="D2" s="22"/>
      <c r="E2" s="22"/>
      <c r="F2" s="22"/>
      <c r="G2" s="22"/>
      <c r="H2" s="22"/>
      <c r="I2" s="5">
        <v>2</v>
      </c>
      <c r="J2" s="175"/>
      <c r="K2" s="175"/>
      <c r="L2" s="175"/>
      <c r="M2" s="175"/>
    </row>
    <row r="3" spans="1:18" ht="20.25" thickTop="1" thickBot="1" x14ac:dyDescent="0.3">
      <c r="A3" s="5"/>
      <c r="B3" s="5"/>
      <c r="C3" s="5"/>
      <c r="D3" s="21"/>
      <c r="E3" s="54" t="s">
        <v>1</v>
      </c>
      <c r="F3" s="177">
        <f>+BUDGET!K25</f>
        <v>400</v>
      </c>
      <c r="G3" s="178"/>
      <c r="H3" s="5"/>
      <c r="I3" s="5"/>
      <c r="J3" s="175"/>
      <c r="K3" s="175"/>
      <c r="L3" s="175"/>
      <c r="M3" s="175"/>
    </row>
    <row r="4" spans="1:18" ht="20.25" thickTop="1" thickBot="1" x14ac:dyDescent="0.3">
      <c r="A4" s="179"/>
      <c r="B4" s="179"/>
      <c r="C4" s="179"/>
      <c r="D4" s="179"/>
      <c r="E4" s="179"/>
      <c r="F4" s="179"/>
      <c r="G4" s="179"/>
      <c r="H4" s="179"/>
      <c r="I4" s="5"/>
      <c r="J4" s="176"/>
      <c r="K4" s="176"/>
      <c r="L4" s="176"/>
      <c r="M4" s="176"/>
    </row>
    <row r="5" spans="1:18" ht="30.75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4" t="s">
        <v>20</v>
      </c>
      <c r="F5" s="55" t="s">
        <v>21</v>
      </c>
      <c r="G5" s="16" t="s">
        <v>22</v>
      </c>
      <c r="H5" s="23" t="s">
        <v>0</v>
      </c>
      <c r="I5" s="25" t="s">
        <v>23</v>
      </c>
      <c r="J5" s="59" t="s">
        <v>3</v>
      </c>
      <c r="K5" s="59" t="s">
        <v>4</v>
      </c>
      <c r="L5" s="60" t="s">
        <v>5</v>
      </c>
      <c r="M5" s="60" t="s">
        <v>9</v>
      </c>
      <c r="N5" s="31" t="s">
        <v>24</v>
      </c>
      <c r="O5" s="31"/>
    </row>
    <row r="6" spans="1:18" ht="15.75" thickBot="1" x14ac:dyDescent="0.3">
      <c r="A6" s="125" t="str">
        <f>IF(DEPL_RECEP[[#This Row],[J]]="CAT","FACTURE CAISSE","")</f>
        <v/>
      </c>
      <c r="B6" s="66"/>
      <c r="C6" s="67"/>
      <c r="D6" s="68"/>
      <c r="E6" s="69"/>
      <c r="F6" s="69"/>
      <c r="G6" s="126"/>
      <c r="H6" s="48"/>
      <c r="I6" s="17"/>
      <c r="J6" s="7"/>
      <c r="K6" s="12"/>
      <c r="L6" s="9"/>
      <c r="M6" s="10" t="str">
        <f>IF(AND(DEPL_RECEP[[#This Row],[FOURNISSEURS]]&gt;1,DEPL_RECEP[[#This Row],[Colonne2]]=""),"NON",IF(AND(DEPL_RECEP[[#This Row],[FOURNISSEURS]]&gt;1,DEPL_RECEP[[#This Row],[Colonne2]]="X"),"OUI",""))</f>
        <v/>
      </c>
      <c r="N6" s="5"/>
    </row>
    <row r="7" spans="1:18" ht="16.5" thickTop="1" thickBot="1" x14ac:dyDescent="0.3">
      <c r="A7" s="41" t="str">
        <f>IF(DEPL_RECEP[[#This Row],[J]]="CAT","FACTURE CAISSE","")</f>
        <v/>
      </c>
      <c r="B7" s="42"/>
      <c r="C7" s="43"/>
      <c r="D7" s="27"/>
      <c r="E7" s="44"/>
      <c r="F7" s="56"/>
      <c r="G7" s="45"/>
      <c r="H7" s="46"/>
      <c r="I7" s="17"/>
      <c r="J7" s="8"/>
      <c r="K7" s="13"/>
      <c r="L7" s="9"/>
      <c r="M7" s="11" t="str">
        <f>IF(AND(DEPL_RECEP[[#This Row],[FOURNISSEURS]]&gt;1,DEPL_RECEP[[#This Row],[Colonne2]]=""),"NON",IF(AND(DEPL_RECEP[[#This Row],[FOURNISSEURS]]&gt;1,DEPL_RECEP[[#This Row],[Colonne2]]="X"),"OUI",""))</f>
        <v/>
      </c>
      <c r="N7" s="5"/>
      <c r="R7" s="1" t="s">
        <v>6</v>
      </c>
    </row>
    <row r="8" spans="1:18" ht="16.5" thickTop="1" thickBot="1" x14ac:dyDescent="0.3">
      <c r="A8" s="19" t="str">
        <f>IF(DEPL_RECEP[[#This Row],[J]]="CAT","FACTURE CAISSE","")</f>
        <v/>
      </c>
      <c r="B8" s="32"/>
      <c r="C8" s="28"/>
      <c r="D8" s="33"/>
      <c r="E8" s="26"/>
      <c r="F8" s="57"/>
      <c r="G8" s="34"/>
      <c r="H8" s="35"/>
      <c r="I8" s="17"/>
      <c r="J8" s="8"/>
      <c r="K8" s="13"/>
      <c r="L8" s="9"/>
      <c r="M8" s="11" t="str">
        <f>IF(AND(DEPL_RECEP[[#This Row],[FOURNISSEURS]]&gt;1,DEPL_RECEP[[#This Row],[Colonne2]]=""),"NON",IF(AND(DEPL_RECEP[[#This Row],[FOURNISSEURS]]&gt;1,DEPL_RECEP[[#This Row],[Colonne2]]="X"),"OUI",""))</f>
        <v/>
      </c>
      <c r="N8" s="5"/>
      <c r="R8" s="1" t="s">
        <v>7</v>
      </c>
    </row>
    <row r="9" spans="1:18" ht="16.5" thickTop="1" thickBot="1" x14ac:dyDescent="0.3">
      <c r="A9" s="19" t="str">
        <f>IF(DEPL_RECEP[[#This Row],[J]]="CAT","FACTURE CAISSE","")</f>
        <v/>
      </c>
      <c r="B9" s="32"/>
      <c r="C9" s="28"/>
      <c r="D9" s="33"/>
      <c r="E9" s="26"/>
      <c r="F9" s="57"/>
      <c r="G9" s="34"/>
      <c r="H9" s="35"/>
      <c r="I9" s="17"/>
      <c r="J9" s="8"/>
      <c r="K9" s="13"/>
      <c r="L9" s="9"/>
      <c r="M9" s="11" t="str">
        <f>IF(AND(DEPL_RECEP[[#This Row],[FOURNISSEURS]]&gt;1,DEPL_RECEP[[#This Row],[Colonne2]]=""),"NON",IF(AND(DEPL_RECEP[[#This Row],[FOURNISSEURS]]&gt;1,DEPL_RECEP[[#This Row],[Colonne2]]="X"),"OUI",""))</f>
        <v/>
      </c>
      <c r="N9" s="5"/>
    </row>
    <row r="10" spans="1:18" ht="16.5" thickTop="1" thickBot="1" x14ac:dyDescent="0.3">
      <c r="A10" s="19" t="str">
        <f>IF(DEPL_RECEP[[#This Row],[J]]="CAT","FACTURE CAISSE","")</f>
        <v/>
      </c>
      <c r="B10" s="32"/>
      <c r="C10" s="28"/>
      <c r="D10" s="33"/>
      <c r="E10" s="26"/>
      <c r="F10" s="57"/>
      <c r="G10" s="34"/>
      <c r="H10" s="35"/>
      <c r="I10" s="17"/>
      <c r="J10" s="8"/>
      <c r="K10" s="13"/>
      <c r="L10" s="9"/>
      <c r="M10" s="11" t="str">
        <f>IF(AND(DEPL_RECEP[[#This Row],[FOURNISSEURS]]&gt;1,DEPL_RECEP[[#This Row],[Colonne2]]=""),"NON",IF(AND(DEPL_RECEP[[#This Row],[FOURNISSEURS]]&gt;1,DEPL_RECEP[[#This Row],[Colonne2]]="X"),"OUI",""))</f>
        <v/>
      </c>
      <c r="N10" s="5"/>
      <c r="R10" s="1" t="s">
        <v>2</v>
      </c>
    </row>
    <row r="11" spans="1:18" ht="16.5" thickTop="1" thickBot="1" x14ac:dyDescent="0.3">
      <c r="A11" s="19" t="str">
        <f>IF(DEPL_RECEP[[#This Row],[J]]="CAT","FACTURE CAISSE","")</f>
        <v/>
      </c>
      <c r="B11" s="32"/>
      <c r="C11" s="28"/>
      <c r="D11" s="33"/>
      <c r="E11" s="26"/>
      <c r="F11" s="57"/>
      <c r="G11" s="34"/>
      <c r="H11" s="35"/>
      <c r="I11" s="17"/>
      <c r="J11" s="8"/>
      <c r="K11" s="13"/>
      <c r="L11" s="9"/>
      <c r="M11" s="11" t="str">
        <f>IF(AND(DEPL_RECEP[[#This Row],[FOURNISSEURS]]&gt;1,DEPL_RECEP[[#This Row],[Colonne2]]=""),"NON",IF(AND(DEPL_RECEP[[#This Row],[FOURNISSEURS]]&gt;1,DEPL_RECEP[[#This Row],[Colonne2]]="X"),"OUI",""))</f>
        <v/>
      </c>
      <c r="N11" s="5"/>
    </row>
    <row r="12" spans="1:18" ht="16.5" thickTop="1" thickBot="1" x14ac:dyDescent="0.3">
      <c r="A12" s="19" t="str">
        <f>IF(DEPL_RECEP[[#This Row],[J]]="CAT","FACTURE CAISSE","")</f>
        <v/>
      </c>
      <c r="B12" s="32"/>
      <c r="C12" s="36"/>
      <c r="D12" s="37"/>
      <c r="E12" s="26"/>
      <c r="F12" s="57"/>
      <c r="G12" s="34"/>
      <c r="H12" s="35"/>
      <c r="I12" s="17"/>
      <c r="J12" s="8"/>
      <c r="K12" s="13"/>
      <c r="L12" s="9"/>
      <c r="M12" s="11" t="str">
        <f>IF(AND(DEPL_RECEP[[#This Row],[FOURNISSEURS]]&gt;1,DEPL_RECEP[[#This Row],[Colonne2]]=""),"NON",IF(AND(DEPL_RECEP[[#This Row],[FOURNISSEURS]]&gt;1,DEPL_RECEP[[#This Row],[Colonne2]]="X"),"OUI",""))</f>
        <v/>
      </c>
      <c r="N12" s="5"/>
    </row>
    <row r="13" spans="1:18" ht="16.5" thickTop="1" thickBot="1" x14ac:dyDescent="0.3">
      <c r="A13" s="19" t="str">
        <f>IF(DEPL_RECEP[[#This Row],[J]]="CAT","FACTURE CAISSE","")</f>
        <v/>
      </c>
      <c r="B13" s="32"/>
      <c r="C13" s="28"/>
      <c r="D13" s="33"/>
      <c r="E13" s="26"/>
      <c r="F13" s="57"/>
      <c r="G13" s="34"/>
      <c r="H13" s="35"/>
      <c r="I13" s="17"/>
      <c r="J13" s="8"/>
      <c r="K13" s="13"/>
      <c r="L13" s="9"/>
      <c r="M13" s="11" t="str">
        <f>IF(AND(DEPL_RECEP[[#This Row],[FOURNISSEURS]]&gt;1,DEPL_RECEP[[#This Row],[Colonne2]]=""),"NON",IF(AND(DEPL_RECEP[[#This Row],[FOURNISSEURS]]&gt;1,DEPL_RECEP[[#This Row],[Colonne2]]="X"),"OUI",""))</f>
        <v/>
      </c>
      <c r="N13" s="5"/>
    </row>
    <row r="14" spans="1:18" ht="16.5" thickTop="1" thickBot="1" x14ac:dyDescent="0.3">
      <c r="A14" s="19" t="str">
        <f>IF(DEPL_RECEP[[#This Row],[J]]="CAT","FACTURE CAISSE","")</f>
        <v/>
      </c>
      <c r="B14" s="32"/>
      <c r="C14" s="28"/>
      <c r="D14" s="33"/>
      <c r="E14" s="26"/>
      <c r="F14" s="57"/>
      <c r="G14" s="34"/>
      <c r="H14" s="35"/>
      <c r="I14" s="17"/>
      <c r="J14" s="8"/>
      <c r="K14" s="13"/>
      <c r="L14" s="9"/>
      <c r="M14" s="11" t="str">
        <f>IF(AND(DEPL_RECEP[[#This Row],[FOURNISSEURS]]&gt;1,DEPL_RECEP[[#This Row],[Colonne2]]=""),"NON",IF(AND(DEPL_RECEP[[#This Row],[FOURNISSEURS]]&gt;1,DEPL_RECEP[[#This Row],[Colonne2]]="X"),"OUI",""))</f>
        <v/>
      </c>
      <c r="N14" s="5"/>
    </row>
    <row r="15" spans="1:18" ht="16.5" thickTop="1" thickBot="1" x14ac:dyDescent="0.3">
      <c r="A15" s="19" t="str">
        <f>IF(DEPL_RECEP[[#This Row],[J]]="CAT","FACTURE CAISSE","")</f>
        <v/>
      </c>
      <c r="B15" s="32"/>
      <c r="C15" s="28"/>
      <c r="D15" s="33"/>
      <c r="E15" s="26"/>
      <c r="F15" s="57"/>
      <c r="G15" s="34"/>
      <c r="H15" s="35"/>
      <c r="I15" s="17"/>
      <c r="J15" s="8"/>
      <c r="K15" s="13"/>
      <c r="L15" s="9"/>
      <c r="M15" s="11" t="str">
        <f>IF(AND(DEPL_RECEP[[#This Row],[FOURNISSEURS]]&gt;1,DEPL_RECEP[[#This Row],[Colonne2]]=""),"NON",IF(AND(DEPL_RECEP[[#This Row],[FOURNISSEURS]]&gt;1,DEPL_RECEP[[#This Row],[Colonne2]]="X"),"OUI",""))</f>
        <v/>
      </c>
      <c r="N15" s="5"/>
    </row>
    <row r="16" spans="1:18" ht="16.5" thickTop="1" thickBot="1" x14ac:dyDescent="0.3">
      <c r="A16" s="19" t="str">
        <f>IF(DEPL_RECEP[[#This Row],[J]]="CAT","FACTURE CAISSE","")</f>
        <v/>
      </c>
      <c r="B16" s="32"/>
      <c r="C16" s="28"/>
      <c r="D16" s="33"/>
      <c r="E16" s="26"/>
      <c r="F16" s="57"/>
      <c r="G16" s="34"/>
      <c r="H16" s="35"/>
      <c r="I16" s="17"/>
      <c r="J16" s="8"/>
      <c r="K16" s="13"/>
      <c r="L16" s="9"/>
      <c r="M16" s="11" t="str">
        <f>IF(AND(DEPL_RECEP[[#This Row],[FOURNISSEURS]]&gt;1,DEPL_RECEP[[#This Row],[Colonne2]]=""),"NON",IF(AND(DEPL_RECEP[[#This Row],[FOURNISSEURS]]&gt;1,DEPL_RECEP[[#This Row],[Colonne2]]="X"),"OUI",""))</f>
        <v/>
      </c>
      <c r="N16" s="5"/>
    </row>
    <row r="17" spans="1:18" ht="16.5" thickTop="1" thickBot="1" x14ac:dyDescent="0.3">
      <c r="A17" s="19" t="str">
        <f>IF(DEPL_RECEP[[#This Row],[J]]="CAT","FACTURE CAISSE","")</f>
        <v/>
      </c>
      <c r="B17" s="32"/>
      <c r="C17" s="28"/>
      <c r="D17" s="33"/>
      <c r="E17" s="26"/>
      <c r="F17" s="57"/>
      <c r="G17" s="34"/>
      <c r="H17" s="35"/>
      <c r="I17" s="17"/>
      <c r="J17" s="8"/>
      <c r="K17" s="13"/>
      <c r="L17" s="9"/>
      <c r="M17" s="11" t="str">
        <f>IF(AND(DEPL_RECEP[[#This Row],[FOURNISSEURS]]&gt;1,DEPL_RECEP[[#This Row],[Colonne2]]=""),"NON",IF(AND(DEPL_RECEP[[#This Row],[FOURNISSEURS]]&gt;1,DEPL_RECEP[[#This Row],[Colonne2]]="X"),"OUI",""))</f>
        <v/>
      </c>
      <c r="N17" s="5"/>
    </row>
    <row r="18" spans="1:18" ht="16.5" thickTop="1" thickBot="1" x14ac:dyDescent="0.3">
      <c r="A18" s="19" t="str">
        <f>IF(DEPL_RECEP[[#This Row],[J]]="CAT","FACTURE CAISSE","")</f>
        <v/>
      </c>
      <c r="B18" s="32"/>
      <c r="C18" s="28"/>
      <c r="D18" s="33"/>
      <c r="E18" s="26"/>
      <c r="F18" s="57"/>
      <c r="G18" s="34"/>
      <c r="H18" s="35"/>
      <c r="I18" s="17"/>
      <c r="J18" s="8"/>
      <c r="K18" s="13"/>
      <c r="L18" s="9"/>
      <c r="M18" s="11" t="str">
        <f>IF(AND(DEPL_RECEP[[#This Row],[FOURNISSEURS]]&gt;1,DEPL_RECEP[[#This Row],[Colonne2]]=""),"NON",IF(AND(DEPL_RECEP[[#This Row],[FOURNISSEURS]]&gt;1,DEPL_RECEP[[#This Row],[Colonne2]]="X"),"OUI",""))</f>
        <v/>
      </c>
      <c r="N18" s="5"/>
    </row>
    <row r="19" spans="1:18" ht="16.5" thickTop="1" thickBot="1" x14ac:dyDescent="0.3">
      <c r="A19" s="19" t="str">
        <f>IF(DEPL_RECEP[[#This Row],[J]]="CAT","FACTURE CAISSE","")</f>
        <v/>
      </c>
      <c r="B19" s="32"/>
      <c r="C19" s="28"/>
      <c r="D19" s="33"/>
      <c r="E19" s="26"/>
      <c r="F19" s="57"/>
      <c r="G19" s="34"/>
      <c r="H19" s="35"/>
      <c r="I19" s="17"/>
      <c r="J19" s="8"/>
      <c r="K19" s="13"/>
      <c r="L19" s="9"/>
      <c r="M19" s="11" t="str">
        <f>IF(AND(DEPL_RECEP[[#This Row],[FOURNISSEURS]]&gt;1,DEPL_RECEP[[#This Row],[Colonne2]]=""),"NON",IF(AND(DEPL_RECEP[[#This Row],[FOURNISSEURS]]&gt;1,DEPL_RECEP[[#This Row],[Colonne2]]="X"),"OUI",""))</f>
        <v/>
      </c>
      <c r="N19" s="5"/>
    </row>
    <row r="20" spans="1:18" ht="16.5" thickTop="1" thickBot="1" x14ac:dyDescent="0.3">
      <c r="A20" s="19" t="str">
        <f>IF(DEPL_RECEP[[#This Row],[J]]="CAT","FACTURE CAISSE","")</f>
        <v/>
      </c>
      <c r="B20" s="32"/>
      <c r="C20" s="28"/>
      <c r="D20" s="33"/>
      <c r="E20" s="38"/>
      <c r="F20" s="58"/>
      <c r="G20" s="34"/>
      <c r="H20" s="35"/>
      <c r="I20" s="17"/>
      <c r="J20" s="8"/>
      <c r="K20" s="13"/>
      <c r="L20" s="9"/>
      <c r="M20" s="11" t="str">
        <f>IF(AND(DEPL_RECEP[[#This Row],[FOURNISSEURS]]&gt;1,DEPL_RECEP[[#This Row],[Colonne2]]=""),"NON",IF(AND(DEPL_RECEP[[#This Row],[FOURNISSEURS]]&gt;1,DEPL_RECEP[[#This Row],[Colonne2]]="X"),"OUI",""))</f>
        <v/>
      </c>
      <c r="N20" s="5"/>
    </row>
    <row r="21" spans="1:18" ht="16.5" thickTop="1" thickBot="1" x14ac:dyDescent="0.3">
      <c r="A21" s="19" t="str">
        <f>IF(DEPL_RECEP[[#This Row],[J]]="CAT","FACTURE CAISSE","")</f>
        <v/>
      </c>
      <c r="B21" s="32"/>
      <c r="C21" s="28"/>
      <c r="D21" s="33"/>
      <c r="E21" s="38"/>
      <c r="F21" s="58"/>
      <c r="G21" s="34"/>
      <c r="H21" s="35"/>
      <c r="I21" s="17"/>
      <c r="J21" s="8"/>
      <c r="K21" s="13"/>
      <c r="L21" s="9"/>
      <c r="M21" s="11" t="str">
        <f>IF(AND(DEPL_RECEP[[#This Row],[FOURNISSEURS]]&gt;1,DEPL_RECEP[[#This Row],[Colonne2]]=""),"NON",IF(AND(DEPL_RECEP[[#This Row],[FOURNISSEURS]]&gt;1,DEPL_RECEP[[#This Row],[Colonne2]]="X"),"OUI",""))</f>
        <v/>
      </c>
      <c r="N21" s="5"/>
    </row>
    <row r="22" spans="1:18" ht="16.5" thickTop="1" thickBot="1" x14ac:dyDescent="0.3">
      <c r="A22" s="19" t="str">
        <f>IF(DEPL_RECEP[[#This Row],[J]]="CAT","FACTURE CAISSE","")</f>
        <v/>
      </c>
      <c r="B22" s="32"/>
      <c r="C22" s="28"/>
      <c r="D22" s="33"/>
      <c r="E22" s="38"/>
      <c r="F22" s="58"/>
      <c r="G22" s="34"/>
      <c r="H22" s="35"/>
      <c r="I22" s="17"/>
      <c r="J22" s="8"/>
      <c r="K22" s="13"/>
      <c r="L22" s="9"/>
      <c r="M22" s="11" t="str">
        <f>IF(AND(DEPL_RECEP[[#This Row],[FOURNISSEURS]]&gt;1,DEPL_RECEP[[#This Row],[Colonne2]]=""),"NON",IF(AND(DEPL_RECEP[[#This Row],[FOURNISSEURS]]&gt;1,DEPL_RECEP[[#This Row],[Colonne2]]="X"),"OUI",""))</f>
        <v/>
      </c>
      <c r="N22" s="5"/>
    </row>
    <row r="23" spans="1:18" ht="16.5" thickTop="1" thickBot="1" x14ac:dyDescent="0.3">
      <c r="A23" s="19" t="str">
        <f>IF(DEPL_RECEP[[#This Row],[J]]="CAT","FACTURE CAISSE","")</f>
        <v/>
      </c>
      <c r="B23" s="32"/>
      <c r="C23" s="28"/>
      <c r="D23" s="33"/>
      <c r="E23" s="26"/>
      <c r="F23" s="57"/>
      <c r="G23" s="34"/>
      <c r="H23" s="35"/>
      <c r="I23" s="17"/>
      <c r="J23" s="8"/>
      <c r="K23" s="13"/>
      <c r="L23" s="9"/>
      <c r="M23" s="11" t="str">
        <f>IF(AND(DEPL_RECEP[[#This Row],[FOURNISSEURS]]&gt;1,DEPL_RECEP[[#This Row],[Colonne2]]=""),"NON",IF(AND(DEPL_RECEP[[#This Row],[FOURNISSEURS]]&gt;1,DEPL_RECEP[[#This Row],[Colonne2]]="X"),"OUI",""))</f>
        <v/>
      </c>
      <c r="N23" s="5"/>
    </row>
    <row r="24" spans="1:18" ht="15.75" thickTop="1" x14ac:dyDescent="0.25">
      <c r="A24" s="29" t="str">
        <f>IF(DEPL_RECEP[[#This Row],[J]]="CAT","FACTURE CAISSE","")</f>
        <v/>
      </c>
      <c r="B24" s="29"/>
      <c r="C24" s="29"/>
      <c r="D24" s="29"/>
      <c r="E24" s="39"/>
      <c r="F24" s="39"/>
      <c r="G24" s="154"/>
      <c r="H24" s="62"/>
      <c r="I24" s="17"/>
      <c r="J24" s="8"/>
      <c r="K24" s="13"/>
      <c r="L24" s="50"/>
      <c r="M24" s="11" t="str">
        <f>IF(AND(DEPL_RECEP[[#This Row],[FOURNISSEURS]]&gt;1,DEPL_RECEP[[#This Row],[Colonne2]]=""),"NON",IF(AND(DEPL_RECEP[[#This Row],[FOURNISSEURS]]&gt;1,DEPL_RECEP[[#This Row],[Colonne2]]="X"),"OUI",""))</f>
        <v/>
      </c>
      <c r="N24" s="5"/>
    </row>
    <row r="25" spans="1:18" x14ac:dyDescent="0.25">
      <c r="A25" s="70" t="s">
        <v>25</v>
      </c>
      <c r="B25" s="71"/>
      <c r="C25" s="71"/>
      <c r="D25" s="72"/>
      <c r="E25" s="73">
        <f>SUBTOTAL(109,DEPL_RECEP[DEBIT])</f>
        <v>0</v>
      </c>
      <c r="F25" s="73">
        <f>SUBTOTAL(109,DEPL_RECEP[CREDIT])</f>
        <v>0</v>
      </c>
      <c r="G25" s="74">
        <f>DEPL_RECEP[[#Totals],[DEBIT]]-DEPL_RECEP[[#Totals],[CREDIT]]</f>
        <v>0</v>
      </c>
      <c r="I25" s="30"/>
      <c r="J25" s="76" t="s">
        <v>26</v>
      </c>
      <c r="K25" s="73">
        <f>SUMIF(M6,"NON",DEPL_RECEP[MONTANT])</f>
        <v>0</v>
      </c>
      <c r="L25" s="77"/>
      <c r="M25" s="49"/>
      <c r="N25" s="75"/>
    </row>
    <row r="26" spans="1:18" ht="15.75" thickBot="1" x14ac:dyDescent="0.3">
      <c r="A26" s="5"/>
      <c r="B26" s="5"/>
      <c r="C26" s="5"/>
      <c r="D26" s="5"/>
      <c r="E26" s="6"/>
      <c r="F26" s="6"/>
      <c r="G26" s="5"/>
      <c r="H26" s="5"/>
      <c r="I26" s="5"/>
      <c r="J26" s="5"/>
      <c r="K26" s="5"/>
      <c r="L26" s="5"/>
      <c r="M26" s="5"/>
      <c r="N26" s="5"/>
    </row>
    <row r="27" spans="1:18" ht="20.25" thickTop="1" thickBot="1" x14ac:dyDescent="0.3">
      <c r="A27" s="180" t="str">
        <f>IF(E27=0,"BUDGET EPUISE",IF(E27&lt;=100,"ATTENTION VOTRE BUDGET A ATTEIND UN SEUIL D'ALERTE",IF(E27&lt;=F3,"TOTAL BUDGET RESTANT","")))</f>
        <v>TOTAL BUDGET RESTANT</v>
      </c>
      <c r="B27" s="180"/>
      <c r="C27" s="180"/>
      <c r="D27" s="180"/>
      <c r="E27" s="181">
        <f>IF(F3-DEPL_RECEP[[#Totals],[N° PIECE]]&lt;0,0,F3-DEPL_RECEP[[#Totals],[N° PIECE]])</f>
        <v>400</v>
      </c>
      <c r="F27" s="182"/>
      <c r="G27" s="183" t="s">
        <v>10</v>
      </c>
      <c r="H27" s="184"/>
      <c r="I27" s="184"/>
      <c r="J27" s="184"/>
      <c r="K27" s="185"/>
      <c r="L27" s="186">
        <f>E27-DEPL_RECEP[[#Totals],[MONTANT]]</f>
        <v>400</v>
      </c>
      <c r="M27" s="186"/>
      <c r="N27" s="5"/>
    </row>
    <row r="28" spans="1:18" ht="22.5" thickTop="1" thickBot="1" x14ac:dyDescent="0.3">
      <c r="A28" s="187" t="str">
        <f>IF(E28&gt;0,"DEPASSEMENT DE VOTRE BUDGET DE","")</f>
        <v>DEPASSEMENT DE VOTRE BUDGET DE</v>
      </c>
      <c r="B28" s="187"/>
      <c r="C28" s="187"/>
      <c r="D28" s="188"/>
      <c r="E28" s="189" t="str">
        <f>IF(E27=0,DEPL_RECEP[[#Totals],[N° PIECE]]-F3,"")</f>
        <v/>
      </c>
      <c r="F28" s="190"/>
      <c r="G28" s="191" t="str">
        <f>IF(L27&lt;0,"DEPASSEMENT DU BUDGET","")</f>
        <v/>
      </c>
      <c r="H28" s="191"/>
      <c r="I28" s="191"/>
      <c r="J28" s="191"/>
      <c r="K28" s="191"/>
      <c r="L28" s="191"/>
      <c r="M28" s="191"/>
      <c r="N28" s="5"/>
    </row>
    <row r="29" spans="1:18" ht="2.1" customHeight="1" thickTop="1" x14ac:dyDescent="0.25">
      <c r="A29" s="79"/>
      <c r="B29" s="79"/>
      <c r="C29" s="79"/>
      <c r="D29" s="79"/>
      <c r="E29" s="80"/>
      <c r="F29" s="80"/>
      <c r="G29" s="15"/>
      <c r="H29" s="15"/>
      <c r="I29" s="15"/>
      <c r="J29" s="15"/>
      <c r="K29" s="15"/>
      <c r="L29" s="15"/>
      <c r="M29" s="15"/>
      <c r="N29" s="5"/>
    </row>
    <row r="30" spans="1:18" ht="18.75" x14ac:dyDescent="0.25">
      <c r="A30" s="192"/>
      <c r="B30" s="192"/>
      <c r="C30" s="192"/>
      <c r="D30" s="192"/>
      <c r="E30" s="192"/>
      <c r="F30" s="53"/>
      <c r="G30" s="193"/>
      <c r="H30" s="193"/>
      <c r="I30" s="193"/>
      <c r="J30" s="193"/>
      <c r="K30" s="193"/>
      <c r="L30" s="193"/>
      <c r="M30" s="193"/>
      <c r="N30" s="193"/>
    </row>
    <row r="31" spans="1:18" ht="18.75" x14ac:dyDescent="0.3">
      <c r="A31" s="78" t="str">
        <f>IF(E36&gt;0,"VOUS AVEZ UN MESSAGE CI-DESSOUS, CLIQUEZ EN DESSOUS DE 'VU PAR LA CRECHE' QUAND VOUS L'AVEZ LU","")</f>
        <v/>
      </c>
      <c r="B31" s="78"/>
      <c r="C31" s="78"/>
      <c r="D31" s="78"/>
      <c r="E31" s="81"/>
      <c r="F31" s="81"/>
      <c r="G31" s="5"/>
      <c r="H31" s="5"/>
      <c r="I31" s="5"/>
      <c r="J31" s="5"/>
      <c r="K31" s="5"/>
      <c r="L31" s="5"/>
      <c r="M31" s="5"/>
      <c r="N31" s="5"/>
    </row>
    <row r="32" spans="1:18" ht="18.75" x14ac:dyDescent="0.3">
      <c r="A32" s="78" t="str">
        <f>IF(E54&gt;0,"VOUS AVEZ UNE REPONSE CI-DESSOUS, CLIQUEZ EN DESSOUS DE 'VU PAR LA CRECHE' QUAND VOUS L'AVEZ LU","")</f>
        <v/>
      </c>
      <c r="B32" s="78"/>
      <c r="C32" s="78"/>
      <c r="D32" s="78"/>
      <c r="E32" s="81"/>
      <c r="F32" s="81"/>
      <c r="G32" s="78"/>
      <c r="H32" s="78"/>
      <c r="I32" s="5"/>
      <c r="J32" s="5"/>
      <c r="K32" s="5"/>
      <c r="L32" s="5"/>
      <c r="M32" s="5"/>
      <c r="N32" s="5"/>
      <c r="R32" s="1" t="s">
        <v>6</v>
      </c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172" t="s">
        <v>11</v>
      </c>
      <c r="B34" s="172"/>
      <c r="C34" s="172"/>
      <c r="D34" s="172"/>
      <c r="E34" s="172" t="s">
        <v>12</v>
      </c>
      <c r="F34" s="172"/>
      <c r="G34" s="172"/>
      <c r="H34" s="172"/>
      <c r="J34" s="173" t="s">
        <v>15</v>
      </c>
    </row>
    <row r="35" spans="1:14" x14ac:dyDescent="0.25">
      <c r="A35" s="172"/>
      <c r="B35" s="172"/>
      <c r="C35" s="172"/>
      <c r="D35" s="172"/>
      <c r="E35" s="172"/>
      <c r="F35" s="172"/>
      <c r="G35" s="172"/>
      <c r="H35" s="172"/>
      <c r="J35" s="174"/>
    </row>
    <row r="36" spans="1:14" x14ac:dyDescent="0.25">
      <c r="A36" s="194"/>
      <c r="B36" s="194"/>
      <c r="C36" s="194"/>
      <c r="D36" s="194"/>
      <c r="E36" s="195"/>
      <c r="F36" s="195"/>
      <c r="G36" s="195"/>
      <c r="H36" s="195"/>
      <c r="J36" s="196"/>
    </row>
    <row r="37" spans="1:14" x14ac:dyDescent="0.25">
      <c r="A37" s="194"/>
      <c r="B37" s="194"/>
      <c r="C37" s="194"/>
      <c r="D37" s="194"/>
      <c r="E37" s="195"/>
      <c r="F37" s="195"/>
      <c r="G37" s="195"/>
      <c r="H37" s="195"/>
      <c r="J37" s="197"/>
    </row>
    <row r="38" spans="1:14" x14ac:dyDescent="0.25">
      <c r="A38" s="194"/>
      <c r="B38" s="194"/>
      <c r="C38" s="194"/>
      <c r="D38" s="194"/>
      <c r="E38" s="195"/>
      <c r="F38" s="195"/>
      <c r="G38" s="195"/>
      <c r="H38" s="195"/>
    </row>
    <row r="39" spans="1:14" x14ac:dyDescent="0.25">
      <c r="A39" s="194"/>
      <c r="B39" s="194"/>
      <c r="C39" s="194"/>
      <c r="D39" s="194"/>
      <c r="E39" s="195"/>
      <c r="F39" s="195"/>
      <c r="G39" s="195"/>
      <c r="H39" s="195"/>
    </row>
    <row r="40" spans="1:14" x14ac:dyDescent="0.25">
      <c r="A40" s="194"/>
      <c r="B40" s="194"/>
      <c r="C40" s="194"/>
      <c r="D40" s="194"/>
      <c r="E40" s="195"/>
      <c r="F40" s="195"/>
      <c r="G40" s="195"/>
      <c r="H40" s="195"/>
    </row>
    <row r="41" spans="1:14" x14ac:dyDescent="0.25">
      <c r="A41" s="194"/>
      <c r="B41" s="194"/>
      <c r="C41" s="194"/>
      <c r="D41" s="194"/>
      <c r="E41" s="195"/>
      <c r="F41" s="195"/>
      <c r="G41" s="195"/>
      <c r="H41" s="195"/>
    </row>
    <row r="42" spans="1:14" x14ac:dyDescent="0.25">
      <c r="A42" s="194"/>
      <c r="B42" s="194"/>
      <c r="C42" s="194"/>
      <c r="D42" s="194"/>
      <c r="E42" s="195"/>
      <c r="F42" s="195"/>
      <c r="G42" s="195"/>
      <c r="H42" s="195"/>
    </row>
    <row r="43" spans="1:14" x14ac:dyDescent="0.25">
      <c r="A43" s="194"/>
      <c r="B43" s="194"/>
      <c r="C43" s="194"/>
      <c r="D43" s="194"/>
      <c r="E43" s="195"/>
      <c r="F43" s="195"/>
      <c r="G43" s="195"/>
      <c r="H43" s="195"/>
    </row>
    <row r="44" spans="1:14" x14ac:dyDescent="0.25">
      <c r="A44" s="194"/>
      <c r="B44" s="194"/>
      <c r="C44" s="194"/>
      <c r="D44" s="194"/>
      <c r="E44" s="195"/>
      <c r="F44" s="195"/>
      <c r="G44" s="195"/>
      <c r="H44" s="195"/>
    </row>
    <row r="45" spans="1:14" x14ac:dyDescent="0.25">
      <c r="A45" s="194"/>
      <c r="B45" s="194"/>
      <c r="C45" s="194"/>
      <c r="D45" s="194"/>
      <c r="E45" s="195"/>
      <c r="F45" s="195"/>
      <c r="G45" s="195"/>
      <c r="H45" s="195"/>
    </row>
    <row r="46" spans="1:14" x14ac:dyDescent="0.25">
      <c r="A46" s="194"/>
      <c r="B46" s="194"/>
      <c r="C46" s="194"/>
      <c r="D46" s="194"/>
      <c r="E46" s="195"/>
      <c r="F46" s="195"/>
      <c r="G46" s="195"/>
      <c r="H46" s="195"/>
    </row>
    <row r="47" spans="1:14" x14ac:dyDescent="0.25">
      <c r="A47" s="194"/>
      <c r="B47" s="194"/>
      <c r="C47" s="194"/>
      <c r="D47" s="194"/>
      <c r="E47" s="195"/>
      <c r="F47" s="195"/>
      <c r="G47" s="195"/>
      <c r="H47" s="195"/>
    </row>
    <row r="48" spans="1:14" x14ac:dyDescent="0.25">
      <c r="A48" s="194"/>
      <c r="B48" s="194"/>
      <c r="C48" s="194"/>
      <c r="D48" s="194"/>
      <c r="E48" s="195"/>
      <c r="F48" s="195"/>
      <c r="G48" s="195"/>
      <c r="H48" s="195"/>
    </row>
    <row r="49" spans="1:10" x14ac:dyDescent="0.25">
      <c r="A49" s="194"/>
      <c r="B49" s="194"/>
      <c r="C49" s="194"/>
      <c r="D49" s="194"/>
      <c r="E49" s="195"/>
      <c r="F49" s="195"/>
      <c r="G49" s="195"/>
      <c r="H49" s="195"/>
    </row>
    <row r="50" spans="1:10" x14ac:dyDescent="0.25">
      <c r="A50" s="194"/>
      <c r="B50" s="194"/>
      <c r="C50" s="194"/>
      <c r="D50" s="194"/>
      <c r="E50" s="195"/>
      <c r="F50" s="195"/>
      <c r="G50" s="195"/>
      <c r="H50" s="195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</row>
    <row r="52" spans="1:10" x14ac:dyDescent="0.25">
      <c r="A52" s="172" t="s">
        <v>13</v>
      </c>
      <c r="B52" s="172"/>
      <c r="C52" s="172"/>
      <c r="D52" s="172"/>
      <c r="E52" s="172" t="s">
        <v>14</v>
      </c>
      <c r="F52" s="172"/>
      <c r="G52" s="172"/>
      <c r="H52" s="172"/>
      <c r="J52" s="173" t="s">
        <v>15</v>
      </c>
    </row>
    <row r="53" spans="1:10" x14ac:dyDescent="0.25">
      <c r="A53" s="172"/>
      <c r="B53" s="172"/>
      <c r="C53" s="172"/>
      <c r="D53" s="172"/>
      <c r="E53" s="172"/>
      <c r="F53" s="172"/>
      <c r="G53" s="172"/>
      <c r="H53" s="172"/>
      <c r="J53" s="174"/>
    </row>
    <row r="54" spans="1:10" x14ac:dyDescent="0.25">
      <c r="A54" s="194"/>
      <c r="B54" s="194"/>
      <c r="C54" s="194"/>
      <c r="D54" s="194"/>
      <c r="E54" s="195"/>
      <c r="F54" s="195"/>
      <c r="G54" s="195"/>
      <c r="H54" s="195"/>
      <c r="J54" s="196"/>
    </row>
    <row r="55" spans="1:10" x14ac:dyDescent="0.25">
      <c r="A55" s="194"/>
      <c r="B55" s="194"/>
      <c r="C55" s="194"/>
      <c r="D55" s="194"/>
      <c r="E55" s="195"/>
      <c r="F55" s="195"/>
      <c r="G55" s="195"/>
      <c r="H55" s="195"/>
      <c r="J55" s="197"/>
    </row>
    <row r="56" spans="1:10" x14ac:dyDescent="0.25">
      <c r="A56" s="194"/>
      <c r="B56" s="194"/>
      <c r="C56" s="194"/>
      <c r="D56" s="194"/>
      <c r="E56" s="195"/>
      <c r="F56" s="195"/>
      <c r="G56" s="195"/>
      <c r="H56" s="195"/>
    </row>
    <row r="57" spans="1:10" x14ac:dyDescent="0.25">
      <c r="A57" s="194"/>
      <c r="B57" s="194"/>
      <c r="C57" s="194"/>
      <c r="D57" s="194"/>
      <c r="E57" s="195"/>
      <c r="F57" s="195"/>
      <c r="G57" s="195"/>
      <c r="H57" s="195"/>
    </row>
    <row r="58" spans="1:10" x14ac:dyDescent="0.25">
      <c r="A58" s="194"/>
      <c r="B58" s="194"/>
      <c r="C58" s="194"/>
      <c r="D58" s="194"/>
      <c r="E58" s="195"/>
      <c r="F58" s="195"/>
      <c r="G58" s="195"/>
      <c r="H58" s="195"/>
    </row>
    <row r="59" spans="1:10" x14ac:dyDescent="0.25">
      <c r="A59" s="194"/>
      <c r="B59" s="194"/>
      <c r="C59" s="194"/>
      <c r="D59" s="194"/>
      <c r="E59" s="195"/>
      <c r="F59" s="195"/>
      <c r="G59" s="195"/>
      <c r="H59" s="195"/>
    </row>
    <row r="60" spans="1:10" x14ac:dyDescent="0.25">
      <c r="A60" s="194"/>
      <c r="B60" s="194"/>
      <c r="C60" s="194"/>
      <c r="D60" s="194"/>
      <c r="E60" s="195"/>
      <c r="F60" s="195"/>
      <c r="G60" s="195"/>
      <c r="H60" s="195"/>
    </row>
    <row r="61" spans="1:10" x14ac:dyDescent="0.25">
      <c r="A61" s="194"/>
      <c r="B61" s="194"/>
      <c r="C61" s="194"/>
      <c r="D61" s="194"/>
      <c r="E61" s="195"/>
      <c r="F61" s="195"/>
      <c r="G61" s="195"/>
      <c r="H61" s="195"/>
    </row>
    <row r="62" spans="1:10" x14ac:dyDescent="0.25">
      <c r="A62" s="194"/>
      <c r="B62" s="194"/>
      <c r="C62" s="194"/>
      <c r="D62" s="194"/>
      <c r="E62" s="195"/>
      <c r="F62" s="195"/>
      <c r="G62" s="195"/>
      <c r="H62" s="195"/>
    </row>
    <row r="63" spans="1:10" x14ac:dyDescent="0.25">
      <c r="A63" s="194"/>
      <c r="B63" s="194"/>
      <c r="C63" s="194"/>
      <c r="D63" s="194"/>
      <c r="E63" s="195"/>
      <c r="F63" s="195"/>
      <c r="G63" s="195"/>
      <c r="H63" s="195"/>
    </row>
    <row r="64" spans="1:10" x14ac:dyDescent="0.25">
      <c r="A64" s="194"/>
      <c r="B64" s="194"/>
      <c r="C64" s="194"/>
      <c r="D64" s="194"/>
      <c r="E64" s="195"/>
      <c r="F64" s="195"/>
      <c r="G64" s="195"/>
      <c r="H64" s="195"/>
    </row>
    <row r="65" spans="1:8" x14ac:dyDescent="0.25">
      <c r="A65" s="194"/>
      <c r="B65" s="194"/>
      <c r="C65" s="194"/>
      <c r="D65" s="194"/>
      <c r="E65" s="195"/>
      <c r="F65" s="195"/>
      <c r="G65" s="195"/>
      <c r="H65" s="195"/>
    </row>
    <row r="66" spans="1:8" x14ac:dyDescent="0.25">
      <c r="A66" s="194"/>
      <c r="B66" s="194"/>
      <c r="C66" s="194"/>
      <c r="D66" s="194"/>
      <c r="E66" s="195"/>
      <c r="F66" s="195"/>
      <c r="G66" s="195"/>
      <c r="H66" s="195"/>
    </row>
    <row r="67" spans="1:8" x14ac:dyDescent="0.25">
      <c r="A67" s="194"/>
      <c r="B67" s="194"/>
      <c r="C67" s="194"/>
      <c r="D67" s="194"/>
      <c r="E67" s="195"/>
      <c r="F67" s="195"/>
      <c r="G67" s="195"/>
      <c r="H67" s="195"/>
    </row>
    <row r="68" spans="1:8" x14ac:dyDescent="0.25">
      <c r="A68" s="194"/>
      <c r="B68" s="194"/>
      <c r="C68" s="194"/>
      <c r="D68" s="194"/>
      <c r="E68" s="195"/>
      <c r="F68" s="195"/>
      <c r="G68" s="195"/>
      <c r="H68" s="195"/>
    </row>
  </sheetData>
  <mergeCells count="24">
    <mergeCell ref="A54:D68"/>
    <mergeCell ref="E54:H68"/>
    <mergeCell ref="J54:J55"/>
    <mergeCell ref="A36:D50"/>
    <mergeCell ref="E36:H50"/>
    <mergeCell ref="J36:J37"/>
    <mergeCell ref="A52:D53"/>
    <mergeCell ref="E52:H53"/>
    <mergeCell ref="J52:J53"/>
    <mergeCell ref="A34:D35"/>
    <mergeCell ref="E34:H35"/>
    <mergeCell ref="J34:J35"/>
    <mergeCell ref="J1:M4"/>
    <mergeCell ref="F3:G3"/>
    <mergeCell ref="A4:H4"/>
    <mergeCell ref="A27:D27"/>
    <mergeCell ref="E27:F27"/>
    <mergeCell ref="G27:K27"/>
    <mergeCell ref="L27:M27"/>
    <mergeCell ref="A28:D28"/>
    <mergeCell ref="E28:F28"/>
    <mergeCell ref="G28:M28"/>
    <mergeCell ref="A30:E30"/>
    <mergeCell ref="G30:N30"/>
  </mergeCells>
  <conditionalFormatting sqref="A6:H24">
    <cfRule type="expression" dxfId="222" priority="22">
      <formula>MONTH($B7)=MONTH($B6)</formula>
    </cfRule>
  </conditionalFormatting>
  <conditionalFormatting sqref="J6:M24">
    <cfRule type="expression" dxfId="221" priority="18">
      <formula>$L6=""</formula>
    </cfRule>
    <cfRule type="expression" dxfId="220" priority="19">
      <formula>$L6="NON"</formula>
    </cfRule>
    <cfRule type="expression" dxfId="219" priority="21">
      <formula>$M6="OUI"</formula>
    </cfRule>
  </conditionalFormatting>
  <conditionalFormatting sqref="N6:N24">
    <cfRule type="expression" dxfId="218" priority="20">
      <formula>$N6="X"</formula>
    </cfRule>
  </conditionalFormatting>
  <conditionalFormatting sqref="J25:K25">
    <cfRule type="expression" dxfId="217" priority="17">
      <formula>$K$25=0</formula>
    </cfRule>
  </conditionalFormatting>
  <conditionalFormatting sqref="G27:M27">
    <cfRule type="expression" dxfId="216" priority="16">
      <formula>$K$25=0</formula>
    </cfRule>
  </conditionalFormatting>
  <conditionalFormatting sqref="E27">
    <cfRule type="expression" dxfId="215" priority="14">
      <formula>$E$27=0</formula>
    </cfRule>
    <cfRule type="expression" dxfId="214" priority="15">
      <formula>$E$27&gt;0</formula>
    </cfRule>
  </conditionalFormatting>
  <conditionalFormatting sqref="A27:D27">
    <cfRule type="expression" dxfId="213" priority="2">
      <formula>$E$27&lt;=100</formula>
    </cfRule>
    <cfRule type="expression" dxfId="212" priority="13">
      <formula>$E$27=0</formula>
    </cfRule>
  </conditionalFormatting>
  <conditionalFormatting sqref="J34:J35">
    <cfRule type="expression" dxfId="211" priority="11">
      <formula>$J$36="OUI"</formula>
    </cfRule>
    <cfRule type="expression" dxfId="210" priority="12">
      <formula>$E$36&gt;0</formula>
    </cfRule>
  </conditionalFormatting>
  <conditionalFormatting sqref="J36:J37">
    <cfRule type="expression" dxfId="209" priority="9">
      <formula>$J$36="OUI"</formula>
    </cfRule>
    <cfRule type="expression" dxfId="208" priority="10">
      <formula>$E$36&gt;0</formula>
    </cfRule>
  </conditionalFormatting>
  <conditionalFormatting sqref="J52:J53">
    <cfRule type="expression" dxfId="207" priority="7">
      <formula>$J$54="OUI"</formula>
    </cfRule>
    <cfRule type="expression" dxfId="206" priority="8">
      <formula>$E$54&gt;0</formula>
    </cfRule>
  </conditionalFormatting>
  <conditionalFormatting sqref="J54:J55">
    <cfRule type="expression" dxfId="205" priority="5">
      <formula>$J$54="OUI"</formula>
    </cfRule>
    <cfRule type="expression" dxfId="204" priority="6">
      <formula>$E$54&gt;0</formula>
    </cfRule>
  </conditionalFormatting>
  <conditionalFormatting sqref="L6:L24">
    <cfRule type="expression" dxfId="203" priority="3">
      <formula>$L6="OUI"</formula>
    </cfRule>
    <cfRule type="expression" dxfId="202" priority="4">
      <formula>$J6&gt;0</formula>
    </cfRule>
  </conditionalFormatting>
  <conditionalFormatting sqref="A31:H31">
    <cfRule type="expression" dxfId="201" priority="23">
      <formula>$J$36="OUI"</formula>
    </cfRule>
  </conditionalFormatting>
  <conditionalFormatting sqref="A32:H32">
    <cfRule type="expression" dxfId="200" priority="24">
      <formula>$J$54="OUI"</formula>
    </cfRule>
  </conditionalFormatting>
  <conditionalFormatting sqref="A28:F28">
    <cfRule type="expression" dxfId="199" priority="1">
      <formula>$E$27&gt;0</formula>
    </cfRule>
  </conditionalFormatting>
  <dataValidations count="3">
    <dataValidation type="list" allowBlank="1" showInputMessage="1" showErrorMessage="1" sqref="J36:J37 J54:J55">
      <formula1>$R$32:$R$33</formula1>
    </dataValidation>
    <dataValidation type="list" allowBlank="1" showInputMessage="1" showErrorMessage="1" sqref="L6:L24">
      <formula1>$R$7:$R$9</formula1>
    </dataValidation>
    <dataValidation type="list" allowBlank="1" showInputMessage="1" showErrorMessage="1" sqref="N6:N24">
      <formula1>$R$10:$R$11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BUDGET</vt:lpstr>
      <vt:lpstr>F.EDUC</vt:lpstr>
      <vt:lpstr>PT.EQUIP</vt:lpstr>
      <vt:lpstr>F.BUREAU</vt:lpstr>
      <vt:lpstr>LINGE</vt:lpstr>
      <vt:lpstr>AUTRE F.</vt:lpstr>
      <vt:lpstr>PHARMACIE</vt:lpstr>
      <vt:lpstr>P.ENTRETIEN</vt:lpstr>
      <vt:lpstr>CHANGE</vt:lpstr>
      <vt:lpstr>ALIM</vt:lpstr>
      <vt:lpstr>ANIM</vt:lpstr>
      <vt:lpstr>ENT.REP.</vt:lpstr>
      <vt:lpstr>HONORAIRES</vt:lpstr>
      <vt:lpstr>DEPL.RECEP.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2018-02-21T08:10:50Z</dcterms:created>
  <dcterms:modified xsi:type="dcterms:W3CDTF">2018-08-06T06:09:44Z</dcterms:modified>
</cp:coreProperties>
</file>