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570" windowHeight="8805"/>
  </bookViews>
  <sheets>
    <sheet name="Accueil" sheetId="2" r:id="rId1"/>
    <sheet name="BD" sheetId="1" r:id="rId2"/>
    <sheet name="FACTURE" sheetId="5" r:id="rId3"/>
    <sheet name="PRESTATAIRES" sheetId="4" r:id="rId4"/>
    <sheet name="SUIVI REGL." sheetId="6" r:id="rId5"/>
    <sheet name="SYNTHESE" sheetId="7" r:id="rId6"/>
  </sheets>
  <functionGroups builtInGroupCount="17"/>
  <definedNames>
    <definedName name="ListeNom">OFFSET(BD!#REF!,1,0,COUNTA(BD!#REF!)-1,1)</definedName>
    <definedName name="_xlnm.Print_Area" localSheetId="2">FACTURE!$A$1:$G$48</definedName>
  </definedNames>
  <calcPr calcId="145621"/>
</workbook>
</file>

<file path=xl/calcChain.xml><?xml version="1.0" encoding="utf-8"?>
<calcChain xmlns="http://schemas.openxmlformats.org/spreadsheetml/2006/main">
  <c r="G43" i="5" l="1"/>
  <c r="A1" i="2" l="1"/>
  <c r="B3" i="7"/>
  <c r="F4" i="5"/>
  <c r="F7" i="5" s="1"/>
  <c r="G4" i="5"/>
  <c r="B24" i="5"/>
  <c r="D20" i="5"/>
  <c r="A18" i="5"/>
  <c r="A17" i="5"/>
  <c r="A1" i="5"/>
  <c r="F5" i="5" l="1"/>
  <c r="F6" i="5"/>
  <c r="G15" i="7" l="1"/>
  <c r="G14" i="7"/>
  <c r="G13" i="7"/>
  <c r="G12" i="7"/>
  <c r="G11" i="7"/>
  <c r="C14" i="7"/>
  <c r="C13" i="7"/>
  <c r="C12" i="7"/>
  <c r="C11" i="7"/>
  <c r="C9" i="7"/>
  <c r="F15" i="7"/>
  <c r="F14" i="7"/>
  <c r="F13" i="7"/>
  <c r="F12" i="7"/>
  <c r="F11" i="7"/>
  <c r="F10" i="7"/>
  <c r="F9" i="7"/>
  <c r="F8" i="7"/>
  <c r="F7" i="7"/>
  <c r="B15" i="7"/>
  <c r="B14" i="7"/>
  <c r="B13" i="7"/>
  <c r="B12" i="7"/>
  <c r="B11" i="7"/>
  <c r="B10" i="7"/>
  <c r="B9" i="7"/>
  <c r="B8" i="7"/>
  <c r="B7" i="7"/>
  <c r="F16" i="7" l="1"/>
  <c r="B16" i="7"/>
  <c r="AE3" i="1" l="1"/>
  <c r="AE2" i="1"/>
  <c r="AE4" i="1"/>
  <c r="G10" i="7" s="1"/>
  <c r="AE5" i="1"/>
  <c r="G9" i="7" s="1"/>
  <c r="C15" i="7" l="1"/>
  <c r="C10" i="7"/>
  <c r="G7" i="7"/>
  <c r="C8" i="7"/>
  <c r="C3" i="7"/>
  <c r="C7" i="7"/>
  <c r="G8" i="7"/>
  <c r="O12" i="6"/>
  <c r="O26" i="6" s="1"/>
  <c r="O11" i="6"/>
  <c r="D39" i="6" s="1"/>
  <c r="O10" i="6"/>
  <c r="D38" i="6" s="1"/>
  <c r="O9" i="6"/>
  <c r="D37" i="6" s="1"/>
  <c r="O8" i="6"/>
  <c r="D36" i="6" s="1"/>
  <c r="O7" i="6"/>
  <c r="O21" i="6" s="1"/>
  <c r="O6" i="6"/>
  <c r="E34" i="6" s="1"/>
  <c r="O5" i="6"/>
  <c r="O19" i="6" s="1"/>
  <c r="N12" i="6"/>
  <c r="N26" i="6" s="1"/>
  <c r="N11" i="6"/>
  <c r="O25" i="6" s="1"/>
  <c r="N10" i="6"/>
  <c r="O24" i="6" s="1"/>
  <c r="N9" i="6"/>
  <c r="O23" i="6" s="1"/>
  <c r="N8" i="6"/>
  <c r="O22" i="6" s="1"/>
  <c r="N7" i="6"/>
  <c r="N21" i="6" s="1"/>
  <c r="N6" i="6"/>
  <c r="D34" i="6" s="1"/>
  <c r="N5" i="6"/>
  <c r="N19" i="6" s="1"/>
  <c r="M12" i="6"/>
  <c r="M26" i="6" s="1"/>
  <c r="M11" i="6"/>
  <c r="N25" i="6" s="1"/>
  <c r="M10" i="6"/>
  <c r="N24" i="6" s="1"/>
  <c r="M9" i="6"/>
  <c r="N23" i="6" s="1"/>
  <c r="M8" i="6"/>
  <c r="N22" i="6" s="1"/>
  <c r="M7" i="6"/>
  <c r="M21" i="6" s="1"/>
  <c r="M6" i="6"/>
  <c r="O20" i="6" s="1"/>
  <c r="M5" i="6"/>
  <c r="M19" i="6" s="1"/>
  <c r="L12" i="6"/>
  <c r="L26" i="6" s="1"/>
  <c r="L11" i="6"/>
  <c r="M25" i="6" s="1"/>
  <c r="L10" i="6"/>
  <c r="M24" i="6" s="1"/>
  <c r="L9" i="6"/>
  <c r="M23" i="6" s="1"/>
  <c r="L8" i="6"/>
  <c r="M22" i="6" s="1"/>
  <c r="L7" i="6"/>
  <c r="L21" i="6" s="1"/>
  <c r="L6" i="6"/>
  <c r="N20" i="6" s="1"/>
  <c r="L5" i="6"/>
  <c r="L19" i="6" s="1"/>
  <c r="K12" i="6"/>
  <c r="K26" i="6" s="1"/>
  <c r="K11" i="6"/>
  <c r="L25" i="6" s="1"/>
  <c r="K10" i="6"/>
  <c r="L24" i="6" s="1"/>
  <c r="K9" i="6"/>
  <c r="L23" i="6" s="1"/>
  <c r="K8" i="6"/>
  <c r="L22" i="6" s="1"/>
  <c r="K7" i="6"/>
  <c r="K21" i="6" s="1"/>
  <c r="K6" i="6"/>
  <c r="M20" i="6" s="1"/>
  <c r="K5" i="6"/>
  <c r="K19" i="6" s="1"/>
  <c r="J12" i="6"/>
  <c r="J26" i="6" s="1"/>
  <c r="J11" i="6"/>
  <c r="K25" i="6" s="1"/>
  <c r="J10" i="6"/>
  <c r="K24" i="6" s="1"/>
  <c r="J9" i="6"/>
  <c r="K23" i="6" s="1"/>
  <c r="J8" i="6"/>
  <c r="K22" i="6" s="1"/>
  <c r="J7" i="6"/>
  <c r="J21" i="6" s="1"/>
  <c r="J6" i="6"/>
  <c r="L20" i="6" s="1"/>
  <c r="J5" i="6"/>
  <c r="J19" i="6" s="1"/>
  <c r="I12" i="6"/>
  <c r="I26" i="6" s="1"/>
  <c r="I11" i="6"/>
  <c r="J25" i="6" s="1"/>
  <c r="I10" i="6"/>
  <c r="J24" i="6" s="1"/>
  <c r="I9" i="6"/>
  <c r="J23" i="6" s="1"/>
  <c r="I8" i="6"/>
  <c r="J22" i="6" s="1"/>
  <c r="I7" i="6"/>
  <c r="I21" i="6" s="1"/>
  <c r="I6" i="6"/>
  <c r="K20" i="6" s="1"/>
  <c r="I5" i="6"/>
  <c r="I19" i="6" s="1"/>
  <c r="H12" i="6"/>
  <c r="H26" i="6" s="1"/>
  <c r="H11" i="6"/>
  <c r="I25" i="6" s="1"/>
  <c r="H10" i="6"/>
  <c r="I24" i="6" s="1"/>
  <c r="H9" i="6"/>
  <c r="I23" i="6" s="1"/>
  <c r="H8" i="6"/>
  <c r="I22" i="6" s="1"/>
  <c r="H7" i="6"/>
  <c r="H21" i="6" s="1"/>
  <c r="H6" i="6"/>
  <c r="J20" i="6" s="1"/>
  <c r="H5" i="6"/>
  <c r="H19" i="6" s="1"/>
  <c r="G12" i="6"/>
  <c r="G26" i="6" s="1"/>
  <c r="G11" i="6"/>
  <c r="H25" i="6" s="1"/>
  <c r="G10" i="6"/>
  <c r="H24" i="6" s="1"/>
  <c r="G9" i="6"/>
  <c r="H23" i="6" s="1"/>
  <c r="G8" i="6"/>
  <c r="H22" i="6" s="1"/>
  <c r="G7" i="6"/>
  <c r="G21" i="6" s="1"/>
  <c r="G6" i="6"/>
  <c r="I20" i="6" s="1"/>
  <c r="G5" i="6"/>
  <c r="G19" i="6" s="1"/>
  <c r="F12" i="6"/>
  <c r="F11" i="6"/>
  <c r="G25" i="6" s="1"/>
  <c r="F10" i="6"/>
  <c r="G24" i="6" s="1"/>
  <c r="F9" i="6"/>
  <c r="G23" i="6" s="1"/>
  <c r="F8" i="6"/>
  <c r="G22" i="6" s="1"/>
  <c r="F7" i="6"/>
  <c r="F21" i="6" s="1"/>
  <c r="F6" i="6"/>
  <c r="H20" i="6" s="1"/>
  <c r="F5" i="6"/>
  <c r="F19" i="6" s="1"/>
  <c r="E12" i="6"/>
  <c r="E11" i="6"/>
  <c r="F25" i="6" s="1"/>
  <c r="E10" i="6"/>
  <c r="F24" i="6" s="1"/>
  <c r="E9" i="6"/>
  <c r="F23" i="6" s="1"/>
  <c r="E8" i="6"/>
  <c r="F22" i="6" s="1"/>
  <c r="E7" i="6"/>
  <c r="E21" i="6" s="1"/>
  <c r="E6" i="6"/>
  <c r="G20" i="6" s="1"/>
  <c r="E5" i="6"/>
  <c r="E19" i="6" s="1"/>
  <c r="D12" i="6"/>
  <c r="D26" i="6" s="1"/>
  <c r="D11" i="6"/>
  <c r="E25" i="6" s="1"/>
  <c r="D10" i="6"/>
  <c r="E24" i="6" s="1"/>
  <c r="D9" i="6"/>
  <c r="E23" i="6" s="1"/>
  <c r="D8" i="6"/>
  <c r="E22" i="6" s="1"/>
  <c r="D7" i="6"/>
  <c r="D21" i="6" s="1"/>
  <c r="D6" i="6"/>
  <c r="F20" i="6" s="1"/>
  <c r="D5" i="6"/>
  <c r="D19" i="6" s="1"/>
  <c r="F26" i="6" l="1"/>
  <c r="F27" i="6" s="1"/>
  <c r="E26" i="6"/>
  <c r="C16" i="7"/>
  <c r="G16" i="7"/>
  <c r="O41" i="6"/>
  <c r="N41" i="6"/>
  <c r="M41" i="6"/>
  <c r="L41" i="6"/>
  <c r="K41" i="6"/>
  <c r="J41" i="6"/>
  <c r="I41" i="6"/>
  <c r="H41" i="6"/>
  <c r="G41" i="6"/>
  <c r="F41" i="6"/>
  <c r="E41" i="6"/>
  <c r="D41" i="6"/>
  <c r="P40" i="6"/>
  <c r="P39" i="6"/>
  <c r="P38" i="6"/>
  <c r="P37" i="6"/>
  <c r="P36" i="6"/>
  <c r="P35" i="6"/>
  <c r="P34" i="6"/>
  <c r="P33" i="6"/>
  <c r="O27" i="6"/>
  <c r="N27" i="6"/>
  <c r="M27" i="6"/>
  <c r="L27" i="6"/>
  <c r="K27" i="6"/>
  <c r="J27" i="6"/>
  <c r="I27" i="6"/>
  <c r="H27" i="6"/>
  <c r="G27" i="6"/>
  <c r="E27" i="6"/>
  <c r="D27" i="6"/>
  <c r="P25" i="6"/>
  <c r="P24" i="6"/>
  <c r="P23" i="6"/>
  <c r="P22" i="6"/>
  <c r="P21" i="6"/>
  <c r="P20" i="6"/>
  <c r="P19" i="6"/>
  <c r="P26" i="6" l="1"/>
  <c r="P27" i="6" s="1"/>
  <c r="P41" i="6"/>
  <c r="O13" i="6"/>
  <c r="N13" i="6"/>
  <c r="M13" i="6"/>
  <c r="K13" i="6"/>
  <c r="J13" i="6"/>
  <c r="I13" i="6"/>
  <c r="G13" i="6"/>
  <c r="F13" i="6"/>
  <c r="E13" i="6"/>
  <c r="H13" i="6"/>
  <c r="L13" i="6"/>
  <c r="P6" i="6"/>
  <c r="P8" i="6"/>
  <c r="P10" i="6"/>
  <c r="P12" i="6"/>
  <c r="P5" i="6"/>
  <c r="P7" i="6"/>
  <c r="P9" i="6"/>
  <c r="P11" i="6"/>
  <c r="D13" i="6"/>
  <c r="P13" i="6" l="1"/>
  <c r="E15" i="5" l="1"/>
  <c r="F24" i="5"/>
  <c r="E24" i="5"/>
  <c r="D24" i="5"/>
  <c r="C24" i="5"/>
  <c r="E18" i="5"/>
  <c r="C18" i="5"/>
  <c r="E17" i="5"/>
  <c r="C17" i="5"/>
  <c r="C46" i="5"/>
  <c r="D46" i="5" s="1"/>
  <c r="C47" i="5" l="1"/>
  <c r="B1" i="6" l="1"/>
</calcChain>
</file>

<file path=xl/sharedStrings.xml><?xml version="1.0" encoding="utf-8"?>
<sst xmlns="http://schemas.openxmlformats.org/spreadsheetml/2006/main" count="276" uniqueCount="163">
  <si>
    <t>1 an(s) 11 mois 0 jours</t>
  </si>
  <si>
    <t>COMMANDE N° 1</t>
  </si>
  <si>
    <t>RESERVATION D'UN BERCEAU DU 01/09/2017 AU 31/08/2019</t>
  </si>
  <si>
    <t>TRIMESTRIEL ECHOIR</t>
  </si>
  <si>
    <t>ECOLE COLINE</t>
  </si>
  <si>
    <t>1 an(s) 2 mois 27 jours</t>
  </si>
  <si>
    <t>COMMANDE N° 20</t>
  </si>
  <si>
    <t>TRIMESTRIEL ECHU</t>
  </si>
  <si>
    <t>X</t>
  </si>
  <si>
    <t>1 an(s) 1 mois 13 jours</t>
  </si>
  <si>
    <t>RESERVATION D'UN BERCEAU DU 01/09/2017 AU 31/08/2018</t>
  </si>
  <si>
    <t>Etablissement1</t>
  </si>
  <si>
    <t>Prestataire2</t>
  </si>
  <si>
    <t>Prestataire4</t>
  </si>
  <si>
    <t>Prestataire1</t>
  </si>
  <si>
    <t>Foret</t>
  </si>
  <si>
    <t>Foret Lou</t>
  </si>
  <si>
    <t>Etablissement2</t>
  </si>
  <si>
    <t>Fleur</t>
  </si>
  <si>
    <t>Fleur Rose</t>
  </si>
  <si>
    <t>Famille</t>
  </si>
  <si>
    <t>Enfant</t>
  </si>
  <si>
    <t>Naissance</t>
  </si>
  <si>
    <t>Age</t>
  </si>
  <si>
    <t>N° de commande</t>
  </si>
  <si>
    <t>Descriptif</t>
  </si>
  <si>
    <t>Sortie</t>
  </si>
  <si>
    <t>Entrée</t>
  </si>
  <si>
    <t>Facturer</t>
  </si>
  <si>
    <t>Etablissement</t>
  </si>
  <si>
    <t>Prestataire</t>
  </si>
  <si>
    <t>Mode de règlement</t>
  </si>
  <si>
    <t>Contrat1</t>
  </si>
  <si>
    <t>Contrat2</t>
  </si>
  <si>
    <t>Contrat3</t>
  </si>
  <si>
    <t>Annuel</t>
  </si>
  <si>
    <t>Ecole</t>
  </si>
  <si>
    <t>MARS</t>
  </si>
  <si>
    <t>MAI</t>
  </si>
  <si>
    <t>JUIN</t>
  </si>
  <si>
    <t>AOUT</t>
  </si>
  <si>
    <t>TOTAL</t>
  </si>
  <si>
    <t>PRESTATAIRE 2</t>
  </si>
  <si>
    <t/>
  </si>
  <si>
    <t>PRESTATAIRE 1</t>
  </si>
  <si>
    <t>PRESTATAIRE 4</t>
  </si>
  <si>
    <t>DENOMINATION</t>
  </si>
  <si>
    <t>ADRESSE</t>
  </si>
  <si>
    <t>COMPLEMENT D'ADRESSE</t>
  </si>
  <si>
    <t>C.P - VILLE</t>
  </si>
  <si>
    <t>DELAI DE REGLEMENT</t>
  </si>
  <si>
    <t>Colonne1</t>
  </si>
  <si>
    <t>TEL</t>
  </si>
  <si>
    <t>CONTACT</t>
  </si>
  <si>
    <t>ADRESSE MAIL</t>
  </si>
  <si>
    <t>FACTURE  PAR MAIL</t>
  </si>
  <si>
    <t>CONTRAT 1</t>
  </si>
  <si>
    <t>CONTRAT 2</t>
  </si>
  <si>
    <t>CONTRAT 3</t>
  </si>
  <si>
    <t>13 avenue Tulipe</t>
  </si>
  <si>
    <t>CAMPAGNE VERTE</t>
  </si>
  <si>
    <t>13000 MARSEILLE</t>
  </si>
  <si>
    <t>MENSUEL ECHOIR</t>
  </si>
  <si>
    <t>à réception</t>
  </si>
  <si>
    <t>24 Allée de la montagne</t>
  </si>
  <si>
    <t>75000 PARIS</t>
  </si>
  <si>
    <t>jours</t>
  </si>
  <si>
    <t>PRESTATAIRE 3</t>
  </si>
  <si>
    <t>Place du moulin</t>
  </si>
  <si>
    <t>au grenier à blé</t>
  </si>
  <si>
    <t>83000 TOULON</t>
  </si>
  <si>
    <t>SEMESTRIEL ECHOIR</t>
  </si>
  <si>
    <t>18 chemin du soleil</t>
  </si>
  <si>
    <t>06000 NICE</t>
  </si>
  <si>
    <t>PRESTATAIRE 5</t>
  </si>
  <si>
    <t>ZI les Calanques</t>
  </si>
  <si>
    <t>15000 AURILLAC</t>
  </si>
  <si>
    <t>PRESTATAIRE 6</t>
  </si>
  <si>
    <t>88 Joli Bois</t>
  </si>
  <si>
    <t>69000 LYON</t>
  </si>
  <si>
    <t>MENSUEL ECHU</t>
  </si>
  <si>
    <t>PRESTATAIRE 7</t>
  </si>
  <si>
    <t>30 rue du Mont</t>
  </si>
  <si>
    <t>74000 ANNECY</t>
  </si>
  <si>
    <t>PRESTATAIRE 8</t>
  </si>
  <si>
    <t>Route de l'Espoir</t>
  </si>
  <si>
    <t>Le moral Bât 1</t>
  </si>
  <si>
    <t>19000 BRIVE</t>
  </si>
  <si>
    <t>00 00 00 00 00</t>
  </si>
  <si>
    <t>M. Untel</t>
  </si>
  <si>
    <t>untel@...</t>
  </si>
  <si>
    <t>MODE  DE          REGLEMENT</t>
  </si>
  <si>
    <t>Marseille le ,</t>
  </si>
  <si>
    <t>FACTURE N°</t>
  </si>
  <si>
    <t>DESIGNATION</t>
  </si>
  <si>
    <t>MONTANT</t>
  </si>
  <si>
    <t>Montant annuel :</t>
  </si>
  <si>
    <t>Famille :</t>
  </si>
  <si>
    <t>Enfant :</t>
  </si>
  <si>
    <t>Période facturée :</t>
  </si>
  <si>
    <t>NET. T.T.C.</t>
  </si>
  <si>
    <t>Association régi par la loi 1901, non assujettie à la TVA</t>
  </si>
  <si>
    <t>Virement à</t>
  </si>
  <si>
    <t xml:space="preserve">Échéance le </t>
  </si>
  <si>
    <t>ANNEE</t>
  </si>
  <si>
    <t xml:space="preserve">TABLEAU RECAPITULATIF DE LA FACTURATION </t>
  </si>
  <si>
    <t>PRESTATAIRES</t>
  </si>
  <si>
    <t>CONDITION  REGLEMENT</t>
  </si>
  <si>
    <t>JANV</t>
  </si>
  <si>
    <t>FEV</t>
  </si>
  <si>
    <t>AVR</t>
  </si>
  <si>
    <t>JUIL</t>
  </si>
  <si>
    <t>SEPT</t>
  </si>
  <si>
    <t>OCT</t>
  </si>
  <si>
    <t>NOV</t>
  </si>
  <si>
    <t>DEC</t>
  </si>
  <si>
    <t>PREVISIONNEL DES DECAISSEMENTS</t>
  </si>
  <si>
    <t>PREVISIONNEL DES DECAISSEMENTS N+1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</si>
  <si>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</si>
  <si>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</si>
  <si>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</si>
  <si>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</si>
  <si>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</si>
  <si>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</si>
  <si>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</si>
  <si>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</si>
  <si>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</si>
  <si>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</si>
  <si>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</si>
  <si>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</si>
  <si>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n-1</t>
  </si>
  <si>
    <t>n+1</t>
  </si>
  <si>
    <t>total</t>
  </si>
  <si>
    <t>x</t>
  </si>
  <si>
    <t>C:\Users\sandrine\Documents\FACTURATION TEST\Classeur1.pdf</t>
  </si>
  <si>
    <t>f.@hotmail.fr@yahoo.fr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</si>
  <si>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</si>
  <si>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</si>
  <si>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</si>
  <si>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</si>
  <si>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</si>
  <si>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</si>
  <si>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</si>
  <si>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</si>
  <si>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</si>
  <si>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</t>
  </si>
  <si>
    <t>BERCEAUX</t>
  </si>
  <si>
    <t>PRETATAIRE 1</t>
  </si>
  <si>
    <t>PRETATAIRE 2</t>
  </si>
  <si>
    <t>PRETATAIRE 3</t>
  </si>
  <si>
    <t>PRETATAIRE 4</t>
  </si>
  <si>
    <t>PRETATAIRE 5</t>
  </si>
  <si>
    <t>PRETATAIRE 6</t>
  </si>
  <si>
    <t>PRETATAIRE 7</t>
  </si>
  <si>
    <t>PRETATAIRE 8</t>
  </si>
  <si>
    <t>PRETATAIRE 9</t>
  </si>
  <si>
    <t>SYNTHESE PLACE RESERVATION</t>
  </si>
  <si>
    <t>anemone</t>
  </si>
  <si>
    <t>anemone marie</t>
  </si>
  <si>
    <t>Etablissement4</t>
  </si>
  <si>
    <t>Prestataire3</t>
  </si>
  <si>
    <t>Date de la dernière utilisation du fichier : mardi 21 août 2018 à 23:28</t>
  </si>
  <si>
    <t>Classeur1.pdf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</si>
</sst>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\ &quot;€&quot;"/>
    <numFmt numFmtId="166" formatCode="#,##0.00\ &quot;€&quot;"/>
    <numFmt numFmtId="167" formatCode="yyyy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6" fillId="0" borderId="0"/>
    <xf numFmtId="0" fontId="3" fillId="0" borderId="0"/>
    <xf numFmtId="0" fontId="6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150">
    <xf numFmtId="0" fontId="0" fillId="0" borderId="0" xfId="0"/>
    <xf numFmtId="0" fontId="4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5" fillId="2" borderId="0" xfId="0" applyFont="1" applyFill="1"/>
    <xf numFmtId="0" fontId="7" fillId="2" borderId="0" xfId="1" applyFill="1"/>
    <xf numFmtId="0" fontId="4" fillId="3" borderId="0" xfId="0" applyFont="1" applyFill="1"/>
    <xf numFmtId="14" fontId="4" fillId="3" borderId="0" xfId="0" applyNumberFormat="1" applyFont="1" applyFill="1"/>
    <xf numFmtId="14" fontId="9" fillId="2" borderId="0" xfId="0" applyNumberFormat="1" applyFont="1" applyFill="1" applyAlignment="1">
      <alignment horizontal="center" vertical="top"/>
    </xf>
    <xf numFmtId="0" fontId="1" fillId="0" borderId="2" xfId="7" applyBorder="1"/>
    <xf numFmtId="0" fontId="1" fillId="0" borderId="15" xfId="7" applyBorder="1"/>
    <xf numFmtId="0" fontId="1" fillId="0" borderId="6" xfId="7" applyBorder="1"/>
    <xf numFmtId="0" fontId="1" fillId="0" borderId="24" xfId="7" applyBorder="1"/>
    <xf numFmtId="0" fontId="1" fillId="0" borderId="8" xfId="7" applyBorder="1"/>
    <xf numFmtId="0" fontId="1" fillId="0" borderId="25" xfId="7" applyBorder="1" applyAlignment="1">
      <alignment horizontal="right" vertical="center"/>
    </xf>
    <xf numFmtId="0" fontId="1" fillId="0" borderId="26" xfId="7" applyBorder="1" applyAlignment="1">
      <alignment horizontal="right" vertical="center"/>
    </xf>
    <xf numFmtId="0" fontId="1" fillId="0" borderId="28" xfId="7" applyBorder="1"/>
    <xf numFmtId="0" fontId="1" fillId="0" borderId="29" xfId="7" applyBorder="1"/>
    <xf numFmtId="0" fontId="1" fillId="0" borderId="30" xfId="7" applyBorder="1"/>
    <xf numFmtId="0" fontId="1" fillId="0" borderId="29" xfId="7" applyBorder="1" applyAlignment="1">
      <alignment horizontal="center" vertical="center"/>
    </xf>
    <xf numFmtId="0" fontId="1" fillId="0" borderId="2" xfId="7" applyBorder="1" applyAlignment="1">
      <alignment horizontal="center" vertical="center"/>
    </xf>
    <xf numFmtId="0" fontId="1" fillId="0" borderId="24" xfId="7" applyBorder="1" applyAlignment="1">
      <alignment horizontal="center" vertical="center"/>
    </xf>
    <xf numFmtId="0" fontId="1" fillId="0" borderId="30" xfId="7" applyBorder="1" applyAlignment="1">
      <alignment horizontal="center" vertical="center"/>
    </xf>
    <xf numFmtId="0" fontId="1" fillId="0" borderId="33" xfId="7" applyBorder="1" applyAlignment="1">
      <alignment horizontal="center" vertical="center"/>
    </xf>
    <xf numFmtId="0" fontId="1" fillId="0" borderId="27" xfId="7" applyBorder="1" applyAlignment="1">
      <alignment horizontal="center" vertical="center"/>
    </xf>
    <xf numFmtId="0" fontId="1" fillId="0" borderId="31" xfId="7" applyBorder="1" applyAlignment="1">
      <alignment horizontal="center" vertical="center"/>
    </xf>
    <xf numFmtId="0" fontId="1" fillId="0" borderId="8" xfId="7" applyBorder="1" applyAlignment="1">
      <alignment horizontal="center" vertical="center"/>
    </xf>
    <xf numFmtId="0" fontId="1" fillId="0" borderId="27" xfId="7" applyBorder="1"/>
    <xf numFmtId="0" fontId="1" fillId="0" borderId="33" xfId="7" applyBorder="1"/>
    <xf numFmtId="0" fontId="1" fillId="0" borderId="31" xfId="7" applyBorder="1"/>
    <xf numFmtId="0" fontId="1" fillId="0" borderId="36" xfId="7" applyBorder="1"/>
    <xf numFmtId="0" fontId="1" fillId="0" borderId="9" xfId="7" applyBorder="1" applyAlignment="1">
      <alignment horizontal="center" vertical="center"/>
    </xf>
    <xf numFmtId="0" fontId="1" fillId="0" borderId="10" xfId="7" applyBorder="1"/>
    <xf numFmtId="0" fontId="1" fillId="0" borderId="9" xfId="7" applyBorder="1"/>
    <xf numFmtId="0" fontId="1" fillId="0" borderId="35" xfId="7" applyBorder="1" applyAlignment="1">
      <alignment horizontal="right" vertical="center"/>
    </xf>
    <xf numFmtId="0" fontId="1" fillId="0" borderId="35" xfId="7" applyBorder="1"/>
    <xf numFmtId="0" fontId="13" fillId="4" borderId="7" xfId="7" applyFont="1" applyFill="1" applyBorder="1" applyAlignment="1">
      <alignment horizontal="center" vertical="center"/>
    </xf>
    <xf numFmtId="0" fontId="13" fillId="4" borderId="32" xfId="7" applyFont="1" applyFill="1" applyBorder="1" applyAlignment="1">
      <alignment horizontal="center" vertical="center"/>
    </xf>
    <xf numFmtId="0" fontId="13" fillId="4" borderId="32" xfId="7" applyFont="1" applyFill="1" applyBorder="1" applyAlignment="1">
      <alignment horizontal="center" vertical="center" wrapText="1"/>
    </xf>
    <xf numFmtId="0" fontId="13" fillId="4" borderId="34" xfId="7" applyFont="1" applyFill="1" applyBorder="1" applyAlignment="1">
      <alignment horizontal="center" vertical="center" wrapText="1"/>
    </xf>
    <xf numFmtId="0" fontId="13" fillId="4" borderId="7" xfId="7" applyFont="1" applyFill="1" applyBorder="1" applyAlignment="1">
      <alignment horizontal="center" vertical="center" wrapText="1"/>
    </xf>
    <xf numFmtId="0" fontId="13" fillId="4" borderId="34" xfId="7" applyFont="1" applyFill="1" applyBorder="1" applyAlignment="1">
      <alignment horizontal="center" vertical="center"/>
    </xf>
    <xf numFmtId="0" fontId="1" fillId="0" borderId="0" xfId="7"/>
    <xf numFmtId="0" fontId="1" fillId="0" borderId="0" xfId="7" applyBorder="1"/>
    <xf numFmtId="0" fontId="8" fillId="0" borderId="1" xfId="7" applyFont="1" applyBorder="1" applyAlignment="1">
      <alignment horizontal="center" vertical="center"/>
    </xf>
    <xf numFmtId="0" fontId="1" fillId="0" borderId="4" xfId="7" applyBorder="1"/>
    <xf numFmtId="0" fontId="1" fillId="0" borderId="15" xfId="7" applyBorder="1"/>
    <xf numFmtId="0" fontId="1" fillId="0" borderId="6" xfId="7" applyBorder="1"/>
    <xf numFmtId="0" fontId="1" fillId="0" borderId="19" xfId="7" applyBorder="1"/>
    <xf numFmtId="0" fontId="1" fillId="0" borderId="20" xfId="7" applyBorder="1"/>
    <xf numFmtId="0" fontId="1" fillId="0" borderId="21" xfId="7" applyBorder="1"/>
    <xf numFmtId="0" fontId="8" fillId="0" borderId="15" xfId="7" applyFont="1" applyBorder="1"/>
    <xf numFmtId="165" fontId="1" fillId="0" borderId="0" xfId="7" applyNumberFormat="1" applyBorder="1" applyAlignment="1">
      <alignment horizontal="center" vertical="center"/>
    </xf>
    <xf numFmtId="4" fontId="1" fillId="0" borderId="18" xfId="7" applyNumberForma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2" fillId="0" borderId="12" xfId="7" applyFont="1" applyBorder="1" applyAlignment="1">
      <alignment horizontal="center" vertical="center"/>
    </xf>
    <xf numFmtId="0" fontId="1" fillId="0" borderId="4" xfId="7" applyBorder="1" applyAlignment="1">
      <alignment horizontal="left" vertical="center"/>
    </xf>
    <xf numFmtId="0" fontId="1" fillId="0" borderId="11" xfId="7" applyBorder="1" applyAlignment="1">
      <alignment horizontal="right" vertical="center"/>
    </xf>
    <xf numFmtId="164" fontId="1" fillId="0" borderId="0" xfId="7" applyNumberFormat="1" applyAlignment="1">
      <alignment horizontal="left" vertical="center"/>
    </xf>
    <xf numFmtId="0" fontId="12" fillId="0" borderId="12" xfId="7" applyFont="1" applyBorder="1" applyAlignment="1">
      <alignment horizontal="left" vertical="center"/>
    </xf>
    <xf numFmtId="166" fontId="1" fillId="0" borderId="0" xfId="7" applyNumberFormat="1" applyBorder="1" applyAlignment="1">
      <alignment horizontal="center" vertical="center"/>
    </xf>
    <xf numFmtId="4" fontId="1" fillId="0" borderId="6" xfId="7" applyNumberFormat="1" applyBorder="1" applyAlignment="1">
      <alignment horizontal="center" vertical="center"/>
    </xf>
    <xf numFmtId="4" fontId="1" fillId="0" borderId="21" xfId="7" applyNumberFormat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0" fontId="12" fillId="2" borderId="0" xfId="0" applyFont="1" applyFill="1"/>
    <xf numFmtId="0" fontId="15" fillId="2" borderId="0" xfId="0" applyFont="1" applyFill="1"/>
    <xf numFmtId="0" fontId="12" fillId="0" borderId="0" xfId="0" applyFont="1"/>
    <xf numFmtId="0" fontId="16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Continuous" vertical="center"/>
    </xf>
    <xf numFmtId="14" fontId="17" fillId="2" borderId="0" xfId="0" applyNumberFormat="1" applyFont="1" applyFill="1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0" fontId="0" fillId="0" borderId="29" xfId="0" applyBorder="1"/>
    <xf numFmtId="4" fontId="0" fillId="0" borderId="29" xfId="0" applyNumberFormat="1" applyBorder="1" applyAlignment="1">
      <alignment horizontal="center" vertical="center"/>
    </xf>
    <xf numFmtId="0" fontId="0" fillId="0" borderId="2" xfId="0" applyBorder="1"/>
    <xf numFmtId="4" fontId="0" fillId="0" borderId="2" xfId="0" applyNumberFormat="1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0" fillId="5" borderId="3" xfId="0" applyFill="1" applyBorder="1"/>
    <xf numFmtId="0" fontId="0" fillId="5" borderId="29" xfId="0" applyFill="1" applyBorder="1"/>
    <xf numFmtId="4" fontId="0" fillId="5" borderId="29" xfId="0" applyNumberFormat="1" applyFill="1" applyBorder="1" applyAlignment="1">
      <alignment horizontal="center" vertical="center"/>
    </xf>
    <xf numFmtId="0" fontId="19" fillId="4" borderId="1" xfId="0" applyFont="1" applyFill="1" applyBorder="1"/>
    <xf numFmtId="0" fontId="19" fillId="4" borderId="1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Continuous" vertical="center"/>
    </xf>
    <xf numFmtId="0" fontId="19" fillId="4" borderId="12" xfId="0" applyFont="1" applyFill="1" applyBorder="1" applyAlignment="1">
      <alignment horizontal="centerContinuous" vertical="center"/>
    </xf>
    <xf numFmtId="0" fontId="19" fillId="4" borderId="4" xfId="0" applyFont="1" applyFill="1" applyBorder="1" applyAlignment="1">
      <alignment horizontal="centerContinuous" vertical="center"/>
    </xf>
    <xf numFmtId="4" fontId="19" fillId="4" borderId="1" xfId="0" applyNumberFormat="1" applyFont="1" applyFill="1" applyBorder="1" applyAlignment="1">
      <alignment horizontal="center" vertical="center"/>
    </xf>
    <xf numFmtId="4" fontId="19" fillId="5" borderId="29" xfId="0" applyNumberFormat="1" applyFont="1" applyFill="1" applyBorder="1" applyAlignment="1">
      <alignment horizontal="center" vertical="center"/>
    </xf>
    <xf numFmtId="4" fontId="19" fillId="0" borderId="2" xfId="0" applyNumberFormat="1" applyFont="1" applyBorder="1" applyAlignment="1">
      <alignment horizontal="center" vertical="center"/>
    </xf>
    <xf numFmtId="4" fontId="19" fillId="0" borderId="32" xfId="0" applyNumberFormat="1" applyFont="1" applyBorder="1" applyAlignment="1">
      <alignment horizontal="center" vertical="center"/>
    </xf>
    <xf numFmtId="4" fontId="19" fillId="0" borderId="29" xfId="0" applyNumberFormat="1" applyFont="1" applyBorder="1" applyAlignment="1">
      <alignment horizontal="center" vertical="center"/>
    </xf>
    <xf numFmtId="0" fontId="7" fillId="3" borderId="0" xfId="1" applyFill="1"/>
    <xf numFmtId="0" fontId="20" fillId="0" borderId="0" xfId="0" applyFont="1"/>
    <xf numFmtId="0" fontId="20" fillId="5" borderId="1" xfId="0" applyFont="1" applyFill="1" applyBorder="1"/>
    <xf numFmtId="0" fontId="20" fillId="6" borderId="1" xfId="0" applyFont="1" applyFill="1" applyBorder="1"/>
    <xf numFmtId="0" fontId="21" fillId="4" borderId="1" xfId="0" applyFont="1" applyFill="1" applyBorder="1" applyAlignment="1">
      <alignment horizontal="center" vertical="center"/>
    </xf>
    <xf numFmtId="1" fontId="21" fillId="4" borderId="1" xfId="0" applyNumberFormat="1" applyFont="1" applyFill="1" applyBorder="1" applyAlignment="1">
      <alignment horizontal="center" vertical="center"/>
    </xf>
    <xf numFmtId="4" fontId="21" fillId="4" borderId="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7" fontId="22" fillId="0" borderId="0" xfId="0" applyNumberFormat="1" applyFont="1" applyAlignment="1">
      <alignment horizontal="left"/>
    </xf>
    <xf numFmtId="1" fontId="20" fillId="5" borderId="1" xfId="0" applyNumberFormat="1" applyFont="1" applyFill="1" applyBorder="1" applyAlignment="1">
      <alignment horizontal="center" vertical="center"/>
    </xf>
    <xf numFmtId="1" fontId="20" fillId="6" borderId="1" xfId="0" applyNumberFormat="1" applyFont="1" applyFill="1" applyBorder="1" applyAlignment="1">
      <alignment horizontal="center" vertical="center"/>
    </xf>
    <xf numFmtId="4" fontId="20" fillId="5" borderId="1" xfId="0" applyNumberFormat="1" applyFont="1" applyFill="1" applyBorder="1" applyAlignment="1">
      <alignment horizontal="center" vertical="center"/>
    </xf>
    <xf numFmtId="4" fontId="20" fillId="6" borderId="1" xfId="0" applyNumberFormat="1" applyFont="1" applyFill="1" applyBorder="1" applyAlignment="1">
      <alignment horizontal="center" vertical="center"/>
    </xf>
    <xf numFmtId="14" fontId="23" fillId="0" borderId="0" xfId="0" applyNumberFormat="1" applyFont="1"/>
    <xf numFmtId="0" fontId="24" fillId="0" borderId="0" xfId="0" applyFont="1"/>
    <xf numFmtId="14" fontId="24" fillId="0" borderId="0" xfId="0" applyNumberFormat="1" applyFont="1"/>
    <xf numFmtId="4" fontId="24" fillId="0" borderId="0" xfId="0" applyNumberFormat="1" applyFont="1"/>
    <xf numFmtId="4" fontId="23" fillId="0" borderId="0" xfId="0" applyNumberFormat="1" applyFont="1"/>
    <xf numFmtId="0" fontId="23" fillId="0" borderId="0" xfId="0" applyFont="1"/>
    <xf numFmtId="0" fontId="1" fillId="0" borderId="11" xfId="7" applyBorder="1" applyAlignment="1">
      <alignment horizontal="center"/>
    </xf>
    <xf numFmtId="0" fontId="1" fillId="0" borderId="4" xfId="7" applyBorder="1" applyAlignment="1">
      <alignment horizontal="center"/>
    </xf>
    <xf numFmtId="0" fontId="1" fillId="0" borderId="11" xfId="7" applyBorder="1" applyAlignment="1">
      <alignment horizontal="center" vertical="center"/>
    </xf>
    <xf numFmtId="0" fontId="1" fillId="0" borderId="4" xfId="7" applyBorder="1" applyAlignment="1">
      <alignment horizontal="center" vertical="center"/>
    </xf>
    <xf numFmtId="14" fontId="1" fillId="0" borderId="11" xfId="7" applyNumberFormat="1" applyBorder="1" applyAlignment="1">
      <alignment horizontal="center" vertical="center"/>
    </xf>
    <xf numFmtId="14" fontId="1" fillId="0" borderId="4" xfId="7" applyNumberFormat="1" applyBorder="1" applyAlignment="1">
      <alignment horizontal="center" vertical="center"/>
    </xf>
    <xf numFmtId="0" fontId="8" fillId="0" borderId="16" xfId="7" applyFont="1" applyBorder="1" applyAlignment="1">
      <alignment horizontal="center" vertical="center"/>
    </xf>
    <xf numFmtId="0" fontId="8" fillId="0" borderId="17" xfId="7" applyFont="1" applyBorder="1" applyAlignment="1">
      <alignment horizontal="center" vertical="center"/>
    </xf>
    <xf numFmtId="0" fontId="8" fillId="0" borderId="22" xfId="7" applyFont="1" applyBorder="1" applyAlignment="1">
      <alignment horizontal="center" vertical="center"/>
    </xf>
    <xf numFmtId="0" fontId="10" fillId="0" borderId="23" xfId="7" applyFont="1" applyBorder="1" applyAlignment="1">
      <alignment horizontal="center" vertical="center"/>
    </xf>
    <xf numFmtId="0" fontId="1" fillId="0" borderId="15" xfId="7" applyBorder="1" applyAlignment="1">
      <alignment horizontal="left" vertical="center"/>
    </xf>
    <xf numFmtId="0" fontId="1" fillId="0" borderId="0" xfId="7" applyBorder="1" applyAlignment="1">
      <alignment horizontal="left" vertical="center"/>
    </xf>
    <xf numFmtId="0" fontId="1" fillId="0" borderId="6" xfId="7" applyBorder="1" applyAlignment="1">
      <alignment horizontal="left" vertical="center"/>
    </xf>
    <xf numFmtId="0" fontId="8" fillId="0" borderId="15" xfId="7" applyFont="1" applyBorder="1" applyAlignment="1">
      <alignment horizontal="center" vertical="center"/>
    </xf>
    <xf numFmtId="0" fontId="8" fillId="0" borderId="0" xfId="7" applyFont="1" applyBorder="1" applyAlignment="1">
      <alignment horizontal="center" vertical="center"/>
    </xf>
    <xf numFmtId="0" fontId="8" fillId="0" borderId="15" xfId="7" applyFont="1" applyBorder="1" applyAlignment="1">
      <alignment horizontal="left" vertical="center"/>
    </xf>
    <xf numFmtId="0" fontId="8" fillId="0" borderId="0" xfId="7" applyFont="1" applyBorder="1" applyAlignment="1">
      <alignment horizontal="left" vertical="center"/>
    </xf>
    <xf numFmtId="0" fontId="8" fillId="0" borderId="6" xfId="7" applyFont="1" applyBorder="1" applyAlignment="1">
      <alignment horizontal="left" vertical="center"/>
    </xf>
    <xf numFmtId="0" fontId="1" fillId="0" borderId="15" xfId="7" applyBorder="1" applyAlignment="1">
      <alignment horizontal="center" vertical="center"/>
    </xf>
    <xf numFmtId="0" fontId="1" fillId="0" borderId="0" xfId="7" applyBorder="1" applyAlignment="1">
      <alignment horizontal="center" vertical="center"/>
    </xf>
    <xf numFmtId="0" fontId="1" fillId="0" borderId="6" xfId="7" applyBorder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1" fillId="0" borderId="15" xfId="7" applyBorder="1" applyAlignment="1">
      <alignment horizontal="center"/>
    </xf>
    <xf numFmtId="0" fontId="1" fillId="0" borderId="0" xfId="7" applyBorder="1" applyAlignment="1">
      <alignment horizontal="center"/>
    </xf>
    <xf numFmtId="0" fontId="1" fillId="0" borderId="6" xfId="7" applyBorder="1" applyAlignment="1">
      <alignment horizontal="center"/>
    </xf>
    <xf numFmtId="0" fontId="8" fillId="0" borderId="11" xfId="7" applyFont="1" applyBorder="1" applyAlignment="1">
      <alignment horizontal="center" vertical="center"/>
    </xf>
    <xf numFmtId="0" fontId="8" fillId="0" borderId="12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8" fillId="0" borderId="1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2" fillId="0" borderId="11" xfId="7" applyFont="1" applyBorder="1" applyAlignment="1">
      <alignment horizontal="right" vertical="center"/>
    </xf>
    <xf numFmtId="0" fontId="12" fillId="0" borderId="12" xfId="7" applyFont="1" applyBorder="1" applyAlignment="1">
      <alignment horizontal="right" vertical="center"/>
    </xf>
    <xf numFmtId="0" fontId="19" fillId="4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</cellXfs>
  <cellStyles count="8">
    <cellStyle name="Lien hypertexte" xfId="1" builtinId="8"/>
    <cellStyle name="Normal" xfId="0" builtinId="0"/>
    <cellStyle name="Normal 2" xfId="2"/>
    <cellStyle name="Normal 2 2" xfId="3"/>
    <cellStyle name="Normal 3" xfId="4"/>
    <cellStyle name="Normal 4" xfId="6"/>
    <cellStyle name="Normal 5" xfId="7"/>
    <cellStyle name="Pourcentage 2" xfId="5"/>
  </cellStyles>
  <dxfs count="58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/>
        <i val="0"/>
        <color theme="5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0</xdr:rowOff>
    </xdr:from>
    <xdr:to>
      <xdr:col>12</xdr:col>
      <xdr:colOff>19050</xdr:colOff>
      <xdr:row>1</xdr:row>
      <xdr:rowOff>5191125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85825"/>
          <a:ext cx="6810375" cy="5191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13</xdr:row>
      <xdr:rowOff>161925</xdr:rowOff>
    </xdr:from>
    <xdr:to>
      <xdr:col>11</xdr:col>
      <xdr:colOff>304800</xdr:colOff>
      <xdr:row>14</xdr:row>
      <xdr:rowOff>584073</xdr:rowOff>
    </xdr:to>
    <xdr:sp macro="[0]!ENREGISTRER" textlink="">
      <xdr:nvSpPr>
        <xdr:cNvPr id="2" name="Ruban vers le haut 1"/>
        <xdr:cNvSpPr/>
      </xdr:nvSpPr>
      <xdr:spPr>
        <a:xfrm>
          <a:off x="7943849" y="2724150"/>
          <a:ext cx="1419226" cy="612648"/>
        </a:xfrm>
        <a:prstGeom prst="ribbon2">
          <a:avLst/>
        </a:prstGeom>
        <a:scene3d>
          <a:camera prst="obliqueBottomRight"/>
          <a:lightRig rig="threePt" dir="t"/>
        </a:scene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prstTxWarp prst="textDeflate">
            <a:avLst/>
          </a:prstTxWarp>
        </a:bodyPr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171450</xdr:rowOff>
        </xdr:from>
        <xdr:to>
          <xdr:col>10</xdr:col>
          <xdr:colOff>752475</xdr:colOff>
          <xdr:row>12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Format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Nombre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7" name="Tableau1" displayName="Tableau1" ref="A1:AE5" totalsRowShown="0" headerRowDxfId="56" dataDxfId="55">
  <autoFilter ref="A1:AE5"/>
  <sortState ref="A2:AE5">
    <sortCondition ref="A2"/>
  </sortState>
  <tableColumns count="31">
    <tableColumn id="1" name="Famille" dataDxfId="54"/>
    <tableColumn id="2" name="Enfant" dataDxfId="53"/>
    <tableColumn id="3" name="Naissance" dataDxfId="52"/>
    <tableColumn id="4" name="Age" dataDxfId="51"/>
    <tableColumn id="5" name="N° de commande" dataDxfId="50"/>
    <tableColumn id="6" name="Descriptif" dataDxfId="49"/>
    <tableColumn id="7" name="Entrée" dataDxfId="48"/>
    <tableColumn id="8" name="Sortie" dataDxfId="47"/>
    <tableColumn id="9" name="Annuel" dataDxfId="46"/>
    <tableColumn id="10" name="Facturer" dataDxfId="45"/>
    <tableColumn id="11" name="Etablissement" dataDxfId="44"/>
    <tableColumn id="12" name="Prestataire" dataDxfId="43"/>
    <tableColumn id="13" name="Mode de règlement" dataDxfId="42"/>
    <tableColumn id="14" name="Contrat1" dataDxfId="41"/>
    <tableColumn id="15" name="Contrat2" dataDxfId="40"/>
    <tableColumn id="31" name="Contrat3" dataDxfId="39"/>
    <tableColumn id="30" name="janvier" dataDxfId="38"/>
    <tableColumn id="29" name="fevrier" dataDxfId="37"/>
    <tableColumn id="28" name="mars" dataDxfId="36"/>
    <tableColumn id="27" name="avril" dataDxfId="35"/>
    <tableColumn id="26" name="mai" dataDxfId="34"/>
    <tableColumn id="25" name="juin" dataDxfId="33"/>
    <tableColumn id="24" name="juillet" dataDxfId="32"/>
    <tableColumn id="23" name="aout" dataDxfId="31"/>
    <tableColumn id="22" name="septembre" dataDxfId="30"/>
    <tableColumn id="21" name="octobre" dataDxfId="29"/>
    <tableColumn id="20" name="novembre" dataDxfId="28"/>
    <tableColumn id="19" name="decembre" dataDxfId="27"/>
    <tableColumn id="18" name="n-1" dataDxfId="26"/>
    <tableColumn id="17" name="n+1" dataDxfId="25"/>
    <tableColumn id="16" name="total" dataDxfId="24">
      <calculatedColumnFormula>SUM(Tableau1[[#This Row],[janvier]:[n+1]])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N9" totalsRowShown="0" headerRowDxfId="22" headerRowBorderDxfId="21" tableBorderDxfId="20" headerRowCellStyle="Normal 5" dataCellStyle="Normal 5">
  <autoFilter ref="A1:N9"/>
  <sortState ref="A2:N9">
    <sortCondition ref="A2"/>
  </sortState>
  <tableColumns count="14">
    <tableColumn id="1" name="DENOMINATION" dataDxfId="19" dataCellStyle="Normal 5"/>
    <tableColumn id="2" name="ADRESSE" dataDxfId="18" dataCellStyle="Normal 5"/>
    <tableColumn id="3" name="COMPLEMENT D'ADRESSE" dataDxfId="17" dataCellStyle="Normal 5"/>
    <tableColumn id="4" name="C.P - VILLE" dataDxfId="16" dataCellStyle="Normal 5"/>
    <tableColumn id="5" name="MODE  DE          REGLEMENT" dataDxfId="15" dataCellStyle="Normal 5"/>
    <tableColumn id="6" name="DELAI DE REGLEMENT" dataDxfId="14" dataCellStyle="Normal 5"/>
    <tableColumn id="7" name="Colonne1" dataDxfId="13" dataCellStyle="Normal 5"/>
    <tableColumn id="8" name="TEL" dataDxfId="12" dataCellStyle="Normal 5"/>
    <tableColumn id="9" name="CONTACT" dataDxfId="11" dataCellStyle="Normal 5"/>
    <tableColumn id="10" name="ADRESSE MAIL" dataDxfId="10" dataCellStyle="Normal 5"/>
    <tableColumn id="11" name="FACTURE  PAR MAIL" dataDxfId="9" dataCellStyle="Normal 5"/>
    <tableColumn id="12" name="CONTRAT 1" dataDxfId="8" dataCellStyle="Normal 5"/>
    <tableColumn id="13" name="CONTRAT 2" dataDxfId="7" dataCellStyle="Normal 5"/>
    <tableColumn id="14" name="CONTRAT 3" dataDxfId="6" dataCellStyle="Normal 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lasseur1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6"/>
  <sheetViews>
    <sheetView tabSelected="1" zoomScaleNormal="100" workbookViewId="0">
      <selection activeCell="I33" sqref="I33"/>
    </sheetView>
  </sheetViews>
  <sheetFormatPr baseColWidth="10" defaultRowHeight="12" x14ac:dyDescent="0.2"/>
  <cols>
    <col min="1" max="1" width="12.5703125" style="1" customWidth="1"/>
    <col min="2" max="9" width="11.42578125" style="1"/>
    <col min="10" max="10" width="13.140625" style="1" bestFit="1" customWidth="1"/>
    <col min="11" max="11" width="9.85546875" style="1" bestFit="1" customWidth="1"/>
    <col min="12" max="12" width="12.85546875" style="1" bestFit="1" customWidth="1"/>
    <col min="13" max="16384" width="11.42578125" style="1"/>
  </cols>
  <sheetData>
    <row r="1" spans="1:17" ht="69.95" customHeight="1" x14ac:dyDescent="0.2">
      <c r="A1" s="8">
        <f ca="1">TODAY()</f>
        <v>43336</v>
      </c>
      <c r="B1" s="2"/>
      <c r="C1" s="2"/>
      <c r="D1" s="2"/>
      <c r="E1" s="2"/>
      <c r="F1" s="2"/>
      <c r="G1" s="2"/>
      <c r="H1" s="3"/>
      <c r="I1" s="2"/>
      <c r="J1" s="4"/>
      <c r="K1" s="4"/>
      <c r="L1" s="4"/>
      <c r="M1" s="4"/>
      <c r="N1" s="4"/>
      <c r="O1" s="2"/>
      <c r="P1" s="2"/>
      <c r="Q1" s="2"/>
    </row>
    <row r="2" spans="1:17" ht="409.5" customHeight="1" x14ac:dyDescent="0.2">
      <c r="A2" s="2"/>
      <c r="B2" s="2"/>
      <c r="C2" s="5"/>
      <c r="D2" s="2"/>
      <c r="E2" s="2"/>
      <c r="F2" s="2"/>
      <c r="G2" s="2"/>
      <c r="H2" s="3"/>
      <c r="I2" s="2"/>
      <c r="J2" s="2"/>
      <c r="K2" s="2"/>
      <c r="L2" s="2"/>
      <c r="M2" s="2"/>
      <c r="N2" s="3"/>
      <c r="O2" s="3"/>
      <c r="P2" s="2"/>
      <c r="Q2" s="2"/>
    </row>
    <row r="3" spans="1:17" s="66" customFormat="1" ht="69.95" customHeight="1" x14ac:dyDescent="0.25">
      <c r="A3" s="63"/>
      <c r="B3" s="64"/>
      <c r="C3" s="64"/>
      <c r="D3" s="68"/>
      <c r="E3" s="67" t="s">
        <v>161</v>
      </c>
      <c r="F3" s="68"/>
      <c r="G3" s="68"/>
      <c r="H3" s="69"/>
      <c r="I3" s="68"/>
      <c r="J3" s="68"/>
      <c r="K3" s="68"/>
      <c r="L3" s="68"/>
      <c r="M3" s="65"/>
      <c r="N3" s="65"/>
      <c r="O3" s="64"/>
      <c r="P3" s="64"/>
      <c r="Q3" s="64"/>
    </row>
    <row r="4" spans="1:17" s="6" customFormat="1" x14ac:dyDescent="0.2">
      <c r="N4" s="7"/>
      <c r="O4" s="7"/>
    </row>
    <row r="5" spans="1:17" s="6" customFormat="1" x14ac:dyDescent="0.2"/>
    <row r="6" spans="1:17" s="6" customFormat="1" ht="12.75" x14ac:dyDescent="0.2">
      <c r="L6" s="93"/>
      <c r="N6" s="93" t="s">
        <v>162</v>
      </c>
      <c r="O6" s="93"/>
    </row>
    <row r="7" spans="1:17" s="6" customFormat="1" x14ac:dyDescent="0.2"/>
    <row r="8" spans="1:17" s="6" customFormat="1" x14ac:dyDescent="0.2"/>
    <row r="9" spans="1:17" s="6" customFormat="1" x14ac:dyDescent="0.2"/>
    <row r="10" spans="1:17" s="6" customFormat="1" ht="12.75" x14ac:dyDescent="0.2">
      <c r="L10" s="93"/>
    </row>
    <row r="11" spans="1:17" s="6" customFormat="1" x14ac:dyDescent="0.2"/>
    <row r="12" spans="1:17" s="6" customFormat="1" x14ac:dyDescent="0.2"/>
    <row r="13" spans="1:17" s="6" customFormat="1" x14ac:dyDescent="0.2"/>
    <row r="14" spans="1:17" s="6" customFormat="1" x14ac:dyDescent="0.2"/>
    <row r="15" spans="1:17" s="6" customFormat="1" x14ac:dyDescent="0.2"/>
    <row r="16" spans="1:17" s="6" customFormat="1" x14ac:dyDescent="0.2"/>
    <row r="17" s="6" customFormat="1" x14ac:dyDescent="0.2"/>
    <row r="18" s="6" customFormat="1" x14ac:dyDescent="0.2"/>
    <row r="19" s="6" customFormat="1" x14ac:dyDescent="0.2"/>
    <row r="20" s="6" customFormat="1" x14ac:dyDescent="0.2"/>
    <row r="21" s="6" customFormat="1" x14ac:dyDescent="0.2"/>
    <row r="22" s="6" customFormat="1" x14ac:dyDescent="0.2"/>
    <row r="23" s="6" customFormat="1" x14ac:dyDescent="0.2"/>
    <row r="24" s="6" customFormat="1" x14ac:dyDescent="0.2"/>
    <row r="25" s="6" customFormat="1" x14ac:dyDescent="0.2"/>
    <row r="26" s="6" customFormat="1" x14ac:dyDescent="0.2"/>
    <row r="27" s="6" customFormat="1" x14ac:dyDescent="0.2"/>
    <row r="28" s="6" customFormat="1" x14ac:dyDescent="0.2"/>
    <row r="29" s="6" customFormat="1" x14ac:dyDescent="0.2"/>
    <row r="30" s="6" customFormat="1" x14ac:dyDescent="0.2"/>
    <row r="31" s="6" customFormat="1" x14ac:dyDescent="0.2"/>
    <row r="32" s="6" customFormat="1" x14ac:dyDescent="0.2"/>
    <row r="33" s="6" customFormat="1" x14ac:dyDescent="0.2"/>
    <row r="34" s="6" customFormat="1" x14ac:dyDescent="0.2"/>
    <row r="35" s="6" customFormat="1" x14ac:dyDescent="0.2"/>
    <row r="36" s="6" customFormat="1" x14ac:dyDescent="0.2"/>
    <row r="37" s="6" customFormat="1" x14ac:dyDescent="0.2"/>
    <row r="38" s="6" customFormat="1" x14ac:dyDescent="0.2"/>
    <row r="39" s="6" customFormat="1" x14ac:dyDescent="0.2"/>
    <row r="40" s="6" customFormat="1" x14ac:dyDescent="0.2"/>
    <row r="41" s="6" customFormat="1" x14ac:dyDescent="0.2"/>
    <row r="42" s="6" customFormat="1" x14ac:dyDescent="0.2"/>
    <row r="43" s="6" customFormat="1" x14ac:dyDescent="0.2"/>
    <row r="44" s="6" customFormat="1" x14ac:dyDescent="0.2"/>
    <row r="45" s="6" customFormat="1" x14ac:dyDescent="0.2"/>
    <row r="46" s="6" customFormat="1" x14ac:dyDescent="0.2"/>
  </sheetData>
  <phoneticPr fontId="0" type="noConversion"/>
  <hyperlinks>
    <hyperlink ref="L10"/>
    <hyperlink ref="N6" r:id="rId1"/>
    <hyperlink ref="O6"/>
  </hyperlinks>
  <pageMargins left="0.78740157499999996" right="0.78740157499999996" top="0.984251969" bottom="0.984251969" header="0.4921259845" footer="0.4921259845"/>
  <pageSetup paperSize="9" scale="41" orientation="portrait" horizontalDpi="4294967293" verticalDpi="4294967293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"/>
  <sheetViews>
    <sheetView topLeftCell="U1" zoomScaleNormal="100" zoomScaleSheetLayoutView="100" workbookViewId="0">
      <selection activeCell="AE5" sqref="AE5"/>
    </sheetView>
  </sheetViews>
  <sheetFormatPr baseColWidth="10" defaultRowHeight="12.75" x14ac:dyDescent="0.2"/>
  <cols>
    <col min="1" max="1" width="8.7109375" style="107" bestFit="1" customWidth="1"/>
    <col min="2" max="2" width="12.42578125" style="107" bestFit="1" customWidth="1"/>
    <col min="3" max="3" width="12.140625" style="107" bestFit="1" customWidth="1"/>
    <col min="4" max="4" width="16.28515625" style="107" bestFit="1" customWidth="1"/>
    <col min="5" max="5" width="17.7109375" style="107" customWidth="1"/>
    <col min="6" max="6" width="11.5703125" style="107" customWidth="1"/>
    <col min="7" max="7" width="10.42578125" style="107" bestFit="1" customWidth="1"/>
    <col min="8" max="8" width="13.7109375" style="111" bestFit="1" customWidth="1"/>
    <col min="9" max="9" width="11.28515625" style="107" bestFit="1" customWidth="1"/>
    <col min="10" max="10" width="9.85546875" style="111" bestFit="1" customWidth="1"/>
    <col min="11" max="11" width="14.5703125" style="111" bestFit="1" customWidth="1"/>
    <col min="12" max="12" width="12" style="111" bestFit="1" customWidth="1"/>
    <col min="13" max="13" width="18.5703125" style="111" customWidth="1"/>
    <col min="14" max="15" width="9.7109375" style="107" bestFit="1" customWidth="1"/>
    <col min="16" max="30" width="9.7109375" style="107" customWidth="1"/>
    <col min="31" max="31" width="9.7109375" style="107" bestFit="1" customWidth="1"/>
    <col min="32" max="16384" width="11.42578125" style="107"/>
  </cols>
  <sheetData>
    <row r="1" spans="1:31" s="111" customFormat="1" x14ac:dyDescent="0.2">
      <c r="A1" s="111" t="s">
        <v>20</v>
      </c>
      <c r="B1" s="111" t="s">
        <v>21</v>
      </c>
      <c r="C1" s="111" t="s">
        <v>22</v>
      </c>
      <c r="D1" s="111" t="s">
        <v>23</v>
      </c>
      <c r="E1" s="111" t="s">
        <v>24</v>
      </c>
      <c r="F1" s="111" t="s">
        <v>25</v>
      </c>
      <c r="G1" s="111" t="s">
        <v>27</v>
      </c>
      <c r="H1" s="111" t="s">
        <v>26</v>
      </c>
      <c r="I1" s="111" t="s">
        <v>35</v>
      </c>
      <c r="J1" s="111" t="s">
        <v>28</v>
      </c>
      <c r="K1" s="111" t="s">
        <v>29</v>
      </c>
      <c r="L1" s="111" t="s">
        <v>30</v>
      </c>
      <c r="M1" s="111" t="s">
        <v>31</v>
      </c>
      <c r="N1" s="111" t="s">
        <v>32</v>
      </c>
      <c r="O1" s="111" t="s">
        <v>33</v>
      </c>
      <c r="P1" s="111" t="s">
        <v>34</v>
      </c>
      <c r="Q1" s="111" t="s">
        <v>118</v>
      </c>
      <c r="R1" s="111" t="s">
        <v>119</v>
      </c>
      <c r="S1" s="111" t="s">
        <v>120</v>
      </c>
      <c r="T1" s="111" t="s">
        <v>121</v>
      </c>
      <c r="U1" s="111" t="s">
        <v>122</v>
      </c>
      <c r="V1" s="111" t="s">
        <v>123</v>
      </c>
      <c r="W1" s="111" t="s">
        <v>124</v>
      </c>
      <c r="X1" s="111" t="s">
        <v>125</v>
      </c>
      <c r="Y1" s="111" t="s">
        <v>126</v>
      </c>
      <c r="Z1" s="111" t="s">
        <v>127</v>
      </c>
      <c r="AA1" s="111" t="s">
        <v>128</v>
      </c>
      <c r="AB1" s="111" t="s">
        <v>129</v>
      </c>
      <c r="AC1" s="111" t="s">
        <v>130</v>
      </c>
      <c r="AD1" s="111" t="s">
        <v>131</v>
      </c>
      <c r="AE1" s="111" t="s">
        <v>132</v>
      </c>
    </row>
    <row r="2" spans="1:31" x14ac:dyDescent="0.2">
      <c r="A2" s="107" t="s">
        <v>36</v>
      </c>
      <c r="B2" s="107" t="s">
        <v>4</v>
      </c>
      <c r="C2" s="108">
        <v>42622</v>
      </c>
      <c r="D2" s="107" t="s">
        <v>5</v>
      </c>
      <c r="E2" s="107" t="s">
        <v>6</v>
      </c>
      <c r="F2" s="107" t="s">
        <v>2</v>
      </c>
      <c r="G2" s="108">
        <v>43017</v>
      </c>
      <c r="H2" s="106">
        <v>43343</v>
      </c>
      <c r="I2" s="109">
        <v>10000</v>
      </c>
      <c r="J2" s="110">
        <v>5000</v>
      </c>
      <c r="K2" s="111" t="s">
        <v>17</v>
      </c>
      <c r="L2" s="111" t="s">
        <v>14</v>
      </c>
      <c r="M2" s="111" t="s">
        <v>7</v>
      </c>
      <c r="N2" s="107" t="s">
        <v>8</v>
      </c>
      <c r="O2" s="107" t="s">
        <v>8</v>
      </c>
      <c r="P2" s="107" t="s">
        <v>133</v>
      </c>
      <c r="Q2" s="109">
        <v>5000</v>
      </c>
      <c r="R2" s="109">
        <v>20</v>
      </c>
      <c r="S2" s="109"/>
      <c r="T2" s="109"/>
      <c r="U2" s="109"/>
      <c r="V2" s="109"/>
      <c r="W2" s="109"/>
      <c r="X2" s="109"/>
      <c r="Y2" s="109">
        <v>30</v>
      </c>
      <c r="Z2" s="109"/>
      <c r="AA2" s="109"/>
      <c r="AB2" s="109"/>
      <c r="AC2" s="109"/>
      <c r="AD2" s="109"/>
      <c r="AE2" s="111">
        <f>SUM(Tableau1[[#This Row],[janvier]:[n+1]])</f>
        <v>5050</v>
      </c>
    </row>
    <row r="3" spans="1:31" x14ac:dyDescent="0.2">
      <c r="A3" s="107" t="s">
        <v>18</v>
      </c>
      <c r="B3" s="107" t="s">
        <v>19</v>
      </c>
      <c r="C3" s="108">
        <v>42373</v>
      </c>
      <c r="D3" s="107" t="s">
        <v>0</v>
      </c>
      <c r="E3" s="107" t="s">
        <v>1</v>
      </c>
      <c r="F3" s="107" t="s">
        <v>2</v>
      </c>
      <c r="G3" s="108">
        <v>42979</v>
      </c>
      <c r="H3" s="106">
        <v>43708</v>
      </c>
      <c r="I3" s="107">
        <v>10000</v>
      </c>
      <c r="J3" s="111">
        <v>2500</v>
      </c>
      <c r="K3" s="111" t="s">
        <v>11</v>
      </c>
      <c r="L3" s="111" t="s">
        <v>12</v>
      </c>
      <c r="M3" s="111" t="s">
        <v>3</v>
      </c>
      <c r="N3" s="107" t="s">
        <v>134</v>
      </c>
      <c r="Q3" s="109">
        <v>1</v>
      </c>
      <c r="R3" s="109"/>
      <c r="S3" s="109">
        <v>2500</v>
      </c>
      <c r="T3" s="109"/>
      <c r="U3" s="109"/>
      <c r="V3" s="109"/>
      <c r="W3" s="109"/>
      <c r="X3" s="109"/>
      <c r="Y3" s="109"/>
      <c r="Z3" s="109">
        <v>2500</v>
      </c>
      <c r="AA3" s="109"/>
      <c r="AB3" s="109"/>
      <c r="AC3" s="109"/>
      <c r="AD3" s="109"/>
      <c r="AE3" s="110">
        <f>SUM(Tableau1[[#This Row],[janvier]:[n+1]])</f>
        <v>5001</v>
      </c>
    </row>
    <row r="4" spans="1:31" x14ac:dyDescent="0.2">
      <c r="A4" s="107" t="s">
        <v>15</v>
      </c>
      <c r="B4" s="107" t="s">
        <v>16</v>
      </c>
      <c r="C4" s="108">
        <v>42667</v>
      </c>
      <c r="D4" s="107" t="s">
        <v>9</v>
      </c>
      <c r="E4" s="107" t="s">
        <v>6</v>
      </c>
      <c r="F4" s="107" t="s">
        <v>10</v>
      </c>
      <c r="G4" s="108">
        <v>42744</v>
      </c>
      <c r="H4" s="106">
        <v>43343</v>
      </c>
      <c r="I4" s="109">
        <v>10000</v>
      </c>
      <c r="J4" s="110">
        <v>2500</v>
      </c>
      <c r="K4" s="111" t="s">
        <v>11</v>
      </c>
      <c r="L4" s="111" t="s">
        <v>13</v>
      </c>
      <c r="M4" s="111" t="s">
        <v>3</v>
      </c>
      <c r="N4" s="107" t="s">
        <v>8</v>
      </c>
      <c r="Q4" s="109">
        <v>3</v>
      </c>
      <c r="R4" s="109"/>
      <c r="S4" s="109"/>
      <c r="T4" s="109">
        <v>5</v>
      </c>
      <c r="U4" s="109"/>
      <c r="V4" s="109"/>
      <c r="W4" s="109">
        <v>6</v>
      </c>
      <c r="X4" s="109"/>
      <c r="Y4" s="109"/>
      <c r="Z4" s="109">
        <v>3</v>
      </c>
      <c r="AA4" s="109">
        <v>2</v>
      </c>
      <c r="AB4" s="109">
        <v>5</v>
      </c>
      <c r="AC4" s="109"/>
      <c r="AD4" s="109"/>
      <c r="AE4" s="110">
        <f>SUM(Tableau1[[#This Row],[janvier]:[n+1]])</f>
        <v>24</v>
      </c>
    </row>
    <row r="5" spans="1:31" x14ac:dyDescent="0.2">
      <c r="A5" s="107" t="s">
        <v>157</v>
      </c>
      <c r="B5" s="107" t="s">
        <v>158</v>
      </c>
      <c r="C5" s="108"/>
      <c r="G5" s="108"/>
      <c r="H5" s="106"/>
      <c r="K5" s="111" t="s">
        <v>159</v>
      </c>
      <c r="L5" s="111" t="s">
        <v>160</v>
      </c>
      <c r="M5" s="111" t="s">
        <v>71</v>
      </c>
      <c r="Q5" s="109">
        <v>1</v>
      </c>
      <c r="R5" s="109">
        <v>2</v>
      </c>
      <c r="S5" s="109">
        <v>3</v>
      </c>
      <c r="T5" s="109">
        <v>4</v>
      </c>
      <c r="U5" s="109">
        <v>5</v>
      </c>
      <c r="V5" s="109">
        <v>6</v>
      </c>
      <c r="W5" s="109">
        <v>7</v>
      </c>
      <c r="X5" s="109">
        <v>8</v>
      </c>
      <c r="Y5" s="109">
        <v>9</v>
      </c>
      <c r="Z5" s="109">
        <v>10</v>
      </c>
      <c r="AA5" s="109">
        <v>11</v>
      </c>
      <c r="AB5" s="109">
        <v>12</v>
      </c>
      <c r="AC5" s="109"/>
      <c r="AD5" s="109"/>
      <c r="AE5" s="110">
        <f>SUM(Tableau1[[#This Row],[janvier]:[n+1]])</f>
        <v>78</v>
      </c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870DDDB-E4AD-4D77-8037-0F357EE91EBF}">
            <xm:f>Accueil!$A$1&gt;$H2</xm:f>
            <x14:dxf>
              <font>
                <b/>
                <i val="0"/>
                <color theme="5" tint="-0.24994659260841701"/>
              </font>
            </x14:dxf>
          </x14:cfRule>
          <xm:sqref>A2:AD2 A3:AE5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47"/>
  <sheetViews>
    <sheetView zoomScaleNormal="100" workbookViewId="0">
      <selection activeCell="K22" sqref="K22"/>
    </sheetView>
  </sheetViews>
  <sheetFormatPr baseColWidth="10" defaultRowHeight="12.75" x14ac:dyDescent="0.2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">
      <c r="A1" s="133" t="str">
        <f>VLOOKUP($B$22,Tableau1[],11)</f>
        <v>Etablissement1</v>
      </c>
      <c r="B1" s="133"/>
      <c r="C1" s="133"/>
      <c r="D1" s="133"/>
      <c r="E1" s="133"/>
      <c r="F1" s="133"/>
      <c r="G1" s="133"/>
    </row>
    <row r="2" spans="1:7" ht="15" customHeight="1" x14ac:dyDescent="0.2"/>
    <row r="3" spans="1:7" ht="15" customHeight="1" x14ac:dyDescent="0.2"/>
    <row r="4" spans="1:7" ht="15.75" customHeight="1" x14ac:dyDescent="0.25">
      <c r="A4" s="42"/>
      <c r="B4" s="42"/>
      <c r="C4" s="42"/>
      <c r="D4" s="42"/>
      <c r="E4" s="42"/>
      <c r="F4" s="144" t="str">
        <f>VLOOKUP($B$22,Tableau1[],12)</f>
        <v>Prestataire2</v>
      </c>
      <c r="G4" s="144">
        <f>VLOOKUP($B$22,Tableau1[#All],9)</f>
        <v>10000</v>
      </c>
    </row>
    <row r="5" spans="1:7" ht="15.75" customHeight="1" x14ac:dyDescent="0.25">
      <c r="A5" s="42"/>
      <c r="B5" s="42"/>
      <c r="C5" s="42"/>
      <c r="D5" s="42"/>
      <c r="E5" s="42"/>
      <c r="F5" s="144" t="str">
        <f>VLOOKUP($F$4,Tableau3[],2)</f>
        <v>Route de l'Espoir</v>
      </c>
      <c r="G5" s="144"/>
    </row>
    <row r="6" spans="1:7" ht="15.75" customHeight="1" x14ac:dyDescent="0.25">
      <c r="A6" s="42"/>
      <c r="B6" s="42"/>
      <c r="C6" s="42"/>
      <c r="D6" s="42"/>
      <c r="E6" s="42"/>
      <c r="F6" s="144" t="str">
        <f>VLOOKUP($F$4,Tableau3[],3)</f>
        <v>Le moral Bât 1</v>
      </c>
      <c r="G6" s="144"/>
    </row>
    <row r="7" spans="1:7" ht="15.75" customHeight="1" x14ac:dyDescent="0.25">
      <c r="A7" s="42"/>
      <c r="B7" s="42"/>
      <c r="C7" s="42"/>
      <c r="D7" s="42"/>
      <c r="E7" s="42"/>
      <c r="F7" s="144" t="str">
        <f>VLOOKUP($F$4,Tableau3[],4)</f>
        <v>19000 BRIVE</v>
      </c>
      <c r="G7" s="144"/>
    </row>
    <row r="8" spans="1:7" ht="15" customHeight="1" x14ac:dyDescent="0.2"/>
    <row r="9" spans="1:7" ht="15" customHeight="1" x14ac:dyDescent="0.2"/>
    <row r="10" spans="1:7" ht="15" customHeight="1" x14ac:dyDescent="0.25">
      <c r="A10" s="42"/>
      <c r="B10" s="42"/>
      <c r="C10" s="42"/>
      <c r="D10" s="42"/>
      <c r="E10" s="42"/>
      <c r="F10" s="54" t="s">
        <v>92</v>
      </c>
      <c r="G10" s="54"/>
    </row>
    <row r="11" spans="1:7" ht="15" customHeight="1" x14ac:dyDescent="0.25">
      <c r="A11" s="42"/>
      <c r="B11" s="42"/>
      <c r="C11" s="42"/>
      <c r="D11" s="42"/>
      <c r="E11" s="42"/>
      <c r="F11" s="58">
        <v>43326</v>
      </c>
      <c r="G11" s="58"/>
    </row>
    <row r="12" spans="1:7" ht="15" customHeight="1" x14ac:dyDescent="0.2"/>
    <row r="13" spans="1:7" ht="15" customHeight="1" x14ac:dyDescent="0.2"/>
    <row r="14" spans="1:7" ht="15" customHeight="1" x14ac:dyDescent="0.2"/>
    <row r="15" spans="1:7" ht="46.5" customHeight="1" x14ac:dyDescent="0.25">
      <c r="A15" s="145" t="s">
        <v>93</v>
      </c>
      <c r="B15" s="146"/>
      <c r="C15" s="146"/>
      <c r="D15" s="146"/>
      <c r="E15" s="55" t="str">
        <f>IF(A1="ETABLISSEMENT1","E1/"&amp;MONTH(F11)&amp;YEAR(F11)&amp;"/",IF(A1="ETABLISSEMENT2","E2/"&amp;MONTH(F11)&amp;YEAR(F11)&amp;"/",IF(A1="ETABLISSEMENT3","E3/"&amp;MONTH(F11)&amp;YEAR(F11)&amp;"/",IF(A1="ETABLISSEMENT4","E4/"&amp;MONTH(F11)&amp;YEAR(F11)&amp;"/", IF(A1="ETABLISSEMENT5","E5/"&amp;MONTH(F11)&amp;YEAR(F11)&amp;"/",IF(A1="ETABLISSEMENT6","E6/"&amp;MONTH(F11)&amp;YEAR(F11)&amp;"/",IF(A1="ETABLISSEMENT7","E7/"&amp;MONTH(F11)&amp;YEAR(F11)&amp;"/",IF(A1="ETABLISSEMENT8","E8/"&amp;MONTH(F11)&amp;YEAR(F11)&amp;"/",IF(A1=0,"S"&amp;MONTH(F11)&amp;YEAR(F11)&amp;"/",IF(A1="ETABLISSEMENT9","E9/"&amp;MONTH(F11)&amp;YEAR(F11)&amp;"/",IF(A1=0,"S"&amp;MONTH(F11)&amp;YEAR(F11)&amp;"/")))))))))))</f>
        <v>E1/82018/</v>
      </c>
      <c r="F15" s="59">
        <v>0</v>
      </c>
      <c r="G15" s="45"/>
    </row>
    <row r="16" spans="1:7" ht="15" customHeight="1" x14ac:dyDescent="0.2">
      <c r="A16" s="137" t="s">
        <v>94</v>
      </c>
      <c r="B16" s="138"/>
      <c r="C16" s="138"/>
      <c r="D16" s="138"/>
      <c r="E16" s="138"/>
      <c r="F16" s="139"/>
      <c r="G16" s="44" t="s">
        <v>95</v>
      </c>
    </row>
    <row r="17" spans="1:7" ht="15" customHeight="1" x14ac:dyDescent="0.2">
      <c r="A17" s="140" t="str">
        <f>VLOOKUP($B$22,Tableau1[],5)</f>
        <v>COMMANDE N° 1</v>
      </c>
      <c r="B17" s="141"/>
      <c r="C17" s="141" t="str">
        <f>VLOOKUP($F$4,Tableau3[#All],2)</f>
        <v>Route de l'Espoir</v>
      </c>
      <c r="D17" s="141"/>
      <c r="E17" s="141" t="str">
        <f>VLOOKUP($F$4,Tableau3[#All],2)</f>
        <v>Route de l'Espoir</v>
      </c>
      <c r="F17" s="142"/>
      <c r="G17" s="61"/>
    </row>
    <row r="18" spans="1:7" ht="15" customHeight="1" x14ac:dyDescent="0.2">
      <c r="A18" s="125" t="str">
        <f>VLOOKUP($B$22,Tableau1[],6)</f>
        <v>RESERVATION D'UN BERCEAU DU 01/09/2017 AU 31/08/2019</v>
      </c>
      <c r="B18" s="126"/>
      <c r="C18" s="126" t="str">
        <f>VLOOKUP($F$4,Tableau3[#All],2)</f>
        <v>Route de l'Espoir</v>
      </c>
      <c r="D18" s="126"/>
      <c r="E18" s="126" t="str">
        <f>VLOOKUP($F$4,Tableau3[#All],2)</f>
        <v>Route de l'Espoir</v>
      </c>
      <c r="F18" s="143"/>
      <c r="G18" s="61"/>
    </row>
    <row r="19" spans="1:7" ht="15" customHeight="1" x14ac:dyDescent="0.25">
      <c r="A19" s="134"/>
      <c r="B19" s="135"/>
      <c r="C19" s="135"/>
      <c r="D19" s="135"/>
      <c r="E19" s="135"/>
      <c r="F19" s="136"/>
      <c r="G19" s="61"/>
    </row>
    <row r="20" spans="1:7" ht="15" customHeight="1" x14ac:dyDescent="0.25">
      <c r="A20" s="51" t="s">
        <v>96</v>
      </c>
      <c r="B20" s="43"/>
      <c r="C20" s="52"/>
      <c r="D20" s="60">
        <f>VLOOKUP($B$22,Tableau1[],9)</f>
        <v>10000</v>
      </c>
      <c r="E20" s="43"/>
      <c r="F20" s="47"/>
      <c r="G20" s="61"/>
    </row>
    <row r="21" spans="1:7" ht="15" customHeight="1" x14ac:dyDescent="0.25">
      <c r="A21" s="125"/>
      <c r="B21" s="126"/>
      <c r="C21" s="126"/>
      <c r="D21" s="43"/>
      <c r="E21" s="43"/>
      <c r="F21" s="47"/>
      <c r="G21" s="61"/>
    </row>
    <row r="22" spans="1:7" ht="15" customHeight="1" x14ac:dyDescent="0.25">
      <c r="A22" s="51" t="s">
        <v>97</v>
      </c>
      <c r="B22" s="123" t="s">
        <v>18</v>
      </c>
      <c r="C22" s="123"/>
      <c r="D22" s="43"/>
      <c r="E22" s="43"/>
      <c r="F22" s="47"/>
      <c r="G22" s="61"/>
    </row>
    <row r="23" spans="1:7" ht="15" customHeight="1" x14ac:dyDescent="0.25">
      <c r="A23" s="51" t="s">
        <v>43</v>
      </c>
      <c r="B23" s="43"/>
      <c r="C23" s="43"/>
      <c r="D23" s="43"/>
      <c r="E23" s="43"/>
      <c r="F23" s="47"/>
      <c r="G23" s="61"/>
    </row>
    <row r="24" spans="1:7" ht="15" customHeight="1" x14ac:dyDescent="0.25">
      <c r="A24" s="51" t="s">
        <v>98</v>
      </c>
      <c r="B24" s="123" t="str">
        <f>VLOOKUP($B$22,Tableau1[],2)</f>
        <v>Fleur Rose</v>
      </c>
      <c r="C24" s="123">
        <f>VLOOKUP($B$22,Tableau1[#All],9)</f>
        <v>10000</v>
      </c>
      <c r="D24" s="123">
        <f>VLOOKUP($B$22,Tableau1[#All],9)</f>
        <v>10000</v>
      </c>
      <c r="E24" s="123">
        <f>VLOOKUP($B$22,Tableau1[#All],9)</f>
        <v>10000</v>
      </c>
      <c r="F24" s="124">
        <f>VLOOKUP($B$22,Tableau1[#All],9)</f>
        <v>10000</v>
      </c>
      <c r="G24" s="61"/>
    </row>
    <row r="25" spans="1:7" ht="15" customHeight="1" x14ac:dyDescent="0.25">
      <c r="A25" s="46"/>
      <c r="B25" s="43"/>
      <c r="C25" s="43"/>
      <c r="D25" s="43"/>
      <c r="E25" s="43"/>
      <c r="F25" s="47"/>
      <c r="G25" s="61"/>
    </row>
    <row r="26" spans="1:7" ht="15" customHeight="1" x14ac:dyDescent="0.25">
      <c r="A26" s="46"/>
      <c r="B26" s="43"/>
      <c r="C26" s="43"/>
      <c r="D26" s="43"/>
      <c r="E26" s="43"/>
      <c r="F26" s="47"/>
      <c r="G26" s="61"/>
    </row>
    <row r="27" spans="1:7" ht="15" customHeight="1" x14ac:dyDescent="0.25">
      <c r="A27" s="46"/>
      <c r="B27" s="43"/>
      <c r="C27" s="43"/>
      <c r="D27" s="43"/>
      <c r="E27" s="43"/>
      <c r="F27" s="47"/>
      <c r="G27" s="61"/>
    </row>
    <row r="28" spans="1:7" ht="15" customHeight="1" x14ac:dyDescent="0.2">
      <c r="A28" s="127" t="s">
        <v>99</v>
      </c>
      <c r="B28" s="128"/>
      <c r="C28" s="128"/>
      <c r="D28" s="128"/>
      <c r="E28" s="128"/>
      <c r="F28" s="129"/>
      <c r="G28" s="61"/>
    </row>
    <row r="29" spans="1:7" ht="15" customHeight="1" x14ac:dyDescent="0.2">
      <c r="A29" s="130" t="s">
        <v>43</v>
      </c>
      <c r="B29" s="131"/>
      <c r="C29" s="131"/>
      <c r="D29" s="131"/>
      <c r="E29" s="131"/>
      <c r="F29" s="132"/>
      <c r="G29" s="61">
        <v>2500</v>
      </c>
    </row>
    <row r="30" spans="1:7" ht="15" customHeight="1" x14ac:dyDescent="0.2">
      <c r="A30" s="122"/>
      <c r="B30" s="123"/>
      <c r="C30" s="123"/>
      <c r="D30" s="123"/>
      <c r="E30" s="123"/>
      <c r="F30" s="124"/>
      <c r="G30" s="61"/>
    </row>
    <row r="31" spans="1:7" ht="15" customHeight="1" x14ac:dyDescent="0.25">
      <c r="A31" s="46"/>
      <c r="B31" s="43"/>
      <c r="C31" s="43"/>
      <c r="D31" s="43"/>
      <c r="E31" s="43"/>
      <c r="F31" s="47"/>
      <c r="G31" s="61"/>
    </row>
    <row r="32" spans="1:7" ht="15" customHeight="1" x14ac:dyDescent="0.25">
      <c r="A32" s="46"/>
      <c r="B32" s="43"/>
      <c r="C32" s="43"/>
      <c r="D32" s="43"/>
      <c r="E32" s="43"/>
      <c r="F32" s="47"/>
      <c r="G32" s="61"/>
    </row>
    <row r="33" spans="1:7" ht="15" customHeight="1" x14ac:dyDescent="0.25">
      <c r="A33" s="46" t="s">
        <v>43</v>
      </c>
      <c r="B33" s="43"/>
      <c r="C33" s="43"/>
      <c r="D33" s="43"/>
      <c r="E33" s="43"/>
      <c r="F33" s="47"/>
      <c r="G33" s="61">
        <v>-10</v>
      </c>
    </row>
    <row r="34" spans="1:7" ht="15" customHeight="1" x14ac:dyDescent="0.25">
      <c r="A34" s="46"/>
      <c r="B34" s="43"/>
      <c r="C34" s="43"/>
      <c r="D34" s="43"/>
      <c r="E34" s="43"/>
      <c r="F34" s="47"/>
      <c r="G34" s="61"/>
    </row>
    <row r="35" spans="1:7" ht="15" customHeight="1" x14ac:dyDescent="0.25">
      <c r="A35" s="46"/>
      <c r="B35" s="43"/>
      <c r="C35" s="43"/>
      <c r="D35" s="43"/>
      <c r="E35" s="43"/>
      <c r="F35" s="47"/>
      <c r="G35" s="61"/>
    </row>
    <row r="36" spans="1:7" ht="15" customHeight="1" x14ac:dyDescent="0.25">
      <c r="A36" s="46"/>
      <c r="B36" s="43"/>
      <c r="C36" s="43"/>
      <c r="D36" s="43"/>
      <c r="E36" s="43"/>
      <c r="F36" s="47"/>
      <c r="G36" s="61"/>
    </row>
    <row r="37" spans="1:7" ht="15" customHeight="1" x14ac:dyDescent="0.25">
      <c r="A37" s="46"/>
      <c r="B37" s="43"/>
      <c r="C37" s="43"/>
      <c r="D37" s="43"/>
      <c r="E37" s="43"/>
      <c r="F37" s="47"/>
      <c r="G37" s="61"/>
    </row>
    <row r="38" spans="1:7" ht="15" customHeight="1" x14ac:dyDescent="0.25">
      <c r="A38" s="46"/>
      <c r="B38" s="43"/>
      <c r="C38" s="43"/>
      <c r="D38" s="43"/>
      <c r="E38" s="43"/>
      <c r="F38" s="47"/>
      <c r="G38" s="61"/>
    </row>
    <row r="39" spans="1:7" ht="15" customHeight="1" x14ac:dyDescent="0.25">
      <c r="A39" s="46"/>
      <c r="B39" s="43"/>
      <c r="C39" s="43"/>
      <c r="D39" s="43"/>
      <c r="E39" s="43"/>
      <c r="F39" s="47"/>
      <c r="G39" s="61"/>
    </row>
    <row r="40" spans="1:7" ht="15" customHeight="1" x14ac:dyDescent="0.25">
      <c r="A40" s="46"/>
      <c r="B40" s="43"/>
      <c r="C40" s="43"/>
      <c r="D40" s="43"/>
      <c r="E40" s="43"/>
      <c r="F40" s="47"/>
      <c r="G40" s="61"/>
    </row>
    <row r="41" spans="1:7" ht="15" customHeight="1" x14ac:dyDescent="0.25">
      <c r="A41" s="46"/>
      <c r="B41" s="43"/>
      <c r="C41" s="43"/>
      <c r="D41" s="43"/>
      <c r="E41" s="43"/>
      <c r="F41" s="47"/>
      <c r="G41" s="61"/>
    </row>
    <row r="42" spans="1:7" ht="15.75" customHeight="1" thickBot="1" x14ac:dyDescent="0.3">
      <c r="A42" s="48"/>
      <c r="B42" s="49"/>
      <c r="C42" s="49"/>
      <c r="D42" s="49"/>
      <c r="E42" s="49"/>
      <c r="F42" s="50"/>
      <c r="G42" s="62"/>
    </row>
    <row r="43" spans="1:7" ht="16.5" customHeight="1" thickTop="1" thickBot="1" x14ac:dyDescent="0.25">
      <c r="A43" s="118" t="s">
        <v>100</v>
      </c>
      <c r="B43" s="119"/>
      <c r="C43" s="119"/>
      <c r="D43" s="119"/>
      <c r="E43" s="119"/>
      <c r="F43" s="120"/>
      <c r="G43" s="53">
        <f>SUM(G28:G42)</f>
        <v>2490</v>
      </c>
    </row>
    <row r="44" spans="1:7" ht="15.75" customHeight="1" thickTop="1" x14ac:dyDescent="0.2">
      <c r="A44" s="121" t="s">
        <v>101</v>
      </c>
      <c r="B44" s="121"/>
      <c r="C44" s="121"/>
      <c r="D44" s="121"/>
      <c r="E44" s="121"/>
      <c r="F44" s="121"/>
      <c r="G44" s="121"/>
    </row>
    <row r="45" spans="1:7" ht="15" customHeight="1" x14ac:dyDescent="0.2"/>
    <row r="46" spans="1:7" ht="15" customHeight="1" x14ac:dyDescent="0.25">
      <c r="A46" s="112" t="s">
        <v>102</v>
      </c>
      <c r="B46" s="113"/>
      <c r="C46" s="57">
        <f>VLOOKUP($F$4,Tableau3[#All],6)</f>
        <v>30</v>
      </c>
      <c r="D46" s="56" t="str">
        <f>IF(C46&gt;0,"jours","")</f>
        <v>jours</v>
      </c>
      <c r="E46" s="42"/>
      <c r="F46" s="42"/>
      <c r="G46" s="42"/>
    </row>
    <row r="47" spans="1:7" ht="15" customHeight="1" x14ac:dyDescent="0.25">
      <c r="A47" s="114" t="s">
        <v>103</v>
      </c>
      <c r="B47" s="115"/>
      <c r="C47" s="116">
        <f>IF(C46="à réception","",F11+C46)</f>
        <v>43356</v>
      </c>
      <c r="D47" s="117"/>
      <c r="E47" s="42"/>
      <c r="F47" s="42"/>
      <c r="G47" s="42"/>
    </row>
  </sheetData>
  <mergeCells count="21"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  <mergeCell ref="A30:F30"/>
    <mergeCell ref="A21:C21"/>
    <mergeCell ref="B22:C22"/>
    <mergeCell ref="B24:F24"/>
    <mergeCell ref="A28:F28"/>
    <mergeCell ref="A29:F29"/>
    <mergeCell ref="A46:B46"/>
    <mergeCell ref="A47:B47"/>
    <mergeCell ref="C47:D47"/>
    <mergeCell ref="A43:F43"/>
    <mergeCell ref="A44:G44"/>
  </mergeCells>
  <conditionalFormatting sqref="F6:G6">
    <cfRule type="expression" dxfId="23" priority="1">
      <formula>$F$6=0</formula>
    </cfRule>
  </conditionalFormatting>
  <pageMargins left="0.7" right="0.7" top="0.75" bottom="0.75" header="0.3" footer="0.3"/>
  <pageSetup paperSize="9" scale="88" orientation="portrait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ORMATNOMBRE">
                <anchor moveWithCells="1">
                  <from>
                    <xdr:col>10</xdr:col>
                    <xdr:colOff>0</xdr:colOff>
                    <xdr:row>9</xdr:row>
                    <xdr:rowOff>171450</xdr:rowOff>
                  </from>
                  <to>
                    <xdr:col>10</xdr:col>
                    <xdr:colOff>752475</xdr:colOff>
                    <xdr:row>12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workbookViewId="0">
      <selection activeCell="G21" sqref="G21"/>
    </sheetView>
  </sheetViews>
  <sheetFormatPr baseColWidth="10" defaultRowHeight="12.75" x14ac:dyDescent="0.2"/>
  <cols>
    <col min="1" max="1" width="19.28515625" customWidth="1"/>
    <col min="2" max="2" width="24.7109375" customWidth="1"/>
    <col min="3" max="3" width="28.42578125" customWidth="1"/>
    <col min="4" max="4" width="16.28515625" customWidth="1"/>
    <col min="5" max="5" width="21.85546875" customWidth="1"/>
    <col min="6" max="6" width="24.28515625" customWidth="1"/>
    <col min="7" max="7" width="7" customWidth="1"/>
    <col min="8" max="8" width="13.42578125" customWidth="1"/>
    <col min="9" max="9" width="15.42578125" customWidth="1"/>
    <col min="10" max="10" width="21.7109375" customWidth="1"/>
    <col min="11" max="11" width="22.42578125" customWidth="1"/>
    <col min="12" max="14" width="14.140625" customWidth="1"/>
  </cols>
  <sheetData>
    <row r="1" spans="1:14" ht="31.5" x14ac:dyDescent="0.2">
      <c r="A1" s="36" t="s">
        <v>46</v>
      </c>
      <c r="B1" s="37" t="s">
        <v>47</v>
      </c>
      <c r="C1" s="37" t="s">
        <v>48</v>
      </c>
      <c r="D1" s="37" t="s">
        <v>49</v>
      </c>
      <c r="E1" s="38" t="s">
        <v>91</v>
      </c>
      <c r="F1" s="39" t="s">
        <v>50</v>
      </c>
      <c r="G1" s="40" t="s">
        <v>51</v>
      </c>
      <c r="H1" s="37" t="s">
        <v>52</v>
      </c>
      <c r="I1" s="37" t="s">
        <v>53</v>
      </c>
      <c r="J1" s="37" t="s">
        <v>54</v>
      </c>
      <c r="K1" s="37" t="s">
        <v>55</v>
      </c>
      <c r="L1" s="37" t="s">
        <v>56</v>
      </c>
      <c r="M1" s="37" t="s">
        <v>57</v>
      </c>
      <c r="N1" s="41" t="s">
        <v>58</v>
      </c>
    </row>
    <row r="2" spans="1:14" ht="15" x14ac:dyDescent="0.25">
      <c r="A2" s="27" t="s">
        <v>44</v>
      </c>
      <c r="B2" s="17" t="s">
        <v>59</v>
      </c>
      <c r="C2" s="17" t="s">
        <v>60</v>
      </c>
      <c r="D2" s="17" t="s">
        <v>61</v>
      </c>
      <c r="E2" s="19" t="s">
        <v>62</v>
      </c>
      <c r="F2" s="23" t="s">
        <v>63</v>
      </c>
      <c r="G2" s="24"/>
      <c r="H2" s="17"/>
      <c r="I2" s="17"/>
      <c r="J2" s="17" t="s">
        <v>135</v>
      </c>
      <c r="K2" s="17"/>
      <c r="L2" s="17"/>
      <c r="M2" s="17"/>
      <c r="N2" s="28"/>
    </row>
    <row r="3" spans="1:14" ht="15" x14ac:dyDescent="0.25">
      <c r="A3" s="13" t="s">
        <v>42</v>
      </c>
      <c r="B3" s="9" t="s">
        <v>64</v>
      </c>
      <c r="C3" s="9"/>
      <c r="D3" s="9" t="s">
        <v>65</v>
      </c>
      <c r="E3" s="20" t="s">
        <v>3</v>
      </c>
      <c r="F3" s="14">
        <v>60</v>
      </c>
      <c r="G3" s="13" t="s">
        <v>66</v>
      </c>
      <c r="H3" s="9"/>
      <c r="I3" s="9"/>
      <c r="J3" s="9"/>
      <c r="K3" s="9"/>
      <c r="L3" s="9"/>
      <c r="M3" s="9"/>
      <c r="N3" s="29"/>
    </row>
    <row r="4" spans="1:14" ht="15" x14ac:dyDescent="0.25">
      <c r="A4" s="11" t="s">
        <v>67</v>
      </c>
      <c r="B4" s="12" t="s">
        <v>68</v>
      </c>
      <c r="C4" s="12" t="s">
        <v>69</v>
      </c>
      <c r="D4" s="12" t="s">
        <v>70</v>
      </c>
      <c r="E4" s="21" t="s">
        <v>71</v>
      </c>
      <c r="F4" s="25" t="s">
        <v>63</v>
      </c>
      <c r="G4" s="26"/>
      <c r="H4" s="12"/>
      <c r="I4" s="12"/>
      <c r="J4" s="12"/>
      <c r="K4" s="12"/>
      <c r="L4" s="12"/>
      <c r="M4" s="12"/>
      <c r="N4" s="10"/>
    </row>
    <row r="5" spans="1:14" ht="15" x14ac:dyDescent="0.25">
      <c r="A5" s="13" t="s">
        <v>45</v>
      </c>
      <c r="B5" s="9" t="s">
        <v>72</v>
      </c>
      <c r="C5" s="9"/>
      <c r="D5" s="9" t="s">
        <v>73</v>
      </c>
      <c r="E5" s="20" t="s">
        <v>3</v>
      </c>
      <c r="F5" s="14">
        <v>45</v>
      </c>
      <c r="G5" s="13" t="s">
        <v>66</v>
      </c>
      <c r="H5" s="9"/>
      <c r="I5" s="9"/>
      <c r="J5" s="9"/>
      <c r="K5" s="9"/>
      <c r="L5" s="9"/>
      <c r="M5" s="9"/>
      <c r="N5" s="29"/>
    </row>
    <row r="6" spans="1:14" ht="15" x14ac:dyDescent="0.25">
      <c r="A6" s="13" t="s">
        <v>74</v>
      </c>
      <c r="B6" s="9" t="s">
        <v>75</v>
      </c>
      <c r="C6" s="9"/>
      <c r="D6" s="9" t="s">
        <v>76</v>
      </c>
      <c r="E6" s="20" t="s">
        <v>3</v>
      </c>
      <c r="F6" s="14">
        <v>45</v>
      </c>
      <c r="G6" s="13" t="s">
        <v>66</v>
      </c>
      <c r="H6" s="9"/>
      <c r="I6" s="9"/>
      <c r="J6" s="9"/>
      <c r="K6" s="9"/>
      <c r="L6" s="9"/>
      <c r="M6" s="9"/>
      <c r="N6" s="29"/>
    </row>
    <row r="7" spans="1:14" ht="15" x14ac:dyDescent="0.25">
      <c r="A7" s="16" t="s">
        <v>77</v>
      </c>
      <c r="B7" s="9" t="s">
        <v>78</v>
      </c>
      <c r="C7" s="9"/>
      <c r="D7" s="9" t="s">
        <v>79</v>
      </c>
      <c r="E7" s="20" t="s">
        <v>80</v>
      </c>
      <c r="F7" s="14">
        <v>30</v>
      </c>
      <c r="G7" s="13" t="s">
        <v>66</v>
      </c>
      <c r="H7" s="9"/>
      <c r="I7" s="9"/>
      <c r="J7" s="9"/>
      <c r="K7" s="9"/>
      <c r="L7" s="9"/>
      <c r="M7" s="9"/>
      <c r="N7" s="29"/>
    </row>
    <row r="8" spans="1:14" ht="15" x14ac:dyDescent="0.25">
      <c r="A8" s="11" t="s">
        <v>81</v>
      </c>
      <c r="B8" s="12" t="s">
        <v>82</v>
      </c>
      <c r="C8" s="12"/>
      <c r="D8" s="12" t="s">
        <v>83</v>
      </c>
      <c r="E8" s="22" t="s">
        <v>7</v>
      </c>
      <c r="F8" s="15">
        <v>30</v>
      </c>
      <c r="G8" s="16" t="s">
        <v>66</v>
      </c>
      <c r="H8" s="18"/>
      <c r="I8" s="18"/>
      <c r="J8" s="18"/>
      <c r="K8" s="18"/>
      <c r="L8" s="18"/>
      <c r="M8" s="18"/>
      <c r="N8" s="30"/>
    </row>
    <row r="9" spans="1:14" ht="15" x14ac:dyDescent="0.25">
      <c r="A9" s="32" t="s">
        <v>84</v>
      </c>
      <c r="B9" s="33" t="s">
        <v>85</v>
      </c>
      <c r="C9" s="33" t="s">
        <v>86</v>
      </c>
      <c r="D9" s="33" t="s">
        <v>87</v>
      </c>
      <c r="E9" s="31" t="s">
        <v>80</v>
      </c>
      <c r="F9" s="34">
        <v>30</v>
      </c>
      <c r="G9" s="32" t="s">
        <v>66</v>
      </c>
      <c r="H9" s="33" t="s">
        <v>88</v>
      </c>
      <c r="I9" s="33" t="s">
        <v>89</v>
      </c>
      <c r="J9" s="33" t="s">
        <v>90</v>
      </c>
      <c r="K9" s="33" t="s">
        <v>90</v>
      </c>
      <c r="L9" s="33" t="s">
        <v>8</v>
      </c>
      <c r="M9" s="33" t="s">
        <v>8</v>
      </c>
      <c r="N9" s="35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1"/>
  <sheetViews>
    <sheetView topLeftCell="A7" workbookViewId="0">
      <selection activeCell="Q21" sqref="Q21"/>
    </sheetView>
  </sheetViews>
  <sheetFormatPr baseColWidth="10" defaultRowHeight="12.75" x14ac:dyDescent="0.2"/>
  <cols>
    <col min="1" max="1" width="15.85546875" customWidth="1"/>
  </cols>
  <sheetData>
    <row r="1" spans="1:16" ht="18.75" x14ac:dyDescent="0.2">
      <c r="A1" s="77" t="s">
        <v>104</v>
      </c>
      <c r="B1" s="78">
        <f ca="1">Accueil!A1</f>
        <v>43336</v>
      </c>
    </row>
    <row r="2" spans="1:16" ht="15.75" x14ac:dyDescent="0.2">
      <c r="A2" s="79" t="s">
        <v>105</v>
      </c>
      <c r="B2" s="70"/>
      <c r="C2" s="70"/>
      <c r="D2" s="70"/>
      <c r="E2" s="70"/>
      <c r="F2" s="70"/>
      <c r="G2" s="79"/>
      <c r="H2" s="79"/>
      <c r="I2" s="79"/>
      <c r="J2" s="79"/>
      <c r="K2" s="70"/>
      <c r="L2" s="70"/>
      <c r="M2" s="70"/>
      <c r="N2" s="70"/>
      <c r="O2" s="70"/>
      <c r="P2" s="70"/>
    </row>
    <row r="4" spans="1:16" ht="15" x14ac:dyDescent="0.25">
      <c r="A4" s="83" t="s">
        <v>106</v>
      </c>
      <c r="B4" s="147" t="s">
        <v>107</v>
      </c>
      <c r="C4" s="147"/>
      <c r="D4" s="84" t="s">
        <v>108</v>
      </c>
      <c r="E4" s="84" t="s">
        <v>109</v>
      </c>
      <c r="F4" s="84" t="s">
        <v>37</v>
      </c>
      <c r="G4" s="84" t="s">
        <v>110</v>
      </c>
      <c r="H4" s="84" t="s">
        <v>38</v>
      </c>
      <c r="I4" s="84" t="s">
        <v>39</v>
      </c>
      <c r="J4" s="84" t="s">
        <v>111</v>
      </c>
      <c r="K4" s="84" t="s">
        <v>40</v>
      </c>
      <c r="L4" s="84" t="s">
        <v>112</v>
      </c>
      <c r="M4" s="84" t="s">
        <v>113</v>
      </c>
      <c r="N4" s="84" t="s">
        <v>114</v>
      </c>
      <c r="O4" s="84" t="s">
        <v>115</v>
      </c>
      <c r="P4" s="84" t="s">
        <v>41</v>
      </c>
    </row>
    <row r="5" spans="1:16" ht="15" x14ac:dyDescent="0.2">
      <c r="A5" s="80" t="s">
        <v>44</v>
      </c>
      <c r="B5" s="81" t="s">
        <v>63</v>
      </c>
      <c r="C5" s="81">
        <v>0</v>
      </c>
      <c r="D5" s="82">
        <f>SUMIFS(Tableau1[janvier],Tableau1[Prestataire],"Prestataire1")</f>
        <v>5000</v>
      </c>
      <c r="E5" s="82">
        <f>SUMIFS(Tableau1[fevrier],Tableau1[Prestataire],"Prestataire1")</f>
        <v>20</v>
      </c>
      <c r="F5" s="82">
        <f>SUMIFS(Tableau1[mars],Tableau1[Prestataire],"Prestataire1")</f>
        <v>0</v>
      </c>
      <c r="G5" s="82">
        <f>SUMIFS(Tableau1[avril],Tableau1[Prestataire],"Prestataire1")</f>
        <v>0</v>
      </c>
      <c r="H5" s="82">
        <f>SUMIFS(Tableau1[mai],Tableau1[Prestataire],"Prestataire1")</f>
        <v>0</v>
      </c>
      <c r="I5" s="82">
        <f>SUMIFS(Tableau1[juin],Tableau1[Prestataire],"Prestataire1")</f>
        <v>0</v>
      </c>
      <c r="J5" s="82">
        <f>SUMIFS(Tableau1[juillet],Tableau1[Prestataire],"Prestataire1")</f>
        <v>0</v>
      </c>
      <c r="K5" s="82">
        <f>SUMIFS(Tableau1[aout],Tableau1[Prestataire],"Prestataire1")</f>
        <v>0</v>
      </c>
      <c r="L5" s="82">
        <f>SUMIFS(Tableau1[septembre],Tableau1[Prestataire],"Prestataire1")</f>
        <v>30</v>
      </c>
      <c r="M5" s="82">
        <f>SUMIFS(Tableau1[octobre],Tableau1[Prestataire],"Prestataire1")</f>
        <v>0</v>
      </c>
      <c r="N5" s="82">
        <f>SUMIFS(Tableau1[novembre],Tableau1[Prestataire],"Prestataire1")</f>
        <v>0</v>
      </c>
      <c r="O5" s="82">
        <f>SUMIFS(Tableau1[decembre],Tableau1[Prestataire],"Prestataire1")</f>
        <v>0</v>
      </c>
      <c r="P5" s="89">
        <f>SUM(D5:O5)</f>
        <v>5050</v>
      </c>
    </row>
    <row r="6" spans="1:16" ht="15" x14ac:dyDescent="0.2">
      <c r="A6" s="73" t="s">
        <v>42</v>
      </c>
      <c r="B6" s="73">
        <v>60</v>
      </c>
      <c r="C6" s="73" t="s">
        <v>66</v>
      </c>
      <c r="D6" s="74">
        <f>SUMIFS(Tableau1[janvier],Tableau1[Prestataire],"Prestataire2")</f>
        <v>1</v>
      </c>
      <c r="E6" s="74">
        <f>SUMIFS(Tableau1[fevrier],Tableau1[Prestataire],"Prestataire2")</f>
        <v>0</v>
      </c>
      <c r="F6" s="74">
        <f>SUMIFS(Tableau1[mars],Tableau1[Prestataire],"Prestataire2")</f>
        <v>2500</v>
      </c>
      <c r="G6" s="74">
        <f>SUMIFS(Tableau1[avril],Tableau1[Prestataire],"Prestataire2")</f>
        <v>0</v>
      </c>
      <c r="H6" s="74">
        <f>SUMIFS(Tableau1[mai],Tableau1[Prestataire],"Prestataire2")</f>
        <v>0</v>
      </c>
      <c r="I6" s="74">
        <f>SUMIFS(Tableau1[juin],Tableau1[Prestataire],"Prestataire2")</f>
        <v>0</v>
      </c>
      <c r="J6" s="74">
        <f>SUMIFS(Tableau1[juillet],Tableau1[Prestataire],"Prestataire2")</f>
        <v>0</v>
      </c>
      <c r="K6" s="74">
        <f>SUMIFS(Tableau1[aout],Tableau1[Prestataire],"Prestataire2")</f>
        <v>0</v>
      </c>
      <c r="L6" s="74">
        <f>SUMIFS(Tableau1[septembre],Tableau1[Prestataire],"Prestataire2")</f>
        <v>0</v>
      </c>
      <c r="M6" s="74">
        <f>SUMIFS(Tableau1[octobre],Tableau1[Prestataire],"Prestataire2")</f>
        <v>2500</v>
      </c>
      <c r="N6" s="74">
        <f>SUMIFS(Tableau1[novembre],Tableau1[Prestataire],"Prestataire2")</f>
        <v>0</v>
      </c>
      <c r="O6" s="74">
        <f>SUMIFS(Tableau1[decembre],Tableau1[Prestataire],"Prestataire2")</f>
        <v>0</v>
      </c>
      <c r="P6" s="90">
        <f t="shared" ref="P6:P12" si="0">SUM(D6:O6)</f>
        <v>5001</v>
      </c>
    </row>
    <row r="7" spans="1:16" ht="15" x14ac:dyDescent="0.2">
      <c r="A7" s="73" t="s">
        <v>67</v>
      </c>
      <c r="B7" s="73" t="s">
        <v>63</v>
      </c>
      <c r="C7" s="73">
        <v>0</v>
      </c>
      <c r="D7" s="74">
        <f>SUMIFS(Tableau1[janvier],Tableau1[Prestataire],"Prestataire3")</f>
        <v>1</v>
      </c>
      <c r="E7" s="74">
        <f>SUMIFS(Tableau1[fevrier],Tableau1[Prestataire],"Prestataire3")</f>
        <v>2</v>
      </c>
      <c r="F7" s="74">
        <f>SUMIFS(Tableau1[mars],Tableau1[Prestataire],"Prestataire3")</f>
        <v>3</v>
      </c>
      <c r="G7" s="74">
        <f>SUMIFS(Tableau1[avril],Tableau1[Prestataire],"Prestataire3")</f>
        <v>4</v>
      </c>
      <c r="H7" s="74">
        <f>SUMIFS(Tableau1[mai],Tableau1[Prestataire],"Prestataire3")</f>
        <v>5</v>
      </c>
      <c r="I7" s="74">
        <f>SUMIFS(Tableau1[juin],Tableau1[Prestataire],"Prestataire3")</f>
        <v>6</v>
      </c>
      <c r="J7" s="74">
        <f>SUMIFS(Tableau1[juillet],Tableau1[Prestataire],"Prestataire3")</f>
        <v>7</v>
      </c>
      <c r="K7" s="74">
        <f>SUMIFS(Tableau1[aout],Tableau1[Prestataire],"Prestataire3")</f>
        <v>8</v>
      </c>
      <c r="L7" s="74">
        <f>SUMIFS(Tableau1[septembre],Tableau1[Prestataire],"Prestataire3")</f>
        <v>9</v>
      </c>
      <c r="M7" s="74">
        <f>SUMIFS(Tableau1[octobre],Tableau1[Prestataire],"Prestataire3")</f>
        <v>10</v>
      </c>
      <c r="N7" s="74">
        <f>SUMIFS(Tableau1[novembre],Tableau1[Prestataire],"Prestataire3")</f>
        <v>11</v>
      </c>
      <c r="O7" s="74">
        <f>SUMIFS(Tableau1[decembre],Tableau1[Prestataire],"Prestataire3")</f>
        <v>12</v>
      </c>
      <c r="P7" s="90">
        <f t="shared" si="0"/>
        <v>78</v>
      </c>
    </row>
    <row r="8" spans="1:16" ht="15" x14ac:dyDescent="0.2">
      <c r="A8" s="73" t="s">
        <v>45</v>
      </c>
      <c r="B8" s="73">
        <v>45</v>
      </c>
      <c r="C8" s="73" t="s">
        <v>66</v>
      </c>
      <c r="D8" s="74">
        <f>SUMIFS(Tableau1[janvier],Tableau1[Prestataire],"Prestataire4")</f>
        <v>3</v>
      </c>
      <c r="E8" s="74">
        <f>SUMIFS(Tableau1[fevrier],Tableau1[Prestataire],"Prestataire4")</f>
        <v>0</v>
      </c>
      <c r="F8" s="74">
        <f>SUMIFS(Tableau1[mars],Tableau1[Prestataire],"Prestataire4")</f>
        <v>0</v>
      </c>
      <c r="G8" s="74">
        <f>SUMIFS(Tableau1[avril],Tableau1[Prestataire],"Prestataire4")</f>
        <v>5</v>
      </c>
      <c r="H8" s="74">
        <f>SUMIFS(Tableau1[mai],Tableau1[Prestataire],"Prestataire4")</f>
        <v>0</v>
      </c>
      <c r="I8" s="74">
        <f>SUMIFS(Tableau1[juin],Tableau1[Prestataire],"Prestataire4")</f>
        <v>0</v>
      </c>
      <c r="J8" s="74">
        <f>SUMIFS(Tableau1[juillet],Tableau1[Prestataire],"Prestataire4")</f>
        <v>6</v>
      </c>
      <c r="K8" s="74">
        <f>SUMIFS(Tableau1[aout],Tableau1[Prestataire],"Prestataire4")</f>
        <v>0</v>
      </c>
      <c r="L8" s="74">
        <f>SUMIFS(Tableau1[septembre],Tableau1[Prestataire],"Prestataire4")</f>
        <v>0</v>
      </c>
      <c r="M8" s="74">
        <f>SUMIFS(Tableau1[octobre],Tableau1[Prestataire],"Prestataire4")</f>
        <v>3</v>
      </c>
      <c r="N8" s="74">
        <f>SUMIFS(Tableau1[novembre],Tableau1[Prestataire],"Prestataire4")</f>
        <v>2</v>
      </c>
      <c r="O8" s="74">
        <f>SUMIFS(Tableau1[decembre],Tableau1[Prestataire],"Prestataire4")</f>
        <v>5</v>
      </c>
      <c r="P8" s="90">
        <f t="shared" si="0"/>
        <v>24</v>
      </c>
    </row>
    <row r="9" spans="1:16" ht="15" x14ac:dyDescent="0.2">
      <c r="A9" s="73" t="s">
        <v>74</v>
      </c>
      <c r="B9" s="73">
        <v>45</v>
      </c>
      <c r="C9" s="73" t="s">
        <v>66</v>
      </c>
      <c r="D9" s="74">
        <f>SUMIFS(Tableau1[janvier],Tableau1[Prestataire],"Prestataire5")</f>
        <v>0</v>
      </c>
      <c r="E9" s="74">
        <f>SUMIFS(Tableau1[fevrier],Tableau1[Prestataire],"Prestataire5")</f>
        <v>0</v>
      </c>
      <c r="F9" s="74">
        <f>SUMIFS(Tableau1[mars],Tableau1[Prestataire],"Prestataire5")</f>
        <v>0</v>
      </c>
      <c r="G9" s="74">
        <f>SUMIFS(Tableau1[avril],Tableau1[Prestataire],"Prestataire5")</f>
        <v>0</v>
      </c>
      <c r="H9" s="74">
        <f>SUMIFS(Tableau1[mai],Tableau1[Prestataire],"Prestataire5")</f>
        <v>0</v>
      </c>
      <c r="I9" s="74">
        <f>SUMIFS(Tableau1[juin],Tableau1[Prestataire],"Prestataire5")</f>
        <v>0</v>
      </c>
      <c r="J9" s="74">
        <f>SUMIFS(Tableau1[juillet],Tableau1[Prestataire],"Prestataire5")</f>
        <v>0</v>
      </c>
      <c r="K9" s="74">
        <f>SUMIFS(Tableau1[aout],Tableau1[Prestataire],"Prestataire5")</f>
        <v>0</v>
      </c>
      <c r="L9" s="74">
        <f>SUMIFS(Tableau1[septembre],Tableau1[Prestataire],"Prestataire5")</f>
        <v>0</v>
      </c>
      <c r="M9" s="74">
        <f>SUMIFS(Tableau1[octobre],Tableau1[Prestataire],"Prestataire5")</f>
        <v>0</v>
      </c>
      <c r="N9" s="74">
        <f>SUMIFS(Tableau1[novembre],Tableau1[Prestataire],"Prestataire5")</f>
        <v>0</v>
      </c>
      <c r="O9" s="74">
        <f>SUMIFS(Tableau1[decembre],Tableau1[Prestataire],"Prestataire5")</f>
        <v>0</v>
      </c>
      <c r="P9" s="90">
        <f t="shared" si="0"/>
        <v>0</v>
      </c>
    </row>
    <row r="10" spans="1:16" ht="15" x14ac:dyDescent="0.2">
      <c r="A10" s="73" t="s">
        <v>77</v>
      </c>
      <c r="B10" s="73">
        <v>30</v>
      </c>
      <c r="C10" s="73" t="s">
        <v>66</v>
      </c>
      <c r="D10" s="74">
        <f>SUMIFS(Tableau1[janvier],Tableau1[Prestataire],"Prestataire6")</f>
        <v>0</v>
      </c>
      <c r="E10" s="74">
        <f>SUMIFS(Tableau1[fevrier],Tableau1[Prestataire],"Prestataire6")</f>
        <v>0</v>
      </c>
      <c r="F10" s="74">
        <f>SUMIFS(Tableau1[mars],Tableau1[Prestataire],"Prestataire6")</f>
        <v>0</v>
      </c>
      <c r="G10" s="74">
        <f>SUMIFS(Tableau1[avril],Tableau1[Prestataire],"Prestataire6")</f>
        <v>0</v>
      </c>
      <c r="H10" s="74">
        <f>SUMIFS(Tableau1[mai],Tableau1[Prestataire],"Prestataire6")</f>
        <v>0</v>
      </c>
      <c r="I10" s="74">
        <f>SUMIFS(Tableau1[juin],Tableau1[Prestataire],"Prestataire6")</f>
        <v>0</v>
      </c>
      <c r="J10" s="74">
        <f>SUMIFS(Tableau1[juillet],Tableau1[Prestataire],"Prestataire6")</f>
        <v>0</v>
      </c>
      <c r="K10" s="74">
        <f>SUMIFS(Tableau1[aout],Tableau1[Prestataire],"Prestataire6")</f>
        <v>0</v>
      </c>
      <c r="L10" s="74">
        <f>SUMIFS(Tableau1[septembre],Tableau1[Prestataire],"Prestataire6")</f>
        <v>0</v>
      </c>
      <c r="M10" s="74">
        <f>SUMIFS(Tableau1[octobre],Tableau1[Prestataire],"Prestataire6")</f>
        <v>0</v>
      </c>
      <c r="N10" s="74">
        <f>SUMIFS(Tableau1[novembre],Tableau1[Prestataire],"Prestataire6")</f>
        <v>0</v>
      </c>
      <c r="O10" s="74">
        <f>SUMIFS(Tableau1[decembre],Tableau1[Prestataire],"Prestataire6")</f>
        <v>0</v>
      </c>
      <c r="P10" s="90">
        <f t="shared" si="0"/>
        <v>0</v>
      </c>
    </row>
    <row r="11" spans="1:16" ht="15" x14ac:dyDescent="0.2">
      <c r="A11" s="73" t="s">
        <v>81</v>
      </c>
      <c r="B11" s="73">
        <v>30</v>
      </c>
      <c r="C11" s="73" t="s">
        <v>66</v>
      </c>
      <c r="D11" s="74">
        <f>SUMIFS(Tableau1[janvier],Tableau1[Prestataire],"Prestataire7")</f>
        <v>0</v>
      </c>
      <c r="E11" s="74">
        <f>SUMIFS(Tableau1[fevrier],Tableau1[Prestataire],"Prestataire7")</f>
        <v>0</v>
      </c>
      <c r="F11" s="74">
        <f>SUMIFS(Tableau1[mars],Tableau1[Prestataire],"Prestataire7")</f>
        <v>0</v>
      </c>
      <c r="G11" s="74">
        <f>SUMIFS(Tableau1[avril],Tableau1[Prestataire],"Prestataire7")</f>
        <v>0</v>
      </c>
      <c r="H11" s="74">
        <f>SUMIFS(Tableau1[mai],Tableau1[Prestataire],"Prestataire7")</f>
        <v>0</v>
      </c>
      <c r="I11" s="74">
        <f>SUMIFS(Tableau1[juin],Tableau1[Prestataire],"Prestataire7")</f>
        <v>0</v>
      </c>
      <c r="J11" s="74">
        <f>SUMIFS(Tableau1[juillet],Tableau1[Prestataire],"Prestataire7")</f>
        <v>0</v>
      </c>
      <c r="K11" s="74">
        <f>SUMIFS(Tableau1[aout],Tableau1[Prestataire],"Prestataire7")</f>
        <v>0</v>
      </c>
      <c r="L11" s="74">
        <f>SUMIFS(Tableau1[septembre],Tableau1[Prestataire],"Prestataire7")</f>
        <v>0</v>
      </c>
      <c r="M11" s="74">
        <f>SUMIFS(Tableau1[octobre],Tableau1[Prestataire],"Prestataire7")</f>
        <v>0</v>
      </c>
      <c r="N11" s="74">
        <f>SUMIFS(Tableau1[novembre],Tableau1[Prestataire],"Prestataire7")</f>
        <v>0</v>
      </c>
      <c r="O11" s="74">
        <f>SUMIFS(Tableau1[decembre],Tableau1[Prestataire],"Prestataire7")</f>
        <v>0</v>
      </c>
      <c r="P11" s="90">
        <f t="shared" si="0"/>
        <v>0</v>
      </c>
    </row>
    <row r="12" spans="1:16" ht="15" x14ac:dyDescent="0.2">
      <c r="A12" s="75" t="s">
        <v>84</v>
      </c>
      <c r="B12" s="75">
        <v>30</v>
      </c>
      <c r="C12" s="75" t="s">
        <v>66</v>
      </c>
      <c r="D12" s="76">
        <f>SUMIFS(Tableau1[janvier],Tableau1[Prestataire],"Prestataire8")</f>
        <v>0</v>
      </c>
      <c r="E12" s="76">
        <f>SUMIFS(Tableau1[fevrier],Tableau1[Prestataire],"Prestataire8")</f>
        <v>0</v>
      </c>
      <c r="F12" s="76">
        <f>SUMIFS(Tableau1[mars],Tableau1[Prestataire],"Prestataire8")</f>
        <v>0</v>
      </c>
      <c r="G12" s="76">
        <f>SUMIFS(Tableau1[avril],Tableau1[Prestataire],"Prestataire8")</f>
        <v>0</v>
      </c>
      <c r="H12" s="76">
        <f>SUMIFS(Tableau1[mai],Tableau1[Prestataire],"Prestataire8")</f>
        <v>0</v>
      </c>
      <c r="I12" s="76">
        <f>SUMIFS(Tableau1[juin],Tableau1[Prestataire],"Prestataire8")</f>
        <v>0</v>
      </c>
      <c r="J12" s="76">
        <f>SUMIFS(Tableau1[juillet],Tableau1[Prestataire],"Prestataire8")</f>
        <v>0</v>
      </c>
      <c r="K12" s="76">
        <f>SUMIFS(Tableau1[aout],Tableau1[Prestataire],"Prestataire8")</f>
        <v>0</v>
      </c>
      <c r="L12" s="76">
        <f>SUMIFS(Tableau1[septembre],Tableau1[Prestataire],"Prestataire8")</f>
        <v>0</v>
      </c>
      <c r="M12" s="76">
        <f>SUMIFS(Tableau1[octobre],Tableau1[Prestataire],"Prestataire8")</f>
        <v>0</v>
      </c>
      <c r="N12" s="76">
        <f>SUMIFS(Tableau1[novembre],Tableau1[Prestataire],"Prestataire8")</f>
        <v>0</v>
      </c>
      <c r="O12" s="76">
        <f>SUMIFS(Tableau1[decembre],Tableau1[Prestataire],"Prestataire8")</f>
        <v>0</v>
      </c>
      <c r="P12" s="91">
        <f t="shared" si="0"/>
        <v>0</v>
      </c>
    </row>
    <row r="13" spans="1:16" ht="15" x14ac:dyDescent="0.2">
      <c r="A13" s="85" t="s">
        <v>41</v>
      </c>
      <c r="B13" s="86"/>
      <c r="C13" s="87"/>
      <c r="D13" s="88">
        <f t="shared" ref="D13:P13" si="1">SUM(D5:D12)</f>
        <v>5005</v>
      </c>
      <c r="E13" s="88">
        <f t="shared" si="1"/>
        <v>22</v>
      </c>
      <c r="F13" s="88">
        <f t="shared" si="1"/>
        <v>2503</v>
      </c>
      <c r="G13" s="88">
        <f t="shared" si="1"/>
        <v>9</v>
      </c>
      <c r="H13" s="88">
        <f t="shared" si="1"/>
        <v>5</v>
      </c>
      <c r="I13" s="88">
        <f t="shared" si="1"/>
        <v>6</v>
      </c>
      <c r="J13" s="88">
        <f t="shared" si="1"/>
        <v>13</v>
      </c>
      <c r="K13" s="88">
        <f t="shared" si="1"/>
        <v>8</v>
      </c>
      <c r="L13" s="88">
        <f t="shared" si="1"/>
        <v>39</v>
      </c>
      <c r="M13" s="88">
        <f t="shared" si="1"/>
        <v>2513</v>
      </c>
      <c r="N13" s="88">
        <f t="shared" si="1"/>
        <v>13</v>
      </c>
      <c r="O13" s="88">
        <f t="shared" si="1"/>
        <v>17</v>
      </c>
      <c r="P13" s="88">
        <f t="shared" si="1"/>
        <v>10153</v>
      </c>
    </row>
    <row r="16" spans="1:16" ht="15.75" x14ac:dyDescent="0.2">
      <c r="A16" s="79" t="s">
        <v>116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</row>
    <row r="18" spans="1:16" ht="15" x14ac:dyDescent="0.25">
      <c r="A18" s="83" t="s">
        <v>106</v>
      </c>
      <c r="B18" s="147" t="s">
        <v>107</v>
      </c>
      <c r="C18" s="147"/>
      <c r="D18" s="84" t="s">
        <v>108</v>
      </c>
      <c r="E18" s="84" t="s">
        <v>109</v>
      </c>
      <c r="F18" s="84" t="s">
        <v>37</v>
      </c>
      <c r="G18" s="84" t="s">
        <v>110</v>
      </c>
      <c r="H18" s="84" t="s">
        <v>38</v>
      </c>
      <c r="I18" s="84" t="s">
        <v>39</v>
      </c>
      <c r="J18" s="84" t="s">
        <v>111</v>
      </c>
      <c r="K18" s="84" t="s">
        <v>40</v>
      </c>
      <c r="L18" s="84" t="s">
        <v>112</v>
      </c>
      <c r="M18" s="84" t="s">
        <v>113</v>
      </c>
      <c r="N18" s="84" t="s">
        <v>114</v>
      </c>
      <c r="O18" s="84" t="s">
        <v>115</v>
      </c>
      <c r="P18" s="84" t="s">
        <v>41</v>
      </c>
    </row>
    <row r="19" spans="1:16" ht="15" x14ac:dyDescent="0.2">
      <c r="A19" s="71" t="s">
        <v>44</v>
      </c>
      <c r="B19" s="71">
        <v>0</v>
      </c>
      <c r="C19" s="71" t="s">
        <v>63</v>
      </c>
      <c r="D19" s="72">
        <f>IF(D5&gt;0,D5,"")</f>
        <v>5000</v>
      </c>
      <c r="E19" s="72">
        <f>IF(E5&gt;0,E5,"")</f>
        <v>20</v>
      </c>
      <c r="F19" s="72" t="str">
        <f>IF(F5&gt;0,F5,"")</f>
        <v/>
      </c>
      <c r="G19" s="72" t="str">
        <f t="shared" ref="G19:N21" si="2">IF(G5&gt;0,G5,"")</f>
        <v/>
      </c>
      <c r="H19" s="72" t="str">
        <f t="shared" si="2"/>
        <v/>
      </c>
      <c r="I19" s="72" t="str">
        <f t="shared" si="2"/>
        <v/>
      </c>
      <c r="J19" s="72" t="str">
        <f t="shared" si="2"/>
        <v/>
      </c>
      <c r="K19" s="72" t="str">
        <f t="shared" si="2"/>
        <v/>
      </c>
      <c r="L19" s="72">
        <f t="shared" si="2"/>
        <v>30</v>
      </c>
      <c r="M19" s="72" t="str">
        <f t="shared" si="2"/>
        <v/>
      </c>
      <c r="N19" s="72" t="str">
        <f t="shared" si="2"/>
        <v/>
      </c>
      <c r="O19" s="72" t="str">
        <f>IF(O5&gt;0,O5,"")</f>
        <v/>
      </c>
      <c r="P19" s="92">
        <f>SUM(D19:O19)</f>
        <v>5050</v>
      </c>
    </row>
    <row r="20" spans="1:16" ht="15" x14ac:dyDescent="0.2">
      <c r="A20" s="73" t="s">
        <v>42</v>
      </c>
      <c r="B20" s="73">
        <v>60</v>
      </c>
      <c r="C20" s="73" t="s">
        <v>66</v>
      </c>
      <c r="D20" s="74"/>
      <c r="E20" s="74"/>
      <c r="F20" s="74">
        <f>IF(D6&gt;0,D6,"")</f>
        <v>1</v>
      </c>
      <c r="G20" s="74" t="str">
        <f t="shared" ref="G20:N20" si="3">IF(E6&gt;0,E6,"")</f>
        <v/>
      </c>
      <c r="H20" s="74">
        <f t="shared" si="3"/>
        <v>2500</v>
      </c>
      <c r="I20" s="74" t="str">
        <f t="shared" si="3"/>
        <v/>
      </c>
      <c r="J20" s="74" t="str">
        <f t="shared" si="3"/>
        <v/>
      </c>
      <c r="K20" s="74" t="str">
        <f t="shared" si="3"/>
        <v/>
      </c>
      <c r="L20" s="74" t="str">
        <f t="shared" si="3"/>
        <v/>
      </c>
      <c r="M20" s="74" t="str">
        <f t="shared" si="3"/>
        <v/>
      </c>
      <c r="N20" s="74" t="str">
        <f t="shared" si="3"/>
        <v/>
      </c>
      <c r="O20" s="74">
        <f>IF(M6&gt;0,M6,"")</f>
        <v>2500</v>
      </c>
      <c r="P20" s="90">
        <f t="shared" ref="P20:P26" si="4">SUM(D20:O20)</f>
        <v>5001</v>
      </c>
    </row>
    <row r="21" spans="1:16" ht="15" x14ac:dyDescent="0.2">
      <c r="A21" s="73" t="s">
        <v>67</v>
      </c>
      <c r="B21" s="73">
        <v>0</v>
      </c>
      <c r="C21" s="73" t="s">
        <v>63</v>
      </c>
      <c r="D21" s="74">
        <f>IF(D7&gt;0,D7,"")</f>
        <v>1</v>
      </c>
      <c r="E21" s="74">
        <f>IF(E7&gt;0,E7,"")</f>
        <v>2</v>
      </c>
      <c r="F21" s="74">
        <f>IF(F7&gt;0,F7,"")</f>
        <v>3</v>
      </c>
      <c r="G21" s="74">
        <f>IF(G7&gt;0,G7,"")</f>
        <v>4</v>
      </c>
      <c r="H21" s="74">
        <f>IF(H7&gt;0,H7,"")</f>
        <v>5</v>
      </c>
      <c r="I21" s="74">
        <f t="shared" si="2"/>
        <v>6</v>
      </c>
      <c r="J21" s="74">
        <f t="shared" si="2"/>
        <v>7</v>
      </c>
      <c r="K21" s="74">
        <f t="shared" si="2"/>
        <v>8</v>
      </c>
      <c r="L21" s="74">
        <f t="shared" si="2"/>
        <v>9</v>
      </c>
      <c r="M21" s="74">
        <f t="shared" si="2"/>
        <v>10</v>
      </c>
      <c r="N21" s="74">
        <f t="shared" si="2"/>
        <v>11</v>
      </c>
      <c r="O21" s="74">
        <f>IF(O7&gt;0,O7,"")</f>
        <v>12</v>
      </c>
      <c r="P21" s="90">
        <f t="shared" si="4"/>
        <v>78</v>
      </c>
    </row>
    <row r="22" spans="1:16" ht="15" x14ac:dyDescent="0.2">
      <c r="A22" s="73" t="s">
        <v>45</v>
      </c>
      <c r="B22" s="73">
        <v>45</v>
      </c>
      <c r="C22" s="73" t="s">
        <v>66</v>
      </c>
      <c r="D22" s="74"/>
      <c r="E22" s="74">
        <f>IF(D8&gt;0,D8,"")</f>
        <v>3</v>
      </c>
      <c r="F22" s="74" t="str">
        <f t="shared" ref="F22:O23" si="5">IF(E8&gt;0,E8,"")</f>
        <v/>
      </c>
      <c r="G22" s="74" t="str">
        <f t="shared" si="5"/>
        <v/>
      </c>
      <c r="H22" s="74">
        <f t="shared" si="5"/>
        <v>5</v>
      </c>
      <c r="I22" s="74" t="str">
        <f t="shared" si="5"/>
        <v/>
      </c>
      <c r="J22" s="74" t="str">
        <f t="shared" si="5"/>
        <v/>
      </c>
      <c r="K22" s="74">
        <f t="shared" si="5"/>
        <v>6</v>
      </c>
      <c r="L22" s="74" t="str">
        <f t="shared" si="5"/>
        <v/>
      </c>
      <c r="M22" s="74" t="str">
        <f t="shared" si="5"/>
        <v/>
      </c>
      <c r="N22" s="74">
        <f t="shared" si="5"/>
        <v>3</v>
      </c>
      <c r="O22" s="74">
        <f t="shared" si="5"/>
        <v>2</v>
      </c>
      <c r="P22" s="90">
        <f t="shared" si="4"/>
        <v>19</v>
      </c>
    </row>
    <row r="23" spans="1:16" ht="15" x14ac:dyDescent="0.2">
      <c r="A23" s="73" t="s">
        <v>74</v>
      </c>
      <c r="B23" s="73">
        <v>45</v>
      </c>
      <c r="C23" s="73" t="s">
        <v>66</v>
      </c>
      <c r="D23" s="74"/>
      <c r="E23" s="74" t="str">
        <f>IF(D9&gt;0,D9,"")</f>
        <v/>
      </c>
      <c r="F23" s="74" t="str">
        <f t="shared" ref="F23" si="6">IF(E9&gt;0,E9,"")</f>
        <v/>
      </c>
      <c r="G23" s="74" t="str">
        <f t="shared" si="5"/>
        <v/>
      </c>
      <c r="H23" s="74" t="str">
        <f t="shared" si="5"/>
        <v/>
      </c>
      <c r="I23" s="74" t="str">
        <f t="shared" si="5"/>
        <v/>
      </c>
      <c r="J23" s="74" t="str">
        <f t="shared" si="5"/>
        <v/>
      </c>
      <c r="K23" s="74" t="str">
        <f t="shared" si="5"/>
        <v/>
      </c>
      <c r="L23" s="74" t="str">
        <f t="shared" si="5"/>
        <v/>
      </c>
      <c r="M23" s="74" t="str">
        <f t="shared" si="5"/>
        <v/>
      </c>
      <c r="N23" s="74" t="str">
        <f t="shared" si="5"/>
        <v/>
      </c>
      <c r="O23" s="74" t="str">
        <f t="shared" si="5"/>
        <v/>
      </c>
      <c r="P23" s="90">
        <f t="shared" si="4"/>
        <v>0</v>
      </c>
    </row>
    <row r="24" spans="1:16" ht="15" x14ac:dyDescent="0.2">
      <c r="A24" s="73" t="s">
        <v>77</v>
      </c>
      <c r="B24" s="73">
        <v>30</v>
      </c>
      <c r="C24" s="73" t="s">
        <v>66</v>
      </c>
      <c r="D24" s="74"/>
      <c r="E24" s="74" t="str">
        <f t="shared" ref="E24:O24" si="7">IF(D10&gt;0,D10,"")</f>
        <v/>
      </c>
      <c r="F24" s="74" t="str">
        <f t="shared" si="7"/>
        <v/>
      </c>
      <c r="G24" s="74" t="str">
        <f t="shared" si="7"/>
        <v/>
      </c>
      <c r="H24" s="74" t="str">
        <f t="shared" si="7"/>
        <v/>
      </c>
      <c r="I24" s="74" t="str">
        <f t="shared" si="7"/>
        <v/>
      </c>
      <c r="J24" s="74" t="str">
        <f t="shared" si="7"/>
        <v/>
      </c>
      <c r="K24" s="74" t="str">
        <f t="shared" si="7"/>
        <v/>
      </c>
      <c r="L24" s="74" t="str">
        <f t="shared" si="7"/>
        <v/>
      </c>
      <c r="M24" s="74" t="str">
        <f t="shared" si="7"/>
        <v/>
      </c>
      <c r="N24" s="74" t="str">
        <f t="shared" si="7"/>
        <v/>
      </c>
      <c r="O24" s="74" t="str">
        <f t="shared" si="7"/>
        <v/>
      </c>
      <c r="P24" s="90">
        <f t="shared" si="4"/>
        <v>0</v>
      </c>
    </row>
    <row r="25" spans="1:16" ht="15" x14ac:dyDescent="0.2">
      <c r="A25" s="73" t="s">
        <v>81</v>
      </c>
      <c r="B25" s="73">
        <v>30</v>
      </c>
      <c r="C25" s="73" t="s">
        <v>66</v>
      </c>
      <c r="D25" s="74"/>
      <c r="E25" s="74" t="str">
        <f t="shared" ref="E25:O25" si="8">IF(D11&gt;0,D11,"")</f>
        <v/>
      </c>
      <c r="F25" s="74" t="str">
        <f t="shared" si="8"/>
        <v/>
      </c>
      <c r="G25" s="74" t="str">
        <f t="shared" si="8"/>
        <v/>
      </c>
      <c r="H25" s="74" t="str">
        <f t="shared" si="8"/>
        <v/>
      </c>
      <c r="I25" s="74" t="str">
        <f t="shared" si="8"/>
        <v/>
      </c>
      <c r="J25" s="74" t="str">
        <f t="shared" si="8"/>
        <v/>
      </c>
      <c r="K25" s="74" t="str">
        <f t="shared" si="8"/>
        <v/>
      </c>
      <c r="L25" s="74" t="str">
        <f t="shared" si="8"/>
        <v/>
      </c>
      <c r="M25" s="74" t="str">
        <f t="shared" si="8"/>
        <v/>
      </c>
      <c r="N25" s="74" t="str">
        <f t="shared" si="8"/>
        <v/>
      </c>
      <c r="O25" s="74" t="str">
        <f t="shared" si="8"/>
        <v/>
      </c>
      <c r="P25" s="90">
        <f t="shared" si="4"/>
        <v>0</v>
      </c>
    </row>
    <row r="26" spans="1:16" ht="15" x14ac:dyDescent="0.2">
      <c r="A26" s="75" t="s">
        <v>84</v>
      </c>
      <c r="B26" s="75">
        <v>15</v>
      </c>
      <c r="C26" s="75" t="s">
        <v>66</v>
      </c>
      <c r="D26" s="76" t="str">
        <f>IF(D12&gt;0,D12,"")</f>
        <v/>
      </c>
      <c r="E26" s="76" t="str">
        <f>IF(E12&gt;0,E12,"")</f>
        <v/>
      </c>
      <c r="F26" s="74" t="str">
        <f t="shared" ref="F26" si="9">IF(E12&gt;0,E12,"")</f>
        <v/>
      </c>
      <c r="G26" s="76" t="str">
        <f t="shared" ref="G26:N26" si="10">IF(G12&gt;0,G12,"")</f>
        <v/>
      </c>
      <c r="H26" s="76" t="str">
        <f t="shared" si="10"/>
        <v/>
      </c>
      <c r="I26" s="76" t="str">
        <f t="shared" si="10"/>
        <v/>
      </c>
      <c r="J26" s="76" t="str">
        <f t="shared" si="10"/>
        <v/>
      </c>
      <c r="K26" s="76" t="str">
        <f t="shared" si="10"/>
        <v/>
      </c>
      <c r="L26" s="76" t="str">
        <f t="shared" si="10"/>
        <v/>
      </c>
      <c r="M26" s="76" t="str">
        <f t="shared" si="10"/>
        <v/>
      </c>
      <c r="N26" s="76" t="str">
        <f t="shared" si="10"/>
        <v/>
      </c>
      <c r="O26" s="76" t="str">
        <f>IF(O12&gt;0,O12,"")</f>
        <v/>
      </c>
      <c r="P26" s="91">
        <f t="shared" si="4"/>
        <v>0</v>
      </c>
    </row>
    <row r="27" spans="1:16" ht="15" x14ac:dyDescent="0.2">
      <c r="A27" s="85" t="s">
        <v>41</v>
      </c>
      <c r="B27" s="86"/>
      <c r="C27" s="87"/>
      <c r="D27" s="88">
        <f>SUM(D19:D26)</f>
        <v>5001</v>
      </c>
      <c r="E27" s="88">
        <f t="shared" ref="E27:P27" si="11">SUM(E19:E26)</f>
        <v>25</v>
      </c>
      <c r="F27" s="88">
        <f t="shared" si="11"/>
        <v>4</v>
      </c>
      <c r="G27" s="88">
        <f t="shared" si="11"/>
        <v>4</v>
      </c>
      <c r="H27" s="88">
        <f t="shared" si="11"/>
        <v>2510</v>
      </c>
      <c r="I27" s="88">
        <f t="shared" si="11"/>
        <v>6</v>
      </c>
      <c r="J27" s="88">
        <f t="shared" si="11"/>
        <v>7</v>
      </c>
      <c r="K27" s="88">
        <f t="shared" si="11"/>
        <v>14</v>
      </c>
      <c r="L27" s="88">
        <f t="shared" si="11"/>
        <v>39</v>
      </c>
      <c r="M27" s="88">
        <f t="shared" si="11"/>
        <v>10</v>
      </c>
      <c r="N27" s="88">
        <f t="shared" si="11"/>
        <v>14</v>
      </c>
      <c r="O27" s="88">
        <f t="shared" si="11"/>
        <v>2514</v>
      </c>
      <c r="P27" s="88">
        <f t="shared" si="11"/>
        <v>10148</v>
      </c>
    </row>
    <row r="30" spans="1:16" ht="15.75" x14ac:dyDescent="0.2">
      <c r="A30" s="79" t="s">
        <v>117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2" spans="1:16" ht="15" x14ac:dyDescent="0.25">
      <c r="A32" s="83" t="s">
        <v>106</v>
      </c>
      <c r="B32" s="147" t="s">
        <v>107</v>
      </c>
      <c r="C32" s="147"/>
      <c r="D32" s="84" t="s">
        <v>108</v>
      </c>
      <c r="E32" s="84" t="s">
        <v>109</v>
      </c>
      <c r="F32" s="84" t="s">
        <v>37</v>
      </c>
      <c r="G32" s="84" t="s">
        <v>110</v>
      </c>
      <c r="H32" s="84" t="s">
        <v>38</v>
      </c>
      <c r="I32" s="84" t="s">
        <v>39</v>
      </c>
      <c r="J32" s="84" t="s">
        <v>111</v>
      </c>
      <c r="K32" s="84" t="s">
        <v>40</v>
      </c>
      <c r="L32" s="84" t="s">
        <v>112</v>
      </c>
      <c r="M32" s="84" t="s">
        <v>113</v>
      </c>
      <c r="N32" s="84" t="s">
        <v>114</v>
      </c>
      <c r="O32" s="84" t="s">
        <v>115</v>
      </c>
      <c r="P32" s="84" t="s">
        <v>41</v>
      </c>
    </row>
    <row r="33" spans="1:16" ht="15" x14ac:dyDescent="0.2">
      <c r="A33" s="71" t="s">
        <v>44</v>
      </c>
      <c r="B33" s="71">
        <v>0</v>
      </c>
      <c r="C33" s="71" t="s">
        <v>63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92">
        <f>SUM(D33:O33)</f>
        <v>0</v>
      </c>
    </row>
    <row r="34" spans="1:16" ht="15" x14ac:dyDescent="0.2">
      <c r="A34" s="73" t="s">
        <v>42</v>
      </c>
      <c r="B34" s="73">
        <v>60</v>
      </c>
      <c r="C34" s="73" t="s">
        <v>66</v>
      </c>
      <c r="D34" s="74" t="str">
        <f>IF(N6&gt;0,N6,"")</f>
        <v/>
      </c>
      <c r="E34" s="74" t="str">
        <f>IF(O6&gt;0,O6,"")</f>
        <v/>
      </c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90">
        <f t="shared" ref="P34:P40" si="12">SUM(D34:O34)</f>
        <v>0</v>
      </c>
    </row>
    <row r="35" spans="1:16" ht="15" x14ac:dyDescent="0.2">
      <c r="A35" s="73" t="s">
        <v>67</v>
      </c>
      <c r="B35" s="73">
        <v>0</v>
      </c>
      <c r="C35" s="73" t="s">
        <v>63</v>
      </c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90">
        <f t="shared" si="12"/>
        <v>0</v>
      </c>
    </row>
    <row r="36" spans="1:16" ht="15" x14ac:dyDescent="0.2">
      <c r="A36" s="73" t="s">
        <v>45</v>
      </c>
      <c r="B36" s="73">
        <v>45</v>
      </c>
      <c r="C36" s="73" t="s">
        <v>66</v>
      </c>
      <c r="D36" s="74">
        <f>IF(O8&gt;0,O8,"")</f>
        <v>5</v>
      </c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90">
        <f t="shared" si="12"/>
        <v>5</v>
      </c>
    </row>
    <row r="37" spans="1:16" ht="15" x14ac:dyDescent="0.2">
      <c r="A37" s="73" t="s">
        <v>74</v>
      </c>
      <c r="B37" s="73">
        <v>45</v>
      </c>
      <c r="C37" s="73" t="s">
        <v>66</v>
      </c>
      <c r="D37" s="74" t="str">
        <f>IF(O9&gt;0,O9,"")</f>
        <v/>
      </c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90">
        <f t="shared" si="12"/>
        <v>0</v>
      </c>
    </row>
    <row r="38" spans="1:16" ht="15" x14ac:dyDescent="0.2">
      <c r="A38" s="73" t="s">
        <v>77</v>
      </c>
      <c r="B38" s="73">
        <v>30</v>
      </c>
      <c r="C38" s="73" t="s">
        <v>66</v>
      </c>
      <c r="D38" s="74" t="str">
        <f>IF(O10&gt;0,O10,"")</f>
        <v/>
      </c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90">
        <f t="shared" si="12"/>
        <v>0</v>
      </c>
    </row>
    <row r="39" spans="1:16" ht="15" x14ac:dyDescent="0.2">
      <c r="A39" s="73" t="s">
        <v>81</v>
      </c>
      <c r="B39" s="73">
        <v>30</v>
      </c>
      <c r="C39" s="73" t="s">
        <v>66</v>
      </c>
      <c r="D39" s="74" t="str">
        <f>IF(O11&gt;0,O11,"")</f>
        <v/>
      </c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90">
        <f t="shared" si="12"/>
        <v>0</v>
      </c>
    </row>
    <row r="40" spans="1:16" ht="15" x14ac:dyDescent="0.2">
      <c r="A40" s="75" t="s">
        <v>84</v>
      </c>
      <c r="B40" s="75">
        <v>15</v>
      </c>
      <c r="C40" s="75" t="s">
        <v>66</v>
      </c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91">
        <f t="shared" si="12"/>
        <v>0</v>
      </c>
    </row>
    <row r="41" spans="1:16" ht="15" x14ac:dyDescent="0.2">
      <c r="A41" s="85" t="s">
        <v>41</v>
      </c>
      <c r="B41" s="86"/>
      <c r="C41" s="87"/>
      <c r="D41" s="88">
        <f>SUM(D33:D40)</f>
        <v>5</v>
      </c>
      <c r="E41" s="88">
        <f t="shared" ref="E41:P41" si="13">SUM(E33:E40)</f>
        <v>0</v>
      </c>
      <c r="F41" s="88">
        <f t="shared" si="13"/>
        <v>0</v>
      </c>
      <c r="G41" s="88">
        <f t="shared" si="13"/>
        <v>0</v>
      </c>
      <c r="H41" s="88">
        <f t="shared" si="13"/>
        <v>0</v>
      </c>
      <c r="I41" s="88">
        <f t="shared" si="13"/>
        <v>0</v>
      </c>
      <c r="J41" s="88">
        <f t="shared" si="13"/>
        <v>0</v>
      </c>
      <c r="K41" s="88">
        <f t="shared" si="13"/>
        <v>0</v>
      </c>
      <c r="L41" s="88">
        <f t="shared" si="13"/>
        <v>0</v>
      </c>
      <c r="M41" s="88">
        <f t="shared" si="13"/>
        <v>0</v>
      </c>
      <c r="N41" s="88">
        <f t="shared" si="13"/>
        <v>0</v>
      </c>
      <c r="O41" s="88">
        <f t="shared" si="13"/>
        <v>0</v>
      </c>
      <c r="P41" s="88">
        <f t="shared" si="13"/>
        <v>5</v>
      </c>
    </row>
  </sheetData>
  <mergeCells count="3">
    <mergeCell ref="B4:C4"/>
    <mergeCell ref="B18:C18"/>
    <mergeCell ref="B32:C32"/>
  </mergeCells>
  <conditionalFormatting sqref="A5:P12">
    <cfRule type="expression" dxfId="5" priority="6">
      <formula>MOD(ROW(),2)</formula>
    </cfRule>
  </conditionalFormatting>
  <conditionalFormatting sqref="A33:P40">
    <cfRule type="expression" dxfId="4" priority="4">
      <formula>MOD(ROW(),2)</formula>
    </cfRule>
  </conditionalFormatting>
  <conditionalFormatting sqref="A19:P26">
    <cfRule type="expression" dxfId="3" priority="5">
      <formula>MOD(ROW(),2)</formula>
    </cfRule>
  </conditionalFormatting>
  <conditionalFormatting sqref="C5:C12">
    <cfRule type="expression" dxfId="2" priority="3">
      <formula>$C5:$C12=0</formula>
    </cfRule>
  </conditionalFormatting>
  <conditionalFormatting sqref="B19:B26">
    <cfRule type="expression" dxfId="1" priority="2">
      <formula>$B19:$B26=0</formula>
    </cfRule>
  </conditionalFormatting>
  <conditionalFormatting sqref="B33:B40">
    <cfRule type="expression" dxfId="0" priority="1">
      <formula>$B33:$B40=0</formula>
    </cfRule>
  </conditionalFormatting>
  <pageMargins left="0.7" right="0.7" top="0.75" bottom="0.75" header="0.3" footer="0.3"/>
  <pageSetup paperSize="9" orientation="portrait" r:id="rId1"/>
  <ignoredErrors>
    <ignoredError sqref="F20:G20 H20:I20 J20:O20 F2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"/>
  <sheetViews>
    <sheetView workbookViewId="0">
      <selection activeCell="H23" sqref="H23"/>
    </sheetView>
  </sheetViews>
  <sheetFormatPr baseColWidth="10" defaultRowHeight="15" x14ac:dyDescent="0.25"/>
  <cols>
    <col min="1" max="1" width="19.28515625" style="94" customWidth="1"/>
    <col min="2" max="4" width="11.42578125" style="94"/>
    <col min="5" max="5" width="22.5703125" style="94" customWidth="1"/>
    <col min="6" max="16384" width="11.42578125" style="94"/>
  </cols>
  <sheetData>
    <row r="1" spans="1:7" ht="18.75" x14ac:dyDescent="0.25">
      <c r="A1" s="148" t="s">
        <v>156</v>
      </c>
      <c r="B1" s="148"/>
      <c r="C1" s="148"/>
      <c r="D1" s="148"/>
      <c r="E1" s="148"/>
      <c r="F1" s="148"/>
      <c r="G1" s="148"/>
    </row>
    <row r="3" spans="1:7" ht="18.75" x14ac:dyDescent="0.3">
      <c r="A3" s="100" t="s">
        <v>104</v>
      </c>
      <c r="B3" s="101">
        <f ca="1">TODAY()</f>
        <v>43336</v>
      </c>
      <c r="C3" s="149">
        <f>SUM(BD!AE2:AE599)</f>
        <v>10153</v>
      </c>
      <c r="D3" s="149"/>
    </row>
    <row r="6" spans="1:7" ht="15.75" x14ac:dyDescent="0.25">
      <c r="A6" s="97" t="s">
        <v>145</v>
      </c>
      <c r="B6" s="97" t="s">
        <v>146</v>
      </c>
      <c r="C6" s="97" t="s">
        <v>95</v>
      </c>
      <c r="E6" s="97" t="s">
        <v>106</v>
      </c>
      <c r="F6" s="97" t="s">
        <v>146</v>
      </c>
      <c r="G6" s="97" t="s">
        <v>95</v>
      </c>
    </row>
    <row r="7" spans="1:7" x14ac:dyDescent="0.25">
      <c r="A7" s="95" t="s">
        <v>136</v>
      </c>
      <c r="B7" s="102">
        <f>COUNTIF(Tableau1[Etablissement],"Etablissement1")</f>
        <v>2</v>
      </c>
      <c r="C7" s="104">
        <f>SUMIF(Tableau1[Etablissement],"Etablissement1",Tableau1[total])</f>
        <v>5025</v>
      </c>
      <c r="E7" s="95" t="s">
        <v>147</v>
      </c>
      <c r="F7" s="102">
        <f>COUNTIF(Tableau1[Prestataire],"Prestataire1")</f>
        <v>1</v>
      </c>
      <c r="G7" s="104">
        <f>SUMIF(Tableau1[Prestataire],"Prestataire1",Tableau1[total])</f>
        <v>5050</v>
      </c>
    </row>
    <row r="8" spans="1:7" x14ac:dyDescent="0.25">
      <c r="A8" s="96" t="s">
        <v>137</v>
      </c>
      <c r="B8" s="103">
        <f>COUNTIF(Tableau1[Etablissement],"Etablissement2")</f>
        <v>1</v>
      </c>
      <c r="C8" s="105">
        <f>SUMIF(Tableau1[Etablissement],"Etablissement2",Tableau1[total])</f>
        <v>5050</v>
      </c>
      <c r="E8" s="96" t="s">
        <v>148</v>
      </c>
      <c r="F8" s="103">
        <f>COUNTIF(Tableau1[Prestataire],"Prestataire2")</f>
        <v>1</v>
      </c>
      <c r="G8" s="105">
        <f>SUMIF(Tableau1[Prestataire],"Prestataire2",Tableau1[total])</f>
        <v>5001</v>
      </c>
    </row>
    <row r="9" spans="1:7" x14ac:dyDescent="0.25">
      <c r="A9" s="95" t="s">
        <v>138</v>
      </c>
      <c r="B9" s="102">
        <f>COUNTIF(Tableau1[Etablissement],"Etablissement3")</f>
        <v>0</v>
      </c>
      <c r="C9" s="104">
        <f>SUMIF(Tableau1[Etablissement],"Etablissement3",Tableau1[total])</f>
        <v>0</v>
      </c>
      <c r="E9" s="95" t="s">
        <v>149</v>
      </c>
      <c r="F9" s="102">
        <f>COUNTIF(Tableau1[Prestataire],"Prestataire3")</f>
        <v>1</v>
      </c>
      <c r="G9" s="104">
        <f>SUMIF(Tableau1[Prestataire],"Prestataire3",Tableau1[total])</f>
        <v>78</v>
      </c>
    </row>
    <row r="10" spans="1:7" x14ac:dyDescent="0.25">
      <c r="A10" s="96" t="s">
        <v>139</v>
      </c>
      <c r="B10" s="103">
        <f>COUNTIF(Tableau1[Etablissement],"Etablissement4")</f>
        <v>1</v>
      </c>
      <c r="C10" s="105">
        <f>SUMIF(Tableau1[Etablissement],"Etablissement4",Tableau1[total])</f>
        <v>78</v>
      </c>
      <c r="E10" s="96" t="s">
        <v>150</v>
      </c>
      <c r="F10" s="103">
        <f>COUNTIF(Tableau1[Prestataire],"Prestataire4")</f>
        <v>1</v>
      </c>
      <c r="G10" s="105">
        <f>SUMIF(Tableau1[Prestataire],"Prestataire4",Tableau1[total])</f>
        <v>24</v>
      </c>
    </row>
    <row r="11" spans="1:7" x14ac:dyDescent="0.25">
      <c r="A11" s="95" t="s">
        <v>140</v>
      </c>
      <c r="B11" s="102">
        <f>COUNTIF(Tableau1[Etablissement],"Etablissement5")</f>
        <v>0</v>
      </c>
      <c r="C11" s="104">
        <f>SUMIF(Tableau1[Etablissement],"Etablissement5",Tableau1[total])</f>
        <v>0</v>
      </c>
      <c r="E11" s="95" t="s">
        <v>151</v>
      </c>
      <c r="F11" s="102">
        <f>COUNTIF(Tableau1[Prestataire],"Prestataire5")</f>
        <v>0</v>
      </c>
      <c r="G11" s="104">
        <f>SUMIF(Tableau1[Prestataire],"Prestataire5",Tableau1[total])</f>
        <v>0</v>
      </c>
    </row>
    <row r="12" spans="1:7" x14ac:dyDescent="0.25">
      <c r="A12" s="96" t="s">
        <v>141</v>
      </c>
      <c r="B12" s="103">
        <f>COUNTIF(Tableau1[Etablissement],"Etablissement6")</f>
        <v>0</v>
      </c>
      <c r="C12" s="105">
        <f>SUMIF(Tableau1[Etablissement],"Etablissement6",Tableau1[total])</f>
        <v>0</v>
      </c>
      <c r="E12" s="96" t="s">
        <v>152</v>
      </c>
      <c r="F12" s="103">
        <f>COUNTIF(Tableau1[Prestataire],"Prestataire6")</f>
        <v>0</v>
      </c>
      <c r="G12" s="105">
        <f>SUMIF(Tableau1[Prestataire],"Prestataire6",Tableau1[total])</f>
        <v>0</v>
      </c>
    </row>
    <row r="13" spans="1:7" x14ac:dyDescent="0.25">
      <c r="A13" s="95" t="s">
        <v>142</v>
      </c>
      <c r="B13" s="102">
        <f>COUNTIF(Tableau1[Etablissement],"Etablissement7")</f>
        <v>0</v>
      </c>
      <c r="C13" s="104">
        <f>SUMIF(Tableau1[Etablissement],"Etablissement7",Tableau1[total])</f>
        <v>0</v>
      </c>
      <c r="E13" s="95" t="s">
        <v>153</v>
      </c>
      <c r="F13" s="102">
        <f>COUNTIF(Tableau1[Prestataire],"Prestataire7")</f>
        <v>0</v>
      </c>
      <c r="G13" s="104">
        <f>SUMIF(Tableau1[Prestataire],"Prestataire7",Tableau1[total])</f>
        <v>0</v>
      </c>
    </row>
    <row r="14" spans="1:7" x14ac:dyDescent="0.25">
      <c r="A14" s="96" t="s">
        <v>143</v>
      </c>
      <c r="B14" s="103">
        <f>COUNTIF(Tableau1[Etablissement],"Etablissement8")</f>
        <v>0</v>
      </c>
      <c r="C14" s="105">
        <f>SUMIF(Tableau1[Etablissement],"Etablissement8",Tableau1[total])</f>
        <v>0</v>
      </c>
      <c r="E14" s="96" t="s">
        <v>154</v>
      </c>
      <c r="F14" s="103">
        <f>COUNTIF(Tableau1[Prestataire],"Prestataire8")</f>
        <v>0</v>
      </c>
      <c r="G14" s="105">
        <f>SUMIF(Tableau1[Prestataire],"Prestataire8",Tableau1[total])</f>
        <v>0</v>
      </c>
    </row>
    <row r="15" spans="1:7" x14ac:dyDescent="0.25">
      <c r="A15" s="95" t="s">
        <v>144</v>
      </c>
      <c r="B15" s="102">
        <f>COUNTIF(Tableau1[Etablissement],"Etablissement9")</f>
        <v>0</v>
      </c>
      <c r="C15" s="104">
        <f>SUMIF(Tableau1[Etablissement],"Etablissement9",Tableau1[total])</f>
        <v>0</v>
      </c>
      <c r="E15" s="95" t="s">
        <v>155</v>
      </c>
      <c r="F15" s="102">
        <f>COUNTIF(Tableau1[Prestataire],"Prestataire9")</f>
        <v>0</v>
      </c>
      <c r="G15" s="104">
        <f>SUMIF(Tableau1[Prestataire],"Prestataire9",Tableau1[total])</f>
        <v>0</v>
      </c>
    </row>
    <row r="16" spans="1:7" ht="15.75" x14ac:dyDescent="0.25">
      <c r="A16" s="97" t="s">
        <v>41</v>
      </c>
      <c r="B16" s="98">
        <f>SUM(B7:B15)</f>
        <v>4</v>
      </c>
      <c r="C16" s="99">
        <f>SUM(C7:C15)</f>
        <v>10153</v>
      </c>
      <c r="E16" s="97" t="s">
        <v>41</v>
      </c>
      <c r="F16" s="98">
        <f>SUM(F7:F15)</f>
        <v>4</v>
      </c>
      <c r="G16" s="99">
        <f>SUM(G7:G15)</f>
        <v>10153</v>
      </c>
    </row>
  </sheetData>
  <mergeCells count="2">
    <mergeCell ref="A1:G1"/>
    <mergeCell ref="C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BD</vt:lpstr>
      <vt:lpstr>FACTURE</vt:lpstr>
      <vt:lpstr>PRESTATAIRES</vt:lpstr>
      <vt:lpstr>SUIVI REGL.</vt:lpstr>
      <vt:lpstr>SYNTHESE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gg</cp:lastModifiedBy>
  <cp:lastPrinted>2018-08-22T10:47:55Z</cp:lastPrinted>
  <dcterms:created xsi:type="dcterms:W3CDTF">2005-12-02T12:01:02Z</dcterms:created>
  <dcterms:modified xsi:type="dcterms:W3CDTF">2018-08-24T15:09:17Z</dcterms:modified>
</cp:coreProperties>
</file>