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LU\Desktop\"/>
    </mc:Choice>
  </mc:AlternateContent>
  <bookViews>
    <workbookView xWindow="29304" yWindow="0" windowWidth="22152" windowHeight="8172"/>
  </bookViews>
  <sheets>
    <sheet name="Calepinage" sheetId="1" r:id="rId1"/>
    <sheet name="Recap1000" sheetId="6" r:id="rId2"/>
    <sheet name="800" sheetId="2" r:id="rId3"/>
    <sheet name="1000" sheetId="5" r:id="rId4"/>
    <sheet name="Listes" sheetId="3" r:id="rId5"/>
  </sheets>
  <definedNames>
    <definedName name="_xlnm._FilterDatabase" localSheetId="2" hidden="1">'800'!$E$1:$R$61</definedName>
    <definedName name="_xlnm._FilterDatabase" localSheetId="0" hidden="1">Calepinage!$D$38:$D$111</definedName>
    <definedName name="coller">Recap1000!$C$3:$C$25</definedName>
    <definedName name="copier">Calepinage!$C$39:$C$61</definedName>
    <definedName name="D1000Entete">'1000'!$1:$1</definedName>
    <definedName name="D1000FC_Dalles180">'1000'!$L$2:$L$14</definedName>
    <definedName name="D1000FC_Dalles300">'1000'!$M$2:$M$14</definedName>
    <definedName name="D1000FC_FC">'1000'!$D$2:$D$14</definedName>
    <definedName name="D1000FC_Inter1200_1">'1000'!$J$2:$J$14</definedName>
    <definedName name="D1000FC_Inter1200_2">'1000'!$K$2:$K$14</definedName>
    <definedName name="D1000FC_Inter900_1">'1000'!$G$2:$G$14</definedName>
    <definedName name="D1000FC_Inter900_2">'1000'!$H$2:$H$14</definedName>
    <definedName name="D1000FC_Inter900_3">'1000'!$I$2:$I$14</definedName>
    <definedName name="D1000FC_Rehausses100">'1000'!$T$2:$T$14</definedName>
    <definedName name="D1000FC_Rehausses150">'1000'!$U$2:$U$14</definedName>
    <definedName name="D1000FC_Tetes1050">'1000'!$R$2:$R$14</definedName>
    <definedName name="D1000FC_Tetes1200">'1000'!$S$2:$S$14</definedName>
    <definedName name="D1000FC_Tetes450">'1000'!$N$2:$N$14</definedName>
    <definedName name="D1000FC_Tetes600">'1000'!$O$2:$O$14</definedName>
    <definedName name="D1000FC_Tetes750">'1000'!$P$2:$P$14</definedName>
    <definedName name="D1000FC_Tetes900">'1000'!$Q$2:$Q$14</definedName>
    <definedName name="D1000FP_Dalles180">'1000'!$L$15:$L$110</definedName>
    <definedName name="D1000FP_Dalles300">'1000'!$M$15:$M$110</definedName>
    <definedName name="D1000FP_FP">'1000'!$E$15:$E$110</definedName>
    <definedName name="D1000FP_Inter1200_1">'1000'!$J$15:$J$110</definedName>
    <definedName name="D1000FP_Inter1200_2">'1000'!$K$15:$K$110</definedName>
    <definedName name="D1000FP_Inter900_1">'1000'!$G$15:$G$110</definedName>
    <definedName name="D1000FP_Inter900_2">'1000'!$H$15:$H$110</definedName>
    <definedName name="D1000FP_Inter900_3">'1000'!$I$15:$I$110</definedName>
    <definedName name="D1000FP_Rehausses100">'1000'!$T$15:$T$110</definedName>
    <definedName name="D1000FP_Rehausses150">'1000'!$U$15:$U$110</definedName>
    <definedName name="D1000FP_Tetes1050">'1000'!$R$15:$R$110</definedName>
    <definedName name="D1000FP_Tetes1200">'1000'!$S$15:$S$110</definedName>
    <definedName name="D1000FP_Tetes450">'1000'!$N$15:$N$110</definedName>
    <definedName name="D1000FP_Tetes600">'1000'!$O$15:$O$110</definedName>
    <definedName name="D1000FP_Tetes750">'1000'!$P$15:$P$110</definedName>
    <definedName name="D1000FP_Tetes900">'1000'!$Q$15:$Q$110</definedName>
    <definedName name="D1000FS_Dalles180">'1000'!$L$111:$L$254</definedName>
    <definedName name="D1000FS_Dalles300">'1000'!$M$111:$M$254</definedName>
    <definedName name="D1000FS_FS">'1000'!$F$111:$F$254</definedName>
    <definedName name="D1000FS_Inter1200_1">'1000'!$J$111:$J$254</definedName>
    <definedName name="D1000FS_Inter1200_2">'1000'!$K$111:$K$254</definedName>
    <definedName name="D1000FS_Inter900_1">'1000'!$G$111:$G$254</definedName>
    <definedName name="D1000FS_Inter900_2">'1000'!$H$111:$H$254</definedName>
    <definedName name="D1000FS_Inter900_3">'1000'!$I$111:$I$254</definedName>
    <definedName name="D1000FS_Rehausses100">'1000'!$T$111:$T$254</definedName>
    <definedName name="D1000FS_Rehausses150">'1000'!$U$111:$U$254</definedName>
    <definedName name="D1000FS_Tetes1050">'1000'!$R$111:$R$254</definedName>
    <definedName name="D1000FS_Tetes1200">'1000'!$S$111:$S$254</definedName>
    <definedName name="D1000FS_Tetes450">'1000'!$N$111:$N$254</definedName>
    <definedName name="D1000FS_Tetes600">'1000'!$O$111:$O$254</definedName>
    <definedName name="D1000FS_Tetes750">'1000'!$P$111:$P$254</definedName>
    <definedName name="D1000FS_Tetes900">'1000'!$Q$111:$Q$254</definedName>
    <definedName name="D1000plage">'1000'!$C$2:$C$254</definedName>
    <definedName name="D1000TableauFondsCourts">'1000'!$C$2:$U$14</definedName>
    <definedName name="D1000TableauFondsPlats">'1000'!$C$15:$U$110</definedName>
    <definedName name="D1000TableauFondsStandards">'1000'!$C$111:$U$254</definedName>
    <definedName name="D800Dalle180">Calepinage!$C$76</definedName>
    <definedName name="D800Dalles180">'800'!$L$2:$L$106</definedName>
    <definedName name="D800Dalles300">'800'!$M$2:$M$106</definedName>
    <definedName name="D800Entete">'800'!$1:$1</definedName>
    <definedName name="D800Fonds_Plats">'800'!$F$2:$F$106</definedName>
    <definedName name="D800Fonds_Standards">'800'!$G$2:$G$106</definedName>
    <definedName name="D800FP_Dalles180">'800'!$L$2:$L$46</definedName>
    <definedName name="D800FP_Dalles300">'800'!$M$2:$M$46</definedName>
    <definedName name="D800FP_FP">'800'!$F$2:$F$46</definedName>
    <definedName name="D800FP_Inter1050_1">'800'!$J$2:$J$46</definedName>
    <definedName name="D800FP_Inter1050_2">'800'!$K$2:$K$46</definedName>
    <definedName name="D800FP_Inter750_1">'800'!$H$2:$H$46</definedName>
    <definedName name="D800FP_Inter750_2">'800'!$I$2:$I$46</definedName>
    <definedName name="D800FP_Rehausses100">'800'!$Q$2:$Q$46</definedName>
    <definedName name="D800FP_Rehausses150">'800'!$R$2:$R$46</definedName>
    <definedName name="D800FP_Tetes450">'800'!$N$2:$N$46</definedName>
    <definedName name="D800FP_Tetes600">'800'!$O$2:$O$46</definedName>
    <definedName name="D800FP_Tetes750">'800'!$P$2:$P$46</definedName>
    <definedName name="D800FS_Dalles180">'800'!$L$47:$L$106</definedName>
    <definedName name="D800FS_Dalles300">'800'!$M$47:$M$106</definedName>
    <definedName name="D800FS_FS">'800'!$G$47:$G$106</definedName>
    <definedName name="D800FS_Inter1050_1">'800'!$J$47:$J$106</definedName>
    <definedName name="D800FS_Inter1050_2">'800'!$K$47:$K$106</definedName>
    <definedName name="D800FS_Inter750_1">'800'!$H$47:$H$106</definedName>
    <definedName name="D800FS_Inter750_2">'800'!$I$47:$I$106</definedName>
    <definedName name="D800FS_Rehausses100">'800'!$Q$47:$Q$106</definedName>
    <definedName name="D800FS_Rehausses150">'800'!$R$47:$R$106</definedName>
    <definedName name="D800FS_Tetes450">'800'!$N$47:$N$106</definedName>
    <definedName name="D800FS_Tetes600">'800'!$O$47:$O$106</definedName>
    <definedName name="D800FS_Tetes750">'800'!$P$47:$P$106</definedName>
    <definedName name="D800Inter1050_1">'800'!$J$2:$J$106</definedName>
    <definedName name="D800Inter1050_2">'800'!$K$2:$K$106</definedName>
    <definedName name="D800Inter750_1">'800'!$H$2:$H$106</definedName>
    <definedName name="D800Inter750_2">'800'!$I$2:$I$106</definedName>
    <definedName name="D800plage">'800'!$E$2:$E$106</definedName>
    <definedName name="D800Rehausses100">'800'!$Q$2:$Q$106</definedName>
    <definedName name="D800Rehausses150">'800'!$R$2:$R$106</definedName>
    <definedName name="D800Tableau">'800'!$E$1:$R$106</definedName>
    <definedName name="D800TableauFondsPlats">'800'!$E$2:$R$46</definedName>
    <definedName name="D800TableauFondsStandards">'800'!$E$47:$R$106</definedName>
    <definedName name="D800Tetes450">'800'!$N$2:$N$106</definedName>
    <definedName name="D800Tetes600">'800'!$O$2:$O$106</definedName>
    <definedName name="D800Tetes750">'800'!$P$2:$P$106</definedName>
    <definedName name="PlageFonds1000Courts">'1000'!$C$2:$C$14</definedName>
    <definedName name="PlageFonds1000Plats">'1000'!$C$15:$C$110</definedName>
    <definedName name="PlageFonds1000Standards">'1000'!$C$111:$C$254</definedName>
    <definedName name="PlageFonds800Plats">'800'!$E$2:$E$46</definedName>
    <definedName name="PlageFonds800Standards">'800'!$E$47:$E$106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250" i="5" l="1"/>
  <c r="C251" i="5"/>
  <c r="C252" i="5"/>
  <c r="C253" i="5"/>
  <c r="C254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3" i="5"/>
  <c r="C244" i="5"/>
  <c r="C245" i="5"/>
  <c r="C246" i="5"/>
  <c r="C247" i="5"/>
  <c r="C248" i="5"/>
  <c r="C249" i="5"/>
  <c r="C106" i="5" l="1"/>
  <c r="C105" i="5"/>
  <c r="C104" i="5"/>
  <c r="C103" i="5"/>
  <c r="C102" i="5"/>
  <c r="C101" i="5"/>
  <c r="C100" i="5"/>
  <c r="C99" i="5"/>
  <c r="C98" i="5"/>
  <c r="C97" i="5"/>
  <c r="C96" i="5"/>
  <c r="C95" i="5"/>
  <c r="C94" i="5"/>
  <c r="C93" i="5"/>
  <c r="C92" i="5"/>
  <c r="C91" i="5"/>
  <c r="C90" i="5"/>
  <c r="C89" i="5"/>
  <c r="C88" i="5"/>
  <c r="C87" i="5"/>
  <c r="C86" i="5"/>
  <c r="C85" i="5"/>
  <c r="C84" i="5"/>
  <c r="C83" i="5"/>
  <c r="C82" i="5"/>
  <c r="C81" i="5"/>
  <c r="C80" i="5"/>
  <c r="C79" i="5"/>
  <c r="C78" i="5"/>
  <c r="C77" i="5"/>
  <c r="C76" i="5"/>
  <c r="C75" i="5"/>
  <c r="C74" i="5"/>
  <c r="C73" i="5"/>
  <c r="C72" i="5"/>
  <c r="C71" i="5"/>
  <c r="C70" i="5"/>
  <c r="C69" i="5"/>
  <c r="C68" i="5"/>
  <c r="C67" i="5"/>
  <c r="C66" i="5"/>
  <c r="C65" i="5"/>
  <c r="C64" i="5"/>
  <c r="C63" i="5"/>
  <c r="C62" i="5"/>
  <c r="C61" i="5"/>
  <c r="C60" i="5"/>
  <c r="C59" i="5"/>
  <c r="C58" i="5"/>
  <c r="C57" i="5"/>
  <c r="C56" i="5"/>
  <c r="C55" i="5"/>
  <c r="C54" i="5"/>
  <c r="C53" i="5"/>
  <c r="C52" i="5"/>
  <c r="C51" i="5"/>
  <c r="C50" i="5"/>
  <c r="C49" i="5"/>
  <c r="C48" i="5"/>
  <c r="C47" i="5"/>
  <c r="C46" i="5"/>
  <c r="C45" i="5"/>
  <c r="C44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C3" i="5"/>
  <c r="C2" i="5"/>
  <c r="L59" i="1" l="1"/>
  <c r="C32" i="1" l="1"/>
  <c r="C31" i="1"/>
  <c r="C26" i="1"/>
  <c r="C34" i="1" l="1"/>
  <c r="G31" i="1" s="1" a="1"/>
  <c r="G31" i="1" s="1"/>
  <c r="G32" i="1" s="1" a="1"/>
  <c r="G32" i="1" s="1"/>
  <c r="G33" i="1" s="1" a="1"/>
  <c r="G33" i="1" s="1"/>
  <c r="G13" i="1" a="1"/>
  <c r="G13" i="1" s="1"/>
  <c r="C13" i="1"/>
  <c r="E37" i="2"/>
  <c r="E38" i="2"/>
  <c r="E72" i="2"/>
  <c r="E73" i="2"/>
  <c r="E74" i="2"/>
  <c r="E75" i="2"/>
  <c r="E39" i="2"/>
  <c r="E40" i="2"/>
  <c r="E41" i="2"/>
  <c r="E76" i="2"/>
  <c r="E77" i="2"/>
  <c r="E42" i="2"/>
  <c r="E78" i="2"/>
  <c r="E79" i="2"/>
  <c r="E80" i="2"/>
  <c r="E81" i="2"/>
  <c r="E43" i="2"/>
  <c r="E44" i="2"/>
  <c r="E82" i="2"/>
  <c r="E83" i="2"/>
  <c r="E45" i="2"/>
  <c r="E84" i="2"/>
  <c r="E85" i="2"/>
  <c r="E86" i="2"/>
  <c r="E87" i="2"/>
  <c r="E46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G14" i="1" l="1" a="1"/>
  <c r="G14" i="1" s="1"/>
  <c r="K139" i="1"/>
  <c r="G139" i="1"/>
  <c r="C139" i="1"/>
  <c r="K121" i="1" l="1"/>
  <c r="G121" i="1"/>
  <c r="E34" i="2" l="1"/>
  <c r="E31" i="2"/>
  <c r="E65" i="2"/>
  <c r="E21" i="2"/>
  <c r="E57" i="2"/>
  <c r="E59" i="2"/>
  <c r="E56" i="2"/>
  <c r="E53" i="2"/>
  <c r="E49" i="2"/>
  <c r="E47" i="2"/>
  <c r="E69" i="2"/>
  <c r="E30" i="2"/>
  <c r="E26" i="2"/>
  <c r="E60" i="2"/>
  <c r="E17" i="2"/>
  <c r="E14" i="2"/>
  <c r="E11" i="2"/>
  <c r="E54" i="2" l="1"/>
  <c r="C121" i="1" l="1"/>
  <c r="E8" i="2"/>
  <c r="E4" i="2"/>
  <c r="E2" i="2"/>
  <c r="E3" i="2"/>
  <c r="E50" i="2"/>
  <c r="E51" i="2"/>
  <c r="E52" i="2"/>
  <c r="E55" i="2"/>
  <c r="E18" i="2"/>
  <c r="E58" i="2"/>
  <c r="E22" i="2"/>
  <c r="E24" i="2"/>
  <c r="E20" i="2"/>
  <c r="E62" i="2"/>
  <c r="E63" i="2"/>
  <c r="E64" i="2"/>
  <c r="E28" i="2"/>
  <c r="E66" i="2"/>
  <c r="E67" i="2"/>
  <c r="E33" i="2"/>
  <c r="E36" i="2"/>
  <c r="E71" i="2"/>
  <c r="E48" i="2"/>
  <c r="E5" i="2"/>
  <c r="E6" i="2"/>
  <c r="E7" i="2"/>
  <c r="E9" i="2"/>
  <c r="E10" i="2"/>
  <c r="E12" i="2"/>
  <c r="E13" i="2"/>
  <c r="E15" i="2"/>
  <c r="E16" i="2"/>
  <c r="E19" i="2"/>
  <c r="E61" i="2"/>
  <c r="E23" i="2"/>
  <c r="E25" i="2"/>
  <c r="E27" i="2"/>
  <c r="E29" i="2"/>
  <c r="E32" i="2"/>
  <c r="E68" i="2"/>
  <c r="E35" i="2"/>
  <c r="E70" i="2"/>
  <c r="C14" i="2" a="1"/>
  <c r="C14" i="2" l="1"/>
  <c r="C9" i="2"/>
  <c r="C88" i="1" l="1"/>
  <c r="C63" i="1"/>
  <c r="C66" i="1" s="1" a="1"/>
  <c r="C66" i="1" s="1"/>
  <c r="C38" i="1"/>
  <c r="C41" i="1" s="1" a="1"/>
  <c r="C41" i="1" s="1"/>
  <c r="C90" i="1" l="1" a="1"/>
  <c r="C90" i="1" s="1"/>
  <c r="C89" i="1" a="1"/>
  <c r="C89" i="1" s="1"/>
  <c r="C65" i="1" a="1"/>
  <c r="C65" i="1" s="1"/>
  <c r="C64" i="1" a="1"/>
  <c r="C64" i="1" s="1"/>
  <c r="D64" i="1" s="1"/>
  <c r="C74" i="1" a="1"/>
  <c r="C74" i="1" s="1"/>
  <c r="D74" i="1" s="1"/>
  <c r="C83" i="1" a="1"/>
  <c r="C83" i="1" s="1"/>
  <c r="D83" i="1" s="1"/>
  <c r="C81" i="1" a="1"/>
  <c r="C81" i="1" s="1"/>
  <c r="D81" i="1" s="1"/>
  <c r="C73" i="1" a="1"/>
  <c r="C73" i="1" s="1"/>
  <c r="D73" i="1" s="1"/>
  <c r="C71" i="1" a="1"/>
  <c r="C71" i="1" s="1"/>
  <c r="D71" i="1" s="1"/>
  <c r="C82" i="1" a="1"/>
  <c r="C82" i="1" s="1"/>
  <c r="D82" i="1" s="1"/>
  <c r="C75" i="1" a="1"/>
  <c r="C75" i="1" s="1"/>
  <c r="D75" i="1" s="1"/>
  <c r="C72" i="1" a="1"/>
  <c r="C72" i="1" s="1"/>
  <c r="D72" i="1" s="1"/>
  <c r="C108" i="1" a="1"/>
  <c r="C108" i="1" s="1"/>
  <c r="D108" i="1" s="1"/>
  <c r="C100" i="1" a="1"/>
  <c r="C100" i="1" s="1"/>
  <c r="D100" i="1" s="1"/>
  <c r="C98" i="1" a="1"/>
  <c r="C98" i="1" s="1"/>
  <c r="D98" i="1" s="1"/>
  <c r="C96" i="1" a="1"/>
  <c r="C96" i="1" s="1"/>
  <c r="D96" i="1" s="1"/>
  <c r="C107" i="1" a="1"/>
  <c r="C107" i="1" s="1"/>
  <c r="D107" i="1" s="1"/>
  <c r="C106" i="1" a="1"/>
  <c r="C106" i="1" s="1"/>
  <c r="D106" i="1" s="1"/>
  <c r="C99" i="1" a="1"/>
  <c r="C99" i="1" s="1"/>
  <c r="D99" i="1" s="1"/>
  <c r="C97" i="1" a="1"/>
  <c r="C97" i="1" s="1"/>
  <c r="D97" i="1" s="1"/>
  <c r="C111" i="1"/>
  <c r="C110" i="1" a="1"/>
  <c r="C110" i="1" s="1"/>
  <c r="D110" i="1" s="1"/>
  <c r="C105" i="1" a="1"/>
  <c r="C105" i="1" s="1"/>
  <c r="D105" i="1" s="1"/>
  <c r="C103" i="1" a="1"/>
  <c r="C103" i="1" s="1"/>
  <c r="D103" i="1" s="1"/>
  <c r="C101" i="1" a="1"/>
  <c r="C101" i="1" s="1"/>
  <c r="C95" i="1" a="1"/>
  <c r="C95" i="1" s="1"/>
  <c r="D95" i="1" s="1"/>
  <c r="C109" i="1" a="1"/>
  <c r="C109" i="1" s="1"/>
  <c r="C92" i="1" a="1"/>
  <c r="C92" i="1" s="1"/>
  <c r="C104" i="1" a="1"/>
  <c r="C104" i="1" s="1"/>
  <c r="D104" i="1" s="1"/>
  <c r="C102" i="1" a="1"/>
  <c r="C102" i="1" s="1"/>
  <c r="D102" i="1" s="1"/>
  <c r="C94" i="1" a="1"/>
  <c r="C94" i="1" s="1"/>
  <c r="D94" i="1" s="1"/>
  <c r="C93" i="1" a="1"/>
  <c r="C93" i="1" s="1"/>
  <c r="D93" i="1" s="1"/>
  <c r="C91" i="1" a="1"/>
  <c r="C91" i="1" s="1"/>
  <c r="D91" i="1" s="1"/>
  <c r="C79" i="1" a="1"/>
  <c r="C79" i="1" s="1"/>
  <c r="D79" i="1" s="1"/>
  <c r="C69" i="1" a="1"/>
  <c r="C69" i="1" s="1"/>
  <c r="D69" i="1" s="1"/>
  <c r="C67" i="1" a="1"/>
  <c r="C67" i="1" s="1"/>
  <c r="C85" i="1" a="1"/>
  <c r="C85" i="1" s="1"/>
  <c r="D85" i="1" s="1"/>
  <c r="C78" i="1" a="1"/>
  <c r="C78" i="1" s="1"/>
  <c r="D78" i="1" s="1"/>
  <c r="C76" i="1" a="1"/>
  <c r="C76" i="1" s="1"/>
  <c r="C84" i="1" a="1"/>
  <c r="C84" i="1" s="1"/>
  <c r="C80" i="1" a="1"/>
  <c r="C80" i="1" s="1"/>
  <c r="D80" i="1" s="1"/>
  <c r="C68" i="1" a="1"/>
  <c r="C68" i="1" s="1"/>
  <c r="D68" i="1" s="1"/>
  <c r="D66" i="1"/>
  <c r="C77" i="1" a="1"/>
  <c r="C77" i="1" s="1"/>
  <c r="D77" i="1" s="1"/>
  <c r="C70" i="1" a="1"/>
  <c r="C70" i="1" s="1"/>
  <c r="D70" i="1" s="1"/>
  <c r="D89" i="1"/>
  <c r="J79" i="1" a="1"/>
  <c r="J79" i="1" s="1"/>
  <c r="C50" i="1"/>
  <c r="D50" i="1" s="1"/>
  <c r="C46" i="1"/>
  <c r="D46" i="1" s="1"/>
  <c r="C49" i="1"/>
  <c r="D49" i="1" s="1"/>
  <c r="C47" i="1"/>
  <c r="D47" i="1" s="1"/>
  <c r="C48" i="1"/>
  <c r="D48" i="1" s="1"/>
  <c r="C59" i="1"/>
  <c r="C58" i="1"/>
  <c r="D58" i="1" s="1"/>
  <c r="C57" i="1"/>
  <c r="C60" i="1"/>
  <c r="D60" i="1" s="1"/>
  <c r="C53" i="1"/>
  <c r="D53" i="1" s="1"/>
  <c r="C56" i="1"/>
  <c r="D56" i="1" s="1"/>
  <c r="C55" i="1"/>
  <c r="D55" i="1" s="1"/>
  <c r="C54" i="1"/>
  <c r="D54" i="1" s="1"/>
  <c r="C52" i="1"/>
  <c r="D52" i="1" s="1"/>
  <c r="C51" i="1"/>
  <c r="C45" i="1"/>
  <c r="D45" i="1" s="1"/>
  <c r="C44" i="1"/>
  <c r="D44" i="1" s="1"/>
  <c r="C43" i="1"/>
  <c r="D43" i="1" s="1"/>
  <c r="C42" i="1"/>
  <c r="D41" i="1"/>
  <c r="C39" i="1"/>
  <c r="D40" i="1"/>
  <c r="C86" i="1"/>
  <c r="L34" i="1" s="1"/>
  <c r="C61" i="1"/>
  <c r="J34" i="1" s="1"/>
  <c r="C120" i="1"/>
  <c r="C126" i="1" s="1"/>
  <c r="D118" i="1"/>
  <c r="K120" i="1"/>
  <c r="G120" i="1"/>
  <c r="N23" i="1" l="1"/>
  <c r="L23" i="1"/>
  <c r="L31" i="1"/>
  <c r="J21" i="1"/>
  <c r="L21" i="1"/>
  <c r="N21" i="1"/>
  <c r="N27" i="1"/>
  <c r="J31" i="1"/>
  <c r="J27" i="1"/>
  <c r="J23" i="1"/>
  <c r="N31" i="1"/>
  <c r="L27" i="1"/>
  <c r="D90" i="1"/>
  <c r="D88" i="1" s="1"/>
  <c r="D101" i="1"/>
  <c r="D65" i="1"/>
  <c r="D92" i="1"/>
  <c r="D84" i="1"/>
  <c r="D67" i="1"/>
  <c r="D109" i="1"/>
  <c r="D76" i="1"/>
  <c r="D42" i="1"/>
  <c r="D59" i="1"/>
  <c r="D51" i="1"/>
  <c r="D39" i="1"/>
  <c r="D38" i="1" s="1" a="1"/>
  <c r="D38" i="1" s="1"/>
  <c r="D61" i="1" s="1"/>
  <c r="D57" i="1"/>
  <c r="N34" i="1"/>
  <c r="C124" i="1"/>
  <c r="C125" i="1"/>
  <c r="C123" i="1"/>
  <c r="C122" i="1"/>
  <c r="C133" i="1"/>
  <c r="C131" i="1"/>
  <c r="C127" i="1"/>
  <c r="G131" i="1" a="1"/>
  <c r="G131" i="1" s="1"/>
  <c r="G126" i="1" a="1"/>
  <c r="G126" i="1" s="1"/>
  <c r="G128" i="1" a="1"/>
  <c r="G128" i="1" s="1"/>
  <c r="G133" i="1"/>
  <c r="G127" i="1" a="1"/>
  <c r="G127" i="1" s="1"/>
  <c r="G122" i="1" a="1"/>
  <c r="G122" i="1" s="1"/>
  <c r="G124" i="1" a="1"/>
  <c r="G124" i="1" s="1"/>
  <c r="G123" i="1" a="1"/>
  <c r="G123" i="1" s="1"/>
  <c r="G130" i="1" a="1"/>
  <c r="G130" i="1" s="1"/>
  <c r="G125" i="1" a="1"/>
  <c r="G125" i="1" s="1"/>
  <c r="C138" i="1"/>
  <c r="D136" i="1"/>
  <c r="G138" i="1"/>
  <c r="K138" i="1"/>
  <c r="C128" i="1"/>
  <c r="C130" i="1"/>
  <c r="K126" i="1" a="1"/>
  <c r="K126" i="1" s="1"/>
  <c r="K125" i="1" a="1"/>
  <c r="K125" i="1" s="1"/>
  <c r="K127" i="1" a="1"/>
  <c r="K127" i="1" s="1"/>
  <c r="K122" i="1" a="1"/>
  <c r="K122" i="1" s="1"/>
  <c r="K123" i="1" a="1"/>
  <c r="K123" i="1" s="1"/>
  <c r="K128" i="1" a="1"/>
  <c r="K128" i="1" s="1"/>
  <c r="K131" i="1" a="1"/>
  <c r="K131" i="1" s="1"/>
  <c r="K133" i="1"/>
  <c r="K130" i="1" a="1"/>
  <c r="K130" i="1" s="1"/>
  <c r="K124" i="1" a="1"/>
  <c r="K124" i="1" s="1"/>
  <c r="D111" i="1" l="1"/>
  <c r="D63" i="1"/>
  <c r="D86" i="1" s="1"/>
  <c r="G132" i="1"/>
  <c r="C132" i="1"/>
  <c r="C129" i="1"/>
  <c r="K132" i="1"/>
  <c r="K129" i="1"/>
  <c r="K148" i="1" a="1"/>
  <c r="K148" i="1" s="1"/>
  <c r="K140" i="1" a="1"/>
  <c r="K140" i="1" s="1"/>
  <c r="K145" i="1" a="1"/>
  <c r="K145" i="1" s="1"/>
  <c r="K149" i="1" a="1"/>
  <c r="K149" i="1" s="1"/>
  <c r="K142" i="1" a="1"/>
  <c r="K142" i="1" s="1"/>
  <c r="K146" i="1" a="1"/>
  <c r="K146" i="1" s="1"/>
  <c r="K143" i="1" a="1"/>
  <c r="K143" i="1" s="1"/>
  <c r="K141" i="1" a="1"/>
  <c r="K141" i="1" s="1"/>
  <c r="K144" i="1" a="1"/>
  <c r="K144" i="1" s="1"/>
  <c r="K151" i="1"/>
  <c r="G146" i="1" a="1"/>
  <c r="G146" i="1" s="1"/>
  <c r="G141" i="1" a="1"/>
  <c r="G141" i="1" s="1"/>
  <c r="G143" i="1" a="1"/>
  <c r="G143" i="1" s="1"/>
  <c r="G151" i="1"/>
  <c r="G142" i="1" a="1"/>
  <c r="G142" i="1" s="1"/>
  <c r="G148" i="1" a="1"/>
  <c r="G148" i="1" s="1"/>
  <c r="G149" i="1" a="1"/>
  <c r="G149" i="1" s="1"/>
  <c r="G144" i="1" a="1"/>
  <c r="G144" i="1" s="1"/>
  <c r="G145" i="1" a="1"/>
  <c r="G145" i="1" s="1"/>
  <c r="G140" i="1" a="1"/>
  <c r="G140" i="1" s="1"/>
  <c r="C146" i="1"/>
  <c r="C149" i="1"/>
  <c r="C143" i="1"/>
  <c r="C151" i="1"/>
  <c r="C145" i="1"/>
  <c r="C141" i="1"/>
  <c r="C142" i="1"/>
  <c r="C144" i="1"/>
  <c r="C148" i="1"/>
  <c r="C140" i="1"/>
  <c r="G129" i="1"/>
  <c r="G150" i="1" l="1"/>
  <c r="C147" i="1"/>
  <c r="G147" i="1"/>
  <c r="C150" i="1"/>
  <c r="K147" i="1"/>
  <c r="K150" i="1"/>
</calcChain>
</file>

<file path=xl/sharedStrings.xml><?xml version="1.0" encoding="utf-8"?>
<sst xmlns="http://schemas.openxmlformats.org/spreadsheetml/2006/main" count="331" uniqueCount="137">
  <si>
    <t>Element de fond 500</t>
  </si>
  <si>
    <t>Element de fond 750</t>
  </si>
  <si>
    <t>Elements Intermédiaire</t>
  </si>
  <si>
    <t>Dalle réductrice 180</t>
  </si>
  <si>
    <t>Dalle réductrice 300</t>
  </si>
  <si>
    <t>Tête réductrice 450</t>
  </si>
  <si>
    <t>Tête réductrice 600</t>
  </si>
  <si>
    <t>Tête réductrice 750</t>
  </si>
  <si>
    <t>Réhausse de tête 100</t>
  </si>
  <si>
    <t>Réhausse de tête 150</t>
  </si>
  <si>
    <t>SOMME HT</t>
  </si>
  <si>
    <t>Altitude fil d'eau :</t>
  </si>
  <si>
    <t>Altitude tampon :</t>
  </si>
  <si>
    <t>Oui</t>
  </si>
  <si>
    <t>Non</t>
  </si>
  <si>
    <t>Regard 1</t>
  </si>
  <si>
    <t xml:space="preserve">Element de fond </t>
  </si>
  <si>
    <t>Element intermédiaire</t>
  </si>
  <si>
    <t>Reste</t>
  </si>
  <si>
    <t>Dalle / Tête réductrice</t>
  </si>
  <si>
    <t>Rehausse de tête</t>
  </si>
  <si>
    <t>Réhausse 100</t>
  </si>
  <si>
    <t>Réhausse 150</t>
  </si>
  <si>
    <t>pour les 750 remettre sans réhausse</t>
  </si>
  <si>
    <t>Ordre ?</t>
  </si>
  <si>
    <t>Echellons</t>
  </si>
  <si>
    <t>2éme solution</t>
  </si>
  <si>
    <t>Hauteur du regard :</t>
  </si>
  <si>
    <t>Solution 1-A</t>
  </si>
  <si>
    <t>Solution 1-B</t>
  </si>
  <si>
    <t>Solution 1-C</t>
  </si>
  <si>
    <t>Solution 2-A</t>
  </si>
  <si>
    <t>Solution 2-B</t>
  </si>
  <si>
    <t>Solution 2-C</t>
  </si>
  <si>
    <t>3éme solution</t>
  </si>
  <si>
    <t>Solution 3-A</t>
  </si>
  <si>
    <t>Solution 3-B</t>
  </si>
  <si>
    <t>Solution 3-C</t>
  </si>
  <si>
    <t>Elements Intermédiaire 750</t>
  </si>
  <si>
    <t>Elements Intermédiaire 1050</t>
  </si>
  <si>
    <t>Elément de fond plat 480</t>
  </si>
  <si>
    <t>Elément de fond standard 750</t>
  </si>
  <si>
    <t>Fiche chantier</t>
  </si>
  <si>
    <t>Renseignements chantier :</t>
  </si>
  <si>
    <t>Entreprise :</t>
  </si>
  <si>
    <t>Chantier :</t>
  </si>
  <si>
    <t>Adresse :</t>
  </si>
  <si>
    <t>Diamètre regard de visite :</t>
  </si>
  <si>
    <t>Echelons :</t>
  </si>
  <si>
    <t>Joints inter-éléments :</t>
  </si>
  <si>
    <t>Canalisation :</t>
  </si>
  <si>
    <t>Joints de branchement :</t>
  </si>
  <si>
    <t>Négoce :</t>
  </si>
  <si>
    <t>Ø1000</t>
  </si>
  <si>
    <t>Ø800</t>
  </si>
  <si>
    <t>Diamètre Regard</t>
  </si>
  <si>
    <t>Angles</t>
  </si>
  <si>
    <t>T</t>
  </si>
  <si>
    <t>Y</t>
  </si>
  <si>
    <t>Multi-Directionnel</t>
  </si>
  <si>
    <t>90°</t>
  </si>
  <si>
    <t>105°</t>
  </si>
  <si>
    <t>120°</t>
  </si>
  <si>
    <t>135°</t>
  </si>
  <si>
    <t>150°</t>
  </si>
  <si>
    <t>165°</t>
  </si>
  <si>
    <t>180°</t>
  </si>
  <si>
    <t>Joint Butyl 3.5 ml - 1013813</t>
  </si>
  <si>
    <t>Joint Torique D.1000 - 1107921</t>
  </si>
  <si>
    <t>Joint Torique D.800 - 1107933</t>
  </si>
  <si>
    <t>Joints inter-éléments</t>
  </si>
  <si>
    <t>Joint 150 Fonte - 1005776</t>
  </si>
  <si>
    <t>Joint 160 PVC - 1005778</t>
  </si>
  <si>
    <t>Joint 200 Fonte - 1005788</t>
  </si>
  <si>
    <t>Joint 200 Grès - 2000021</t>
  </si>
  <si>
    <t>Joint 200 PVC Excentré - 1005839</t>
  </si>
  <si>
    <t>Joint 250 Fonte - 1005796</t>
  </si>
  <si>
    <t>Joint 250 PVC - 1005799</t>
  </si>
  <si>
    <t>Joint 300 Fonte - 1005806</t>
  </si>
  <si>
    <t>Joint 315 PVC - 1005808</t>
  </si>
  <si>
    <t>Entrée/sortie</t>
  </si>
  <si>
    <t>Ø 150 Fonte</t>
  </si>
  <si>
    <t>Ø 160 PVC</t>
  </si>
  <si>
    <t>Ø 200 Fonte</t>
  </si>
  <si>
    <t>Ø 200 Grès</t>
  </si>
  <si>
    <t>Ø 200 PVC</t>
  </si>
  <si>
    <t>Ø 250 Fonte</t>
  </si>
  <si>
    <t>Ø 250 PVC</t>
  </si>
  <si>
    <t>Ø 300 Fonte</t>
  </si>
  <si>
    <t>Ø 315 PVC</t>
  </si>
  <si>
    <t>Joints de branchement</t>
  </si>
  <si>
    <t>Regard N° 1</t>
  </si>
  <si>
    <t xml:space="preserve">Référence : </t>
  </si>
  <si>
    <t>REG1</t>
  </si>
  <si>
    <t>Direction :</t>
  </si>
  <si>
    <t>Echellons :</t>
  </si>
  <si>
    <t>Epaisseur tampon :</t>
  </si>
  <si>
    <t>Calage tampon :</t>
  </si>
  <si>
    <r>
      <rPr>
        <sz val="11"/>
        <color theme="1"/>
        <rFont val="Calibri"/>
        <family val="2"/>
      </rPr>
      <t>Δ</t>
    </r>
    <r>
      <rPr>
        <sz val="12.65"/>
        <color theme="1"/>
        <rFont val="Calibri"/>
        <family val="2"/>
      </rPr>
      <t xml:space="preserve"> TN-Fe :</t>
    </r>
  </si>
  <si>
    <t>Hauteur utile colonne :</t>
  </si>
  <si>
    <t>Fond plat</t>
  </si>
  <si>
    <t>Fond Plat</t>
  </si>
  <si>
    <t>Element de fond plat</t>
  </si>
  <si>
    <t>Elément de fond standard</t>
  </si>
  <si>
    <t>espace</t>
  </si>
  <si>
    <t>Element intermédiaire 750</t>
  </si>
  <si>
    <t>Element intermédiaire 750 #2</t>
  </si>
  <si>
    <t>Element intermédiaire 1050</t>
  </si>
  <si>
    <t>Element intermédiaire 1050 #2</t>
  </si>
  <si>
    <t>Elément de fond court 550</t>
  </si>
  <si>
    <t>Elément de fond standard 1000</t>
  </si>
  <si>
    <t>Elément de fond plat 770</t>
  </si>
  <si>
    <t>Elements Intermédiaire 900_1</t>
  </si>
  <si>
    <t>Elements Intermédiaire 900_2</t>
  </si>
  <si>
    <t>Elements Intermédiaire 900_3</t>
  </si>
  <si>
    <t>Elements Intermédiaire 1200_1</t>
  </si>
  <si>
    <t>Elements Intermédiaire 1200_2</t>
  </si>
  <si>
    <t>Tête réductrice 900</t>
  </si>
  <si>
    <t>Tête réductrice 1050</t>
  </si>
  <si>
    <t>Tête réductrice 1200</t>
  </si>
  <si>
    <t>Fond Court</t>
  </si>
  <si>
    <t>1ère solution en Ø800</t>
  </si>
  <si>
    <t>2ème solution en Ø1000</t>
  </si>
  <si>
    <t>Element de fond court</t>
  </si>
  <si>
    <t xml:space="preserve">Element intermédiaire 1050 </t>
  </si>
  <si>
    <t>Element intermédiaire 900</t>
  </si>
  <si>
    <t>Element intermédiaire 900 #2</t>
  </si>
  <si>
    <t>Element intermédiaire 900 #3</t>
  </si>
  <si>
    <t>Element intermédiaire 1200</t>
  </si>
  <si>
    <t>Element intermédiaire 1200 #2</t>
  </si>
  <si>
    <t>Vérification diamètre</t>
  </si>
  <si>
    <t>1ère valeur inférieure</t>
  </si>
  <si>
    <t>2e valeur inférieure</t>
  </si>
  <si>
    <t>3e valeur inférieure</t>
  </si>
  <si>
    <t>Reste :</t>
  </si>
  <si>
    <t>2e et 3e solution &lt;= 100</t>
  </si>
  <si>
    <t>auto si hauteur &lt;1,16m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</si>
</sst>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&quot; mm&quot;"/>
    <numFmt numFmtId="165" formatCode="#.00&quot; m&quot;"/>
    <numFmt numFmtId="166" formatCode="#&quot; °&quot;"/>
    <numFmt numFmtId="167" formatCode="#.00&quot; cm&quot;"/>
  </numFmts>
  <fonts count="1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theme="0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.65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3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Border="1"/>
    <xf numFmtId="0" fontId="2" fillId="0" borderId="5" xfId="0" applyFont="1" applyBorder="1"/>
    <xf numFmtId="0" fontId="0" fillId="0" borderId="5" xfId="0" applyBorder="1"/>
    <xf numFmtId="164" fontId="0" fillId="0" borderId="0" xfId="0" applyNumberFormat="1" applyBorder="1"/>
    <xf numFmtId="0" fontId="0" fillId="0" borderId="0" xfId="0" applyAlignment="1">
      <alignment horizontal="left"/>
    </xf>
    <xf numFmtId="0" fontId="0" fillId="0" borderId="6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2" borderId="6" xfId="0" applyNumberFormat="1" applyFill="1" applyBorder="1" applyAlignment="1">
      <alignment horizontal="center"/>
    </xf>
    <xf numFmtId="0" fontId="0" fillId="0" borderId="6" xfId="0" applyBorder="1"/>
    <xf numFmtId="0" fontId="0" fillId="0" borderId="5" xfId="0" applyFont="1" applyBorder="1" applyAlignment="1">
      <alignment horizontal="center"/>
    </xf>
    <xf numFmtId="164" fontId="0" fillId="0" borderId="6" xfId="0" applyNumberFormat="1" applyBorder="1"/>
    <xf numFmtId="0" fontId="0" fillId="0" borderId="5" xfId="0" applyFont="1" applyFill="1" applyBorder="1" applyAlignment="1">
      <alignment horizontal="left"/>
    </xf>
    <xf numFmtId="0" fontId="0" fillId="0" borderId="7" xfId="0" applyFill="1" applyBorder="1"/>
    <xf numFmtId="164" fontId="0" fillId="0" borderId="9" xfId="0" applyNumberFormat="1" applyBorder="1"/>
    <xf numFmtId="0" fontId="0" fillId="4" borderId="2" xfId="0" applyFill="1" applyBorder="1"/>
    <xf numFmtId="0" fontId="0" fillId="5" borderId="4" xfId="0" applyFill="1" applyBorder="1"/>
    <xf numFmtId="0" fontId="0" fillId="0" borderId="5" xfId="0" applyBorder="1" applyAlignment="1"/>
    <xf numFmtId="166" fontId="0" fillId="0" borderId="6" xfId="0" applyNumberFormat="1" applyBorder="1"/>
    <xf numFmtId="0" fontId="0" fillId="3" borderId="2" xfId="0" applyFill="1" applyBorder="1"/>
    <xf numFmtId="0" fontId="0" fillId="7" borderId="2" xfId="0" applyFill="1" applyBorder="1"/>
    <xf numFmtId="0" fontId="0" fillId="0" borderId="0" xfId="0" applyFill="1" applyBorder="1"/>
    <xf numFmtId="0" fontId="0" fillId="6" borderId="4" xfId="0" applyFill="1" applyBorder="1"/>
    <xf numFmtId="0" fontId="2" fillId="0" borderId="0" xfId="0" applyFont="1" applyBorder="1"/>
    <xf numFmtId="166" fontId="0" fillId="0" borderId="0" xfId="0" applyNumberFormat="1" applyBorder="1" applyAlignment="1">
      <alignment horizontal="center"/>
    </xf>
    <xf numFmtId="0" fontId="3" fillId="2" borderId="0" xfId="0" applyFont="1" applyFill="1" applyBorder="1" applyAlignment="1"/>
    <xf numFmtId="0" fontId="2" fillId="2" borderId="0" xfId="0" applyFont="1" applyFill="1" applyBorder="1" applyAlignment="1"/>
    <xf numFmtId="0" fontId="0" fillId="2" borderId="0" xfId="0" applyFill="1"/>
    <xf numFmtId="0" fontId="0" fillId="2" borderId="0" xfId="0" applyFill="1" applyBorder="1"/>
    <xf numFmtId="0" fontId="0" fillId="2" borderId="0" xfId="0" applyFill="1" applyAlignment="1">
      <alignment horizontal="left"/>
    </xf>
    <xf numFmtId="164" fontId="0" fillId="2" borderId="0" xfId="0" applyNumberFormat="1" applyFill="1" applyBorder="1"/>
    <xf numFmtId="164" fontId="0" fillId="2" borderId="0" xfId="0" applyNumberFormat="1" applyFill="1"/>
    <xf numFmtId="166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4" fillId="2" borderId="0" xfId="0" applyFont="1" applyFill="1"/>
    <xf numFmtId="0" fontId="0" fillId="0" borderId="5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6" borderId="11" xfId="0" applyFill="1" applyBorder="1"/>
    <xf numFmtId="0" fontId="0" fillId="5" borderId="10" xfId="0" applyFill="1" applyBorder="1"/>
    <xf numFmtId="0" fontId="0" fillId="5" borderId="11" xfId="0" applyFill="1" applyBorder="1"/>
    <xf numFmtId="0" fontId="0" fillId="6" borderId="12" xfId="0" applyFill="1" applyBorder="1"/>
    <xf numFmtId="0" fontId="0" fillId="6" borderId="13" xfId="0" applyFill="1" applyBorder="1"/>
    <xf numFmtId="166" fontId="0" fillId="8" borderId="14" xfId="0" applyNumberFormat="1" applyFill="1" applyBorder="1" applyAlignment="1">
      <alignment horizontal="left"/>
    </xf>
    <xf numFmtId="0" fontId="0" fillId="8" borderId="15" xfId="0" applyNumberFormat="1" applyFill="1" applyBorder="1" applyAlignment="1">
      <alignment horizontal="right"/>
    </xf>
    <xf numFmtId="0" fontId="0" fillId="8" borderId="11" xfId="0" applyFill="1" applyBorder="1"/>
    <xf numFmtId="0" fontId="0" fillId="8" borderId="4" xfId="0" applyFill="1" applyBorder="1"/>
    <xf numFmtId="0" fontId="0" fillId="0" borderId="0" xfId="0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1" xfId="0" applyBorder="1"/>
    <xf numFmtId="0" fontId="0" fillId="0" borderId="3" xfId="0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0" fontId="0" fillId="2" borderId="5" xfId="0" applyFill="1" applyBorder="1"/>
    <xf numFmtId="0" fontId="1" fillId="0" borderId="2" xfId="0" applyFont="1" applyFill="1" applyBorder="1" applyAlignment="1">
      <alignment horizontal="center" vertical="center" wrapText="1"/>
    </xf>
    <xf numFmtId="0" fontId="0" fillId="0" borderId="5" xfId="0" applyFill="1" applyBorder="1"/>
    <xf numFmtId="0" fontId="0" fillId="0" borderId="0" xfId="0" applyFill="1" applyAlignment="1">
      <alignment horizontal="center" vertical="center" wrapText="1"/>
    </xf>
    <xf numFmtId="0" fontId="8" fillId="0" borderId="0" xfId="0" applyFont="1" applyFill="1" applyAlignment="1"/>
    <xf numFmtId="0" fontId="5" fillId="0" borderId="0" xfId="0" applyFont="1" applyFill="1"/>
    <xf numFmtId="0" fontId="7" fillId="2" borderId="5" xfId="0" applyFont="1" applyFill="1" applyBorder="1"/>
    <xf numFmtId="0" fontId="7" fillId="2" borderId="7" xfId="0" applyFont="1" applyFill="1" applyBorder="1"/>
    <xf numFmtId="0" fontId="2" fillId="0" borderId="0" xfId="0" applyFont="1" applyFill="1"/>
    <xf numFmtId="0" fontId="2" fillId="0" borderId="0" xfId="0" applyFont="1"/>
    <xf numFmtId="0" fontId="0" fillId="2" borderId="6" xfId="0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/>
    </xf>
    <xf numFmtId="167" fontId="0" fillId="0" borderId="6" xfId="0" applyNumberFormat="1" applyBorder="1" applyAlignment="1">
      <alignment horizontal="center"/>
    </xf>
    <xf numFmtId="0" fontId="0" fillId="0" borderId="5" xfId="0" applyFont="1" applyBorder="1"/>
    <xf numFmtId="0" fontId="0" fillId="0" borderId="0" xfId="0" applyFill="1" applyAlignment="1">
      <alignment vertical="center" wrapText="1"/>
    </xf>
    <xf numFmtId="0" fontId="0" fillId="2" borderId="0" xfId="0" applyFill="1" applyAlignment="1">
      <alignment horizontal="center"/>
    </xf>
    <xf numFmtId="0" fontId="2" fillId="0" borderId="0" xfId="0" applyFont="1" applyFill="1" applyBorder="1" applyAlignment="1"/>
    <xf numFmtId="0" fontId="4" fillId="0" borderId="0" xfId="0" applyFont="1" applyFill="1"/>
    <xf numFmtId="0" fontId="0" fillId="0" borderId="0" xfId="0" applyFill="1" applyAlignment="1">
      <alignment horizontal="left"/>
    </xf>
    <xf numFmtId="164" fontId="0" fillId="0" borderId="0" xfId="0" applyNumberFormat="1" applyFill="1" applyBorder="1"/>
    <xf numFmtId="0" fontId="0" fillId="0" borderId="5" xfId="0" applyFont="1" applyBorder="1" applyAlignment="1">
      <alignment horizontal="left"/>
    </xf>
    <xf numFmtId="0" fontId="0" fillId="0" borderId="5" xfId="0" applyBorder="1" applyAlignment="1">
      <alignment horizontal="left"/>
    </xf>
    <xf numFmtId="0" fontId="0" fillId="5" borderId="18" xfId="0" applyFill="1" applyBorder="1"/>
    <xf numFmtId="164" fontId="0" fillId="0" borderId="19" xfId="0" applyNumberFormat="1" applyBorder="1"/>
    <xf numFmtId="0" fontId="0" fillId="0" borderId="6" xfId="0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vertical="center"/>
    </xf>
    <xf numFmtId="0" fontId="0" fillId="0" borderId="1" xfId="0" applyFill="1" applyBorder="1"/>
    <xf numFmtId="0" fontId="0" fillId="0" borderId="2" xfId="0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0" fillId="0" borderId="8" xfId="0" applyFill="1" applyBorder="1"/>
    <xf numFmtId="164" fontId="0" fillId="0" borderId="1" xfId="0" applyNumberFormat="1" applyFill="1" applyBorder="1"/>
    <xf numFmtId="0" fontId="0" fillId="0" borderId="2" xfId="0" applyBorder="1" applyAlignment="1"/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164" fontId="0" fillId="2" borderId="0" xfId="0" applyNumberFormat="1" applyFill="1" applyBorder="1" applyAlignment="1">
      <alignment horizontal="left"/>
    </xf>
    <xf numFmtId="164" fontId="0" fillId="2" borderId="0" xfId="0" applyNumberFormat="1" applyFill="1" applyAlignment="1">
      <alignment horizontal="left"/>
    </xf>
    <xf numFmtId="0" fontId="7" fillId="0" borderId="0" xfId="0" applyFont="1"/>
    <xf numFmtId="0" fontId="0" fillId="4" borderId="12" xfId="0" applyFill="1" applyBorder="1"/>
    <xf numFmtId="0" fontId="7" fillId="4" borderId="13" xfId="0" applyFont="1" applyFill="1" applyBorder="1"/>
    <xf numFmtId="164" fontId="7" fillId="4" borderId="13" xfId="0" applyNumberFormat="1" applyFont="1" applyFill="1" applyBorder="1" applyAlignment="1">
      <alignment horizontal="left"/>
    </xf>
    <xf numFmtId="0" fontId="7" fillId="7" borderId="12" xfId="0" applyFont="1" applyFill="1" applyBorder="1"/>
    <xf numFmtId="0" fontId="7" fillId="7" borderId="13" xfId="0" applyFont="1" applyFill="1" applyBorder="1"/>
    <xf numFmtId="164" fontId="7" fillId="7" borderId="13" xfId="0" applyNumberFormat="1" applyFont="1" applyFill="1" applyBorder="1" applyAlignment="1">
      <alignment horizontal="left"/>
    </xf>
    <xf numFmtId="0" fontId="7" fillId="3" borderId="12" xfId="0" applyFont="1" applyFill="1" applyBorder="1"/>
    <xf numFmtId="0" fontId="7" fillId="3" borderId="13" xfId="0" applyFont="1" applyFill="1" applyBorder="1"/>
    <xf numFmtId="0" fontId="7" fillId="3" borderId="13" xfId="0" applyFont="1" applyFill="1" applyBorder="1" applyAlignment="1">
      <alignment horizontal="left"/>
    </xf>
    <xf numFmtId="164" fontId="7" fillId="3" borderId="13" xfId="0" applyNumberFormat="1" applyFont="1" applyFill="1" applyBorder="1" applyAlignment="1">
      <alignment horizontal="left"/>
    </xf>
    <xf numFmtId="0" fontId="7" fillId="3" borderId="14" xfId="0" applyFont="1" applyFill="1" applyBorder="1" applyAlignment="1">
      <alignment horizontal="right"/>
    </xf>
    <xf numFmtId="0" fontId="7" fillId="7" borderId="14" xfId="0" applyFont="1" applyFill="1" applyBorder="1" applyAlignment="1">
      <alignment horizontal="right"/>
    </xf>
    <xf numFmtId="0" fontId="7" fillId="4" borderId="14" xfId="0" applyFont="1" applyFill="1" applyBorder="1" applyAlignment="1">
      <alignment horizontal="right"/>
    </xf>
    <xf numFmtId="164" fontId="7" fillId="4" borderId="15" xfId="0" applyNumberFormat="1" applyFont="1" applyFill="1" applyBorder="1"/>
    <xf numFmtId="164" fontId="7" fillId="7" borderId="15" xfId="0" applyNumberFormat="1" applyFont="1" applyFill="1" applyBorder="1"/>
    <xf numFmtId="164" fontId="7" fillId="3" borderId="15" xfId="0" applyNumberFormat="1" applyFont="1" applyFill="1" applyBorder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1" xfId="0" applyBorder="1" applyAlignment="1"/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6" fillId="9" borderId="16" xfId="0" applyFont="1" applyFill="1" applyBorder="1" applyAlignment="1">
      <alignment horizontal="center"/>
    </xf>
    <xf numFmtId="0" fontId="6" fillId="9" borderId="17" xfId="0" applyFont="1" applyFill="1" applyBorder="1" applyAlignment="1">
      <alignment horizontal="center"/>
    </xf>
    <xf numFmtId="0" fontId="11" fillId="3" borderId="20" xfId="0" applyFont="1" applyFill="1" applyBorder="1" applyAlignment="1">
      <alignment horizontal="center"/>
    </xf>
    <xf numFmtId="0" fontId="11" fillId="3" borderId="21" xfId="0" applyFont="1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</cellXfs>
  <cellStyles count="1">
    <cellStyle name="Normal" xfId="0" builtinId="0"/>
  </cellStyles>
  <dxfs count="11"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9" tint="0.39994506668294322"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darkGray">
          <bgColor theme="0" tint="-0.24994659260841701"/>
        </patternFill>
      </fill>
    </dxf>
    <dxf>
      <fill>
        <patternFill patternType="darkGray">
          <bgColor theme="0" tint="-0.24994659260841701"/>
        </patternFill>
      </fill>
    </dxf>
    <dxf>
      <fill>
        <patternFill patternType="darkGray">
          <bgColor theme="0" tint="-0.24994659260841701"/>
        </patternFill>
      </fill>
    </dxf>
    <dxf>
      <fill>
        <patternFill patternType="darkGray">
          <bgColor theme="0" tint="-0.24994659260841701"/>
        </patternFill>
      </fill>
    </dxf>
    <dxf>
      <fill>
        <patternFill patternType="darkGray"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18</xdr:row>
          <xdr:rowOff>160020</xdr:rowOff>
        </xdr:from>
        <xdr:to>
          <xdr:col>5</xdr:col>
          <xdr:colOff>1051560</xdr:colOff>
          <xdr:row>20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53340</xdr:colOff>
          <xdr:row>21</xdr:row>
          <xdr:rowOff>152400</xdr:rowOff>
        </xdr:from>
        <xdr:to>
          <xdr:col>5</xdr:col>
          <xdr:colOff>1066800</xdr:colOff>
          <xdr:row>23</xdr:row>
          <xdr:rowOff>83820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385485</xdr:colOff>
      <xdr:row>18</xdr:row>
      <xdr:rowOff>8964</xdr:rowOff>
    </xdr:from>
    <xdr:to>
      <xdr:col>8</xdr:col>
      <xdr:colOff>1239461</xdr:colOff>
      <xdr:row>32</xdr:row>
      <xdr:rowOff>146538</xdr:rowOff>
    </xdr:to>
    <xdr:pic>
      <xdr:nvPicPr>
        <xdr:cNvPr id="5" name="Image 4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15584" b="7506"/>
        <a:stretch/>
      </xdr:blipFill>
      <xdr:spPr bwMode="auto">
        <a:xfrm>
          <a:off x="8790931" y="3344179"/>
          <a:ext cx="1240838" cy="274595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9310</xdr:colOff>
      <xdr:row>18</xdr:row>
      <xdr:rowOff>14825</xdr:rowOff>
    </xdr:from>
    <xdr:to>
      <xdr:col>10</xdr:col>
      <xdr:colOff>1253939</xdr:colOff>
      <xdr:row>32</xdr:row>
      <xdr:rowOff>152400</xdr:rowOff>
    </xdr:to>
    <xdr:pic>
      <xdr:nvPicPr>
        <xdr:cNvPr id="9" name="Image 8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15584" b="7506"/>
        <a:stretch/>
      </xdr:blipFill>
      <xdr:spPr bwMode="auto">
        <a:xfrm>
          <a:off x="10694895" y="3350040"/>
          <a:ext cx="1244629" cy="27459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26896</xdr:colOff>
      <xdr:row>18</xdr:row>
      <xdr:rowOff>8963</xdr:rowOff>
    </xdr:from>
    <xdr:to>
      <xdr:col>13</xdr:col>
      <xdr:colOff>11295</xdr:colOff>
      <xdr:row>32</xdr:row>
      <xdr:rowOff>134815</xdr:rowOff>
    </xdr:to>
    <xdr:pic>
      <xdr:nvPicPr>
        <xdr:cNvPr id="10" name="Image 9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15584" b="7901"/>
        <a:stretch/>
      </xdr:blipFill>
      <xdr:spPr bwMode="auto">
        <a:xfrm>
          <a:off x="12605758" y="3344178"/>
          <a:ext cx="1244629" cy="273423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297180</xdr:colOff>
          <xdr:row>44</xdr:row>
          <xdr:rowOff>121920</xdr:rowOff>
        </xdr:from>
        <xdr:to>
          <xdr:col>5</xdr:col>
          <xdr:colOff>480060</xdr:colOff>
          <xdr:row>46</xdr:row>
          <xdr:rowOff>15240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Sélectionner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52"/>
  <sheetViews>
    <sheetView tabSelected="1" zoomScale="90" zoomScaleNormal="90" workbookViewId="0">
      <selection activeCell="I51" sqref="I51"/>
    </sheetView>
  </sheetViews>
  <sheetFormatPr baseColWidth="10" defaultRowHeight="14.4" x14ac:dyDescent="0.3"/>
  <cols>
    <col min="2" max="2" width="26.77734375" bestFit="1" customWidth="1"/>
    <col min="3" max="3" width="29.109375" bestFit="1" customWidth="1"/>
    <col min="4" max="4" width="10.44140625" customWidth="1"/>
    <col min="5" max="5" width="10.44140625" bestFit="1" customWidth="1"/>
    <col min="6" max="6" width="19.21875" customWidth="1"/>
    <col min="7" max="7" width="15" customWidth="1"/>
    <col min="8" max="8" width="5.6640625" customWidth="1"/>
    <col min="9" max="9" width="18.33203125" customWidth="1"/>
    <col min="10" max="10" width="9.21875" customWidth="1"/>
    <col min="11" max="11" width="18.33203125" customWidth="1"/>
    <col min="12" max="12" width="9.21875" customWidth="1"/>
    <col min="13" max="13" width="18.33203125" customWidth="1"/>
    <col min="14" max="14" width="9.21875" customWidth="1"/>
    <col min="15" max="15" width="11.5546875" customWidth="1"/>
  </cols>
  <sheetData>
    <row r="1" spans="2:14" ht="15" thickBot="1" x14ac:dyDescent="0.35"/>
    <row r="2" spans="2:14" ht="15.6" x14ac:dyDescent="0.3">
      <c r="B2" s="124" t="s">
        <v>42</v>
      </c>
      <c r="C2" s="125"/>
      <c r="D2" s="62"/>
      <c r="E2" s="62"/>
      <c r="F2" s="62"/>
      <c r="G2" s="62"/>
      <c r="H2" s="62"/>
      <c r="I2" s="62"/>
    </row>
    <row r="3" spans="2:14" x14ac:dyDescent="0.3">
      <c r="B3" s="58"/>
      <c r="C3" s="68"/>
      <c r="D3" s="63"/>
      <c r="E3" s="63"/>
      <c r="F3" s="63"/>
      <c r="G3" s="63"/>
      <c r="H3" s="63"/>
      <c r="I3" s="63"/>
    </row>
    <row r="4" spans="2:14" x14ac:dyDescent="0.3">
      <c r="B4" s="64" t="s">
        <v>43</v>
      </c>
      <c r="C4" s="69"/>
      <c r="D4" s="63"/>
      <c r="E4" s="63"/>
      <c r="F4" s="63"/>
      <c r="G4" s="63"/>
      <c r="H4" s="63"/>
      <c r="I4" s="63"/>
    </row>
    <row r="5" spans="2:14" x14ac:dyDescent="0.3">
      <c r="B5" s="64"/>
      <c r="C5" s="69"/>
      <c r="D5" s="63"/>
      <c r="E5" s="63"/>
      <c r="F5" s="63"/>
      <c r="G5" s="63"/>
      <c r="H5" s="63"/>
      <c r="I5" s="63"/>
    </row>
    <row r="6" spans="2:14" x14ac:dyDescent="0.3">
      <c r="B6" s="64" t="s">
        <v>44</v>
      </c>
      <c r="C6" s="69"/>
      <c r="D6" s="63"/>
      <c r="E6" s="63"/>
      <c r="F6" s="63"/>
      <c r="G6" s="63"/>
      <c r="H6" s="63"/>
      <c r="I6" s="63"/>
    </row>
    <row r="7" spans="2:14" x14ac:dyDescent="0.3">
      <c r="B7" s="64" t="s">
        <v>45</v>
      </c>
      <c r="C7" s="69"/>
      <c r="D7" s="63"/>
      <c r="E7" s="63"/>
      <c r="F7" s="63"/>
      <c r="G7" s="63"/>
      <c r="H7" s="63"/>
      <c r="I7" s="63"/>
    </row>
    <row r="8" spans="2:14" x14ac:dyDescent="0.3">
      <c r="B8" s="64" t="s">
        <v>46</v>
      </c>
      <c r="C8" s="69"/>
      <c r="D8" s="63"/>
      <c r="E8" s="63"/>
      <c r="F8" s="63"/>
      <c r="G8" s="63"/>
      <c r="H8" s="63"/>
      <c r="I8" s="63"/>
    </row>
    <row r="9" spans="2:14" x14ac:dyDescent="0.3">
      <c r="B9" s="64" t="s">
        <v>47</v>
      </c>
      <c r="C9" s="69" t="s">
        <v>53</v>
      </c>
      <c r="D9" s="63"/>
      <c r="E9" s="63"/>
      <c r="F9" s="63"/>
      <c r="G9" s="63"/>
      <c r="H9" s="63"/>
      <c r="I9" s="63"/>
      <c r="J9" s="54" t="s">
        <v>53</v>
      </c>
      <c r="K9" s="54"/>
      <c r="L9" s="54"/>
      <c r="M9" s="54"/>
      <c r="N9" s="54"/>
    </row>
    <row r="10" spans="2:14" x14ac:dyDescent="0.3">
      <c r="B10" s="64" t="s">
        <v>48</v>
      </c>
      <c r="C10" s="69" t="s">
        <v>14</v>
      </c>
      <c r="D10" s="63"/>
      <c r="E10" s="63"/>
      <c r="F10" s="63"/>
      <c r="G10" s="63"/>
      <c r="H10" s="63"/>
      <c r="I10" s="63"/>
      <c r="J10" s="54" t="s">
        <v>14</v>
      </c>
      <c r="K10" s="54"/>
      <c r="L10" s="54"/>
      <c r="M10" s="54"/>
      <c r="N10" s="54"/>
    </row>
    <row r="11" spans="2:14" x14ac:dyDescent="0.3">
      <c r="B11" s="64" t="s">
        <v>49</v>
      </c>
      <c r="C11" s="69" t="s">
        <v>69</v>
      </c>
      <c r="D11" s="63"/>
      <c r="E11" s="63"/>
      <c r="F11" s="63"/>
      <c r="G11" s="63"/>
      <c r="H11" s="63"/>
      <c r="I11" s="63"/>
      <c r="J11" s="54" t="s">
        <v>69</v>
      </c>
      <c r="K11" s="54"/>
      <c r="L11" s="54"/>
      <c r="M11" s="54"/>
      <c r="N11" s="54"/>
    </row>
    <row r="12" spans="2:14" x14ac:dyDescent="0.3">
      <c r="B12" s="64" t="s">
        <v>50</v>
      </c>
      <c r="C12" s="69" t="s">
        <v>86</v>
      </c>
      <c r="D12" s="63"/>
      <c r="E12" s="63"/>
      <c r="F12" s="63" t="s">
        <v>130</v>
      </c>
      <c r="G12" s="63"/>
      <c r="H12" s="63"/>
      <c r="I12" s="63"/>
      <c r="J12" s="54" t="s">
        <v>86</v>
      </c>
      <c r="K12" s="54"/>
      <c r="L12" s="54"/>
      <c r="M12" s="54"/>
      <c r="N12" s="54"/>
    </row>
    <row r="13" spans="2:14" x14ac:dyDescent="0.3">
      <c r="B13" s="64" t="s">
        <v>51</v>
      </c>
      <c r="C13" s="69" t="str">
        <f>VLOOKUP(C12,Listes!E2:F10,2)</f>
        <v>Joint 250 Fonte - 1005796</v>
      </c>
      <c r="D13" s="63"/>
      <c r="E13" s="63"/>
      <c r="F13" s="63" t="s">
        <v>121</v>
      </c>
      <c r="G13" s="63">
        <f t="array" ref="G13">IF($C$33="Oui",MAX(IF(PlageFonds800Plats&lt;=(C32*1000),IF(PlageFonds800Plats&lt;&gt;"",PlageFonds800Plats))),IF($C$33="Non",MAX(IF(PlageFonds800Standards&lt;=(C32*1000),IF(PlageFonds800Standards&lt;&gt;"",PlageFonds800Standards))),"FAUX"))</f>
        <v>1030</v>
      </c>
      <c r="H13" s="63"/>
      <c r="I13" s="63"/>
      <c r="J13" s="54" t="s">
        <v>76</v>
      </c>
      <c r="K13" s="54"/>
      <c r="L13" s="54"/>
      <c r="M13" s="54"/>
      <c r="N13" s="54"/>
    </row>
    <row r="14" spans="2:14" ht="15" thickBot="1" x14ac:dyDescent="0.35">
      <c r="B14" s="65" t="s">
        <v>52</v>
      </c>
      <c r="C14" s="70"/>
      <c r="D14" s="63"/>
      <c r="E14" s="63"/>
      <c r="F14" s="63" t="s">
        <v>122</v>
      </c>
      <c r="G14" s="63">
        <f t="array" ref="G14">IF(AND($C$33="Oui",C34="Non"),MAX(IF(PlageFonds1000Plats&lt;=(C32*1000),IF(PlageFonds1000Plats&lt;&gt;"",PlageFonds1000Plats))),IF(AND($C$33="Non",C34="Non"),MAX(IF(PlageFonds1000Standards&lt;=(C32*1000),IF(PlageFonds1000Standards&lt;&gt;"",PlageFonds1000Standards))),IF(AND(C33="Non",C34="Oui"),MAX(IF(PlageFonds1000Courts&lt;=(C32*1000),IF(PlageFonds1000Courts&lt;&gt;"",PlageFonds1000Courts))),"FAUX")))</f>
        <v>1080</v>
      </c>
      <c r="H14" s="63"/>
      <c r="I14" s="63"/>
      <c r="J14" s="54"/>
      <c r="K14" s="54"/>
      <c r="L14" s="54"/>
      <c r="M14" s="54"/>
      <c r="N14" s="54"/>
    </row>
    <row r="15" spans="2:14" x14ac:dyDescent="0.3">
      <c r="D15" s="63"/>
      <c r="E15" s="63"/>
      <c r="F15" s="63"/>
      <c r="G15" s="63"/>
      <c r="H15" s="63"/>
      <c r="I15" s="63"/>
    </row>
    <row r="17" spans="1:17" ht="15" thickBot="1" x14ac:dyDescent="0.35">
      <c r="A17" s="37"/>
    </row>
    <row r="18" spans="1:17" ht="15" thickBot="1" x14ac:dyDescent="0.35">
      <c r="A18" s="37"/>
      <c r="I18" s="128" t="s">
        <v>28</v>
      </c>
      <c r="J18" s="129"/>
      <c r="K18" s="130" t="s">
        <v>29</v>
      </c>
      <c r="L18" s="131"/>
      <c r="M18" s="121" t="s">
        <v>30</v>
      </c>
      <c r="N18" s="122"/>
    </row>
    <row r="19" spans="1:17" ht="16.2" thickBot="1" x14ac:dyDescent="0.35">
      <c r="A19" s="37"/>
      <c r="B19" s="126" t="s">
        <v>91</v>
      </c>
      <c r="C19" s="127"/>
      <c r="D19" s="30"/>
      <c r="E19" s="30"/>
      <c r="F19" s="30"/>
      <c r="G19" s="30"/>
      <c r="H19" s="30"/>
      <c r="I19" s="97"/>
      <c r="J19" s="98"/>
      <c r="K19" s="100"/>
      <c r="L19" s="101"/>
      <c r="M19" s="103"/>
      <c r="N19" s="104"/>
      <c r="O19" s="96"/>
      <c r="P19" s="96"/>
      <c r="Q19" s="96"/>
    </row>
    <row r="20" spans="1:17" x14ac:dyDescent="0.3">
      <c r="A20" s="37"/>
      <c r="B20" s="91" t="s">
        <v>92</v>
      </c>
      <c r="C20" s="92" t="s">
        <v>93</v>
      </c>
      <c r="D20" s="30"/>
      <c r="E20" s="30"/>
      <c r="F20" s="30"/>
      <c r="G20" s="30"/>
      <c r="H20" s="30"/>
      <c r="I20" s="97"/>
      <c r="J20" s="98"/>
      <c r="K20" s="100"/>
      <c r="L20" s="101"/>
      <c r="M20" s="103"/>
      <c r="N20" s="105"/>
      <c r="O20" s="96"/>
      <c r="P20" s="96"/>
      <c r="Q20" s="96"/>
    </row>
    <row r="21" spans="1:17" x14ac:dyDescent="0.3">
      <c r="A21" s="37"/>
      <c r="B21" s="4" t="s">
        <v>47</v>
      </c>
      <c r="C21" s="9" t="s">
        <v>53</v>
      </c>
      <c r="D21" s="31"/>
      <c r="E21" s="31"/>
      <c r="F21" s="31"/>
      <c r="G21" s="31"/>
      <c r="H21" s="31"/>
      <c r="I21" s="97"/>
      <c r="J21" s="99">
        <f>SUM(C59:C60)</f>
        <v>100</v>
      </c>
      <c r="K21" s="100"/>
      <c r="L21" s="102">
        <f>SUM(C84:C85)</f>
        <v>0</v>
      </c>
      <c r="M21" s="103"/>
      <c r="N21" s="106">
        <f>SUM(C109:C110)</f>
        <v>0</v>
      </c>
      <c r="O21" s="96"/>
      <c r="P21" s="96"/>
      <c r="Q21" s="96"/>
    </row>
    <row r="22" spans="1:17" x14ac:dyDescent="0.3">
      <c r="A22" s="37"/>
      <c r="B22" s="4" t="s">
        <v>94</v>
      </c>
      <c r="C22" s="9" t="s">
        <v>59</v>
      </c>
      <c r="D22" s="31"/>
      <c r="E22" s="31"/>
      <c r="F22" s="31"/>
      <c r="G22" s="31"/>
      <c r="H22" s="31"/>
      <c r="I22" s="97"/>
      <c r="J22" s="98"/>
      <c r="K22" s="100"/>
      <c r="L22" s="101"/>
      <c r="M22" s="103"/>
      <c r="N22" s="105"/>
      <c r="O22" s="96"/>
      <c r="P22" s="96"/>
      <c r="Q22" s="96"/>
    </row>
    <row r="23" spans="1:17" x14ac:dyDescent="0.3">
      <c r="A23" s="38"/>
      <c r="B23" s="5" t="s">
        <v>95</v>
      </c>
      <c r="C23" s="8" t="s">
        <v>14</v>
      </c>
      <c r="D23" s="31"/>
      <c r="E23" s="31"/>
      <c r="F23" s="31"/>
      <c r="G23" s="31"/>
      <c r="H23" s="31"/>
      <c r="I23" s="97"/>
      <c r="J23" s="99">
        <f>SUM(C51:C58)</f>
        <v>430</v>
      </c>
      <c r="K23" s="100"/>
      <c r="L23" s="102" t="e">
        <f>SUM(C76:C83)</f>
        <v>#NUM!</v>
      </c>
      <c r="M23" s="103"/>
      <c r="N23" s="106" t="e">
        <f>SUM(C101:C108)</f>
        <v>#NUM!</v>
      </c>
      <c r="O23" s="96"/>
      <c r="P23" s="96"/>
      <c r="Q23" s="96"/>
    </row>
    <row r="24" spans="1:17" x14ac:dyDescent="0.3">
      <c r="A24" s="37"/>
      <c r="B24" s="4" t="s">
        <v>49</v>
      </c>
      <c r="C24" s="8" t="s">
        <v>67</v>
      </c>
      <c r="D24" s="31"/>
      <c r="E24" s="31"/>
      <c r="F24" s="31"/>
      <c r="G24" s="36"/>
      <c r="H24" s="31"/>
      <c r="I24" s="97"/>
      <c r="J24" s="98"/>
      <c r="K24" s="100"/>
      <c r="L24" s="101"/>
      <c r="M24" s="103"/>
      <c r="N24" s="105"/>
      <c r="O24" s="96"/>
      <c r="P24" s="96"/>
      <c r="Q24" s="96"/>
    </row>
    <row r="25" spans="1:17" x14ac:dyDescent="0.3">
      <c r="A25" s="37"/>
      <c r="B25" s="4" t="s">
        <v>50</v>
      </c>
      <c r="C25" s="8" t="s">
        <v>88</v>
      </c>
      <c r="D25" s="31"/>
      <c r="E25" s="31"/>
      <c r="F25" s="31"/>
      <c r="G25" s="36"/>
      <c r="H25" s="31"/>
      <c r="I25" s="97"/>
      <c r="J25" s="98"/>
      <c r="K25" s="100"/>
      <c r="L25" s="101"/>
      <c r="M25" s="103"/>
      <c r="N25" s="105"/>
      <c r="O25" s="96"/>
      <c r="P25" s="96"/>
      <c r="Q25" s="96"/>
    </row>
    <row r="26" spans="1:17" x14ac:dyDescent="0.3">
      <c r="A26" s="37"/>
      <c r="B26" s="4" t="s">
        <v>51</v>
      </c>
      <c r="C26" s="8" t="str">
        <f>VLOOKUP(C25,Listes!E2:F10,2)</f>
        <v>Joint 300 Fonte - 1005806</v>
      </c>
      <c r="D26" s="31"/>
      <c r="E26" s="31"/>
      <c r="F26" s="31"/>
      <c r="G26" s="36"/>
      <c r="H26" s="31"/>
      <c r="I26" s="97"/>
      <c r="J26" s="98"/>
      <c r="K26" s="100"/>
      <c r="L26" s="101"/>
      <c r="M26" s="103"/>
      <c r="N26" s="105"/>
      <c r="O26" s="96"/>
      <c r="P26" s="96"/>
      <c r="Q26" s="96"/>
    </row>
    <row r="27" spans="1:17" x14ac:dyDescent="0.3">
      <c r="A27" s="37"/>
      <c r="B27" s="4" t="s">
        <v>12</v>
      </c>
      <c r="C27" s="10">
        <v>446.5</v>
      </c>
      <c r="D27" s="30"/>
      <c r="E27" s="30"/>
      <c r="F27" s="30"/>
      <c r="G27" s="30"/>
      <c r="H27" s="30"/>
      <c r="I27" s="97"/>
      <c r="J27" s="99" t="e">
        <f>SUM(C42:C50)</f>
        <v>#N/A</v>
      </c>
      <c r="K27" s="100"/>
      <c r="L27" s="102" t="e">
        <f>SUM(C67:C75)</f>
        <v>#NUM!</v>
      </c>
      <c r="M27" s="103"/>
      <c r="N27" s="106" t="e">
        <f>SUM(C92:C100)</f>
        <v>#NUM!</v>
      </c>
      <c r="O27" s="96"/>
      <c r="P27" s="96"/>
      <c r="Q27" s="96"/>
    </row>
    <row r="28" spans="1:17" x14ac:dyDescent="0.3">
      <c r="A28" s="37"/>
      <c r="B28" s="5" t="s">
        <v>11</v>
      </c>
      <c r="C28" s="10">
        <v>445.3</v>
      </c>
      <c r="D28" s="31"/>
      <c r="E28" s="31"/>
      <c r="F28" s="31"/>
      <c r="G28" s="31"/>
      <c r="H28" s="31"/>
      <c r="I28" s="97"/>
      <c r="J28" s="98"/>
      <c r="K28" s="100"/>
      <c r="L28" s="101"/>
      <c r="M28" s="103"/>
      <c r="N28" s="105"/>
      <c r="O28" s="96"/>
      <c r="P28" s="96"/>
      <c r="Q28" s="96"/>
    </row>
    <row r="29" spans="1:17" x14ac:dyDescent="0.3">
      <c r="A29" s="37"/>
      <c r="B29" s="5" t="s">
        <v>96</v>
      </c>
      <c r="C29" s="71">
        <v>10</v>
      </c>
      <c r="D29" s="31"/>
      <c r="E29" s="31"/>
      <c r="F29" s="31" t="s">
        <v>135</v>
      </c>
      <c r="G29" s="31"/>
      <c r="H29" s="31"/>
      <c r="I29" s="97"/>
      <c r="J29" s="98"/>
      <c r="K29" s="100"/>
      <c r="L29" s="101"/>
      <c r="M29" s="103"/>
      <c r="N29" s="105"/>
      <c r="O29" s="96"/>
      <c r="P29" s="96"/>
      <c r="Q29" s="96"/>
    </row>
    <row r="30" spans="1:17" ht="15" thickBot="1" x14ac:dyDescent="0.35">
      <c r="A30" s="37"/>
      <c r="B30" s="5" t="s">
        <v>97</v>
      </c>
      <c r="C30" s="71">
        <v>0</v>
      </c>
      <c r="D30" s="31"/>
      <c r="E30" s="31"/>
      <c r="F30" s="31"/>
      <c r="G30" s="31"/>
      <c r="H30" s="31"/>
      <c r="I30" s="97"/>
      <c r="J30" s="98"/>
      <c r="K30" s="100"/>
      <c r="L30" s="101"/>
      <c r="M30" s="103"/>
      <c r="N30" s="105"/>
      <c r="O30" s="96"/>
      <c r="P30" s="96"/>
      <c r="Q30" s="96"/>
    </row>
    <row r="31" spans="1:17" ht="16.8" x14ac:dyDescent="0.35">
      <c r="A31" s="37"/>
      <c r="B31" s="72" t="s">
        <v>98</v>
      </c>
      <c r="C31" s="11">
        <f>C27-C28</f>
        <v>1.1999999999999886</v>
      </c>
      <c r="D31" s="31"/>
      <c r="E31" s="31"/>
      <c r="F31" s="43" t="s">
        <v>131</v>
      </c>
      <c r="G31" s="44">
        <f t="array" ref="G31">IF(AND(C33="Oui",C21="Ø800"),MAX(IF(PlageFonds800Plats&lt;=(C32*1000),IF(PlageFonds800Plats&lt;&gt;"",PlageFonds800Plats))),IF(AND(C33="Non",C21="Ø800"),MAX(IF(PlageFonds800Standards&lt;=(C32*1000),IF(PlageFonds800Standards&lt;&gt;"",PlageFonds800Standards))),IF(AND($C$33="Oui",$C$34="Non",$C$21="Ø1000"),MAX(IF(PlageFonds1000Plats&lt;=(C32*1000),IF(PlageFonds1000Plats&lt;&gt;"",PlageFonds1000Plats))),IF(AND($C$33="Non",C34="Non",$C$21="Ø1000"),MAX(IF(PlageFonds1000Standards&lt;=(C32*1000),IF(PlageFonds1000Standards&lt;&gt;"",PlageFonds1000Standards))),IF(AND(C33="Non",C34="Oui",$C$21="Ø1000"),MAX(IF(PlageFonds1000Courts&lt;=(C32*1000),IF(PlageFonds1000Courts&lt;&gt;"",PlageFonds1000Courts))),"FAUX")))))</f>
        <v>1080</v>
      </c>
      <c r="H31" s="31"/>
      <c r="I31" s="97"/>
      <c r="J31" s="99">
        <f>SUM(C39:C41)</f>
        <v>550</v>
      </c>
      <c r="K31" s="100"/>
      <c r="L31" s="102" t="e">
        <f>SUM(C64:C66)</f>
        <v>#NUM!</v>
      </c>
      <c r="M31" s="103"/>
      <c r="N31" s="106" t="e">
        <f>SUM(C89:C91)</f>
        <v>#NUM!</v>
      </c>
      <c r="O31" s="96"/>
      <c r="P31" s="96"/>
      <c r="Q31" s="96"/>
    </row>
    <row r="32" spans="1:17" x14ac:dyDescent="0.3">
      <c r="A32" s="37"/>
      <c r="B32" s="4" t="s">
        <v>99</v>
      </c>
      <c r="C32" s="10">
        <f>C27-C28-C29/100-C30/100</f>
        <v>1.0999999999999885</v>
      </c>
      <c r="D32" s="31"/>
      <c r="E32" s="31"/>
      <c r="F32" s="45" t="s">
        <v>132</v>
      </c>
      <c r="G32" s="46">
        <f t="array" ref="G32">IF(AND($C$33="Oui",$C$21="Ø800"),MAX(IF(PlageFonds800Plats&lt;(G31),IF(PlageFonds800Plats&lt;&gt;"",PlageFonds800Plats))),IF(AND(C33="Non",$C$21="Ø800"),MAX(IF(PlageFonds800Standards&lt;(G31),IF(PlageFonds800Standards&lt;&gt;"",PlageFonds800Standards))),IF(AND($C$33="Oui",C34="Non",$C$21="Ø1000"),MAX(IF(PlageFonds1000Plats&lt;(G31),IF(PlageFonds1000Plats&lt;&gt;"",PlageFonds1000Plats))),IF(AND($C$33="Non",C34="Non",$C$21="Ø1000"),MAX(IF(PlageFonds1000Standards&lt;(G31),IF(PlageFonds1000Standards&lt;&gt;"",PlageFonds1000Standards))),IF(AND(C33="Non",C34="Oui",$C$21="Ø1000"),MAX(IF(PlageFonds1000Courts&lt;(G31),IF(PlageFonds1000Courts&lt;&gt;"",PlageFonds1000Courts))),"FAUX")))))</f>
        <v>980</v>
      </c>
      <c r="H32" s="31"/>
      <c r="I32" s="97"/>
      <c r="J32" s="98"/>
      <c r="K32" s="100"/>
      <c r="L32" s="101"/>
      <c r="M32" s="103"/>
      <c r="N32" s="105"/>
      <c r="O32" s="96"/>
      <c r="P32" s="96"/>
      <c r="Q32" s="96"/>
    </row>
    <row r="33" spans="1:17" ht="15" thickBot="1" x14ac:dyDescent="0.35">
      <c r="A33" s="37"/>
      <c r="B33" s="5" t="s">
        <v>101</v>
      </c>
      <c r="C33" s="8" t="s">
        <v>14</v>
      </c>
      <c r="D33" s="31"/>
      <c r="E33" s="35"/>
      <c r="F33" s="47" t="s">
        <v>133</v>
      </c>
      <c r="G33" s="48">
        <f t="array" ref="G33">IF(AND($C$33="Oui",$C$21="Ø800"),MAX(IF(PlageFonds800Plats&lt;(G32),IF(PlageFonds800Plats&lt;&gt;"",PlageFonds800Plats))),IF(AND(C33="Non",$C$21="Ø800"),MAX(IF(PlageFonds800Standards&lt;(G32),IF(PlageFonds800Standards&lt;&gt;"",PlageFonds800Standards))),IF(AND($C$33="Oui",C34="Non",$C$21="Ø1000"),MAX(IF(PlageFonds1000Plats&lt;(G32),IF(PlageFonds1000Plats&lt;&gt;"",PlageFonds1000Plats))),IF(AND($C$33="Non",C34="Non",$C$21="Ø1000"),MAX(IF(PlageFonds1000Standards&lt;(G32),IF(PlageFonds1000Standards&lt;&gt;"",PlageFonds1000Standards))),IF(AND(C33="Non",C34="Oui",$C$21="Ø1000"),MAX(IF(PlageFonds1000Courts&lt;(G32),IF(PlageFonds1000Courts&lt;&gt;"",PlageFonds1000Courts))),"FAUX")))))</f>
        <v>930</v>
      </c>
      <c r="H33" s="35"/>
      <c r="I33" s="97"/>
      <c r="J33" s="98"/>
      <c r="K33" s="100"/>
      <c r="L33" s="101"/>
      <c r="M33" s="103"/>
      <c r="N33" s="104"/>
      <c r="O33" s="96"/>
      <c r="P33" s="96"/>
      <c r="Q33" s="96"/>
    </row>
    <row r="34" spans="1:17" ht="15" thickBot="1" x14ac:dyDescent="0.35">
      <c r="A34" s="37"/>
      <c r="B34" s="16" t="s">
        <v>120</v>
      </c>
      <c r="C34" s="93" t="str">
        <f>IF(AND(C21="Ø1000",C33="Non",C32&lt;1.16),"Oui","Non")</f>
        <v>Oui</v>
      </c>
      <c r="D34" s="30" t="s">
        <v>136</v>
      </c>
      <c r="E34" s="30"/>
      <c r="F34" s="30"/>
      <c r="G34" s="30"/>
      <c r="H34" s="30"/>
      <c r="I34" s="109" t="s">
        <v>134</v>
      </c>
      <c r="J34" s="110">
        <f>C61</f>
        <v>19.999999999988631</v>
      </c>
      <c r="K34" s="108" t="s">
        <v>134</v>
      </c>
      <c r="L34" s="111">
        <f>C86</f>
        <v>19.999999999988631</v>
      </c>
      <c r="M34" s="107" t="s">
        <v>134</v>
      </c>
      <c r="N34" s="112">
        <f>C111</f>
        <v>19.999999999988631</v>
      </c>
    </row>
    <row r="35" spans="1:17" x14ac:dyDescent="0.3">
      <c r="A35" s="37"/>
      <c r="B35" s="26"/>
      <c r="C35" s="27"/>
      <c r="D35" s="3"/>
      <c r="E35" s="27"/>
      <c r="F35" s="27"/>
      <c r="G35" s="27"/>
      <c r="H35" s="27"/>
      <c r="J35" s="37"/>
      <c r="K35" s="37"/>
      <c r="L35" s="37"/>
    </row>
    <row r="36" spans="1:17" x14ac:dyDescent="0.3">
      <c r="A36" s="37"/>
      <c r="B36" s="28"/>
      <c r="C36" s="28"/>
      <c r="D36" s="28"/>
      <c r="E36" s="29"/>
      <c r="F36" s="29"/>
      <c r="G36" s="29"/>
      <c r="H36" s="29"/>
      <c r="I36" s="29"/>
      <c r="J36" s="75"/>
      <c r="K36" s="75"/>
      <c r="L36" s="37"/>
    </row>
    <row r="37" spans="1:17" ht="15" thickBot="1" x14ac:dyDescent="0.35">
      <c r="A37" s="37"/>
      <c r="B37" s="29"/>
      <c r="C37" s="39">
        <v>1</v>
      </c>
      <c r="D37" s="29"/>
      <c r="E37" s="29"/>
      <c r="F37" s="32"/>
      <c r="G37" s="32"/>
      <c r="H37" s="32"/>
      <c r="I37" s="29"/>
      <c r="J37" s="75"/>
      <c r="K37" s="75"/>
      <c r="L37" s="37"/>
    </row>
    <row r="38" spans="1:17" x14ac:dyDescent="0.3">
      <c r="A38" s="37"/>
      <c r="B38" s="18" t="s">
        <v>28</v>
      </c>
      <c r="C38" s="81">
        <f>G31</f>
        <v>1080</v>
      </c>
      <c r="D38" s="84" t="str">
        <f t="array" ref="D38">IF(OR(D39&lt;&gt;"",D40&lt;&gt;"",D41&lt;&gt;""),"Quantité","")</f>
        <v>Quantité</v>
      </c>
      <c r="E38" s="30"/>
      <c r="F38" s="32"/>
      <c r="G38" s="32"/>
      <c r="H38" s="32"/>
      <c r="I38" s="39"/>
      <c r="J38" s="37"/>
      <c r="K38" s="37"/>
      <c r="L38" s="76"/>
    </row>
    <row r="39" spans="1:17" ht="14.4" customHeight="1" x14ac:dyDescent="0.3">
      <c r="A39" s="37"/>
      <c r="B39" s="5" t="s">
        <v>123</v>
      </c>
      <c r="C39" s="90">
        <f>IF(AND($C$21="Ø1000",$C$34="Oui"),VLOOKUP($C$38,D1000TableauFondsCourts,2,FALSE),"")</f>
        <v>550</v>
      </c>
      <c r="D39" s="83">
        <f>IF(OR(C39=0,C39=""),"",1)</f>
        <v>1</v>
      </c>
      <c r="E39" s="33"/>
      <c r="F39" s="30"/>
      <c r="G39" s="32"/>
      <c r="H39" s="32"/>
      <c r="I39" s="30"/>
      <c r="J39" s="37"/>
      <c r="K39" s="37"/>
      <c r="L39" s="37"/>
    </row>
    <row r="40" spans="1:17" x14ac:dyDescent="0.3">
      <c r="A40" s="37"/>
      <c r="B40" s="5" t="s">
        <v>102</v>
      </c>
      <c r="C40" s="90" t="str">
        <f>IF(AND($C$33="Oui",$C$21="Ø800"),VLOOKUP($C$38,D800TableauFondsPlats,2,FALSE),IF(AND($C$33="Oui",$C$21="Ø1000"),VLOOKUP($C$38,D1000TableauFondsPlats,3,FALSE),""))</f>
        <v/>
      </c>
      <c r="D40" s="83" t="str">
        <f t="shared" ref="D40:D60" si="0">IF(OR(C40=0,C40=""),"",1)</f>
        <v/>
      </c>
      <c r="E40" s="33"/>
      <c r="F40" s="30"/>
      <c r="G40" s="32"/>
      <c r="H40" s="95"/>
      <c r="I40" s="30"/>
      <c r="J40" s="37"/>
      <c r="K40" s="37"/>
      <c r="L40" s="37"/>
    </row>
    <row r="41" spans="1:17" ht="14.4" customHeight="1" x14ac:dyDescent="0.3">
      <c r="A41" s="37"/>
      <c r="B41" s="5" t="s">
        <v>103</v>
      </c>
      <c r="C41" s="90" t="str">
        <f t="array" ref="C41">IF(AND($C$33="Non",$C$21="Ø800"),VLOOKUP($C$38,D800TableauFondsStandards,3,FALSE),IF(AND($C$34="Non",$C$33="Non",$C$21="Ø1000"),VLOOKUP($C$38,D1000TableauFondsStandards,4,FALSE),IF($C$34="Oui","","")))</f>
        <v/>
      </c>
      <c r="D41" s="83" t="str">
        <f t="shared" si="0"/>
        <v/>
      </c>
      <c r="E41" s="33"/>
      <c r="F41" s="33"/>
      <c r="G41" s="32"/>
      <c r="H41" s="33"/>
      <c r="I41" s="30"/>
      <c r="J41" s="37"/>
      <c r="K41" s="37"/>
      <c r="L41" s="37"/>
    </row>
    <row r="42" spans="1:17" ht="14.4" customHeight="1" x14ac:dyDescent="0.3">
      <c r="A42" s="37"/>
      <c r="B42" s="5" t="s">
        <v>105</v>
      </c>
      <c r="C42" s="90" t="str">
        <f>IF(AND($C$33="Oui",$C$21="Ø800"),VLOOKUP($C$38,D800TableauFondsPlats,4,FALSE),IF(AND($C$33="Non",$C$21="Ø800"),VLOOKUP($C$38,D800TableauFondsStandards,4,FALSE),""))</f>
        <v/>
      </c>
      <c r="D42" s="83" t="str">
        <f t="shared" si="0"/>
        <v/>
      </c>
      <c r="E42" s="33"/>
      <c r="F42" s="33"/>
      <c r="G42" s="32"/>
      <c r="H42" s="33"/>
      <c r="I42" s="32"/>
      <c r="J42" s="37"/>
      <c r="K42" s="37"/>
      <c r="L42" s="77"/>
    </row>
    <row r="43" spans="1:17" ht="14.4" customHeight="1" x14ac:dyDescent="0.3">
      <c r="A43" s="37"/>
      <c r="B43" s="5" t="s">
        <v>106</v>
      </c>
      <c r="C43" s="90" t="str">
        <f>IF(AND($C$33="Oui",$C$21="Ø800"),VLOOKUP($C$38,D800TableauFondsPlats,5,FALSE),IF(AND($C$33="Non",$C$21="Ø800"),VLOOKUP($C$38,D800TableauFondsStandards,5,FALSE),""))</f>
        <v/>
      </c>
      <c r="D43" s="83" t="str">
        <f t="shared" si="0"/>
        <v/>
      </c>
      <c r="E43" s="33"/>
      <c r="F43" s="33"/>
      <c r="G43" s="32"/>
      <c r="H43" s="94"/>
      <c r="I43" s="32"/>
      <c r="J43" s="37"/>
      <c r="K43" s="37"/>
      <c r="L43" s="77"/>
    </row>
    <row r="44" spans="1:17" ht="14.4" customHeight="1" x14ac:dyDescent="0.3">
      <c r="A44" s="37"/>
      <c r="B44" s="5" t="s">
        <v>124</v>
      </c>
      <c r="C44" s="90" t="str">
        <f>IF(AND($C$33="Oui",$C$21="Ø800"),VLOOKUP($C$38,D800TableauFondsPlats,6,FALSE),IF(AND($C$33="Non",$C$21="Ø800"),VLOOKUP($C$38,D800TableauFondsStandards,6,FALSE),""))</f>
        <v/>
      </c>
      <c r="D44" s="83" t="str">
        <f t="shared" si="0"/>
        <v/>
      </c>
      <c r="E44" s="33"/>
      <c r="F44" s="33"/>
      <c r="G44" s="32"/>
      <c r="H44" s="33"/>
      <c r="I44" s="32"/>
      <c r="J44" s="37"/>
      <c r="K44" s="37"/>
      <c r="L44" s="77"/>
    </row>
    <row r="45" spans="1:17" ht="14.4" customHeight="1" x14ac:dyDescent="0.3">
      <c r="A45" s="37"/>
      <c r="B45" s="5" t="s">
        <v>108</v>
      </c>
      <c r="C45" s="90" t="str">
        <f>IF(AND($C$33="Oui",$C$21="Ø800"),VLOOKUP($C$38,D800TableauFondsPlats,7,FALSE),IF(AND($C$33="Non",$C$21="Ø800"),VLOOKUP($C$38,D800TableauFondsStandards,7,FALSE),""))</f>
        <v/>
      </c>
      <c r="D45" s="83" t="str">
        <f t="shared" si="0"/>
        <v/>
      </c>
      <c r="E45" s="33"/>
      <c r="F45" s="33"/>
      <c r="G45" s="32"/>
      <c r="H45" s="33"/>
      <c r="I45" s="32"/>
      <c r="J45" s="37"/>
      <c r="K45" s="37"/>
      <c r="L45" s="77"/>
    </row>
    <row r="46" spans="1:17" ht="14.4" customHeight="1" x14ac:dyDescent="0.3">
      <c r="A46" s="37"/>
      <c r="B46" s="5" t="s">
        <v>125</v>
      </c>
      <c r="C46" s="90" t="e">
        <f>IF(AND($C$33="Oui",$C$21="Ø1000"),VLOOKUP($C$38,D1000TableauFondsPlats,5,FALSE),IF(AND($C$33="Non",$C$21="Ø1000"),VLOOKUP($C$38,D1000TableauFondsStandards,5,FALSE),""))</f>
        <v>#N/A</v>
      </c>
      <c r="D46" s="83" t="e">
        <f t="shared" si="0"/>
        <v>#N/A</v>
      </c>
      <c r="E46" s="33"/>
      <c r="F46" s="33"/>
      <c r="G46" s="32"/>
      <c r="H46" s="33"/>
      <c r="I46" s="32"/>
      <c r="J46" s="37"/>
      <c r="K46" s="37"/>
      <c r="L46" s="77"/>
    </row>
    <row r="47" spans="1:17" ht="14.4" customHeight="1" x14ac:dyDescent="0.3">
      <c r="A47" s="37"/>
      <c r="B47" s="5" t="s">
        <v>126</v>
      </c>
      <c r="C47" s="90" t="e">
        <f>IF(AND($C$33="Oui",$C$21="Ø1000"),VLOOKUP($C$38,D1000TableauFondsPlats,6,FALSE),IF(AND($C$33="Non",$C$21="Ø1000"),VLOOKUP($C$38,D1000TableauFondsStandards,6,FALSE),""))</f>
        <v>#N/A</v>
      </c>
      <c r="D47" s="83" t="e">
        <f t="shared" si="0"/>
        <v>#N/A</v>
      </c>
      <c r="E47" s="33"/>
      <c r="F47" s="33"/>
      <c r="G47" s="32"/>
      <c r="H47" s="33"/>
      <c r="I47" s="32"/>
      <c r="J47" s="37"/>
      <c r="K47" s="37"/>
      <c r="L47" s="77"/>
    </row>
    <row r="48" spans="1:17" ht="14.4" customHeight="1" x14ac:dyDescent="0.3">
      <c r="A48" s="37"/>
      <c r="B48" s="5" t="s">
        <v>127</v>
      </c>
      <c r="C48" s="90" t="e">
        <f>IF(AND($C$33="Oui",$C$21="Ø1000"),VLOOKUP($C$38,D1000TableauFondsPlats,7,FALSE),IF(AND($C$33="Non",$C$21="Ø1000"),VLOOKUP($C$38,D1000TableauFondsStandards,7,FALSE),""))</f>
        <v>#N/A</v>
      </c>
      <c r="D48" s="83" t="e">
        <f t="shared" si="0"/>
        <v>#N/A</v>
      </c>
      <c r="E48" s="33"/>
      <c r="F48" s="33"/>
      <c r="G48" s="32"/>
      <c r="H48" s="94"/>
      <c r="I48" s="32"/>
      <c r="J48" s="37"/>
      <c r="K48" s="37"/>
      <c r="L48" s="77"/>
    </row>
    <row r="49" spans="1:13" ht="14.4" customHeight="1" x14ac:dyDescent="0.3">
      <c r="A49" s="37"/>
      <c r="B49" s="5" t="s">
        <v>128</v>
      </c>
      <c r="C49" s="90" t="e">
        <f>IF(AND($C$33="Oui",$C$21="Ø1000"),VLOOKUP($C$38,D1000TableauFondsPlats,8,FALSE),IF(AND($C$33="Non",$C$21="Ø1000"),VLOOKUP($C$38,D1000TableauFondsStandards,8,FALSE),""))</f>
        <v>#N/A</v>
      </c>
      <c r="D49" s="83" t="e">
        <f t="shared" si="0"/>
        <v>#N/A</v>
      </c>
      <c r="E49" s="33"/>
      <c r="F49" s="33"/>
      <c r="G49" s="32"/>
      <c r="H49" s="33"/>
      <c r="I49" s="32"/>
      <c r="J49" s="37"/>
      <c r="K49" s="37"/>
      <c r="L49" s="77"/>
    </row>
    <row r="50" spans="1:13" ht="14.4" customHeight="1" x14ac:dyDescent="0.3">
      <c r="A50" s="37"/>
      <c r="B50" s="5" t="s">
        <v>129</v>
      </c>
      <c r="C50" s="90" t="e">
        <f>IF(AND($C$33="Oui",$C$21="Ø1000"),VLOOKUP($C$38,D1000TableauFondsPlats,9,FALSE),IF(AND($C$33="Non",$C$21="Ø1000"),VLOOKUP($C$38,D1000TableauFondsStandards,9,FALSE),""))</f>
        <v>#N/A</v>
      </c>
      <c r="D50" s="83" t="e">
        <f t="shared" si="0"/>
        <v>#N/A</v>
      </c>
      <c r="E50" s="33"/>
      <c r="F50" s="33"/>
      <c r="G50" s="32"/>
      <c r="H50" s="33"/>
      <c r="I50" s="32"/>
      <c r="J50" s="37"/>
      <c r="K50" s="37"/>
      <c r="L50" s="77"/>
    </row>
    <row r="51" spans="1:13" ht="14.4" customHeight="1" x14ac:dyDescent="0.3">
      <c r="A51" s="37"/>
      <c r="B51" s="79" t="s">
        <v>3</v>
      </c>
      <c r="C51" s="90">
        <f>IF(AND($C$33="Oui",$C$21="Ø800"),VLOOKUP($C$38,D800TableauFondsPlats,8,FALSE),IF(AND($C$33="Non",$C$21="Ø800"),VLOOKUP($C$38,D800TableauFondsStandards,8,FALSE),IF(AND($C$33="Oui",$C$21="Ø1000"),VLOOKUP($C$38,D1000TableauFondsPlats,10,FALSE),IF(AND($C$34="Oui",$C$21="Ø1000"),VLOOKUP($C$38,D1000TableauFondsCourts,10,FALSE),IF(AND($C$33="Non",$C$21="Ø1000"),VLOOKUP($C$38,D1000TableauFondsStandards,10,FALSE),"")))))</f>
        <v>0</v>
      </c>
      <c r="D51" s="83" t="str">
        <f t="shared" si="0"/>
        <v/>
      </c>
      <c r="E51" s="33"/>
      <c r="F51" s="33"/>
      <c r="G51" s="32"/>
      <c r="H51" s="33"/>
      <c r="I51" s="32"/>
      <c r="J51" s="37"/>
      <c r="K51" s="37"/>
      <c r="L51" s="77"/>
    </row>
    <row r="52" spans="1:13" ht="14.4" customHeight="1" x14ac:dyDescent="0.3">
      <c r="A52" s="37"/>
      <c r="B52" s="79" t="s">
        <v>4</v>
      </c>
      <c r="C52" s="90">
        <f>IF(AND($C$33="Oui",$C$21="Ø800"),VLOOKUP($C$38,D800TableauFondsPlats,9,FALSE),IF(AND($C$33="Non",$C$21="Ø800"),VLOOKUP($C$38,D800TableauFondsStandards,9,FALSE),IF(AND($C$33="Oui",$C$21="Ø1000"),VLOOKUP($C$38,D1000TableauFondsPlats,11,FALSE),IF(AND($C$34="Oui",$C$21="Ø1000"),VLOOKUP($C$38,D1000TableauFondsCourts,11,FALSE),IF(AND($C$33="Non",$C$21="Ø1000"),VLOOKUP($C$38,D1000TableauFondsStandards,11,FALSE),"")))))</f>
        <v>0</v>
      </c>
      <c r="D52" s="83" t="str">
        <f t="shared" si="0"/>
        <v/>
      </c>
      <c r="E52" s="33"/>
      <c r="F52" s="33"/>
      <c r="G52" s="32"/>
      <c r="H52" s="33"/>
      <c r="I52" s="32"/>
      <c r="J52" s="37"/>
      <c r="K52" s="37"/>
      <c r="L52" s="77"/>
    </row>
    <row r="53" spans="1:13" ht="14.4" customHeight="1" x14ac:dyDescent="0.3">
      <c r="A53" s="37"/>
      <c r="B53" s="79" t="s">
        <v>5</v>
      </c>
      <c r="C53" s="90">
        <f>IF(AND($C$33="Oui",$C$21="Ø800"),VLOOKUP($C$38,D800TableauFondsPlats,10,FALSE),IF(AND($C$33="Non",$C$21="Ø800"),VLOOKUP($C$38,D800TableauFondsStandards,10,FALSE),IF(AND($C$33="Oui",$C$21="Ø1000"),VLOOKUP($C$38,D1000TableauFondsPlats,12,FALSE),IF(AND($C$34="Oui",$C$21="Ø1000"),VLOOKUP($C$38,D1000TableauFondsCourts,12,FALSE),IF(AND($C$33="Non",$C$21="Ø1000"),VLOOKUP($C$38,D1000TableauFondsStandards,12,FALSE),"")))))</f>
        <v>430</v>
      </c>
      <c r="D53" s="83">
        <f t="shared" si="0"/>
        <v>1</v>
      </c>
      <c r="E53" s="33"/>
      <c r="F53" s="33"/>
      <c r="G53" s="32"/>
      <c r="H53" s="33"/>
      <c r="I53" s="32"/>
      <c r="J53" s="37"/>
      <c r="K53" s="37"/>
      <c r="L53" s="77"/>
    </row>
    <row r="54" spans="1:13" x14ac:dyDescent="0.3">
      <c r="A54" s="37"/>
      <c r="B54" s="79" t="s">
        <v>6</v>
      </c>
      <c r="C54" s="90">
        <f>IF(AND($C$33="Oui",$C$21="Ø800"),VLOOKUP($C$38,D800TableauFondsPlats,11,FALSE),IF(AND($C$33="Non",$C$21="Ø800"),VLOOKUP($C$38,D800TableauFondsStandards,11,FALSE),IF(AND($C$33="Oui",$C$21="Ø1000"),VLOOKUP($C$38,D1000TableauFondsPlats,13,FALSE),IF(AND($C$34="Oui",$C$21="Ø1000"),VLOOKUP($C$38,D1000TableauFondsCourts,13,FALSE),IF(AND($C$33="Non",$C$21="Ø1000"),VLOOKUP($C$38,D1000TableauFondsStandards,13,FALSE),"")))))</f>
        <v>0</v>
      </c>
      <c r="D54" s="83" t="str">
        <f t="shared" si="0"/>
        <v/>
      </c>
      <c r="E54" s="33"/>
      <c r="F54" s="33"/>
      <c r="G54" s="32"/>
      <c r="H54" s="94"/>
      <c r="I54" s="32"/>
      <c r="J54" s="37"/>
      <c r="K54" s="24"/>
      <c r="L54" s="114"/>
      <c r="M54" s="3"/>
    </row>
    <row r="55" spans="1:13" ht="14.4" customHeight="1" x14ac:dyDescent="0.3">
      <c r="A55" s="37"/>
      <c r="B55" s="79" t="s">
        <v>7</v>
      </c>
      <c r="C55" s="90">
        <f>IF(AND($C$33="Oui",$C$21="Ø800"),VLOOKUP($C$38,D800TableauFondsPlats,12,FALSE),IF(AND($C$33="Non",$C$21="Ø800"),VLOOKUP($C$38,D800TableauFondsStandards,12,FALSE),IF(AND($C$33="Oui",$C$21="Ø1000"),VLOOKUP($C$38,D1000TableauFondsPlats,14,FALSE),IF(AND($C$34="Oui",$C$21="Ø1000"),VLOOKUP($C$38,D1000TableauFondsCourts,14,FALSE),IF(AND($C$33="Non",$C$21="Ø1000"),VLOOKUP($C$38,D1000TableauFondsStandards,14,FALSE),"")))))</f>
        <v>0</v>
      </c>
      <c r="D55" s="83" t="str">
        <f t="shared" si="0"/>
        <v/>
      </c>
      <c r="E55" s="33"/>
      <c r="F55" s="33"/>
      <c r="G55" s="32"/>
      <c r="H55" s="32"/>
      <c r="I55" s="32"/>
      <c r="J55" s="37"/>
      <c r="K55" s="24"/>
      <c r="L55" s="114"/>
      <c r="M55" s="3"/>
    </row>
    <row r="56" spans="1:13" ht="14.4" customHeight="1" x14ac:dyDescent="0.3">
      <c r="A56" s="37"/>
      <c r="B56" s="79" t="s">
        <v>117</v>
      </c>
      <c r="C56" s="90">
        <f>IF(AND($C$33="Oui",$C$21="Ø1000"),VLOOKUP($C$38,D1000TableauFondsPlats,15,FALSE),IF(AND($C$34="Oui",$C$21="Ø1000"),VLOOKUP($C$38,D1000TableauFondsCourts,15,FALSE),IF(AND($C$33="Non",$C$21="Ø1000"),VLOOKUP($C$38,D1000TableauFondsStandards,15,FALSE),"")))</f>
        <v>0</v>
      </c>
      <c r="D56" s="83" t="str">
        <f t="shared" si="0"/>
        <v/>
      </c>
      <c r="E56" s="33"/>
      <c r="F56" s="33"/>
      <c r="G56" s="33"/>
      <c r="H56" s="32"/>
      <c r="I56" s="32"/>
      <c r="J56" s="37"/>
      <c r="K56" s="24"/>
      <c r="L56" s="114"/>
      <c r="M56" s="3"/>
    </row>
    <row r="57" spans="1:13" ht="14.4" customHeight="1" x14ac:dyDescent="0.3">
      <c r="A57" s="37"/>
      <c r="B57" s="79" t="s">
        <v>118</v>
      </c>
      <c r="C57" s="90">
        <f>IF(AND($C$33="Oui",$C$21="Ø1000"),VLOOKUP($C$38,D1000TableauFondsPlats,16,FALSE),IF(AND($C$34="Oui",$C$21="Ø1000"),VLOOKUP($C$38,D1000TableauFondsCourts,16,FALSE),IF(AND($C$33="Non",$C$21="Ø1000"),VLOOKUP($C$38,D1000TableauFondsStandards,16,FALSE),"")))</f>
        <v>0</v>
      </c>
      <c r="D57" s="83" t="str">
        <f t="shared" si="0"/>
        <v/>
      </c>
      <c r="E57" s="33"/>
      <c r="F57" s="33"/>
      <c r="G57" s="33"/>
      <c r="H57" s="32"/>
      <c r="I57" s="32"/>
      <c r="J57" s="37"/>
      <c r="K57" s="24"/>
      <c r="L57" s="114"/>
      <c r="M57" s="3"/>
    </row>
    <row r="58" spans="1:13" ht="14.4" customHeight="1" x14ac:dyDescent="0.3">
      <c r="A58" s="37"/>
      <c r="B58" s="79" t="s">
        <v>119</v>
      </c>
      <c r="C58" s="90">
        <f>IF(AND($C$33="Oui",$C$21="Ø1000"),VLOOKUP($C$38,D1000TableauFondsPlats,17,FALSE),IF(AND($C$34="Oui",$C$21="Ø1000"),VLOOKUP($C$38,D1000TableauFondsCourts,17,FALSE),IF(AND($C$33="Non",$C$21="Ø1000"),VLOOKUP($C$38,D1000TableauFondsStandards,17,FALSE),"")))</f>
        <v>0</v>
      </c>
      <c r="D58" s="83" t="str">
        <f t="shared" si="0"/>
        <v/>
      </c>
      <c r="E58" s="33"/>
      <c r="F58" s="33"/>
      <c r="G58" s="33"/>
      <c r="H58" s="32"/>
      <c r="I58" s="32"/>
      <c r="J58" s="37"/>
      <c r="K58" s="24"/>
      <c r="L58" s="114"/>
      <c r="M58" s="3"/>
    </row>
    <row r="59" spans="1:13" s="1" customFormat="1" ht="14.4" customHeight="1" x14ac:dyDescent="0.3">
      <c r="A59" s="38"/>
      <c r="B59" s="15" t="s">
        <v>21</v>
      </c>
      <c r="C59" s="90">
        <f>IF(AND($C$33="Oui",$C$21="Ø800"),VLOOKUP($C$38,D800TableauFondsPlats,13,FALSE),IF(AND($C$33="Non",$C$21="Ø800"),VLOOKUP($C$38,D800TableauFondsStandards,13,FALSE),IF(AND($C$33="Oui",$C$21="Ø1000"),VLOOKUP($C$38,D1000TableauFondsPlats,18,FALSE),IF(AND($C$34="Oui",$C$21="Ø1000"),VLOOKUP($C$38,D1000TableauFondsCourts,18,FALSE),IF(AND($C$33="Non",$C$21="Ø1000"),VLOOKUP($C$38,D1000TableauFondsStandards,18,FALSE),"")))))</f>
        <v>100</v>
      </c>
      <c r="D59" s="83">
        <f t="shared" si="0"/>
        <v>1</v>
      </c>
      <c r="E59" s="33"/>
      <c r="F59" s="33"/>
      <c r="G59" s="33"/>
      <c r="H59" s="74"/>
      <c r="I59" s="74"/>
      <c r="J59" s="38"/>
      <c r="K59" s="115"/>
      <c r="L59" s="116" t="str">
        <f>IF(K54="","",IF(K55=1050,2,1))</f>
        <v/>
      </c>
      <c r="M59" s="117"/>
    </row>
    <row r="60" spans="1:13" s="1" customFormat="1" x14ac:dyDescent="0.3">
      <c r="A60" s="38"/>
      <c r="B60" s="80" t="s">
        <v>22</v>
      </c>
      <c r="C60" s="90">
        <f>IF(AND($C$33="Oui",$C$21="Ø800"),VLOOKUP($C$38,D800TableauFondsPlats,14,FALSE),IF(AND($C$33="Non",$C$21="Ø800"),VLOOKUP($C$38,D800TableauFondsStandards,14,FALSE),IF(AND($C$33="Oui",$C$21="Ø1000"),VLOOKUP($C$38,D1000TableauFondsPlats,19,FALSE),IF(AND($C$34="Oui",$C$21="Ø1000"),VLOOKUP($C$38,D1000TableauFondsCourts,19,FALSE),IF(AND($C$33="Non",$C$21="Ø1000"),VLOOKUP($C$38,D1000TableauFondsStandards,19,FALSE),"")))))</f>
        <v>0</v>
      </c>
      <c r="D60" s="83" t="str">
        <f t="shared" si="0"/>
        <v/>
      </c>
      <c r="E60" s="33"/>
      <c r="F60" s="33"/>
      <c r="G60" s="33"/>
      <c r="H60" s="74"/>
      <c r="I60" s="74"/>
      <c r="J60" s="38"/>
      <c r="K60" s="115"/>
      <c r="L60" s="115"/>
      <c r="M60" s="117"/>
    </row>
    <row r="61" spans="1:13" ht="15" thickBot="1" x14ac:dyDescent="0.35">
      <c r="A61" s="24"/>
      <c r="B61" s="16" t="s">
        <v>18</v>
      </c>
      <c r="C61" s="82">
        <f>(C32*1000-C38)</f>
        <v>19.999999999988631</v>
      </c>
      <c r="D61" s="85">
        <f>IF(D38="Quantité",1,"")</f>
        <v>1</v>
      </c>
      <c r="E61" s="31"/>
      <c r="F61" s="33"/>
      <c r="G61" s="33"/>
      <c r="H61" s="32"/>
      <c r="I61" s="32"/>
      <c r="J61" s="37"/>
      <c r="K61" s="24"/>
      <c r="L61" s="114"/>
      <c r="M61" s="3"/>
    </row>
    <row r="62" spans="1:13" ht="15" thickBot="1" x14ac:dyDescent="0.35">
      <c r="A62" s="24"/>
      <c r="B62" s="31"/>
      <c r="C62" s="39">
        <v>2</v>
      </c>
      <c r="D62" s="39" t="s">
        <v>104</v>
      </c>
      <c r="E62" s="31"/>
      <c r="F62" s="33"/>
      <c r="G62" s="33"/>
      <c r="H62" s="32"/>
      <c r="I62" s="32"/>
      <c r="J62" s="24"/>
      <c r="K62" s="78"/>
      <c r="L62" s="77"/>
    </row>
    <row r="63" spans="1:13" x14ac:dyDescent="0.3">
      <c r="A63" s="24"/>
      <c r="B63" s="23" t="s">
        <v>29</v>
      </c>
      <c r="C63" s="19">
        <f>G31</f>
        <v>1080</v>
      </c>
      <c r="D63" s="84" t="e">
        <f>IF(OR(D64&lt;&gt;"",D65&lt;&gt;"",D66&lt;&gt;""),"Quantité","")</f>
        <v>#NUM!</v>
      </c>
      <c r="E63" s="31"/>
      <c r="F63" s="33"/>
      <c r="G63" s="33"/>
      <c r="H63" s="32"/>
      <c r="I63" s="32"/>
      <c r="J63" s="24"/>
      <c r="K63" s="78"/>
      <c r="L63" s="77"/>
    </row>
    <row r="64" spans="1:13" ht="14.4" customHeight="1" x14ac:dyDescent="0.3">
      <c r="A64" s="24"/>
      <c r="B64" s="5" t="s">
        <v>123</v>
      </c>
      <c r="C64" s="90" t="e">
        <f t="array" ref="C64">IF(AND($C$21="Ø1000",$C$34="Oui"),INDEX(D1000FC_FC,_xlfn.AGGREGATE(15,6,IF(PlageFonds1000Courts=$C$63,ROW(D1000plage),NA()),$C$62)-ROW(D1000Entete)),"")</f>
        <v>#NUM!</v>
      </c>
      <c r="D64" s="83" t="e">
        <f>IF(OR(C64=0,C64=""),"",1)</f>
        <v>#NUM!</v>
      </c>
      <c r="E64" s="33"/>
      <c r="F64" s="33"/>
      <c r="G64" s="33"/>
      <c r="H64" s="32"/>
      <c r="I64" s="32"/>
      <c r="J64" s="24"/>
      <c r="K64" s="78"/>
      <c r="L64" s="77"/>
    </row>
    <row r="65" spans="1:12" x14ac:dyDescent="0.3">
      <c r="A65" s="24"/>
      <c r="B65" s="5" t="s">
        <v>102</v>
      </c>
      <c r="C65" s="90" t="str">
        <f t="array" ref="C65">IF(AND($C$33="Oui",$C$21="Ø800"),INDEX(D800FP_FP,_xlfn.AGGREGATE(15,6,IF(PlageFonds800Plats=$C$63,ROW(D800plage),NA()),$C$62)-ROW(D800Entete)),IF(AND($C$33="Oui",$C$21="Ø1000"),INDEX(D1000FP_FP,_xlfn.AGGREGATE(15,6,IF(PlageFonds1000Plats=$C$63,ROW(D1000plage),NA()),$C$62)-ROW(D1000Entete)),""))</f>
        <v/>
      </c>
      <c r="D65" s="83" t="str">
        <f t="shared" ref="D65:D85" si="1">IF(OR(C65=0,C65=""),"",1)</f>
        <v/>
      </c>
      <c r="E65" s="33"/>
      <c r="F65" s="33"/>
      <c r="G65" s="33"/>
      <c r="H65" s="95"/>
      <c r="I65" s="32"/>
      <c r="J65" s="24"/>
      <c r="K65" s="78"/>
      <c r="L65" s="77"/>
    </row>
    <row r="66" spans="1:12" ht="14.4" customHeight="1" x14ac:dyDescent="0.3">
      <c r="A66" s="24"/>
      <c r="B66" s="5" t="s">
        <v>103</v>
      </c>
      <c r="C66" s="90" t="str">
        <f t="array" ref="C66">IF(AND($C$33="Non",$C$21="Ø800"),INDEX(D800FS_FS,_xlfn.AGGREGATE(15,6,IF(PlageFonds800Standards=$C$63,ROW(D800plage),NA()),$C$62)-ROW(D800Entete)),IF(AND($C$33="Non",$C$34="Non",$C$21="Ø1000"),INDEX(D1000FS_FS,_xlfn.AGGREGATE(15,6,IF(PlageFonds1000Standards=$C$63,ROW(D1000plage),NA()),$C$62)-ROW(D1000Entete)),""))</f>
        <v/>
      </c>
      <c r="D66" s="83" t="str">
        <f t="shared" si="1"/>
        <v/>
      </c>
      <c r="E66" s="33"/>
      <c r="F66" s="33"/>
      <c r="G66" s="33"/>
      <c r="H66" s="33"/>
      <c r="I66" s="32"/>
      <c r="J66" s="24"/>
      <c r="K66" s="78"/>
      <c r="L66" s="77"/>
    </row>
    <row r="67" spans="1:12" ht="14.4" customHeight="1" x14ac:dyDescent="0.3">
      <c r="A67" s="24"/>
      <c r="B67" s="5" t="s">
        <v>105</v>
      </c>
      <c r="C67" s="90" t="str">
        <f t="array" ref="C67">IF(AND($C$33="Oui",$C$21="Ø800"),INDEX(D800FP_Inter750_1,_xlfn.AGGREGATE(15,6,IF(PlageFonds800Plats=$C$63,ROW(D800plage),NA()),$C$62)-ROW(D800Entete)),IF(AND($C$33="Non",$C$21="Ø800"),INDEX(D800FS_Inter750_1,_xlfn.AGGREGATE(15,6,IF(PlageFonds800Standards=$C$63,ROW(D800plage),NA()),$C$62)-ROW(D800Entete)),""))</f>
        <v/>
      </c>
      <c r="D67" s="83" t="str">
        <f t="shared" si="1"/>
        <v/>
      </c>
      <c r="E67" s="33"/>
      <c r="F67" s="31"/>
      <c r="G67" s="33"/>
      <c r="H67" s="33"/>
      <c r="I67" s="32"/>
      <c r="J67" s="24"/>
      <c r="K67" s="78"/>
      <c r="L67" s="77"/>
    </row>
    <row r="68" spans="1:12" ht="14.4" customHeight="1" x14ac:dyDescent="0.3">
      <c r="A68" s="24"/>
      <c r="B68" s="5" t="s">
        <v>106</v>
      </c>
      <c r="C68" s="90" t="str">
        <f t="array" ref="C68">IF(AND($C$33="Oui",$C$21="Ø800"),INDEX(D800FP_Inter750_2,_xlfn.AGGREGATE(15,6,IF(PlageFonds800Plats=$C$63,ROW(D800plage),NA()),$C$62)-ROW(D800Entete)),IF(AND($C$33="Non",$C$21="Ø800"),INDEX(D800FS_Inter750_2,_xlfn.AGGREGATE(15,6,IF(PlageFonds800Standards=$C$63,ROW(D800plage),NA()),$C$62)-ROW(D800Entete)),""))</f>
        <v/>
      </c>
      <c r="D68" s="83" t="str">
        <f t="shared" si="1"/>
        <v/>
      </c>
      <c r="E68" s="33"/>
      <c r="F68" s="31"/>
      <c r="G68" s="33"/>
      <c r="H68" s="94"/>
      <c r="I68" s="32"/>
      <c r="J68" s="24"/>
      <c r="K68" s="78"/>
      <c r="L68" s="77"/>
    </row>
    <row r="69" spans="1:12" ht="14.4" customHeight="1" x14ac:dyDescent="0.3">
      <c r="A69" s="24"/>
      <c r="B69" s="5" t="s">
        <v>107</v>
      </c>
      <c r="C69" s="90" t="str">
        <f t="array" ref="C69">IF(AND($C$33="Oui",$C$21="Ø800"),INDEX(D800FP_Inter1050_1,_xlfn.AGGREGATE(15,6,IF(PlageFonds800Plats=$C$63,ROW(D800plage),NA()),$C$62)-ROW(D800Entete)),IF(AND($C$33="Non",$C$21="Ø800"),INDEX(D800FS_Inter1050_1,_xlfn.AGGREGATE(15,6,IF(PlageFonds800Standards=$C$63,ROW(D800plage),NA()),$C$62)-ROW(D800Entete)),""))</f>
        <v/>
      </c>
      <c r="D69" s="83" t="str">
        <f t="shared" si="1"/>
        <v/>
      </c>
      <c r="E69" s="33"/>
      <c r="F69" s="31"/>
      <c r="G69" s="33"/>
      <c r="H69" s="33"/>
      <c r="I69" s="32"/>
      <c r="J69" s="24"/>
      <c r="K69" s="78"/>
      <c r="L69" s="77"/>
    </row>
    <row r="70" spans="1:12" ht="14.4" customHeight="1" x14ac:dyDescent="0.3">
      <c r="A70" s="24"/>
      <c r="B70" s="5" t="s">
        <v>108</v>
      </c>
      <c r="C70" s="90" t="str">
        <f t="array" ref="C70">IF(AND($C$33="Oui",$C$21="Ø800"),INDEX(D800FP_Inter1050_2,_xlfn.AGGREGATE(15,6,IF(PlageFonds800Plats=$C$63,ROW(D800plage),NA()),$C$62)-ROW(D800Entete)),IF(AND($C$33="Non",$C$21="Ø800"),INDEX(D800FS_Inter1050_2,_xlfn.AGGREGATE(15,6,IF(PlageFonds800Standards=$C$63,ROW(D800plage),NA()),$C$62)-ROW(D800Entete)),""))</f>
        <v/>
      </c>
      <c r="D70" s="83" t="str">
        <f t="shared" si="1"/>
        <v/>
      </c>
      <c r="E70" s="33"/>
      <c r="F70" s="31"/>
      <c r="G70" s="33"/>
      <c r="H70" s="33"/>
      <c r="I70" s="32"/>
      <c r="J70" s="24"/>
      <c r="K70" s="78"/>
      <c r="L70" s="77"/>
    </row>
    <row r="71" spans="1:12" ht="14.4" customHeight="1" x14ac:dyDescent="0.3">
      <c r="A71" s="24"/>
      <c r="B71" s="5" t="s">
        <v>125</v>
      </c>
      <c r="C71" s="90" t="e">
        <f t="array" ref="C71">IF(AND($C$34="Oui",$C$21="Ø1000"),INDEX(D1000FC_Inter900_1,_xlfn.AGGREGATE(15,6,IF(PlageFonds1000Courts=$C$63,ROW(D1000plage),NA()),$C$62)-ROW(D1000Entete)),IF(AND($C$33="Oui",$C$21="Ø1000"),INDEX(D1000FP_Inter900_1,_xlfn.AGGREGATE(15,6,IF(PlageFonds1000Plats=$C$63,ROW(D1000plage),NA()),$C$62)-ROW(D1000Entete)),IF(AND($C$33="Non",$C$21="Ø1000"),INDEX(D1000FS_Inter900_1,_xlfn.AGGREGATE(15,6,IF(PlageFonds1000Standards=$C$63,ROW(D1000plage),NA()),$C$62)-ROW(D1000Entete)),"")))</f>
        <v>#NUM!</v>
      </c>
      <c r="D71" s="83" t="e">
        <f t="shared" si="1"/>
        <v>#NUM!</v>
      </c>
      <c r="E71" s="33"/>
      <c r="F71" s="31"/>
      <c r="G71" s="33"/>
      <c r="H71" s="33"/>
      <c r="I71" s="32"/>
      <c r="J71" s="24"/>
      <c r="K71" s="78"/>
      <c r="L71" s="77"/>
    </row>
    <row r="72" spans="1:12" ht="14.4" customHeight="1" x14ac:dyDescent="0.3">
      <c r="A72" s="24"/>
      <c r="B72" s="5" t="s">
        <v>126</v>
      </c>
      <c r="C72" s="90" t="e">
        <f t="array" ref="C72">IF(AND($C$34="Oui",$C$21="Ø1000"),INDEX(D1000FC_Inter900_2,_xlfn.AGGREGATE(15,6,IF(PlageFonds1000Courts=$C$63,ROW(D1000plage),NA()),$C$62)-ROW(D1000Entete)),IF(AND($C$33="Oui",$C$21="Ø1000"),INDEX(D1000FP_Inter900_2,_xlfn.AGGREGATE(15,6,IF(PlageFonds1000Plats=$C$63,ROW(D1000plage),NA()),$C$62)-ROW(D1000Entete)),IF(AND($C$33="Non",$C$21="Ø1000"),INDEX(D1000FS_Inter900_2,_xlfn.AGGREGATE(15,6,IF(PlageFonds1000Standards=$C$63,ROW(D1000plage),NA()),$C$62)-ROW(D1000Entete)),"")))</f>
        <v>#NUM!</v>
      </c>
      <c r="D72" s="83" t="e">
        <f t="shared" si="1"/>
        <v>#NUM!</v>
      </c>
      <c r="E72" s="33"/>
      <c r="F72" s="31"/>
      <c r="G72" s="33"/>
      <c r="H72" s="33"/>
      <c r="I72" s="32"/>
      <c r="J72" s="24"/>
      <c r="K72" s="78"/>
      <c r="L72" s="77"/>
    </row>
    <row r="73" spans="1:12" ht="14.4" customHeight="1" x14ac:dyDescent="0.3">
      <c r="A73" s="24"/>
      <c r="B73" s="5" t="s">
        <v>127</v>
      </c>
      <c r="C73" s="90" t="e">
        <f t="array" ref="C73">IF(AND($C$34="Oui",$C$21="Ø1000"),INDEX(D1000FC_Inter900_3,_xlfn.AGGREGATE(15,6,IF(PlageFonds1000Courts=$C$63,ROW(D1000plage),NA()),$C$62)-ROW(D1000Entete)),IF(AND($C$33="Oui",$C$21="Ø1000"),INDEX(D1000FP_Inter900_3,_xlfn.AGGREGATE(15,6,IF(PlageFonds1000Plats=$C$63,ROW(D1000plage),NA()),$C$62)-ROW(D1000Entete)),IF(AND($C$33="Non",$C$21="Ø1000"),INDEX(D1000FS_Inter900_3,_xlfn.AGGREGATE(15,6,IF(PlageFonds1000Standards=$C$63,ROW(D1000plage),NA()),$C$62)-ROW(D1000Entete)),"")))</f>
        <v>#NUM!</v>
      </c>
      <c r="D73" s="83" t="e">
        <f t="shared" si="1"/>
        <v>#NUM!</v>
      </c>
      <c r="E73" s="33"/>
      <c r="F73" s="31"/>
      <c r="G73" s="33"/>
      <c r="H73" s="94"/>
      <c r="I73" s="32"/>
      <c r="J73" s="24"/>
      <c r="K73" s="78"/>
      <c r="L73" s="77"/>
    </row>
    <row r="74" spans="1:12" ht="14.4" customHeight="1" x14ac:dyDescent="0.3">
      <c r="A74" s="24"/>
      <c r="B74" s="5" t="s">
        <v>128</v>
      </c>
      <c r="C74" s="90" t="e">
        <f t="array" ref="C74">IF(AND($C$34="Oui",$C$21="Ø1000"),INDEX(D1000FC_Inter1200_1,_xlfn.AGGREGATE(15,6,IF(PlageFonds1000Courts=$C$63,ROW(D1000plage),NA()),$C$62)-ROW(D1000Entete)),IF(AND($C$33="Oui",$C$21="Ø1000"),INDEX(D1000FP_Inter1200_1,_xlfn.AGGREGATE(15,6,IF(PlageFonds1000Plats=$C$63,ROW(D1000plage),NA()),$C$62)-ROW(D1000Entete)),IF(AND($C$33="Non",$C$21="Ø1000"),INDEX(D1000FS_Inter1200_1,_xlfn.AGGREGATE(15,6,IF(PlageFonds1000Standards=$C$63,ROW(D1000plage),NA()),$C$62)-ROW(D1000Entete)),"")))</f>
        <v>#NUM!</v>
      </c>
      <c r="D74" s="83" t="e">
        <f t="shared" si="1"/>
        <v>#NUM!</v>
      </c>
      <c r="E74" s="33"/>
      <c r="F74" s="31"/>
      <c r="G74" s="33"/>
      <c r="H74" s="33"/>
      <c r="I74" s="32"/>
      <c r="J74" s="24"/>
      <c r="K74" s="78"/>
      <c r="L74" s="77"/>
    </row>
    <row r="75" spans="1:12" ht="14.4" customHeight="1" x14ac:dyDescent="0.3">
      <c r="A75" s="24"/>
      <c r="B75" s="5" t="s">
        <v>129</v>
      </c>
      <c r="C75" s="90" t="e">
        <f t="array" ref="C75">IF(AND($C$34="Oui",$C$21="Ø1000"),INDEX(D1000FC_Inter1200_2,_xlfn.AGGREGATE(15,6,IF(PlageFonds1000Courts=$C$63,ROW(D1000plage),NA()),$C$62)-ROW(D1000Entete)),IF(AND($C$33="Oui",$C$21="Ø1000"),INDEX(D1000FP_Inter1200_2,_xlfn.AGGREGATE(15,6,IF(PlageFonds1000Plats=$C$63,ROW(D1000plage),NA()),$C$62)-ROW(D1000Entete)),IF(AND($C$33="Non",$C$21="Ø1000"),INDEX(D1000FS_Inter1200_2,_xlfn.AGGREGATE(15,6,IF(PlageFonds1000Standards=$C$63,ROW(D1000plage),NA()),$C$62)-ROW(D1000Entete)),"")))</f>
        <v>#NUM!</v>
      </c>
      <c r="D75" s="83" t="e">
        <f t="shared" si="1"/>
        <v>#NUM!</v>
      </c>
      <c r="E75" s="33"/>
      <c r="F75" s="31"/>
      <c r="G75" s="33"/>
      <c r="H75" s="33"/>
      <c r="I75" s="32"/>
      <c r="J75" s="24"/>
      <c r="K75" s="78"/>
      <c r="L75" s="77"/>
    </row>
    <row r="76" spans="1:12" ht="14.4" customHeight="1" x14ac:dyDescent="0.3">
      <c r="A76" s="24"/>
      <c r="B76" s="79" t="s">
        <v>3</v>
      </c>
      <c r="C76" s="90" t="e">
        <f t="array" ref="C76">IF(AND($C$33="Oui",$C$21="Ø800"),INDEX(D800FP_Dalles180,_xlfn.AGGREGATE(15,6,IF(PlageFonds800Plats=$C$63,ROW(D800plage),NA()),$C$62)-ROW(D800Entete)),IF(AND($C$33="Non",$C$21="Ø800"),INDEX(D800FS_Dalles180,_xlfn.AGGREGATE(15,6,IF(PlageFonds800Standards=$C$63,ROW(D800plage),NA()),$C$62)-ROW(D800Entete)),IF(AND($C$33="Oui",$C$21="Ø1000"),INDEX(D1000FP_Dalles180,_xlfn.AGGREGATE(15,6,IF(PlageFonds1000Plats=$C$63,ROW(D1000plage),NA()),$C$62)-ROW(D1000Entete)),IF(AND($C$33="Non",$C$21="Ø1000"),INDEX(D1000FS_Dalles180,_xlfn.AGGREGATE(15,6,IF(PlageFonds1000Standards=$C$63,ROW(D1000plage),NA()),$C$62)-ROW(D1000Entete)),IF(AND($C$34="Oui",$C$21="Ø1000"),INDEX(D1000FC_Dalles180,_xlfn.AGGREGATE(15,6,IF(PlageFonds1000Courts=$C$63,ROW(D1000plage),NA()),$C$62)-ROW(D1000Entete)),"")))))</f>
        <v>#NUM!</v>
      </c>
      <c r="D76" s="83" t="e">
        <f t="shared" si="1"/>
        <v>#NUM!</v>
      </c>
      <c r="E76" s="33"/>
      <c r="F76" s="31"/>
      <c r="G76" s="33"/>
      <c r="H76" s="33"/>
      <c r="I76" s="32"/>
      <c r="J76" s="24"/>
      <c r="K76" s="78"/>
      <c r="L76" s="77"/>
    </row>
    <row r="77" spans="1:12" ht="14.4" customHeight="1" x14ac:dyDescent="0.3">
      <c r="A77" s="24"/>
      <c r="B77" s="79" t="s">
        <v>4</v>
      </c>
      <c r="C77" s="90" t="e">
        <f t="array" ref="C77">IF(AND($C$33="Oui",$C$21="Ø800"),INDEX(D800FP_Dalles300,_xlfn.AGGREGATE(15,6,IF(PlageFonds800Plats=$C$63,ROW(D800plage),NA()),$C$62)-ROW(D800Entete)),IF(AND($C$33="Non",$C$21="Ø800"),INDEX(D800FS_Dalles300,_xlfn.AGGREGATE(15,6,IF(PlageFonds800Standards=$C$63,ROW(D800plage),NA()),$C$62)-ROW(D800Entete)),IF(AND($C$33="Oui",$C$21="Ø1000"),INDEX(D1000FP_Dalles300,_xlfn.AGGREGATE(15,6,IF(PlageFonds1000Plats=$C$63,ROW(D1000plage),NA()),$C$62)-ROW(D1000Entete)),IF(AND($C$33="Non",$C$21="Ø1000"),INDEX(D1000FS_Dalles300,_xlfn.AGGREGATE(15,6,IF(PlageFonds1000Standards=$C$63,ROW(D1000plage),NA()),$C$62)-ROW(D1000Entete)),IF(AND($C$34="Oui",$C$21="Ø1000"),INDEX(D1000FC_Dalles300,_xlfn.AGGREGATE(15,6,IF(PlageFonds1000Courts=$C$63,ROW(D1000plage),NA()),$C$62)-ROW(D1000Entete)),"")))))</f>
        <v>#NUM!</v>
      </c>
      <c r="D77" s="83" t="e">
        <f t="shared" si="1"/>
        <v>#NUM!</v>
      </c>
      <c r="E77" s="33"/>
      <c r="F77" s="31"/>
      <c r="G77" s="33"/>
      <c r="H77" s="33"/>
      <c r="I77" s="32"/>
      <c r="J77" s="24"/>
      <c r="K77" s="78"/>
      <c r="L77" s="77"/>
    </row>
    <row r="78" spans="1:12" ht="14.4" customHeight="1" x14ac:dyDescent="0.3">
      <c r="A78" s="24"/>
      <c r="B78" s="79" t="s">
        <v>5</v>
      </c>
      <c r="C78" s="90" t="e">
        <f t="array" ref="C78">IF(AND($C$33="Oui",$C$21="Ø800"),INDEX(D800FP_Tetes450,_xlfn.AGGREGATE(15,6,IF(PlageFonds800Plats=$C$63,ROW(D800plage),NA()),$C$62)-ROW(D800Entete)),IF(AND($C$33="Non",$C$21="Ø800"),INDEX(D800FS_Tetes450,_xlfn.AGGREGATE(15,6,IF(PlageFonds800Standards=$C$63,ROW(D800plage),NA()),$C$62)-ROW(D800Entete)),IF(AND($C$34="Oui",$C$21="Ø1000"),INDEX(D1000FC_Tetes450,_xlfn.AGGREGATE(15,6,IF(PlageFonds1000Courts=$C$63,ROW(D1000plage),NA()),$C$62)-ROW(D1000Entete)),IF(AND($C$33="Oui",$C$21="Ø1000"),INDEX(D1000FP_Tetes450,_xlfn.AGGREGATE(15,6,IF(PlageFonds1000Plats=$C$63,ROW(D1000plage),NA()),$C$62)-ROW(D1000Entete)),IF(AND($C$33="Non",$C$21="Ø1000"),INDEX(D1000FS_Tetes450,_xlfn.AGGREGATE(15,6,IF(PlageFonds1000Standards=$C$63,ROW(D1000plage),NA()),$C$62)-ROW(D1000Entete)),"")))))</f>
        <v>#NUM!</v>
      </c>
      <c r="D78" s="83" t="e">
        <f t="shared" si="1"/>
        <v>#NUM!</v>
      </c>
      <c r="E78" s="33"/>
      <c r="F78" s="31"/>
      <c r="G78" s="33"/>
      <c r="H78" s="33"/>
      <c r="I78" s="32"/>
      <c r="J78" s="24"/>
      <c r="K78" s="78"/>
      <c r="L78" s="77"/>
    </row>
    <row r="79" spans="1:12" ht="14.4" customHeight="1" x14ac:dyDescent="0.3">
      <c r="A79" s="24"/>
      <c r="B79" s="79" t="s">
        <v>6</v>
      </c>
      <c r="C79" s="90" t="e">
        <f t="array" ref="C79">IF(AND($C$33="Oui",$C$21="Ø800"),INDEX(D800FP_Tetes600,_xlfn.AGGREGATE(15,6,IF(PlageFonds800Plats=$C$63,ROW(D800plage),NA()),$C$62)-ROW(D800Entete)),IF(AND($C$33="Non",$C$21="Ø800"),INDEX(D800FS_Tetes600,_xlfn.AGGREGATE(15,6,IF(PlageFonds800Standards=$C$63,ROW(D800plage),NA()),$C$62)-ROW(D800Entete)),IF(AND($C$34="Oui",$C$21="Ø1000"),INDEX(D1000FC_Tetes600,_xlfn.AGGREGATE(15,6,IF(PlageFonds1000Courts=$C$63,ROW(D1000plage),NA()),$C$62)-ROW(D1000Entete)),IF(AND($C$33="Oui",$C$21="Ø1000"),INDEX(D1000FP_Tetes600,_xlfn.AGGREGATE(15,6,IF(PlageFonds1000Plats=$C$63,ROW(D1000plage),NA()),$C$62)-ROW(D1000Entete)),IF(AND($C$33="Non",$C$21="Ø1000"),INDEX(D1000FS_Tetes600,_xlfn.AGGREGATE(15,6,IF(PlageFonds1000Standards=$C$63,ROW(D1000plage),NA()),$C$62)-ROW(D1000Entete)),"")))))</f>
        <v>#NUM!</v>
      </c>
      <c r="D79" s="83" t="e">
        <f t="shared" si="1"/>
        <v>#NUM!</v>
      </c>
      <c r="E79" s="33"/>
      <c r="F79" s="31"/>
      <c r="G79" s="33"/>
      <c r="H79" s="94"/>
      <c r="I79" s="32"/>
      <c r="J79" s="24" t="e">
        <f t="array" ref="J79">IF(AND($C$33="Oui",$C$21="Ø800"),INDEX(D800FP_Tetes600,_xlfn.AGGREGATE(15,6,IF(PlageFonds800Plats=$C$63,ROW(D800plage),NA()),$C$62)-ROW(D800Entete)),IF(AND($C$33="Non",$C$21="Ø800"),INDEX(D800FS_Tetes600,_xlfn.AGGREGATE(15,6,IF(PlageFonds800Standards=$C$63,ROW(D800plage),NA()),$C$62)-ROW(D800Entete)),IF(AND($C$34="Oui",$C$21="Ø1000"),INDEX(D1000FC_Tetes600,_xlfn.AGGREGATE(15,6,IF(PlageFonds1000Courts=$C$63,ROW(D1000plage),NA()),$C$62)-ROW(D1000Entete)),IF(AND($C$33="Oui",$C$21="Ø1000"),INDEX(D1000FP_Tetes600,_xlfn.AGGREGATE(15,6,IF(PlageFonds1000Plats=$C$63,ROW(D1000plage),NA()),$C$62)-ROW(D1000Entete)),IF(AND($C$33="Non",$C$21="Ø1000"),INDEX(D1000FS_Tetes600,_xlfn.AGGREGATE(15,6,IF(PlageFonds1000Standards=$C$63,ROW(D1000plage),NA()),$C$62)-ROW(D1000Entete)),"")))))</f>
        <v>#NUM!</v>
      </c>
      <c r="K79" s="78"/>
      <c r="L79" s="77"/>
    </row>
    <row r="80" spans="1:12" x14ac:dyDescent="0.3">
      <c r="A80" s="24"/>
      <c r="B80" s="79" t="s">
        <v>7</v>
      </c>
      <c r="C80" s="90" t="e">
        <f t="array" ref="C80">IF(AND($C$33="Oui",$C$21="Ø800"),INDEX(D800FP_Tetes750,_xlfn.AGGREGATE(15,6,IF(PlageFonds800Plats=$C$63,ROW(D800plage),NA()),$C$62)-ROW(D800Entete)),IF(AND($C$33="Non",$C$21="Ø800"),INDEX(D800FS_Tetes750,_xlfn.AGGREGATE(15,6,IF(PlageFonds800Standards=$C$63,ROW(D800plage),NA()),$C$62)-ROW(D800Entete)),IF(AND($C$34="Oui",$C$21="Ø1000"),INDEX(D1000FC_Tetes750,_xlfn.AGGREGATE(15,6,IF(PlageFonds1000Courts=$C$63,ROW(D1000plage),NA()),$C$62)-ROW(D1000Entete)),IF(AND($C$33="Oui",$C$21="Ø1000"),INDEX(D1000FP_Tetes750,_xlfn.AGGREGATE(15,6,IF(PlageFonds1000Plats=$C$63,ROW(D1000plage),NA()),$C$62)-ROW(D1000Entete)),IF(AND($C$33="Non",$C$21="Ø1000"),INDEX(D1000FS_Tetes750,_xlfn.AGGREGATE(15,6,IF(PlageFonds1000Standards=$C$63,ROW(D1000plage),NA()),$C$62)-ROW(D1000Entete)),"")))))</f>
        <v>#NUM!</v>
      </c>
      <c r="D80" s="83" t="e">
        <f t="shared" si="1"/>
        <v>#NUM!</v>
      </c>
      <c r="E80" s="33"/>
      <c r="F80" s="31"/>
      <c r="G80" s="33"/>
      <c r="H80" s="32"/>
      <c r="I80" s="32"/>
      <c r="J80" s="24"/>
      <c r="K80" s="78"/>
      <c r="L80" s="77"/>
    </row>
    <row r="81" spans="1:12" ht="14.4" customHeight="1" x14ac:dyDescent="0.3">
      <c r="A81" s="24"/>
      <c r="B81" s="79" t="s">
        <v>117</v>
      </c>
      <c r="C81" s="90" t="e">
        <f t="array" ref="C81">IF(AND($C$34="Oui",$C$21="Ø1000"),INDEX(D1000FC_Tetes900,_xlfn.AGGREGATE(15,6,IF(PlageFonds1000Courts=$C$63,ROW(D1000plage),NA()),$C$62)-ROW(D1000Entete)),IF(AND($C$33="Oui",$C$21="Ø1000"),INDEX(D1000FP_Tetes900,_xlfn.AGGREGATE(15,6,IF(PlageFonds1000Plats=$C$63,ROW(D1000plage),NA()),$C$62)-ROW(D1000Entete)),IF(AND($C$33="Non",$C$21="Ø1000"),INDEX(D1000FS_Tetes900,_xlfn.AGGREGATE(15,6,IF(PlageFonds1000Standards=$C$63,ROW(D1000plage),NA()),$C$62)-ROW(D1000Entete)),"")))</f>
        <v>#NUM!</v>
      </c>
      <c r="D81" s="83" t="e">
        <f t="shared" si="1"/>
        <v>#NUM!</v>
      </c>
      <c r="E81" s="33"/>
      <c r="F81" s="31"/>
      <c r="G81" s="33"/>
      <c r="H81" s="32"/>
      <c r="I81" s="32"/>
      <c r="J81" s="24"/>
      <c r="K81" s="78"/>
      <c r="L81" s="77"/>
    </row>
    <row r="82" spans="1:12" ht="14.4" customHeight="1" x14ac:dyDescent="0.3">
      <c r="A82" s="24"/>
      <c r="B82" s="79" t="s">
        <v>118</v>
      </c>
      <c r="C82" s="90" t="e">
        <f t="array" ref="C82">IF(AND($C$34="Oui",$C$21="Ø1000"),INDEX(D1000FC_Tetes1050,_xlfn.AGGREGATE(15,6,IF(PlageFonds1000Courts=$C$63,ROW(D1000plage),NA()),$C$62)-ROW(D1000Entete)),IF(AND($C$33="Oui",$C$21="Ø1000"),INDEX(D1000FP_Tetes1050,_xlfn.AGGREGATE(15,6,IF(PlageFonds1000Plats=$C$63,ROW(D1000plage),NA()),$C$62)-ROW(D1000Entete)),IF(AND($C$33="Non",$C$21="Ø1000"),INDEX(D1000FS_Tetes1050,_xlfn.AGGREGATE(15,6,IF(PlageFonds1000Standards=$C$63,ROW(D1000plage),NA()),$C$62)-ROW(D1000Entete)),"")))</f>
        <v>#NUM!</v>
      </c>
      <c r="D82" s="83" t="e">
        <f t="shared" si="1"/>
        <v>#NUM!</v>
      </c>
      <c r="E82" s="33"/>
      <c r="F82" s="31"/>
      <c r="G82" s="33"/>
      <c r="H82" s="32"/>
      <c r="I82" s="32"/>
      <c r="J82" s="24"/>
      <c r="K82" s="78"/>
      <c r="L82" s="77"/>
    </row>
    <row r="83" spans="1:12" ht="14.4" customHeight="1" x14ac:dyDescent="0.3">
      <c r="A83" s="24"/>
      <c r="B83" s="79" t="s">
        <v>119</v>
      </c>
      <c r="C83" s="90" t="e">
        <f t="array" ref="C83">IF(AND($C$34="Oui",$C$21="Ø1000"),INDEX(D1000FC_Tetes1200,_xlfn.AGGREGATE(15,6,IF(PlageFonds1000Courts=$C$63,ROW(D1000plage),NA()),$C$62)-ROW(D1000Entete)),IF(AND($C$33="Oui",$C$21="Ø1000"),INDEX(D1000FP_Tetes1200,_xlfn.AGGREGATE(15,6,IF(PlageFonds1000Plats=$C$63,ROW(D1000plage),NA()),$C$62)-ROW(D1000Entete)),IF(AND($C$33="Non",$C$21="Ø1000"),INDEX(D1000FS_Tetes1200,_xlfn.AGGREGATE(15,6,IF(PlageFonds1000Standards=$C$63,ROW(D1000plage),NA()),$C$62)-ROW(D1000Entete)),"")))</f>
        <v>#NUM!</v>
      </c>
      <c r="D83" s="83" t="e">
        <f t="shared" si="1"/>
        <v>#NUM!</v>
      </c>
      <c r="E83" s="33"/>
      <c r="F83" s="31"/>
      <c r="G83" s="33"/>
      <c r="H83" s="32"/>
      <c r="I83" s="32"/>
      <c r="J83" s="24"/>
      <c r="K83" s="78"/>
      <c r="L83" s="77"/>
    </row>
    <row r="84" spans="1:12" ht="14.4" customHeight="1" x14ac:dyDescent="0.3">
      <c r="A84" s="24"/>
      <c r="B84" s="15" t="s">
        <v>21</v>
      </c>
      <c r="C84" s="90" t="str">
        <f t="array" ref="C84">IF(AND($C$33="Oui",$C$21="Ø800"),INDEX(D800FP_Rehausses100,_xlfn.AGGREGATE(15,6,IF(PlageFonds800Plats=$C$63,ROW(D800plage),NA()),$C$62)-ROW(D800Entete)),IF(AND($C$33="Non",$C$21="Ø800"),INDEX(D800FS_Rehausses100,_xlfn.AGGREGATE(15,6,IF(PlageFonds800Standards=$C$63,ROW(D800plage),NA()),$C$62)-ROW(D800Entete)),""))</f>
        <v/>
      </c>
      <c r="D84" s="83" t="str">
        <f t="shared" si="1"/>
        <v/>
      </c>
      <c r="E84" s="33"/>
      <c r="F84" s="31"/>
      <c r="G84" s="33"/>
      <c r="H84" s="32"/>
      <c r="I84" s="32"/>
      <c r="J84" s="24"/>
      <c r="K84" s="78"/>
      <c r="L84" s="77"/>
    </row>
    <row r="85" spans="1:12" ht="14.4" customHeight="1" x14ac:dyDescent="0.3">
      <c r="A85" s="24"/>
      <c r="B85" s="80" t="s">
        <v>22</v>
      </c>
      <c r="C85" s="90" t="str">
        <f t="array" ref="C85">IF(AND($C$33="Oui",$C$21="Ø800"),INDEX(D800FP_Rehausses150,_xlfn.AGGREGATE(15,6,IF(PlageFonds800Plats=$C$63,ROW(D800plage),NA()),$C$62)-ROW(D800Entete)),IF(AND($C$33="Non",$C$21="Ø800"),INDEX(D800FS_Rehausses150,_xlfn.AGGREGATE(15,6,IF(PlageFonds800Standards=$C$63,ROW(D800plage),NA()),$C$62)-ROW(D800Entete)),""))</f>
        <v/>
      </c>
      <c r="D85" s="83" t="str">
        <f t="shared" si="1"/>
        <v/>
      </c>
      <c r="E85" s="33"/>
      <c r="F85" s="31"/>
      <c r="G85" s="33"/>
      <c r="H85" s="32"/>
      <c r="I85" s="32"/>
      <c r="J85" s="24"/>
      <c r="K85" s="78"/>
      <c r="L85" s="77"/>
    </row>
    <row r="86" spans="1:12" ht="15" thickBot="1" x14ac:dyDescent="0.35">
      <c r="A86" s="24"/>
      <c r="B86" s="16" t="s">
        <v>18</v>
      </c>
      <c r="C86" s="82">
        <f>(C32*1000-C63)</f>
        <v>19.999999999988631</v>
      </c>
      <c r="D86" s="85" t="e">
        <f>IF(D63="Quantité",1,"")</f>
        <v>#NUM!</v>
      </c>
      <c r="E86" s="31"/>
      <c r="F86" s="31"/>
      <c r="G86" s="33"/>
      <c r="H86" s="32"/>
      <c r="I86" s="32"/>
      <c r="J86" s="24"/>
      <c r="K86" s="78"/>
      <c r="L86" s="77"/>
    </row>
    <row r="87" spans="1:12" ht="15" thickBot="1" x14ac:dyDescent="0.35">
      <c r="A87" s="24"/>
      <c r="B87" s="31"/>
      <c r="C87" s="39">
        <v>3</v>
      </c>
      <c r="D87" s="39" t="s">
        <v>104</v>
      </c>
      <c r="E87" s="31"/>
      <c r="F87" s="31"/>
      <c r="G87" s="33"/>
      <c r="H87" s="32"/>
      <c r="I87" s="32"/>
      <c r="J87" s="24"/>
      <c r="K87" s="78"/>
      <c r="L87" s="77"/>
    </row>
    <row r="88" spans="1:12" ht="14.4" customHeight="1" x14ac:dyDescent="0.3">
      <c r="A88" s="24"/>
      <c r="B88" s="22" t="s">
        <v>30</v>
      </c>
      <c r="C88" s="19">
        <f>G31</f>
        <v>1080</v>
      </c>
      <c r="D88" s="84" t="e">
        <f>IF(OR(D89&lt;&gt;"",D90&lt;&gt;"",D91&lt;&gt;""),"Quantité","")</f>
        <v>#NUM!</v>
      </c>
      <c r="E88" s="31"/>
      <c r="F88" s="31"/>
      <c r="G88" s="33"/>
      <c r="H88" s="32"/>
      <c r="I88" s="32"/>
      <c r="J88" s="24"/>
      <c r="K88" s="78"/>
      <c r="L88" s="77"/>
    </row>
    <row r="89" spans="1:12" ht="14.4" customHeight="1" x14ac:dyDescent="0.3">
      <c r="A89" s="24"/>
      <c r="B89" s="5" t="s">
        <v>123</v>
      </c>
      <c r="C89" s="90" t="e">
        <f t="array" ref="C89">IF(AND($C$21="Ø1000",$C$34="Oui"),INDEX(D1000FC_FC,_xlfn.AGGREGATE(15,6,IF(PlageFonds1000Courts=$C$88,ROW(D1000plage),NA()),$C$87)-ROW(D1000Entete)),"")</f>
        <v>#NUM!</v>
      </c>
      <c r="D89" s="83" t="e">
        <f>IF(OR(C89=0,C89=""),"",1)</f>
        <v>#NUM!</v>
      </c>
      <c r="E89" s="33"/>
      <c r="F89" s="31"/>
      <c r="G89" s="33"/>
      <c r="H89" s="32"/>
      <c r="I89" s="32"/>
      <c r="J89" s="24"/>
      <c r="K89" s="78"/>
      <c r="L89" s="77"/>
    </row>
    <row r="90" spans="1:12" ht="14.4" customHeight="1" x14ac:dyDescent="0.3">
      <c r="A90" s="24"/>
      <c r="B90" s="5" t="s">
        <v>102</v>
      </c>
      <c r="C90" s="90" t="str">
        <f t="array" ref="C90">IF(AND($C$33="Oui",$C$21="Ø800"),INDEX(D800FP_FP,_xlfn.AGGREGATE(15,6,IF(PlageFonds800Plats=$C$88,ROW(D800plage),NA()),$C$87)-ROW(D800Entete)),IF(AND($C$33="Oui",$C$21="Ø1000"),INDEX(D1000FP_FP,_xlfn.AGGREGATE(15,6,IF(PlageFonds1000Plats=$C$88,ROW(D1000plage),NA()),$C$87)-ROW(D1000Entete)),""))</f>
        <v/>
      </c>
      <c r="D90" s="83" t="str">
        <f t="shared" ref="D90:D110" si="2">IF(OR(C90=0,C90=""),"",1)</f>
        <v/>
      </c>
      <c r="E90" s="33"/>
      <c r="F90" s="31"/>
      <c r="G90" s="33"/>
      <c r="H90" s="95"/>
      <c r="I90" s="32"/>
      <c r="J90" s="24"/>
      <c r="K90" s="78"/>
      <c r="L90" s="77"/>
    </row>
    <row r="91" spans="1:12" ht="14.4" customHeight="1" x14ac:dyDescent="0.3">
      <c r="A91" s="24"/>
      <c r="B91" s="5" t="s">
        <v>103</v>
      </c>
      <c r="C91" s="90" t="str">
        <f t="array" ref="C91">IF(AND($C$33="Non",$C$21="Ø800"),INDEX(D800FS_FS,_xlfn.AGGREGATE(15,6,IF(PlageFonds800Standards=$C$88,ROW(D800plage),NA()),$C$87)-ROW(D800Entete)),IF(AND($C$33="Non",$C$34="Non",$C$21="Ø1000"),INDEX(D1000FS_FS,_xlfn.AGGREGATE(15,6,IF(PlageFonds1000Standards=$C$88,ROW(D1000plage),NA()),$C$87)-ROW(D1000Entete)),""))</f>
        <v/>
      </c>
      <c r="D91" s="83" t="str">
        <f t="shared" si="2"/>
        <v/>
      </c>
      <c r="E91" s="33"/>
      <c r="F91" s="31"/>
      <c r="G91" s="33"/>
      <c r="H91" s="33"/>
      <c r="I91" s="32"/>
      <c r="J91" s="24"/>
      <c r="K91" s="78"/>
      <c r="L91" s="77"/>
    </row>
    <row r="92" spans="1:12" ht="14.4" customHeight="1" x14ac:dyDescent="0.3">
      <c r="A92" s="24"/>
      <c r="B92" s="5" t="s">
        <v>105</v>
      </c>
      <c r="C92" s="90" t="str">
        <f t="array" ref="C92">IF(AND($C$33="Oui",$C$21="Ø800"),INDEX(D800FP_Inter750_1,_xlfn.AGGREGATE(15,6,IF(PlageFonds800Plats=$C$88,ROW(D800plage),NA()),$C$87)-ROW(D800Entete)),IF(AND($C$33="Non",$C$21="Ø800"),INDEX(D800FS_Inter750_1,_xlfn.AGGREGATE(15,6,IF(PlageFonds800Standards=$C$88,ROW(D800plage),NA()),$C$87)-ROW(D800Entete)),""))</f>
        <v/>
      </c>
      <c r="D92" s="83" t="str">
        <f t="shared" si="2"/>
        <v/>
      </c>
      <c r="E92" s="33"/>
      <c r="F92" s="31"/>
      <c r="G92" s="33"/>
      <c r="H92" s="33"/>
      <c r="I92" s="32"/>
      <c r="J92" s="24"/>
      <c r="K92" s="78"/>
      <c r="L92" s="77"/>
    </row>
    <row r="93" spans="1:12" ht="14.4" customHeight="1" x14ac:dyDescent="0.3">
      <c r="A93" s="24"/>
      <c r="B93" s="5" t="s">
        <v>106</v>
      </c>
      <c r="C93" s="90" t="str">
        <f t="array" ref="C93">IF(AND($C$33="Oui",$C$21="Ø800"),INDEX(D800FP_Inter750_2,_xlfn.AGGREGATE(15,6,IF(PlageFonds800Plats=$C$88,ROW(D800plage),NA()),$C$87)-ROW(D800Entete)),IF(AND($C$33="Non",$C$21="Ø800"),INDEX(D800FS_Inter750_2,_xlfn.AGGREGATE(15,6,IF(PlageFonds800Standards=$C$88,ROW(D800plage),NA()),$C$87)-ROW(D800Entete)),""))</f>
        <v/>
      </c>
      <c r="D93" s="83" t="str">
        <f t="shared" si="2"/>
        <v/>
      </c>
      <c r="E93" s="33"/>
      <c r="F93" s="31"/>
      <c r="G93" s="33"/>
      <c r="H93" s="94"/>
      <c r="I93" s="32"/>
      <c r="J93" s="24"/>
      <c r="K93" s="78"/>
      <c r="L93" s="77"/>
    </row>
    <row r="94" spans="1:12" ht="14.4" customHeight="1" x14ac:dyDescent="0.3">
      <c r="A94" s="24"/>
      <c r="B94" s="5" t="s">
        <v>107</v>
      </c>
      <c r="C94" s="90" t="str">
        <f t="array" ref="C94">IF(AND($C$33="Oui",$C$21="Ø800"),INDEX(D800FP_Inter1050_1,_xlfn.AGGREGATE(15,6,IF(PlageFonds800Plats=$C$88,ROW(D800plage),NA()),$C$87)-ROW(D800Entete)),IF(AND($C$33="Non",$C$21="Ø800"),INDEX(D800FS_Inter1050_1,_xlfn.AGGREGATE(15,6,IF(PlageFonds800Standards=$C$88,ROW(D800plage),NA()),$C$87)-ROW(D800Entete)),""))</f>
        <v/>
      </c>
      <c r="D94" s="83" t="str">
        <f t="shared" si="2"/>
        <v/>
      </c>
      <c r="E94" s="33"/>
      <c r="F94" s="31"/>
      <c r="G94" s="33"/>
      <c r="H94" s="33"/>
      <c r="I94" s="32"/>
      <c r="J94" s="24"/>
      <c r="K94" s="78"/>
      <c r="L94" s="77"/>
    </row>
    <row r="95" spans="1:12" ht="14.4" customHeight="1" x14ac:dyDescent="0.3">
      <c r="A95" s="24"/>
      <c r="B95" s="5" t="s">
        <v>108</v>
      </c>
      <c r="C95" s="90" t="str">
        <f t="array" ref="C95">IF(AND($C$33="Oui",$C$21="Ø800"),INDEX(D800FP_Inter1050_2,_xlfn.AGGREGATE(15,6,IF(PlageFonds800Plats=$C$88,ROW(D800plage),NA()),$C$87)-ROW(D800Entete)),IF(AND($C$33="Non",$C$21="Ø800"),INDEX(D800FS_Inter1050_2,_xlfn.AGGREGATE(15,6,IF(PlageFonds800Standards=$C$88,ROW(D800plage),NA()),$C$87)-ROW(D800Entete)),""))</f>
        <v/>
      </c>
      <c r="D95" s="83" t="str">
        <f t="shared" si="2"/>
        <v/>
      </c>
      <c r="E95" s="33"/>
      <c r="F95" s="31"/>
      <c r="G95" s="33"/>
      <c r="H95" s="33"/>
      <c r="I95" s="32"/>
      <c r="J95" s="24"/>
      <c r="K95" s="78"/>
      <c r="L95" s="77"/>
    </row>
    <row r="96" spans="1:12" ht="14.4" customHeight="1" x14ac:dyDescent="0.3">
      <c r="A96" s="24"/>
      <c r="B96" s="5" t="s">
        <v>125</v>
      </c>
      <c r="C96" s="90" t="e">
        <f t="array" ref="C96">IF(AND($C$34="Oui",$C$21="Ø1000"),INDEX(D1000FC_Inter900_1,_xlfn.AGGREGATE(15,6,IF(PlageFonds1000Courts=$C$88,ROW(D1000plage),NA()),$C$87)-ROW(D1000Entete)),IF(AND($C$33="Oui",$C$21="Ø1000"),INDEX(D1000FP_Inter900_1,_xlfn.AGGREGATE(15,6,IF(PlageFonds1000Plats=$C$88,ROW(D1000plage),NA()),$C$87)-ROW(D1000Entete)),IF(AND($C$33="Non",$C$21="Ø1000"),INDEX(D1000FS_Inter900_1,_xlfn.AGGREGATE(15,6,IF(PlageFonds1000Standards=$C$88,ROW(D1000plage),NA()),$C$87)-ROW(D1000Entete)),"")))</f>
        <v>#NUM!</v>
      </c>
      <c r="D96" s="83" t="e">
        <f t="shared" si="2"/>
        <v>#NUM!</v>
      </c>
      <c r="E96" s="33"/>
      <c r="F96" s="31"/>
      <c r="G96" s="33"/>
      <c r="H96" s="33"/>
      <c r="I96" s="32"/>
      <c r="J96" s="24"/>
      <c r="K96" s="78"/>
      <c r="L96" s="77"/>
    </row>
    <row r="97" spans="1:12" ht="14.4" customHeight="1" x14ac:dyDescent="0.3">
      <c r="A97" s="24"/>
      <c r="B97" s="5" t="s">
        <v>126</v>
      </c>
      <c r="C97" s="90" t="e">
        <f t="array" ref="C97">IF(AND($C$34="Oui",$C$21="Ø1000"),INDEX(D1000FC_Inter900_2,_xlfn.AGGREGATE(15,6,IF(PlageFonds1000Courts=$C$88,ROW(D1000plage),NA()),$C$87)-ROW(D1000Entete)),IF(AND($C$33="Oui",$C$21="Ø1000"),INDEX(D1000FP_Inter900_2,_xlfn.AGGREGATE(15,6,IF(PlageFonds1000Plats=$C$88,ROW(D1000plage),NA()),$C$87)-ROW(D1000Entete)),IF(AND($C$33="Non",$C$21="Ø1000"),INDEX(D1000FS_Inter900_2,_xlfn.AGGREGATE(15,6,IF(PlageFonds1000Standards=$C$88,ROW(D1000plage),NA()),$C$87)-ROW(D1000Entete)),"")))</f>
        <v>#NUM!</v>
      </c>
      <c r="D97" s="83" t="e">
        <f t="shared" si="2"/>
        <v>#NUM!</v>
      </c>
      <c r="E97" s="33"/>
      <c r="F97" s="31"/>
      <c r="G97" s="33"/>
      <c r="H97" s="33"/>
      <c r="I97" s="32"/>
      <c r="J97" s="24"/>
      <c r="K97" s="78"/>
      <c r="L97" s="77"/>
    </row>
    <row r="98" spans="1:12" ht="14.4" customHeight="1" x14ac:dyDescent="0.3">
      <c r="A98" s="24"/>
      <c r="B98" s="5" t="s">
        <v>127</v>
      </c>
      <c r="C98" s="90" t="e">
        <f t="array" ref="C98">IF(AND($C$34="Oui",$C$21="Ø1000"),INDEX(D1000FC_Inter900_3,_xlfn.AGGREGATE(15,6,IF(PlageFonds1000Courts=$C$88,ROW(D1000plage),NA()),$C$87)-ROW(D1000Entete)),IF(AND($C$33="Oui",$C$21="Ø1000"),INDEX(D1000FP_Inter900_3,_xlfn.AGGREGATE(15,6,IF(PlageFonds1000Plats=$C$88,ROW(D1000plage),NA()),$C$87)-ROW(D1000Entete)),IF(AND($C$33="Non",$C$21="Ø1000"),INDEX(D1000FS_Inter900_3,_xlfn.AGGREGATE(15,6,IF(PlageFonds1000Standards=$C$88,ROW(D1000plage),NA()),$C$87)-ROW(D1000Entete)),"")))</f>
        <v>#NUM!</v>
      </c>
      <c r="D98" s="83" t="e">
        <f t="shared" si="2"/>
        <v>#NUM!</v>
      </c>
      <c r="E98" s="33"/>
      <c r="F98" s="31"/>
      <c r="G98" s="33"/>
      <c r="H98" s="94"/>
      <c r="I98" s="32"/>
      <c r="J98" s="24"/>
      <c r="K98" s="78"/>
      <c r="L98" s="77"/>
    </row>
    <row r="99" spans="1:12" ht="14.4" customHeight="1" x14ac:dyDescent="0.3">
      <c r="A99" s="24"/>
      <c r="B99" s="5" t="s">
        <v>128</v>
      </c>
      <c r="C99" s="90" t="e">
        <f t="array" ref="C99">IF(AND($C$34="Oui",$C$21="Ø1000"),INDEX(D1000FC_Inter1200_1,_xlfn.AGGREGATE(15,6,IF(PlageFonds1000Courts=$C$88,ROW(D1000plage),NA()),$C$87)-ROW(D1000Entete)),IF(AND($C$33="Oui",$C$21="Ø1000"),INDEX(D1000FP_Inter1200_1,_xlfn.AGGREGATE(15,6,IF(PlageFonds1000Plats=$C$88,ROW(D1000plage),NA()),$C$87)-ROW(D1000Entete)),IF(AND($C$33="Non",$C$21="Ø1000"),INDEX(D1000FS_Inter1200_1,_xlfn.AGGREGATE(15,6,IF(PlageFonds1000Standards=$C$88,ROW(D1000plage),NA()),$C$87)-ROW(D1000Entete)),"")))</f>
        <v>#NUM!</v>
      </c>
      <c r="D99" s="83" t="e">
        <f t="shared" si="2"/>
        <v>#NUM!</v>
      </c>
      <c r="E99" s="33"/>
      <c r="F99" s="31"/>
      <c r="G99" s="33"/>
      <c r="H99" s="33"/>
      <c r="I99" s="32"/>
      <c r="J99" s="24"/>
      <c r="K99" s="78"/>
      <c r="L99" s="77"/>
    </row>
    <row r="100" spans="1:12" ht="14.4" customHeight="1" x14ac:dyDescent="0.3">
      <c r="A100" s="24"/>
      <c r="B100" s="5" t="s">
        <v>129</v>
      </c>
      <c r="C100" s="90" t="e">
        <f t="array" ref="C100">IF(AND($C$34="Oui",$C$21="Ø1000"),INDEX(D1000FC_Inter1200_2,_xlfn.AGGREGATE(15,6,IF(PlageFonds1000Courts=$C$88,ROW(D1000plage),NA()),$C$87)-ROW(D1000Entete)),IF(AND($C$33="Oui",$C$21="Ø1000"),INDEX(D1000FP_Inter1200_2,_xlfn.AGGREGATE(15,6,IF(PlageFonds1000Plats=$C$88,ROW(D1000plage),NA()),$C$87)-ROW(D1000Entete)),IF(AND($C$33="Non",$C$21="Ø1000"),INDEX(D1000FS_Inter1200_2,_xlfn.AGGREGATE(15,6,IF(PlageFonds1000Standards=$C$88,ROW(D1000plage),NA()),$C$87)-ROW(D1000Entete)),"")))</f>
        <v>#NUM!</v>
      </c>
      <c r="D100" s="83" t="e">
        <f t="shared" si="2"/>
        <v>#NUM!</v>
      </c>
      <c r="E100" s="33"/>
      <c r="F100" s="31"/>
      <c r="G100" s="33"/>
      <c r="H100" s="33"/>
      <c r="I100" s="32"/>
      <c r="J100" s="24"/>
      <c r="K100" s="78"/>
      <c r="L100" s="77"/>
    </row>
    <row r="101" spans="1:12" ht="14.4" customHeight="1" x14ac:dyDescent="0.3">
      <c r="A101" s="24"/>
      <c r="B101" s="79" t="s">
        <v>3</v>
      </c>
      <c r="C101" s="90" t="e">
        <f t="array" ref="C101">IF(AND($C$33="Oui",$C$21="Ø800"),INDEX(D800FP_Dalles180,_xlfn.AGGREGATE(15,6,IF(PlageFonds800Plats=$C$88,ROW(D800plage),NA()),$C$87)-ROW(D800Entete)),IF(AND($C$33="Non",$C$21="Ø800"),INDEX(D800FS_Dalles180,_xlfn.AGGREGATE(15,6,IF(PlageFonds800Standards=$C$88,ROW(D800plage),NA()),$C$87)-ROW(D800Entete)),IF(AND($C$33="Oui",$C$21="Ø1000"),INDEX(D1000FP_Dalles180,_xlfn.AGGREGATE(15,6,IF(PlageFonds1000Plats=$C$88,ROW(D1000plage),NA()),$C$87)-ROW(D1000Entete)),IF(AND($C$33="Non",$C$21="Ø1000"),INDEX(D1000FS_Dalles180,_xlfn.AGGREGATE(15,6,IF(PlageFonds1000Standards=$C$88,ROW(D1000plage),NA()),$C$87)-ROW(D1000Entete)),IF(AND($C$34="Oui",$C$21="Ø1000"),INDEX(D1000FC_Dalles180,_xlfn.AGGREGATE(15,6,IF(PlageFonds1000Courts=$C$88,ROW(D1000plage),NA()),$C$87)-ROW(D1000Entete)),"")))))</f>
        <v>#NUM!</v>
      </c>
      <c r="D101" s="83" t="e">
        <f t="shared" si="2"/>
        <v>#NUM!</v>
      </c>
      <c r="E101" s="33"/>
      <c r="F101" s="31"/>
      <c r="G101" s="33"/>
      <c r="H101" s="33"/>
      <c r="I101" s="32"/>
      <c r="J101" s="24"/>
      <c r="K101" s="78"/>
      <c r="L101" s="77"/>
    </row>
    <row r="102" spans="1:12" ht="14.4" customHeight="1" x14ac:dyDescent="0.3">
      <c r="A102" s="24"/>
      <c r="B102" s="79" t="s">
        <v>4</v>
      </c>
      <c r="C102" s="90" t="e">
        <f t="array" ref="C102">IF(AND($C$33="Oui",$C$21="Ø800"),INDEX(D800FP_Dalles300,_xlfn.AGGREGATE(15,6,IF(PlageFonds800Plats=$C$88,ROW(D800plage),NA()),$C$87)-ROW(D800Entete)),IF(AND($C$33="Non",$C$21="Ø800"),INDEX(D800FS_Dalles300,_xlfn.AGGREGATE(15,6,IF(PlageFonds800Standards=$C$88,ROW(D800plage),NA()),$C$87)-ROW(D800Entete)),IF(AND($C$33="Oui",$C$21="Ø1000"),INDEX(D1000FP_Dalles300,_xlfn.AGGREGATE(15,6,IF(PlageFonds1000Plats=$C$88,ROW(D1000plage),NA()),$C$87)-ROW(D1000Entete)),IF(AND($C$33="Non",$C$21="Ø1000"),INDEX(D1000FS_Dalles300,_xlfn.AGGREGATE(15,6,IF(PlageFonds1000Standards=$C$88,ROW(D1000plage),NA()),$C$87)-ROW(D1000Entete)),IF(AND($C$34="Oui",$C$21="Ø1000"),INDEX(D1000FC_Dalles300,_xlfn.AGGREGATE(15,6,IF(PlageFonds1000Courts=$C$88,ROW(D1000plage),NA()),$C$87)-ROW(D1000Entete)),"")))))</f>
        <v>#NUM!</v>
      </c>
      <c r="D102" s="83" t="e">
        <f t="shared" si="2"/>
        <v>#NUM!</v>
      </c>
      <c r="E102" s="33"/>
      <c r="F102" s="31"/>
      <c r="G102" s="33"/>
      <c r="H102" s="33"/>
      <c r="I102" s="32"/>
      <c r="J102" s="24"/>
      <c r="K102" s="78"/>
      <c r="L102" s="77"/>
    </row>
    <row r="103" spans="1:12" ht="14.4" customHeight="1" x14ac:dyDescent="0.3">
      <c r="A103" s="24"/>
      <c r="B103" s="79" t="s">
        <v>5</v>
      </c>
      <c r="C103" s="90" t="e">
        <f t="array" ref="C103">IF(AND($C$33="Oui",$C$21="Ø800"),INDEX(D800FP_Tetes450,_xlfn.AGGREGATE(15,6,IF(PlageFonds800Plats=$C$88,ROW(D800plage),NA()),$C$87)-ROW(D800Entete)),IF(AND($C$33="Non",$C$21="Ø800"),INDEX(D800FS_Tetes450,_xlfn.AGGREGATE(15,6,IF(PlageFonds800Standards=$C$88,ROW(D800plage),NA()),$C$87)-ROW(D800Entete)),IF(AND($C$34="Oui",$C$21="Ø1000"),INDEX(D1000FC_Tetes450,_xlfn.AGGREGATE(15,6,IF(PlageFonds1000Courts=$C$88,ROW(D1000plage),NA()),$C$87)-ROW(D1000Entete)),IF(AND($C$33="Oui",$C$21="Ø1000"),INDEX(D1000FP_Tetes450,_xlfn.AGGREGATE(15,6,IF(PlageFonds1000Plats=$C$88,ROW(D1000plage),NA()),$C$87)-ROW(D1000Entete)),IF(AND($C$33="Non",$C$21="Ø1000"),INDEX(D1000FS_Tetes450,_xlfn.AGGREGATE(15,6,IF(PlageFonds1000Standards=$C$88,ROW(D1000plage),NA()),$C$87)-ROW(D1000Entete)),"")))))</f>
        <v>#NUM!</v>
      </c>
      <c r="D103" s="83" t="e">
        <f t="shared" si="2"/>
        <v>#NUM!</v>
      </c>
      <c r="E103" s="33"/>
      <c r="F103" s="31"/>
      <c r="G103" s="33"/>
      <c r="H103" s="33"/>
      <c r="I103" s="32"/>
      <c r="J103" s="24"/>
      <c r="K103" s="78"/>
      <c r="L103" s="77"/>
    </row>
    <row r="104" spans="1:12" ht="14.4" customHeight="1" x14ac:dyDescent="0.3">
      <c r="A104" s="24"/>
      <c r="B104" s="79" t="s">
        <v>6</v>
      </c>
      <c r="C104" s="90" t="e">
        <f t="array" ref="C104">IF(AND($C$33="Oui",$C$21="Ø800"),INDEX(D800FP_Tetes600,_xlfn.AGGREGATE(15,6,IF(PlageFonds800Plats=$C$88,ROW(D800plage),NA()),$C$87)-ROW(D800Entete)),IF(AND($C$33="Non",$C$21="Ø800"),INDEX(D800FS_Tetes600,_xlfn.AGGREGATE(15,6,IF(PlageFonds800Standards=$C$88,ROW(D800plage),NA()),$C$87)-ROW(D800Entete)),IF(AND($C$34="Oui",$C$21="Ø1000"),INDEX(D1000FC_Tetes600,_xlfn.AGGREGATE(15,6,IF(PlageFonds1000Courts=$C$88,ROW(D1000plage),NA()),$C$87)-ROW(D1000Entete)),IF(AND($C$33="Oui",$C$21="Ø1000"),INDEX(D1000FP_Tetes600,_xlfn.AGGREGATE(15,6,IF(PlageFonds1000Plats=$C$88,ROW(D1000plage),NA()),$C$87)-ROW(D1000Entete)),IF(AND($C$33="Non",$C$21="Ø1000"),INDEX(D1000FS_Tetes600,_xlfn.AGGREGATE(15,6,IF(PlageFonds1000Standards=$C$88,ROW(D1000plage),NA()),$C$87)-ROW(D1000Entete)),"")))))</f>
        <v>#NUM!</v>
      </c>
      <c r="D104" s="83" t="e">
        <f t="shared" si="2"/>
        <v>#NUM!</v>
      </c>
      <c r="E104" s="33"/>
      <c r="F104" s="31"/>
      <c r="G104" s="33"/>
      <c r="H104" s="94"/>
      <c r="I104" s="32"/>
      <c r="J104" s="24"/>
      <c r="K104" s="78"/>
      <c r="L104" s="77"/>
    </row>
    <row r="105" spans="1:12" ht="14.4" customHeight="1" x14ac:dyDescent="0.3">
      <c r="A105" s="24"/>
      <c r="B105" s="79" t="s">
        <v>7</v>
      </c>
      <c r="C105" s="90" t="e">
        <f t="array" ref="C105">IF(AND($C$33="Oui",$C$21="Ø800"),INDEX(D800FP_Tetes750,_xlfn.AGGREGATE(15,6,IF(PlageFonds800Plats=$C$88,ROW(D800plage),NA()),$C$87)-ROW(D800Entete)),IF(AND($C$33="Non",$C$21="Ø800"),INDEX(D800FS_Tetes750,_xlfn.AGGREGATE(15,6,IF(PlageFonds800Standards=$C$88,ROW(D800plage),NA()),$C$87)-ROW(D800Entete)),IF(AND($C$34="Oui",$C$21="Ø1000"),INDEX(D1000FC_Tetes750,_xlfn.AGGREGATE(15,6,IF(PlageFonds1000Courts=$C$88,ROW(D1000plage),NA()),$C$87)-ROW(D1000Entete)),IF(AND($C$33="Oui",$C$21="Ø1000"),INDEX(D1000FP_Tetes750,_xlfn.AGGREGATE(15,6,IF(PlageFonds1000Plats=$C$88,ROW(D1000plage),NA()),$C$87)-ROW(D1000Entete)),IF(AND($C$33="Non",$C$21="Ø1000"),INDEX(D1000FS_Tetes750,_xlfn.AGGREGATE(15,6,IF(PlageFonds1000Standards=$C$88,ROW(D1000plage),NA()),$C$87)-ROW(D1000Entete)),"")))))</f>
        <v>#NUM!</v>
      </c>
      <c r="D105" s="83" t="e">
        <f t="shared" si="2"/>
        <v>#NUM!</v>
      </c>
      <c r="E105" s="33"/>
      <c r="F105" s="31"/>
      <c r="G105" s="33"/>
      <c r="H105" s="32"/>
      <c r="I105" s="32"/>
      <c r="J105" s="24"/>
      <c r="K105" s="78"/>
      <c r="L105" s="77"/>
    </row>
    <row r="106" spans="1:12" ht="14.4" customHeight="1" x14ac:dyDescent="0.3">
      <c r="A106" s="24"/>
      <c r="B106" s="79" t="s">
        <v>117</v>
      </c>
      <c r="C106" s="90" t="e">
        <f t="array" ref="C106">IF(AND($C$34="Oui",$C$21="Ø1000"),INDEX(D1000FC_Tetes900,_xlfn.AGGREGATE(15,6,IF(PlageFonds1000Courts=$C$88,ROW(D1000plage),NA()),$C$87)-ROW(D1000Entete)),IF(AND($C$33="Oui",$C$21="Ø1000"),INDEX(D1000FP_Tetes900,_xlfn.AGGREGATE(15,6,IF(PlageFonds1000Plats=$C$88,ROW(D1000plage),NA()),$C$87)-ROW(D1000Entete)),IF(AND($C$33="Non",$C$21="Ø1000"),INDEX(D1000FS_Tetes900,_xlfn.AGGREGATE(15,6,IF(PlageFonds1000Standards=$C$88,ROW(D1000plage),NA()),$C$87)-ROW(D1000Entete)),"")))</f>
        <v>#NUM!</v>
      </c>
      <c r="D106" s="83" t="e">
        <f t="shared" si="2"/>
        <v>#NUM!</v>
      </c>
      <c r="E106" s="33"/>
      <c r="F106" s="31"/>
      <c r="G106" s="33"/>
      <c r="H106" s="32"/>
      <c r="I106" s="32"/>
      <c r="J106" s="24"/>
      <c r="K106" s="78"/>
      <c r="L106" s="77"/>
    </row>
    <row r="107" spans="1:12" ht="14.4" customHeight="1" x14ac:dyDescent="0.3">
      <c r="A107" s="24"/>
      <c r="B107" s="79" t="s">
        <v>118</v>
      </c>
      <c r="C107" s="90" t="e">
        <f t="array" ref="C107">IF(AND($C$34="Oui",$C$21="Ø1000"),INDEX(D1000FC_Tetes1050,_xlfn.AGGREGATE(15,6,IF(PlageFonds1000Courts=$C$88,ROW(D1000plage),NA()),$C$87)-ROW(D1000Entete)),IF(AND($C$33="Oui",$C$21="Ø1000"),INDEX(D1000FP_Tetes1050,_xlfn.AGGREGATE(15,6,IF(PlageFonds1000Plats=$C$88,ROW(D1000plage),NA()),$C$87)-ROW(D1000Entete)),IF(AND($C$33="Non",$C$21="Ø1000"),INDEX(D1000FS_Tetes1050,_xlfn.AGGREGATE(15,6,IF(PlageFonds1000Standards=$C$88,ROW(D1000plage),NA()),$C$87)-ROW(D1000Entete)),"")))</f>
        <v>#NUM!</v>
      </c>
      <c r="D107" s="83" t="e">
        <f t="shared" si="2"/>
        <v>#NUM!</v>
      </c>
      <c r="E107" s="33"/>
      <c r="F107" s="31"/>
      <c r="G107" s="33"/>
      <c r="H107" s="32"/>
      <c r="I107" s="32"/>
      <c r="J107" s="24"/>
      <c r="K107" s="78"/>
      <c r="L107" s="77"/>
    </row>
    <row r="108" spans="1:12" ht="14.4" customHeight="1" x14ac:dyDescent="0.3">
      <c r="A108" s="24"/>
      <c r="B108" s="79" t="s">
        <v>119</v>
      </c>
      <c r="C108" s="90" t="e">
        <f t="array" ref="C108">IF(AND($C$34="Oui",$C$21="Ø1000"),INDEX(D1000FC_Tetes1200,_xlfn.AGGREGATE(15,6,IF(PlageFonds1000Courts=$C$88,ROW(D1000plage),NA()),$C$87)-ROW(D1000Entete)),IF(AND($C$33="Oui",$C$21="Ø1000"),INDEX(D1000FP_Tetes1200,_xlfn.AGGREGATE(15,6,IF(PlageFonds1000Plats=$C$88,ROW(D1000plage),NA()),$C$87)-ROW(D1000Entete)),IF(AND($C$33="Non",$C$21="Ø1000"),INDEX(D1000FS_Tetes1200,_xlfn.AGGREGATE(15,6,IF(PlageFonds1000Standards=$C$88,ROW(D1000plage),NA()),$C$87)-ROW(D1000Entete)),"")))</f>
        <v>#NUM!</v>
      </c>
      <c r="D108" s="83" t="e">
        <f t="shared" si="2"/>
        <v>#NUM!</v>
      </c>
      <c r="E108" s="33"/>
      <c r="F108" s="31"/>
      <c r="G108" s="33"/>
      <c r="H108" s="32"/>
      <c r="I108" s="32"/>
      <c r="J108" s="24"/>
      <c r="K108" s="78"/>
      <c r="L108" s="77"/>
    </row>
    <row r="109" spans="1:12" ht="14.4" customHeight="1" x14ac:dyDescent="0.3">
      <c r="A109" s="24"/>
      <c r="B109" s="15" t="s">
        <v>21</v>
      </c>
      <c r="C109" s="90" t="str">
        <f t="array" ref="C109">IF(AND($C$33="Oui",$C$21="Ø800"),INDEX(D800FP_Rehausses100,_xlfn.AGGREGATE(15,6,IF(PlageFonds800Plats=$C$88,ROW(D800plage),NA()),$C$87)-ROW(D800Entete)),IF(AND($C$33="Non",$C$21="Ø800"),INDEX(D800FS_Rehausses100,_xlfn.AGGREGATE(15,6,IF(PlageFonds800Standards=$C$88,ROW(D800plage),NA()),$C$87)-ROW(D800Entete)),""))</f>
        <v/>
      </c>
      <c r="D109" s="83" t="str">
        <f t="shared" si="2"/>
        <v/>
      </c>
      <c r="E109" s="33"/>
      <c r="F109" s="31"/>
      <c r="G109" s="33"/>
      <c r="H109" s="32"/>
      <c r="I109" s="32"/>
      <c r="J109" s="24"/>
      <c r="K109" s="78"/>
      <c r="L109" s="77"/>
    </row>
    <row r="110" spans="1:12" ht="14.4" customHeight="1" x14ac:dyDescent="0.3">
      <c r="A110" s="24"/>
      <c r="B110" s="80" t="s">
        <v>22</v>
      </c>
      <c r="C110" s="90" t="str">
        <f t="array" ref="C110">IF(AND($C$33="Oui",$C$21="Ø800"),INDEX(D800FP_Rehausses150,_xlfn.AGGREGATE(15,6,IF(PlageFonds800Plats=$C$88,ROW(D800plage),NA()),$C$87)-ROW(D800Entete)),IF(AND($C$33="Non",$C$21="Ø800"),INDEX(D800FS_Rehausses150,_xlfn.AGGREGATE(15,6,IF(PlageFonds800Standards=$C$88,ROW(D800plage),NA()),$C$87)-ROW(D800Entete)),""))</f>
        <v/>
      </c>
      <c r="D110" s="83" t="str">
        <f t="shared" si="2"/>
        <v/>
      </c>
      <c r="E110" s="33"/>
      <c r="F110" s="31"/>
      <c r="G110" s="33"/>
      <c r="H110" s="32"/>
      <c r="I110" s="32"/>
      <c r="J110" s="24"/>
      <c r="K110" s="78"/>
      <c r="L110" s="77"/>
    </row>
    <row r="111" spans="1:12" ht="15" customHeight="1" thickBot="1" x14ac:dyDescent="0.35">
      <c r="A111" s="24"/>
      <c r="B111" s="16" t="s">
        <v>18</v>
      </c>
      <c r="C111" s="82">
        <f>(C32*1000-C88)</f>
        <v>19.999999999988631</v>
      </c>
      <c r="D111" s="85" t="e">
        <f>IF(D88="Quantité",1,"")</f>
        <v>#NUM!</v>
      </c>
      <c r="E111" s="31"/>
      <c r="F111" s="31"/>
      <c r="G111" s="33"/>
      <c r="H111" s="32"/>
      <c r="I111" s="32"/>
      <c r="J111" s="24"/>
      <c r="K111" s="78"/>
      <c r="L111" s="77"/>
    </row>
    <row r="112" spans="1:12" x14ac:dyDescent="0.3">
      <c r="A112" s="24"/>
      <c r="B112" s="31"/>
      <c r="C112" s="33"/>
      <c r="D112" s="31"/>
      <c r="E112" s="31"/>
      <c r="F112" s="31"/>
      <c r="G112" s="33"/>
      <c r="H112" s="32"/>
      <c r="I112" s="32"/>
      <c r="J112" s="24"/>
      <c r="K112" s="78"/>
      <c r="L112" s="77"/>
    </row>
    <row r="113" spans="1:12" x14ac:dyDescent="0.3">
      <c r="A113" s="24"/>
      <c r="B113" s="31"/>
      <c r="C113" s="33"/>
      <c r="D113" s="31"/>
      <c r="E113" s="31"/>
      <c r="F113" s="31"/>
      <c r="G113" s="33"/>
      <c r="H113" s="32"/>
      <c r="I113" s="32"/>
      <c r="J113" s="24"/>
      <c r="K113" s="78"/>
      <c r="L113" s="77"/>
    </row>
    <row r="114" spans="1:12" x14ac:dyDescent="0.3">
      <c r="A114" s="24"/>
      <c r="B114" s="31"/>
      <c r="C114" s="33"/>
      <c r="D114" s="31"/>
      <c r="E114" s="31"/>
      <c r="F114" s="31"/>
      <c r="G114" s="33"/>
      <c r="H114" s="32"/>
      <c r="I114" s="32"/>
      <c r="J114" s="24"/>
      <c r="K114" s="78"/>
      <c r="L114" s="77"/>
    </row>
    <row r="115" spans="1:12" x14ac:dyDescent="0.3">
      <c r="A115" s="24"/>
      <c r="B115" s="31"/>
      <c r="C115" s="33"/>
      <c r="D115" s="31"/>
      <c r="E115" s="31"/>
      <c r="F115" s="31"/>
      <c r="G115" s="33"/>
      <c r="H115" s="32"/>
      <c r="I115" s="32"/>
      <c r="J115" s="24"/>
      <c r="K115" s="78"/>
      <c r="L115" s="77"/>
    </row>
    <row r="116" spans="1:12" x14ac:dyDescent="0.3">
      <c r="A116" s="24"/>
      <c r="B116" s="31"/>
      <c r="C116" s="33"/>
      <c r="D116" s="31"/>
      <c r="E116" s="31"/>
      <c r="F116" s="31"/>
      <c r="G116" s="33"/>
      <c r="H116" s="32"/>
      <c r="I116" s="32"/>
      <c r="J116" s="24"/>
      <c r="K116" s="78"/>
      <c r="L116" s="77"/>
    </row>
    <row r="117" spans="1:12" x14ac:dyDescent="0.3">
      <c r="A117" s="24"/>
      <c r="B117" s="24"/>
      <c r="C117" s="6"/>
      <c r="D117" s="3"/>
      <c r="E117" s="3"/>
      <c r="F117" s="24"/>
      <c r="G117" s="6"/>
      <c r="H117" s="7"/>
      <c r="I117" s="7"/>
      <c r="J117" s="24"/>
      <c r="K117" s="78"/>
      <c r="L117" s="77"/>
    </row>
    <row r="118" spans="1:12" x14ac:dyDescent="0.3">
      <c r="A118" s="24"/>
      <c r="B118" s="28" t="s">
        <v>26</v>
      </c>
      <c r="C118" s="28"/>
      <c r="D118" s="28">
        <f>G32</f>
        <v>980</v>
      </c>
      <c r="E118" s="29"/>
      <c r="F118" s="29"/>
      <c r="G118" s="29"/>
      <c r="H118" s="29"/>
      <c r="I118" s="29"/>
      <c r="J118" s="29"/>
      <c r="K118" s="29"/>
      <c r="L118" s="32"/>
    </row>
    <row r="119" spans="1:12" ht="15" thickBot="1" x14ac:dyDescent="0.35">
      <c r="A119" s="24"/>
      <c r="B119" s="123"/>
      <c r="C119" s="123"/>
      <c r="D119" s="123"/>
      <c r="E119" s="123"/>
      <c r="F119" s="123">
        <v>2150</v>
      </c>
      <c r="G119" s="123"/>
      <c r="H119" s="123"/>
      <c r="I119" s="123"/>
      <c r="J119" s="123"/>
      <c r="K119" s="123"/>
      <c r="L119" s="30"/>
    </row>
    <row r="120" spans="1:12" x14ac:dyDescent="0.3">
      <c r="A120" s="24"/>
      <c r="B120" s="18" t="s">
        <v>31</v>
      </c>
      <c r="C120" s="42">
        <f>G32</f>
        <v>980</v>
      </c>
      <c r="D120" s="30"/>
      <c r="E120" s="30"/>
      <c r="F120" s="23" t="s">
        <v>32</v>
      </c>
      <c r="G120" s="25">
        <f>G32</f>
        <v>980</v>
      </c>
      <c r="H120" s="39">
        <v>2</v>
      </c>
      <c r="I120" s="30"/>
      <c r="J120" s="22" t="s">
        <v>33</v>
      </c>
      <c r="K120" s="25">
        <f>G32</f>
        <v>980</v>
      </c>
      <c r="L120" s="39">
        <v>3</v>
      </c>
    </row>
    <row r="121" spans="1:12" x14ac:dyDescent="0.3">
      <c r="A121" s="24"/>
      <c r="B121" s="20" t="s">
        <v>15</v>
      </c>
      <c r="C121" s="21">
        <f>C32</f>
        <v>1.0999999999999885</v>
      </c>
      <c r="D121" s="31"/>
      <c r="E121" s="31"/>
      <c r="F121" s="20" t="s">
        <v>15</v>
      </c>
      <c r="G121" s="21">
        <f>C32</f>
        <v>1.0999999999999885</v>
      </c>
      <c r="H121" s="30"/>
      <c r="I121" s="30"/>
      <c r="J121" s="20" t="s">
        <v>15</v>
      </c>
      <c r="K121" s="21">
        <f>C32</f>
        <v>1.0999999999999885</v>
      </c>
      <c r="L121" s="30"/>
    </row>
    <row r="122" spans="1:12" x14ac:dyDescent="0.3">
      <c r="A122" s="24"/>
      <c r="B122" s="5" t="s">
        <v>16</v>
      </c>
      <c r="C122" s="14">
        <f>VLOOKUP($C$120,D800Tableau,2,FALSE)</f>
        <v>0</v>
      </c>
      <c r="D122" s="31"/>
      <c r="E122" s="31"/>
      <c r="F122" s="5" t="s">
        <v>16</v>
      </c>
      <c r="G122" s="12" t="e">
        <f t="array" ref="G122">INDEX(D800Fonds_Plats,_xlfn.AGGREGATE(15,6,IF(D800plage=$G$120,ROW(D800plage),NA()),$H120)-ROW(D800Entete))</f>
        <v>#NUM!</v>
      </c>
      <c r="H122" s="30"/>
      <c r="I122" s="30"/>
      <c r="J122" s="5" t="s">
        <v>16</v>
      </c>
      <c r="K122" s="12" t="e">
        <f t="array" ref="K122">INDEX(D800Fonds_Plats,_xlfn.AGGREGATE(15,6,IF(D800plage=$K$120,ROW(D800plage),NA()),$L120)-ROW(D800Entete))</f>
        <v>#NUM!</v>
      </c>
      <c r="L122" s="30"/>
    </row>
    <row r="123" spans="1:12" x14ac:dyDescent="0.3">
      <c r="A123" s="37"/>
      <c r="B123" s="5" t="s">
        <v>17</v>
      </c>
      <c r="C123" s="14">
        <f>VLOOKUP($C$120,D800Tableau,3,FALSE)</f>
        <v>750</v>
      </c>
      <c r="D123" s="31"/>
      <c r="E123" s="31"/>
      <c r="F123" s="5" t="s">
        <v>17</v>
      </c>
      <c r="G123" s="12" t="e">
        <f t="array" ref="G123">INDEX(Inter,_xlfn.AGGREGATE(15,6,IF(D800plage=$G$120,ROW(D800plage),NA()),$H120)-ROW(D800Entete))</f>
        <v>#NAME?</v>
      </c>
      <c r="H123" s="30"/>
      <c r="I123" s="30"/>
      <c r="J123" s="5" t="s">
        <v>17</v>
      </c>
      <c r="K123" s="12" t="e">
        <f t="array" ref="K123">INDEX(Inter,_xlfn.AGGREGATE(15,6,IF(D800plage=$K$120,ROW(D800plage),NA()),$L120)-ROW(D800Entete))</f>
        <v>#NAME?</v>
      </c>
      <c r="L123" s="30"/>
    </row>
    <row r="124" spans="1:12" hidden="1" x14ac:dyDescent="0.3">
      <c r="A124" s="37"/>
      <c r="B124" s="13" t="s">
        <v>3</v>
      </c>
      <c r="C124" s="14">
        <f>VLOOKUP($C$120,D800Tableau,4,FALSE)</f>
        <v>0</v>
      </c>
      <c r="D124" s="30"/>
      <c r="E124" s="30"/>
      <c r="F124" s="13" t="s">
        <v>3</v>
      </c>
      <c r="G124" s="12" t="e">
        <f t="array" ref="G124">INDEX(D800Dalles180,_xlfn.AGGREGATE(15,6,IF(D800plage=$G$120,ROW(D800plage),NA()),$H120)-ROW(D800Entete))</f>
        <v>#NUM!</v>
      </c>
      <c r="H124" s="30"/>
      <c r="I124" s="30"/>
      <c r="J124" s="13" t="s">
        <v>3</v>
      </c>
      <c r="K124" s="12" t="e">
        <f t="array" ref="K124">INDEX(D800Dalles180,_xlfn.AGGREGATE(15,6,IF(D800plage=$K$120,ROW(D800plage),NA()),$L120)-ROW(D800Entete))</f>
        <v>#NUM!</v>
      </c>
      <c r="L124" s="30"/>
    </row>
    <row r="125" spans="1:12" hidden="1" x14ac:dyDescent="0.3">
      <c r="A125" s="37"/>
      <c r="B125" s="13" t="s">
        <v>4</v>
      </c>
      <c r="C125" s="14">
        <f>VLOOKUP($C$120,D800Tableau,5,FALSE)</f>
        <v>0</v>
      </c>
      <c r="D125" s="30"/>
      <c r="E125" s="30"/>
      <c r="F125" s="13" t="s">
        <v>4</v>
      </c>
      <c r="G125" s="12" t="e">
        <f t="array" ref="G125">INDEX(D800Dalles300,_xlfn.AGGREGATE(15,6,IF(D800plage=$G$120,ROW(D800plage),NA()),$H120)-ROW(D800Entete))</f>
        <v>#NUM!</v>
      </c>
      <c r="H125" s="30"/>
      <c r="I125" s="30"/>
      <c r="J125" s="13" t="s">
        <v>4</v>
      </c>
      <c r="K125" s="12" t="e">
        <f t="array" ref="K125">INDEX(D800Dalles300,_xlfn.AGGREGATE(15,6,IF(D800plage=$K$120,ROW(D800plage),NA()),$L120)-ROW(D800Entete))</f>
        <v>#NUM!</v>
      </c>
      <c r="L125" s="30"/>
    </row>
    <row r="126" spans="1:12" hidden="1" x14ac:dyDescent="0.3">
      <c r="A126" s="37"/>
      <c r="B126" s="13" t="s">
        <v>5</v>
      </c>
      <c r="C126" s="14">
        <f>VLOOKUP($C$120,D800Tableau,6,FALSE)</f>
        <v>0</v>
      </c>
      <c r="D126" s="30"/>
      <c r="E126" s="30"/>
      <c r="F126" s="13" t="s">
        <v>5</v>
      </c>
      <c r="G126" s="12" t="e">
        <f t="array" ref="G126">INDEX(D800Tetes450,_xlfn.AGGREGATE(15,6,IF(D800plage=$G$120,ROW(D800plage),NA()),$H120)-ROW(D800Entete))</f>
        <v>#NUM!</v>
      </c>
      <c r="H126" s="30"/>
      <c r="I126" s="30"/>
      <c r="J126" s="13" t="s">
        <v>5</v>
      </c>
      <c r="K126" s="12" t="e">
        <f t="array" ref="K126">INDEX(D800Tetes450,_xlfn.AGGREGATE(15,6,IF(D800plage=$K$120,ROW(D800plage),NA()),$L120)-ROW(D800Entete))</f>
        <v>#NUM!</v>
      </c>
      <c r="L126" s="30"/>
    </row>
    <row r="127" spans="1:12" hidden="1" x14ac:dyDescent="0.3">
      <c r="A127" s="37"/>
      <c r="B127" s="13" t="s">
        <v>6</v>
      </c>
      <c r="C127" s="14">
        <f>VLOOKUP($C$120,D800Tableau,7,FALSE)</f>
        <v>0</v>
      </c>
      <c r="D127" s="30"/>
      <c r="E127" s="30"/>
      <c r="F127" s="13" t="s">
        <v>6</v>
      </c>
      <c r="G127" s="12" t="e">
        <f t="array" ref="G127">INDEX(D800Tetes600,_xlfn.AGGREGATE(15,6,IF(D800plage=$G$120,ROW(D800plage),NA()),$H120)-ROW(D800Entete))</f>
        <v>#NUM!</v>
      </c>
      <c r="H127" s="30"/>
      <c r="I127" s="30"/>
      <c r="J127" s="13" t="s">
        <v>6</v>
      </c>
      <c r="K127" s="12" t="e">
        <f t="array" ref="K127">INDEX(D800Tetes600,_xlfn.AGGREGATE(15,6,IF(D800plage=$K$120,ROW(D800plage),NA()),$L120)-ROW(D800Entete))</f>
        <v>#NUM!</v>
      </c>
      <c r="L127" s="30"/>
    </row>
    <row r="128" spans="1:12" hidden="1" x14ac:dyDescent="0.3">
      <c r="A128" s="37"/>
      <c r="B128" s="13" t="s">
        <v>7</v>
      </c>
      <c r="C128" s="14">
        <f>VLOOKUP($C$120,D800Tableau,8,FALSE)</f>
        <v>130</v>
      </c>
      <c r="D128" s="30"/>
      <c r="E128" s="30"/>
      <c r="F128" s="13" t="s">
        <v>7</v>
      </c>
      <c r="G128" s="12" t="e">
        <f t="array" ref="G128">INDEX(D800Tetes750,_xlfn.AGGREGATE(15,6,IF(D800plage=$G$120,ROW(D800plage),NA()),$H120)-ROW(D800Entete))</f>
        <v>#NUM!</v>
      </c>
      <c r="H128" s="30"/>
      <c r="I128" s="30"/>
      <c r="J128" s="13" t="s">
        <v>7</v>
      </c>
      <c r="K128" s="12" t="e">
        <f t="array" ref="K128">INDEX(D800Tetes750,_xlfn.AGGREGATE(15,6,IF(D800plage=$K$120,ROW(D800plage),NA()),$L120)-ROW(D800Entete))</f>
        <v>#NUM!</v>
      </c>
      <c r="L128" s="30"/>
    </row>
    <row r="129" spans="1:12" x14ac:dyDescent="0.3">
      <c r="A129" s="37"/>
      <c r="B129" s="5" t="s">
        <v>19</v>
      </c>
      <c r="C129" s="14">
        <f>SUM(C124:C128)</f>
        <v>130</v>
      </c>
      <c r="D129" s="34"/>
      <c r="E129" s="34"/>
      <c r="F129" s="5" t="s">
        <v>19</v>
      </c>
      <c r="G129" s="14" t="e">
        <f>SUM(G124:G128)</f>
        <v>#NUM!</v>
      </c>
      <c r="H129" s="30"/>
      <c r="I129" s="30"/>
      <c r="J129" s="5" t="s">
        <v>19</v>
      </c>
      <c r="K129" s="14" t="e">
        <f>SUM(K124:K128)</f>
        <v>#NUM!</v>
      </c>
      <c r="L129" s="30"/>
    </row>
    <row r="130" spans="1:12" hidden="1" x14ac:dyDescent="0.3">
      <c r="A130" s="37"/>
      <c r="B130" s="40" t="s">
        <v>21</v>
      </c>
      <c r="C130" s="14">
        <f>VLOOKUP($C$120,D800Tableau,9,FALSE)</f>
        <v>0</v>
      </c>
      <c r="D130" s="30"/>
      <c r="E130" s="30"/>
      <c r="F130" s="40" t="s">
        <v>21</v>
      </c>
      <c r="G130" s="12" t="e">
        <f t="array" ref="G130">INDEX(D800Rehausses100,_xlfn.AGGREGATE(15,6,IF(D800plage=$G$120,ROW(D800plage),NA()),$H120)-ROW(D800Entete))</f>
        <v>#NUM!</v>
      </c>
      <c r="H130" s="30"/>
      <c r="I130" s="30"/>
      <c r="J130" s="40" t="s">
        <v>21</v>
      </c>
      <c r="K130" s="12" t="e">
        <f t="array" ref="K130">INDEX(D800Rehausses100,_xlfn.AGGREGATE(15,6,IF(D800plage=$K$120,ROW(D800plage),NA()),$L120)-ROW(D800Entete))</f>
        <v>#NUM!</v>
      </c>
      <c r="L130" s="30"/>
    </row>
    <row r="131" spans="1:12" hidden="1" x14ac:dyDescent="0.3">
      <c r="A131" s="37"/>
      <c r="B131" s="41" t="s">
        <v>22</v>
      </c>
      <c r="C131" s="14">
        <f>VLOOKUP($C$120,D800Tableau,10,FALSE)</f>
        <v>0</v>
      </c>
      <c r="D131" s="30"/>
      <c r="E131" s="30"/>
      <c r="F131" s="41" t="s">
        <v>22</v>
      </c>
      <c r="G131" s="12" t="e">
        <f t="array" ref="G131">INDEX(D800Rehausses150,_xlfn.AGGREGATE(15,6,IF(D800plage=$G$120,ROW(D800plage),NA()),$H120)-ROW(D800Entete))</f>
        <v>#NUM!</v>
      </c>
      <c r="H131" s="30"/>
      <c r="I131" s="30"/>
      <c r="J131" s="41" t="s">
        <v>22</v>
      </c>
      <c r="K131" s="12" t="e">
        <f t="array" ref="K131">INDEX(D800Rehausses150,_xlfn.AGGREGATE(15,6,IF(D800plage=$K$120,ROW(D800plage),NA()),$L120)-ROW(D800Entete))</f>
        <v>#NUM!</v>
      </c>
      <c r="L131" s="30"/>
    </row>
    <row r="132" spans="1:12" x14ac:dyDescent="0.3">
      <c r="A132" s="37"/>
      <c r="B132" s="5" t="s">
        <v>20</v>
      </c>
      <c r="C132" s="14">
        <f>SUM(C130:C131)</f>
        <v>0</v>
      </c>
      <c r="D132" s="34"/>
      <c r="E132" s="34"/>
      <c r="F132" s="5" t="s">
        <v>20</v>
      </c>
      <c r="G132" s="14" t="e">
        <f>SUM(G130:G131)</f>
        <v>#NUM!</v>
      </c>
      <c r="H132" s="30"/>
      <c r="I132" s="30"/>
      <c r="J132" s="5" t="s">
        <v>20</v>
      </c>
      <c r="K132" s="14" t="e">
        <f>SUM(K130:K131)</f>
        <v>#NUM!</v>
      </c>
      <c r="L132" s="30"/>
    </row>
    <row r="133" spans="1:12" ht="15" thickBot="1" x14ac:dyDescent="0.35">
      <c r="A133" s="37"/>
      <c r="B133" s="16" t="s">
        <v>18</v>
      </c>
      <c r="C133" s="17">
        <f>(C120-(C31*1000))*-1</f>
        <v>219.99999999998863</v>
      </c>
      <c r="D133" s="30"/>
      <c r="E133" s="30"/>
      <c r="F133" s="16" t="s">
        <v>18</v>
      </c>
      <c r="G133" s="17">
        <f>(G120-(C31*1000))*-1</f>
        <v>219.99999999998863</v>
      </c>
      <c r="H133" s="30"/>
      <c r="I133" s="30"/>
      <c r="J133" s="16" t="s">
        <v>18</v>
      </c>
      <c r="K133" s="17">
        <f>(K120-(C31*1000))*-1</f>
        <v>219.99999999998863</v>
      </c>
      <c r="L133" s="30"/>
    </row>
    <row r="134" spans="1:12" x14ac:dyDescent="0.3">
      <c r="A134" s="37"/>
      <c r="B134" s="30"/>
      <c r="C134" s="30"/>
      <c r="D134" s="30"/>
      <c r="E134" s="30"/>
      <c r="F134" s="30"/>
      <c r="G134" s="30"/>
      <c r="H134" s="30"/>
      <c r="I134" s="30"/>
      <c r="J134" s="30"/>
      <c r="K134" s="30"/>
      <c r="L134" s="30"/>
    </row>
    <row r="136" spans="1:12" x14ac:dyDescent="0.3">
      <c r="A136" s="24"/>
      <c r="B136" s="28" t="s">
        <v>34</v>
      </c>
      <c r="C136" s="28" t="s">
        <v>27</v>
      </c>
      <c r="D136" s="28">
        <f>G33</f>
        <v>930</v>
      </c>
      <c r="E136" s="29"/>
      <c r="F136" s="29"/>
      <c r="G136" s="29"/>
      <c r="H136" s="29"/>
      <c r="I136" s="29"/>
      <c r="J136" s="29"/>
      <c r="K136" s="29"/>
      <c r="L136" s="32"/>
    </row>
    <row r="137" spans="1:12" ht="15" thickBot="1" x14ac:dyDescent="0.35">
      <c r="A137" s="24"/>
      <c r="B137" s="123"/>
      <c r="C137" s="123"/>
      <c r="D137" s="123"/>
      <c r="E137" s="123"/>
      <c r="F137" s="123">
        <v>2150</v>
      </c>
      <c r="G137" s="123"/>
      <c r="H137" s="123"/>
      <c r="I137" s="123"/>
      <c r="J137" s="123"/>
      <c r="K137" s="123"/>
      <c r="L137" s="30"/>
    </row>
    <row r="138" spans="1:12" x14ac:dyDescent="0.3">
      <c r="A138" s="24"/>
      <c r="B138" s="18" t="s">
        <v>35</v>
      </c>
      <c r="C138" s="49">
        <f>G33</f>
        <v>930</v>
      </c>
      <c r="D138" s="30"/>
      <c r="E138" s="30"/>
      <c r="F138" s="23" t="s">
        <v>36</v>
      </c>
      <c r="G138" s="50">
        <f>G33</f>
        <v>930</v>
      </c>
      <c r="H138" s="39">
        <v>2</v>
      </c>
      <c r="I138" s="30"/>
      <c r="J138" s="22" t="s">
        <v>37</v>
      </c>
      <c r="K138" s="50">
        <f>G33</f>
        <v>930</v>
      </c>
      <c r="L138" s="39">
        <v>3</v>
      </c>
    </row>
    <row r="139" spans="1:12" x14ac:dyDescent="0.3">
      <c r="A139" s="24"/>
      <c r="B139" s="20" t="s">
        <v>15</v>
      </c>
      <c r="C139" s="21">
        <f>C32</f>
        <v>1.0999999999999885</v>
      </c>
      <c r="D139" s="31"/>
      <c r="E139" s="31"/>
      <c r="F139" s="20" t="s">
        <v>15</v>
      </c>
      <c r="G139" s="21">
        <f>C32</f>
        <v>1.0999999999999885</v>
      </c>
      <c r="H139" s="30"/>
      <c r="I139" s="30"/>
      <c r="J139" s="20" t="s">
        <v>15</v>
      </c>
      <c r="K139" s="21">
        <f>C32</f>
        <v>1.0999999999999885</v>
      </c>
      <c r="L139" s="30"/>
    </row>
    <row r="140" spans="1:12" x14ac:dyDescent="0.3">
      <c r="A140" s="24"/>
      <c r="B140" s="5" t="s">
        <v>16</v>
      </c>
      <c r="C140" s="14" t="e">
        <f>VLOOKUP($C$138,D800Tableau,2,FALSE)</f>
        <v>#N/A</v>
      </c>
      <c r="D140" s="31"/>
      <c r="E140" s="31"/>
      <c r="F140" s="5" t="s">
        <v>16</v>
      </c>
      <c r="G140" s="12" t="e">
        <f t="array" ref="G140">INDEX(D800Fonds_Plats,_xlfn.AGGREGATE(15,6,IF(D800plage=$G$138,ROW(D800plage),NA()),$H138)-ROW(D800Entete))</f>
        <v>#NUM!</v>
      </c>
      <c r="H140" s="30"/>
      <c r="I140" s="30"/>
      <c r="J140" s="5" t="s">
        <v>16</v>
      </c>
      <c r="K140" s="12" t="e">
        <f t="array" ref="K140">INDEX(D800Fonds_Plats,_xlfn.AGGREGATE(15,6,IF(D800plage=$K$138,ROW(D800plage),NA()),$L138)-ROW(D800Entete))</f>
        <v>#NUM!</v>
      </c>
      <c r="L140" s="30"/>
    </row>
    <row r="141" spans="1:12" x14ac:dyDescent="0.3">
      <c r="A141" s="37"/>
      <c r="B141" s="5" t="s">
        <v>17</v>
      </c>
      <c r="C141" s="14" t="e">
        <f>VLOOKUP($C$138,D800Tableau,3,FALSE)</f>
        <v>#N/A</v>
      </c>
      <c r="D141" s="31"/>
      <c r="E141" s="31"/>
      <c r="F141" s="5" t="s">
        <v>17</v>
      </c>
      <c r="G141" s="12" t="e">
        <f t="array" ref="G141">INDEX(Inter,_xlfn.AGGREGATE(15,6,IF(D800plage=$G$138,ROW(D800plage),NA()),$H138)-ROW(D800Entete))</f>
        <v>#NAME?</v>
      </c>
      <c r="H141" s="30"/>
      <c r="I141" s="30"/>
      <c r="J141" s="5" t="s">
        <v>17</v>
      </c>
      <c r="K141" s="12" t="e">
        <f t="array" ref="K141">INDEX(Inter,_xlfn.AGGREGATE(15,6,IF(D800plage=$K$138,ROW(D800plage),NA()),$L138)-ROW(D800Entete))</f>
        <v>#NAME?</v>
      </c>
      <c r="L141" s="30"/>
    </row>
    <row r="142" spans="1:12" hidden="1" x14ac:dyDescent="0.3">
      <c r="A142" s="37"/>
      <c r="B142" s="13" t="s">
        <v>3</v>
      </c>
      <c r="C142" s="14" t="e">
        <f>VLOOKUP($C$138,D800Tableau,4,FALSE)</f>
        <v>#N/A</v>
      </c>
      <c r="D142" s="30"/>
      <c r="E142" s="30"/>
      <c r="F142" s="13" t="s">
        <v>3</v>
      </c>
      <c r="G142" s="12" t="e">
        <f t="array" ref="G142">INDEX(D800Dalles180,_xlfn.AGGREGATE(15,6,IF(D800plage=$G$138,ROW(D800plage),NA()),$H138)-ROW(D800Entete))</f>
        <v>#NUM!</v>
      </c>
      <c r="H142" s="30"/>
      <c r="I142" s="30"/>
      <c r="J142" s="13" t="s">
        <v>3</v>
      </c>
      <c r="K142" s="12" t="e">
        <f t="array" ref="K142">INDEX(D800Dalles180,_xlfn.AGGREGATE(15,6,IF(D800plage=$K$138,ROW(D800plage),NA()),$L138)-ROW(D800Entete))</f>
        <v>#NUM!</v>
      </c>
      <c r="L142" s="30"/>
    </row>
    <row r="143" spans="1:12" hidden="1" x14ac:dyDescent="0.3">
      <c r="A143" s="37"/>
      <c r="B143" s="13" t="s">
        <v>4</v>
      </c>
      <c r="C143" s="14" t="e">
        <f>VLOOKUP($C$138,D800Tableau,5,FALSE)</f>
        <v>#N/A</v>
      </c>
      <c r="D143" s="30"/>
      <c r="E143" s="30"/>
      <c r="F143" s="13" t="s">
        <v>4</v>
      </c>
      <c r="G143" s="12" t="e">
        <f t="array" ref="G143">INDEX(D800Dalles300,_xlfn.AGGREGATE(15,6,IF(D800plage=$G$138,ROW(D800plage),NA()),$H138)-ROW(D800Entete))</f>
        <v>#NUM!</v>
      </c>
      <c r="H143" s="30"/>
      <c r="I143" s="30"/>
      <c r="J143" s="13" t="s">
        <v>4</v>
      </c>
      <c r="K143" s="12" t="e">
        <f t="array" ref="K143">INDEX(D800Dalles300,_xlfn.AGGREGATE(15,6,IF(D800plage=$K$138,ROW(D800plage),NA()),$L138)-ROW(D800Entete))</f>
        <v>#NUM!</v>
      </c>
      <c r="L143" s="30"/>
    </row>
    <row r="144" spans="1:12" hidden="1" x14ac:dyDescent="0.3">
      <c r="A144" s="37"/>
      <c r="B144" s="13" t="s">
        <v>5</v>
      </c>
      <c r="C144" s="14" t="e">
        <f>VLOOKUP($C$138,D800Tableau,6,FALSE)</f>
        <v>#N/A</v>
      </c>
      <c r="D144" s="30"/>
      <c r="E144" s="30"/>
      <c r="F144" s="13" t="s">
        <v>5</v>
      </c>
      <c r="G144" s="12" t="e">
        <f t="array" ref="G144">INDEX(D800Tetes450,_xlfn.AGGREGATE(15,6,IF(D800plage=$G$138,ROW(D800plage),NA()),$H138)-ROW(D800Entete))</f>
        <v>#NUM!</v>
      </c>
      <c r="H144" s="30"/>
      <c r="I144" s="30"/>
      <c r="J144" s="13" t="s">
        <v>5</v>
      </c>
      <c r="K144" s="12" t="e">
        <f t="array" ref="K144">INDEX(D800Tetes450,_xlfn.AGGREGATE(15,6,IF(D800plage=$K$138,ROW(D800plage),NA()),$L138)-ROW(D800Entete))</f>
        <v>#NUM!</v>
      </c>
      <c r="L144" s="30"/>
    </row>
    <row r="145" spans="1:12" hidden="1" x14ac:dyDescent="0.3">
      <c r="A145" s="37"/>
      <c r="B145" s="13" t="s">
        <v>6</v>
      </c>
      <c r="C145" s="14" t="e">
        <f>VLOOKUP($C$138,D800Tableau,7,FALSE)</f>
        <v>#N/A</v>
      </c>
      <c r="D145" s="30"/>
      <c r="E145" s="30"/>
      <c r="F145" s="13" t="s">
        <v>6</v>
      </c>
      <c r="G145" s="12" t="e">
        <f t="array" ref="G145">INDEX(D800Tetes600,_xlfn.AGGREGATE(15,6,IF(D800plage=$G$138,ROW(D800plage),NA()),$H138)-ROW(D800Entete))</f>
        <v>#NUM!</v>
      </c>
      <c r="H145" s="30"/>
      <c r="I145" s="30"/>
      <c r="J145" s="13" t="s">
        <v>6</v>
      </c>
      <c r="K145" s="12" t="e">
        <f t="array" ref="K145">INDEX(D800Tetes600,_xlfn.AGGREGATE(15,6,IF(D800plage=$K$138,ROW(D800plage),NA()),$L138)-ROW(D800Entete))</f>
        <v>#NUM!</v>
      </c>
      <c r="L145" s="30"/>
    </row>
    <row r="146" spans="1:12" hidden="1" x14ac:dyDescent="0.3">
      <c r="A146" s="37"/>
      <c r="B146" s="13" t="s">
        <v>7</v>
      </c>
      <c r="C146" s="14" t="e">
        <f>VLOOKUP($C$138,D800Tableau,8,FALSE)</f>
        <v>#N/A</v>
      </c>
      <c r="D146" s="30"/>
      <c r="E146" s="30"/>
      <c r="F146" s="13" t="s">
        <v>7</v>
      </c>
      <c r="G146" s="12" t="e">
        <f t="array" ref="G146">INDEX(D800Tetes750,_xlfn.AGGREGATE(15,6,IF(D800plage=$G$138,ROW(D800plage),NA()),$H138)-ROW(D800Entete))</f>
        <v>#NUM!</v>
      </c>
      <c r="H146" s="30"/>
      <c r="I146" s="30"/>
      <c r="J146" s="13" t="s">
        <v>7</v>
      </c>
      <c r="K146" s="12" t="e">
        <f t="array" ref="K146">INDEX(D800Tetes750,_xlfn.AGGREGATE(15,6,IF(D800plage=$K$138,ROW(D800plage),NA()),$L138)-ROW(D800Entete))</f>
        <v>#NUM!</v>
      </c>
      <c r="L146" s="30"/>
    </row>
    <row r="147" spans="1:12" x14ac:dyDescent="0.3">
      <c r="A147" s="37"/>
      <c r="B147" s="5" t="s">
        <v>19</v>
      </c>
      <c r="C147" s="14" t="e">
        <f>SUM(C142:C146)</f>
        <v>#N/A</v>
      </c>
      <c r="D147" s="34"/>
      <c r="E147" s="34"/>
      <c r="F147" s="5" t="s">
        <v>19</v>
      </c>
      <c r="G147" s="14" t="e">
        <f>SUM(G142:G146)</f>
        <v>#NUM!</v>
      </c>
      <c r="H147" s="30"/>
      <c r="I147" s="30"/>
      <c r="J147" s="5" t="s">
        <v>19</v>
      </c>
      <c r="K147" s="14" t="e">
        <f>SUM(K142:K146)</f>
        <v>#NUM!</v>
      </c>
      <c r="L147" s="30"/>
    </row>
    <row r="148" spans="1:12" hidden="1" x14ac:dyDescent="0.3">
      <c r="A148" s="37"/>
      <c r="B148" s="40" t="s">
        <v>21</v>
      </c>
      <c r="C148" s="14" t="e">
        <f>VLOOKUP($C$138,D800Tableau,9,FALSE)</f>
        <v>#N/A</v>
      </c>
      <c r="D148" s="30"/>
      <c r="E148" s="30"/>
      <c r="F148" s="40" t="s">
        <v>21</v>
      </c>
      <c r="G148" s="12" t="e">
        <f t="array" ref="G148">INDEX(D800Rehausses100,_xlfn.AGGREGATE(15,6,IF(D800plage=$G$138,ROW(D800plage),NA()),$H138)-ROW(D800Entete))</f>
        <v>#NUM!</v>
      </c>
      <c r="H148" s="30"/>
      <c r="I148" s="30"/>
      <c r="J148" s="40" t="s">
        <v>21</v>
      </c>
      <c r="K148" s="12" t="e">
        <f t="array" ref="K148">INDEX(D800Rehausses100,_xlfn.AGGREGATE(15,6,IF(D800plage=$K$138,ROW(D800plage),NA()),$L138)-ROW(D800Entete))</f>
        <v>#NUM!</v>
      </c>
      <c r="L148" s="30"/>
    </row>
    <row r="149" spans="1:12" hidden="1" x14ac:dyDescent="0.3">
      <c r="A149" s="37"/>
      <c r="B149" s="41" t="s">
        <v>22</v>
      </c>
      <c r="C149" s="14" t="e">
        <f>VLOOKUP($C$138,D800Tableau,10,FALSE)</f>
        <v>#N/A</v>
      </c>
      <c r="D149" s="30"/>
      <c r="E149" s="30"/>
      <c r="F149" s="41" t="s">
        <v>22</v>
      </c>
      <c r="G149" s="12" t="e">
        <f t="array" ref="G149">INDEX(D800Rehausses150,_xlfn.AGGREGATE(15,6,IF(D800plage=$G$138,ROW(D800plage),NA()),$H138)-ROW(D800Entete))</f>
        <v>#NUM!</v>
      </c>
      <c r="H149" s="30"/>
      <c r="I149" s="30"/>
      <c r="J149" s="41" t="s">
        <v>22</v>
      </c>
      <c r="K149" s="12" t="e">
        <f t="array" ref="K149">INDEX(D800Rehausses150,_xlfn.AGGREGATE(15,6,IF(D800plage=$K$138,ROW(D800plage),NA()),$L138)-ROW(D800Entete))</f>
        <v>#NUM!</v>
      </c>
      <c r="L149" s="30"/>
    </row>
    <row r="150" spans="1:12" x14ac:dyDescent="0.3">
      <c r="A150" s="37"/>
      <c r="B150" s="5" t="s">
        <v>20</v>
      </c>
      <c r="C150" s="14" t="e">
        <f>SUM(C148:C149)</f>
        <v>#N/A</v>
      </c>
      <c r="D150" s="34"/>
      <c r="E150" s="34"/>
      <c r="F150" s="5" t="s">
        <v>20</v>
      </c>
      <c r="G150" s="14" t="e">
        <f>SUM(G148:G149)</f>
        <v>#NUM!</v>
      </c>
      <c r="H150" s="30"/>
      <c r="I150" s="30"/>
      <c r="J150" s="5" t="s">
        <v>20</v>
      </c>
      <c r="K150" s="14" t="e">
        <f>SUM(K148:K149)</f>
        <v>#NUM!</v>
      </c>
      <c r="L150" s="30"/>
    </row>
    <row r="151" spans="1:12" ht="15" thickBot="1" x14ac:dyDescent="0.35">
      <c r="A151" s="37"/>
      <c r="B151" s="16" t="s">
        <v>18</v>
      </c>
      <c r="C151" s="17">
        <f>(C138-(C31*1000))*-1</f>
        <v>269.99999999998863</v>
      </c>
      <c r="D151" s="30"/>
      <c r="E151" s="30"/>
      <c r="F151" s="16" t="s">
        <v>18</v>
      </c>
      <c r="G151" s="17">
        <f>(G138-(C31*1000))*-1</f>
        <v>269.99999999998863</v>
      </c>
      <c r="H151" s="30"/>
      <c r="I151" s="30"/>
      <c r="J151" s="16" t="s">
        <v>18</v>
      </c>
      <c r="K151" s="17">
        <f>(K138-(C31*1000))*-1</f>
        <v>269.99999999998863</v>
      </c>
      <c r="L151" s="30"/>
    </row>
    <row r="152" spans="1:12" x14ac:dyDescent="0.3">
      <c r="A152" s="37"/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</row>
  </sheetData>
  <autoFilter ref="D38:D111"/>
  <mergeCells count="7">
    <mergeCell ref="M18:N18"/>
    <mergeCell ref="B119:K119"/>
    <mergeCell ref="B137:K137"/>
    <mergeCell ref="B2:C2"/>
    <mergeCell ref="B19:C19"/>
    <mergeCell ref="I18:J18"/>
    <mergeCell ref="K18:L18"/>
  </mergeCells>
  <conditionalFormatting sqref="C63 C88">
    <cfRule type="containsErrors" dxfId="10" priority="14">
      <formula>ISERROR(C63)</formula>
    </cfRule>
  </conditionalFormatting>
  <conditionalFormatting sqref="K120:K133">
    <cfRule type="containsErrors" dxfId="9" priority="15">
      <formula>ISERROR(K120)</formula>
    </cfRule>
  </conditionalFormatting>
  <conditionalFormatting sqref="G120:G133">
    <cfRule type="containsErrors" dxfId="8" priority="16">
      <formula>ISERROR(G120)</formula>
    </cfRule>
  </conditionalFormatting>
  <conditionalFormatting sqref="K138:K150">
    <cfRule type="containsErrors" dxfId="7" priority="9">
      <formula>ISERROR(K138)</formula>
    </cfRule>
  </conditionalFormatting>
  <conditionalFormatting sqref="G138:G150">
    <cfRule type="containsErrors" dxfId="6" priority="10">
      <formula>ISERROR(G138)</formula>
    </cfRule>
  </conditionalFormatting>
  <conditionalFormatting sqref="C4">
    <cfRule type="containsBlanks" dxfId="5" priority="8">
      <formula>LEN(TRIM(C4))=0</formula>
    </cfRule>
  </conditionalFormatting>
  <conditionalFormatting sqref="C6:C8">
    <cfRule type="containsBlanks" dxfId="4" priority="7">
      <formula>LEN(TRIM(C6))=0</formula>
    </cfRule>
  </conditionalFormatting>
  <conditionalFormatting sqref="C14">
    <cfRule type="containsBlanks" dxfId="3" priority="6">
      <formula>LEN(TRIM(C14))=0</formula>
    </cfRule>
  </conditionalFormatting>
  <conditionalFormatting sqref="J21:J31">
    <cfRule type="containsErrors" dxfId="2" priority="17">
      <formula>ISERROR(J21)</formula>
    </cfRule>
  </conditionalFormatting>
  <dataValidations count="1">
    <dataValidation type="list" allowBlank="1" showInputMessage="1" showErrorMessage="1" sqref="C35">
      <formula1>$N$17:$N$28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alcluler6">
                <anchor moveWithCells="1" sizeWithCells="1">
                  <from>
                    <xdr:col>5</xdr:col>
                    <xdr:colOff>38100</xdr:colOff>
                    <xdr:row>18</xdr:row>
                    <xdr:rowOff>160020</xdr:rowOff>
                  </from>
                  <to>
                    <xdr:col>5</xdr:col>
                    <xdr:colOff>1051560</xdr:colOff>
                    <xdr:row>20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Trier1">
                <anchor moveWithCells="1" sizeWithCells="1">
                  <from>
                    <xdr:col>5</xdr:col>
                    <xdr:colOff>53340</xdr:colOff>
                    <xdr:row>21</xdr:row>
                    <xdr:rowOff>152400</xdr:rowOff>
                  </from>
                  <to>
                    <xdr:col>5</xdr:col>
                    <xdr:colOff>1066800</xdr:colOff>
                    <xdr:row>23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Button 15">
              <controlPr defaultSize="0" print="0" autoFill="0" autoPict="0" macro="[0]!Commander">
                <anchor moveWithCells="1" sizeWithCells="1">
                  <from>
                    <xdr:col>4</xdr:col>
                    <xdr:colOff>297180</xdr:colOff>
                    <xdr:row>44</xdr:row>
                    <xdr:rowOff>121920</xdr:rowOff>
                  </from>
                  <to>
                    <xdr:col>5</xdr:col>
                    <xdr:colOff>480060</xdr:colOff>
                    <xdr:row>46</xdr:row>
                    <xdr:rowOff>15240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Listes!$G$2:$G$3</xm:f>
          </x14:formula1>
          <xm:sqref>C33</xm:sqref>
        </x14:dataValidation>
        <x14:dataValidation type="list" allowBlank="1" showInputMessage="1" showErrorMessage="1">
          <x14:formula1>
            <xm:f>Listes!$A$2:$A$3</xm:f>
          </x14:formula1>
          <xm:sqref>C9 C21</xm:sqref>
        </x14:dataValidation>
        <x14:dataValidation type="list" allowBlank="1" showInputMessage="1" showErrorMessage="1">
          <x14:formula1>
            <xm:f>Listes!$D$2:$D$4</xm:f>
          </x14:formula1>
          <xm:sqref>C24 C11</xm:sqref>
        </x14:dataValidation>
        <x14:dataValidation type="list" allowBlank="1" showInputMessage="1" showErrorMessage="1">
          <x14:formula1>
            <xm:f>Listes!$E$2:$E$10</xm:f>
          </x14:formula1>
          <xm:sqref>C12 C25</xm:sqref>
        </x14:dataValidation>
        <x14:dataValidation type="list" allowBlank="1" showInputMessage="1" showErrorMessage="1">
          <x14:formula1>
            <xm:f>Listes!$B$2:$B$3</xm:f>
          </x14:formula1>
          <xm:sqref>C10 C23</xm:sqref>
        </x14:dataValidation>
        <x14:dataValidation type="list" allowBlank="1" showInputMessage="1" showErrorMessage="1">
          <x14:formula1>
            <xm:f>Listes!$C$2:$C$11</xm:f>
          </x14:formula1>
          <xm:sqref>C22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27"/>
  <sheetViews>
    <sheetView workbookViewId="0">
      <selection activeCell="D9" sqref="D9"/>
    </sheetView>
  </sheetViews>
  <sheetFormatPr baseColWidth="10" defaultRowHeight="14.4" x14ac:dyDescent="0.3"/>
  <cols>
    <col min="2" max="2" width="27.77734375" customWidth="1"/>
    <col min="4" max="4" width="11" customWidth="1"/>
  </cols>
  <sheetData>
    <row r="1" spans="1:16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spans="1:16" x14ac:dyDescent="0.3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16" x14ac:dyDescent="0.3">
      <c r="A3" s="3"/>
      <c r="B3" s="5" t="s">
        <v>123</v>
      </c>
      <c r="C3" s="120"/>
      <c r="D3" s="120"/>
      <c r="E3" s="120"/>
      <c r="F3" s="120"/>
      <c r="G3" s="120"/>
      <c r="H3" s="120"/>
      <c r="I3" s="120"/>
      <c r="J3" s="120"/>
      <c r="K3" s="3"/>
      <c r="L3" s="3"/>
      <c r="M3" s="3"/>
      <c r="N3" s="3"/>
      <c r="O3" s="3"/>
      <c r="P3" s="3"/>
    </row>
    <row r="4" spans="1:16" s="113" customFormat="1" ht="14.4" customHeight="1" x14ac:dyDescent="0.3">
      <c r="A4" s="132"/>
      <c r="B4" s="5" t="s">
        <v>102</v>
      </c>
      <c r="C4" s="120"/>
      <c r="D4" s="120"/>
      <c r="E4" s="120"/>
      <c r="F4" s="120"/>
      <c r="G4" s="120"/>
      <c r="H4" s="120"/>
      <c r="I4" s="120"/>
      <c r="J4" s="120"/>
      <c r="K4" s="119"/>
      <c r="L4" s="119"/>
      <c r="M4" s="119"/>
      <c r="N4" s="132"/>
      <c r="O4" s="132"/>
      <c r="P4" s="118"/>
    </row>
    <row r="5" spans="1:16" s="113" customFormat="1" x14ac:dyDescent="0.3">
      <c r="A5" s="132"/>
      <c r="B5" s="5" t="s">
        <v>103</v>
      </c>
      <c r="C5" s="120"/>
      <c r="D5" s="120"/>
      <c r="E5" s="120"/>
      <c r="F5" s="120"/>
      <c r="G5" s="120"/>
      <c r="H5" s="120"/>
      <c r="I5" s="120"/>
      <c r="J5" s="120"/>
      <c r="K5" s="118"/>
      <c r="L5" s="118"/>
      <c r="M5" s="118"/>
      <c r="N5" s="118"/>
      <c r="O5" s="118"/>
      <c r="P5" s="118"/>
    </row>
    <row r="6" spans="1:16" x14ac:dyDescent="0.3">
      <c r="A6" s="3"/>
      <c r="B6" s="5" t="s">
        <v>105</v>
      </c>
      <c r="C6" s="120"/>
      <c r="D6" s="120"/>
      <c r="E6" s="120"/>
      <c r="F6" s="120"/>
      <c r="G6" s="120"/>
      <c r="H6" s="120"/>
      <c r="I6" s="120"/>
      <c r="J6" s="120"/>
      <c r="K6" s="3"/>
      <c r="L6" s="3"/>
      <c r="M6" s="3"/>
      <c r="N6" s="3"/>
      <c r="O6" s="3"/>
      <c r="P6" s="3"/>
    </row>
    <row r="7" spans="1:16" x14ac:dyDescent="0.3">
      <c r="A7" s="3"/>
      <c r="B7" s="5" t="s">
        <v>106</v>
      </c>
      <c r="C7" s="120"/>
      <c r="D7" s="120"/>
      <c r="E7" s="120"/>
      <c r="F7" s="120"/>
      <c r="G7" s="120"/>
      <c r="H7" s="120"/>
      <c r="I7" s="120"/>
      <c r="J7" s="120"/>
      <c r="K7" s="3"/>
      <c r="L7" s="3"/>
      <c r="M7" s="3"/>
      <c r="N7" s="3"/>
      <c r="O7" s="3"/>
      <c r="P7" s="3"/>
    </row>
    <row r="8" spans="1:16" x14ac:dyDescent="0.3">
      <c r="A8" s="3"/>
      <c r="B8" s="5" t="s">
        <v>124</v>
      </c>
      <c r="C8" s="120"/>
      <c r="D8" s="120"/>
      <c r="E8" s="120"/>
      <c r="F8" s="120"/>
      <c r="G8" s="120"/>
      <c r="H8" s="120"/>
      <c r="I8" s="120"/>
      <c r="J8" s="120"/>
      <c r="K8" s="3"/>
      <c r="L8" s="3"/>
      <c r="M8" s="3"/>
      <c r="N8" s="3"/>
      <c r="O8" s="3"/>
      <c r="P8" s="3"/>
    </row>
    <row r="9" spans="1:16" x14ac:dyDescent="0.3">
      <c r="A9" s="3"/>
      <c r="B9" s="5" t="s">
        <v>108</v>
      </c>
      <c r="C9" s="120"/>
      <c r="D9" s="120"/>
      <c r="E9" s="120"/>
      <c r="F9" s="120"/>
      <c r="G9" s="120"/>
      <c r="H9" s="120"/>
      <c r="I9" s="120"/>
      <c r="J9" s="120"/>
      <c r="K9" s="3"/>
      <c r="L9" s="3"/>
      <c r="M9" s="3"/>
      <c r="N9" s="3"/>
      <c r="O9" s="3"/>
    </row>
    <row r="10" spans="1:16" x14ac:dyDescent="0.3">
      <c r="A10" s="3"/>
      <c r="B10" s="5" t="s">
        <v>125</v>
      </c>
      <c r="C10" s="120"/>
      <c r="D10" s="120"/>
      <c r="E10" s="120"/>
      <c r="F10" s="120"/>
      <c r="G10" s="120"/>
      <c r="H10" s="120"/>
      <c r="I10" s="120"/>
      <c r="J10" s="120"/>
      <c r="K10" s="3"/>
      <c r="L10" s="3"/>
      <c r="M10" s="3"/>
      <c r="N10" s="3"/>
      <c r="O10" s="3"/>
    </row>
    <row r="11" spans="1:16" x14ac:dyDescent="0.3">
      <c r="A11" s="3"/>
      <c r="B11" s="5" t="s">
        <v>126</v>
      </c>
      <c r="C11" s="120"/>
      <c r="D11" s="120"/>
      <c r="E11" s="120"/>
      <c r="F11" s="120"/>
      <c r="G11" s="120"/>
      <c r="H11" s="120"/>
      <c r="I11" s="120"/>
      <c r="J11" s="120"/>
      <c r="K11" s="3"/>
      <c r="L11" s="3"/>
      <c r="M11" s="3"/>
      <c r="N11" s="3"/>
      <c r="O11" s="3"/>
    </row>
    <row r="12" spans="1:16" x14ac:dyDescent="0.3">
      <c r="A12" s="3"/>
      <c r="B12" s="5" t="s">
        <v>127</v>
      </c>
      <c r="C12" s="120"/>
      <c r="D12" s="120"/>
      <c r="E12" s="120"/>
      <c r="F12" s="120"/>
      <c r="G12" s="120"/>
      <c r="H12" s="120"/>
      <c r="I12" s="120"/>
      <c r="J12" s="120"/>
      <c r="K12" s="3"/>
      <c r="L12" s="3"/>
      <c r="M12" s="3"/>
      <c r="N12" s="3"/>
      <c r="O12" s="3"/>
    </row>
    <row r="13" spans="1:16" x14ac:dyDescent="0.3">
      <c r="A13" s="3"/>
      <c r="B13" s="5" t="s">
        <v>128</v>
      </c>
      <c r="C13" s="120"/>
      <c r="D13" s="120"/>
      <c r="E13" s="120"/>
      <c r="F13" s="120"/>
      <c r="G13" s="120"/>
      <c r="H13" s="120"/>
      <c r="I13" s="120"/>
      <c r="J13" s="120"/>
      <c r="K13" s="3"/>
      <c r="L13" s="3"/>
      <c r="M13" s="3"/>
      <c r="N13" s="3"/>
      <c r="O13" s="3"/>
    </row>
    <row r="14" spans="1:16" x14ac:dyDescent="0.3">
      <c r="A14" s="3"/>
      <c r="B14" s="5" t="s">
        <v>129</v>
      </c>
      <c r="C14" s="120"/>
      <c r="D14" s="120"/>
      <c r="E14" s="120"/>
      <c r="F14" s="120"/>
      <c r="G14" s="120"/>
      <c r="H14" s="120"/>
      <c r="I14" s="120"/>
      <c r="J14" s="120"/>
      <c r="K14" s="3"/>
      <c r="L14" s="3"/>
      <c r="M14" s="3"/>
      <c r="N14" s="3"/>
      <c r="O14" s="3"/>
    </row>
    <row r="15" spans="1:16" x14ac:dyDescent="0.3">
      <c r="A15" s="3"/>
      <c r="B15" s="79" t="s">
        <v>3</v>
      </c>
      <c r="C15" s="120"/>
      <c r="D15" s="120"/>
      <c r="E15" s="120"/>
      <c r="F15" s="120"/>
      <c r="G15" s="120"/>
      <c r="H15" s="120"/>
      <c r="I15" s="120"/>
      <c r="J15" s="120"/>
      <c r="K15" s="3"/>
      <c r="L15" s="3"/>
      <c r="M15" s="3"/>
      <c r="N15" s="3"/>
      <c r="O15" s="3"/>
    </row>
    <row r="16" spans="1:16" x14ac:dyDescent="0.3">
      <c r="A16" s="3"/>
      <c r="B16" s="79" t="s">
        <v>4</v>
      </c>
      <c r="C16" s="120"/>
      <c r="D16" s="120"/>
      <c r="E16" s="120"/>
      <c r="F16" s="120"/>
      <c r="G16" s="120"/>
      <c r="H16" s="120"/>
      <c r="I16" s="120"/>
      <c r="J16" s="120"/>
      <c r="K16" s="3"/>
      <c r="L16" s="3"/>
      <c r="M16" s="3"/>
      <c r="N16" s="3"/>
      <c r="O16" s="3"/>
    </row>
    <row r="17" spans="1:15" x14ac:dyDescent="0.3">
      <c r="A17" s="3"/>
      <c r="B17" s="79" t="s">
        <v>5</v>
      </c>
      <c r="C17" s="120"/>
      <c r="D17" s="120"/>
      <c r="E17" s="120"/>
      <c r="F17" s="120"/>
      <c r="G17" s="120"/>
      <c r="H17" s="120"/>
      <c r="I17" s="120"/>
      <c r="J17" s="120"/>
      <c r="K17" s="3"/>
      <c r="L17" s="3"/>
      <c r="M17" s="3"/>
      <c r="N17" s="3"/>
      <c r="O17" s="3"/>
    </row>
    <row r="18" spans="1:15" x14ac:dyDescent="0.3">
      <c r="A18" s="3"/>
      <c r="B18" s="79" t="s">
        <v>6</v>
      </c>
      <c r="C18" s="120"/>
      <c r="D18" s="120"/>
      <c r="E18" s="120"/>
      <c r="F18" s="120"/>
      <c r="G18" s="120"/>
      <c r="H18" s="120"/>
      <c r="I18" s="120"/>
      <c r="J18" s="120"/>
      <c r="K18" s="3"/>
      <c r="L18" s="3"/>
      <c r="M18" s="3"/>
      <c r="N18" s="3"/>
      <c r="O18" s="3"/>
    </row>
    <row r="19" spans="1:15" x14ac:dyDescent="0.3">
      <c r="A19" s="3"/>
      <c r="B19" s="79" t="s">
        <v>7</v>
      </c>
      <c r="C19" s="120"/>
      <c r="D19" s="120"/>
      <c r="E19" s="120"/>
      <c r="F19" s="120"/>
      <c r="G19" s="120"/>
      <c r="H19" s="120"/>
      <c r="I19" s="120"/>
      <c r="J19" s="120"/>
      <c r="K19" s="3"/>
      <c r="L19" s="3"/>
      <c r="M19" s="3"/>
      <c r="N19" s="3"/>
      <c r="O19" s="3"/>
    </row>
    <row r="20" spans="1:15" x14ac:dyDescent="0.3">
      <c r="A20" s="3"/>
      <c r="B20" s="79" t="s">
        <v>117</v>
      </c>
      <c r="C20" s="120"/>
      <c r="D20" s="120"/>
      <c r="E20" s="120"/>
      <c r="F20" s="120"/>
      <c r="G20" s="120"/>
      <c r="H20" s="120"/>
      <c r="I20" s="120"/>
      <c r="J20" s="120"/>
      <c r="K20" s="3"/>
      <c r="L20" s="3"/>
      <c r="M20" s="3"/>
      <c r="N20" s="3"/>
      <c r="O20" s="3"/>
    </row>
    <row r="21" spans="1:15" x14ac:dyDescent="0.3">
      <c r="A21" s="3"/>
      <c r="B21" s="79" t="s">
        <v>118</v>
      </c>
      <c r="C21" s="120"/>
      <c r="D21" s="120"/>
      <c r="E21" s="120"/>
      <c r="F21" s="120"/>
      <c r="G21" s="120"/>
      <c r="H21" s="120"/>
      <c r="I21" s="120"/>
      <c r="J21" s="120"/>
      <c r="K21" s="3"/>
      <c r="L21" s="3"/>
      <c r="M21" s="3"/>
      <c r="N21" s="3"/>
      <c r="O21" s="3"/>
    </row>
    <row r="22" spans="1:15" x14ac:dyDescent="0.3">
      <c r="A22" s="3"/>
      <c r="B22" s="79" t="s">
        <v>119</v>
      </c>
      <c r="C22" s="120"/>
      <c r="D22" s="120"/>
      <c r="E22" s="120"/>
      <c r="F22" s="120"/>
      <c r="G22" s="120"/>
      <c r="H22" s="120"/>
      <c r="I22" s="120"/>
      <c r="J22" s="120"/>
      <c r="K22" s="3"/>
      <c r="L22" s="3"/>
      <c r="M22" s="3"/>
      <c r="N22" s="3"/>
      <c r="O22" s="3"/>
    </row>
    <row r="23" spans="1:15" x14ac:dyDescent="0.3">
      <c r="A23" s="3"/>
      <c r="B23" s="15" t="s">
        <v>21</v>
      </c>
      <c r="C23" s="120"/>
      <c r="D23" s="120"/>
      <c r="E23" s="120"/>
      <c r="F23" s="120"/>
      <c r="G23" s="120"/>
      <c r="H23" s="120"/>
      <c r="I23" s="120"/>
      <c r="J23" s="120"/>
      <c r="K23" s="3"/>
      <c r="L23" s="3"/>
      <c r="M23" s="3"/>
      <c r="N23" s="3"/>
      <c r="O23" s="3"/>
    </row>
    <row r="24" spans="1:15" x14ac:dyDescent="0.3">
      <c r="A24" s="3"/>
      <c r="B24" s="80" t="s">
        <v>22</v>
      </c>
      <c r="C24" s="120"/>
      <c r="D24" s="120"/>
      <c r="E24" s="120"/>
      <c r="F24" s="120"/>
      <c r="G24" s="120"/>
      <c r="H24" s="120"/>
      <c r="I24" s="120"/>
      <c r="J24" s="120"/>
      <c r="K24" s="3"/>
      <c r="L24" s="3"/>
      <c r="M24" s="3"/>
      <c r="N24" s="3"/>
      <c r="O24" s="3"/>
    </row>
    <row r="25" spans="1:15" ht="15" thickBot="1" x14ac:dyDescent="0.35">
      <c r="A25" s="3"/>
      <c r="B25" s="16" t="s">
        <v>18</v>
      </c>
      <c r="C25" s="120"/>
      <c r="D25" s="120"/>
      <c r="E25" s="120"/>
      <c r="F25" s="120"/>
      <c r="G25" s="120"/>
      <c r="H25" s="120"/>
      <c r="I25" s="120"/>
      <c r="J25" s="120"/>
      <c r="K25" s="3"/>
      <c r="L25" s="3"/>
      <c r="M25" s="3"/>
      <c r="N25" s="3"/>
      <c r="O25" s="3"/>
    </row>
    <row r="26" spans="1:15" x14ac:dyDescent="0.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</row>
    <row r="27" spans="1:15" x14ac:dyDescent="0.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</row>
  </sheetData>
  <mergeCells count="2">
    <mergeCell ref="A4:A5"/>
    <mergeCell ref="N4:O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R106"/>
  <sheetViews>
    <sheetView topLeftCell="E1" zoomScale="85" zoomScaleNormal="85" workbookViewId="0">
      <pane xSplit="2" ySplit="1" topLeftCell="G2" activePane="bottomRight" state="frozenSplit"/>
      <selection activeCell="E1" sqref="E1"/>
      <selection pane="topRight" activeCell="L1" sqref="L1"/>
      <selection pane="bottomLeft" activeCell="E15" sqref="E15"/>
      <selection pane="bottomRight" activeCell="K2" sqref="K2:K106"/>
    </sheetView>
  </sheetViews>
  <sheetFormatPr baseColWidth="10" defaultRowHeight="14.4" x14ac:dyDescent="0.3"/>
  <cols>
    <col min="1" max="1" width="0" hidden="1" customWidth="1"/>
    <col min="2" max="3" width="22.6640625" hidden="1" customWidth="1"/>
    <col min="4" max="4" width="0" style="1" hidden="1" customWidth="1"/>
    <col min="5" max="5" width="11.5546875" style="37"/>
    <col min="6" max="6" width="14.33203125" bestFit="1" customWidth="1"/>
    <col min="7" max="7" width="14.33203125" customWidth="1"/>
    <col min="8" max="8" width="20.6640625" style="1" bestFit="1" customWidth="1"/>
    <col min="9" max="11" width="20.6640625" style="1" customWidth="1"/>
    <col min="12" max="13" width="17.77734375" style="1" bestFit="1" customWidth="1"/>
    <col min="14" max="16" width="17.33203125" style="1" bestFit="1" customWidth="1"/>
    <col min="17" max="18" width="19.109375" style="1" bestFit="1" customWidth="1"/>
  </cols>
  <sheetData>
    <row r="1" spans="2:18" s="51" customFormat="1" ht="50.4" customHeight="1" x14ac:dyDescent="0.3">
      <c r="D1" s="51" t="s">
        <v>24</v>
      </c>
      <c r="E1" s="59" t="s">
        <v>10</v>
      </c>
      <c r="F1" s="55" t="s">
        <v>40</v>
      </c>
      <c r="G1" s="55" t="s">
        <v>41</v>
      </c>
      <c r="H1" s="52" t="s">
        <v>38</v>
      </c>
      <c r="I1" s="52" t="s">
        <v>38</v>
      </c>
      <c r="J1" s="52" t="s">
        <v>39</v>
      </c>
      <c r="K1" s="52" t="s">
        <v>39</v>
      </c>
      <c r="L1" s="52" t="s">
        <v>3</v>
      </c>
      <c r="M1" s="52" t="s">
        <v>4</v>
      </c>
      <c r="N1" s="52" t="s">
        <v>5</v>
      </c>
      <c r="O1" s="52" t="s">
        <v>6</v>
      </c>
      <c r="P1" s="52" t="s">
        <v>7</v>
      </c>
      <c r="Q1" s="52" t="s">
        <v>8</v>
      </c>
      <c r="R1" s="53" t="s">
        <v>9</v>
      </c>
    </row>
    <row r="2" spans="2:18" x14ac:dyDescent="0.3">
      <c r="D2" s="1">
        <v>1</v>
      </c>
      <c r="E2" s="60">
        <f t="shared" ref="E2:E33" si="0">SUM(F2:R2)</f>
        <v>610</v>
      </c>
      <c r="F2" s="54">
        <v>480</v>
      </c>
      <c r="G2" s="54"/>
      <c r="H2" s="54"/>
      <c r="I2" s="54"/>
      <c r="J2" s="54"/>
      <c r="K2" s="54"/>
      <c r="L2" s="54">
        <v>130</v>
      </c>
      <c r="M2" s="54"/>
      <c r="N2" s="54"/>
      <c r="O2" s="54"/>
      <c r="P2" s="54"/>
      <c r="Q2" s="54"/>
      <c r="R2" s="12"/>
    </row>
    <row r="3" spans="2:18" x14ac:dyDescent="0.3">
      <c r="B3" s="2" t="s">
        <v>0</v>
      </c>
      <c r="C3" s="2"/>
      <c r="D3" s="1">
        <v>2</v>
      </c>
      <c r="E3" s="60">
        <f t="shared" si="0"/>
        <v>710</v>
      </c>
      <c r="F3" s="54">
        <v>480</v>
      </c>
      <c r="G3" s="54"/>
      <c r="H3" s="54"/>
      <c r="I3" s="54"/>
      <c r="J3" s="54"/>
      <c r="K3" s="54"/>
      <c r="L3" s="54">
        <v>130</v>
      </c>
      <c r="M3" s="54"/>
      <c r="N3" s="54"/>
      <c r="O3" s="54"/>
      <c r="P3" s="54"/>
      <c r="Q3" s="54">
        <v>100</v>
      </c>
      <c r="R3" s="12"/>
    </row>
    <row r="4" spans="2:18" x14ac:dyDescent="0.3">
      <c r="B4" s="2"/>
      <c r="C4" s="2"/>
      <c r="D4" s="1">
        <v>3</v>
      </c>
      <c r="E4" s="60">
        <f t="shared" si="0"/>
        <v>760</v>
      </c>
      <c r="F4" s="54">
        <v>480</v>
      </c>
      <c r="G4" s="54"/>
      <c r="H4" s="54"/>
      <c r="I4" s="54"/>
      <c r="J4" s="54"/>
      <c r="K4" s="54"/>
      <c r="L4" s="54">
        <v>130</v>
      </c>
      <c r="M4" s="54"/>
      <c r="N4" s="54"/>
      <c r="O4" s="54"/>
      <c r="P4" s="54"/>
      <c r="Q4" s="54"/>
      <c r="R4" s="12">
        <v>150</v>
      </c>
    </row>
    <row r="5" spans="2:18" x14ac:dyDescent="0.3">
      <c r="B5" s="2"/>
      <c r="C5" s="2"/>
      <c r="D5" s="1">
        <v>4</v>
      </c>
      <c r="E5" s="60">
        <f t="shared" si="0"/>
        <v>760</v>
      </c>
      <c r="F5" s="54">
        <v>480</v>
      </c>
      <c r="G5" s="54"/>
      <c r="H5" s="54"/>
      <c r="I5" s="54"/>
      <c r="J5" s="54"/>
      <c r="K5" s="54"/>
      <c r="L5" s="54"/>
      <c r="M5" s="54">
        <v>280</v>
      </c>
      <c r="N5" s="54"/>
      <c r="O5" s="54"/>
      <c r="P5" s="54"/>
      <c r="Q5" s="54"/>
      <c r="R5" s="12"/>
    </row>
    <row r="6" spans="2:18" x14ac:dyDescent="0.3">
      <c r="B6" s="2"/>
      <c r="C6" s="2"/>
      <c r="D6" s="1">
        <v>5</v>
      </c>
      <c r="E6" s="60">
        <f t="shared" si="0"/>
        <v>860</v>
      </c>
      <c r="F6" s="54">
        <v>480</v>
      </c>
      <c r="G6" s="54"/>
      <c r="H6" s="54"/>
      <c r="I6" s="54"/>
      <c r="J6" s="54"/>
      <c r="K6" s="54"/>
      <c r="L6" s="54"/>
      <c r="M6" s="54">
        <v>280</v>
      </c>
      <c r="N6" s="54"/>
      <c r="O6" s="54"/>
      <c r="P6" s="54"/>
      <c r="Q6" s="54">
        <v>100</v>
      </c>
      <c r="R6" s="12"/>
    </row>
    <row r="7" spans="2:18" x14ac:dyDescent="0.3">
      <c r="B7" s="2"/>
      <c r="C7" s="2"/>
      <c r="D7" s="1">
        <v>6</v>
      </c>
      <c r="E7" s="60">
        <f t="shared" si="0"/>
        <v>910</v>
      </c>
      <c r="F7" s="54">
        <v>480</v>
      </c>
      <c r="G7" s="54"/>
      <c r="H7" s="54"/>
      <c r="I7" s="54"/>
      <c r="J7" s="54"/>
      <c r="K7" s="54"/>
      <c r="L7" s="54"/>
      <c r="M7" s="54">
        <v>280</v>
      </c>
      <c r="N7" s="54"/>
      <c r="O7" s="54"/>
      <c r="P7" s="54"/>
      <c r="Q7" s="54"/>
      <c r="R7" s="12">
        <v>150</v>
      </c>
    </row>
    <row r="8" spans="2:18" x14ac:dyDescent="0.3">
      <c r="B8" s="2"/>
      <c r="C8" s="2"/>
      <c r="D8" s="1">
        <v>7</v>
      </c>
      <c r="E8" s="60">
        <f t="shared" si="0"/>
        <v>910</v>
      </c>
      <c r="F8" s="54">
        <v>480</v>
      </c>
      <c r="G8" s="54"/>
      <c r="H8" s="54"/>
      <c r="I8" s="54"/>
      <c r="J8" s="54"/>
      <c r="K8" s="54"/>
      <c r="L8" s="54"/>
      <c r="M8" s="54"/>
      <c r="N8" s="54">
        <v>430</v>
      </c>
      <c r="O8" s="54"/>
      <c r="P8" s="54"/>
      <c r="Q8" s="54"/>
      <c r="R8" s="12"/>
    </row>
    <row r="9" spans="2:18" x14ac:dyDescent="0.3">
      <c r="B9" s="2">
        <v>2150</v>
      </c>
      <c r="C9" s="2" t="e">
        <f>VLOOKUP(B9,D800Tableau,2,FALSE)</f>
        <v>#N/A</v>
      </c>
      <c r="D9" s="1">
        <v>8</v>
      </c>
      <c r="E9" s="60">
        <f t="shared" si="0"/>
        <v>1010</v>
      </c>
      <c r="F9" s="54">
        <v>480</v>
      </c>
      <c r="G9" s="54"/>
      <c r="H9" s="54"/>
      <c r="I9" s="54"/>
      <c r="J9" s="54"/>
      <c r="K9" s="54"/>
      <c r="L9" s="54"/>
      <c r="M9" s="54"/>
      <c r="N9" s="54">
        <v>430</v>
      </c>
      <c r="O9" s="54"/>
      <c r="P9" s="54"/>
      <c r="Q9" s="54">
        <v>100</v>
      </c>
      <c r="R9" s="12"/>
    </row>
    <row r="10" spans="2:18" x14ac:dyDescent="0.3">
      <c r="B10" s="2"/>
      <c r="C10" s="2"/>
      <c r="D10" s="1">
        <v>9</v>
      </c>
      <c r="E10" s="60">
        <f t="shared" si="0"/>
        <v>1060</v>
      </c>
      <c r="F10" s="54">
        <v>480</v>
      </c>
      <c r="G10" s="54"/>
      <c r="H10" s="54"/>
      <c r="I10" s="54"/>
      <c r="J10" s="54"/>
      <c r="K10" s="54"/>
      <c r="L10" s="54"/>
      <c r="M10" s="54"/>
      <c r="N10" s="54">
        <v>430</v>
      </c>
      <c r="O10" s="54"/>
      <c r="P10" s="54"/>
      <c r="Q10" s="54"/>
      <c r="R10" s="12">
        <v>150</v>
      </c>
    </row>
    <row r="11" spans="2:18" x14ac:dyDescent="0.3">
      <c r="B11" s="2"/>
      <c r="C11" s="2"/>
      <c r="D11" s="1">
        <v>10</v>
      </c>
      <c r="E11" s="60">
        <f t="shared" si="0"/>
        <v>1060</v>
      </c>
      <c r="F11" s="54">
        <v>480</v>
      </c>
      <c r="G11" s="54"/>
      <c r="H11" s="54"/>
      <c r="I11" s="54"/>
      <c r="J11" s="54"/>
      <c r="K11" s="54"/>
      <c r="L11" s="54"/>
      <c r="M11" s="54"/>
      <c r="N11" s="54"/>
      <c r="O11" s="54">
        <v>580</v>
      </c>
      <c r="P11" s="54"/>
      <c r="Q11" s="54"/>
      <c r="R11" s="12"/>
    </row>
    <row r="12" spans="2:18" x14ac:dyDescent="0.3">
      <c r="B12" s="2"/>
      <c r="C12" s="2"/>
      <c r="D12" s="1">
        <v>11</v>
      </c>
      <c r="E12" s="60">
        <f t="shared" si="0"/>
        <v>1160</v>
      </c>
      <c r="F12" s="54">
        <v>480</v>
      </c>
      <c r="G12" s="54"/>
      <c r="H12" s="54"/>
      <c r="I12" s="54"/>
      <c r="J12" s="54"/>
      <c r="K12" s="54"/>
      <c r="L12" s="54"/>
      <c r="M12" s="54"/>
      <c r="N12" s="54"/>
      <c r="O12" s="54">
        <v>580</v>
      </c>
      <c r="P12" s="54"/>
      <c r="Q12" s="54">
        <v>100</v>
      </c>
      <c r="R12" s="12"/>
    </row>
    <row r="13" spans="2:18" x14ac:dyDescent="0.3">
      <c r="B13" s="2"/>
      <c r="C13" s="2"/>
      <c r="D13" s="1">
        <v>12</v>
      </c>
      <c r="E13" s="60">
        <f t="shared" si="0"/>
        <v>1210</v>
      </c>
      <c r="F13" s="54">
        <v>480</v>
      </c>
      <c r="G13" s="54"/>
      <c r="H13" s="54"/>
      <c r="I13" s="54"/>
      <c r="J13" s="54"/>
      <c r="K13" s="54"/>
      <c r="L13" s="54"/>
      <c r="M13" s="54"/>
      <c r="N13" s="54"/>
      <c r="O13" s="54">
        <v>580</v>
      </c>
      <c r="P13" s="54"/>
      <c r="Q13" s="54"/>
      <c r="R13" s="12">
        <v>150</v>
      </c>
    </row>
    <row r="14" spans="2:18" x14ac:dyDescent="0.3">
      <c r="B14" s="2"/>
      <c r="C14" s="2" t="e">
        <f t="array" aca="1" ref="C14" ca="1">INDIRECT("F3:F63" &amp; SMALL((E1:E61="950")*ROW(E1:E61),2+COUNTIF(E1:E61,"&lt;&gt;950")))</f>
        <v>#NUM!</v>
      </c>
      <c r="D14" s="1">
        <v>13</v>
      </c>
      <c r="E14" s="60">
        <f t="shared" si="0"/>
        <v>1210</v>
      </c>
      <c r="F14" s="54">
        <v>480</v>
      </c>
      <c r="G14" s="54"/>
      <c r="H14" s="54"/>
      <c r="I14" s="54"/>
      <c r="J14" s="54"/>
      <c r="K14" s="54"/>
      <c r="L14" s="54"/>
      <c r="M14" s="54"/>
      <c r="N14" s="54"/>
      <c r="O14" s="54"/>
      <c r="P14" s="54">
        <v>730</v>
      </c>
      <c r="Q14" s="54"/>
      <c r="R14" s="12"/>
    </row>
    <row r="15" spans="2:18" x14ac:dyDescent="0.3">
      <c r="B15" s="2" t="s">
        <v>1</v>
      </c>
      <c r="C15" s="2"/>
      <c r="D15" s="1">
        <v>14</v>
      </c>
      <c r="E15" s="60">
        <f t="shared" si="0"/>
        <v>1310</v>
      </c>
      <c r="F15" s="54">
        <v>480</v>
      </c>
      <c r="G15" s="54"/>
      <c r="H15" s="54"/>
      <c r="I15" s="54"/>
      <c r="J15" s="54"/>
      <c r="K15" s="54"/>
      <c r="L15" s="54"/>
      <c r="M15" s="54"/>
      <c r="N15" s="54"/>
      <c r="O15" s="54"/>
      <c r="P15" s="54">
        <v>730</v>
      </c>
      <c r="Q15" s="54">
        <v>100</v>
      </c>
      <c r="R15" s="12"/>
    </row>
    <row r="16" spans="2:18" x14ac:dyDescent="0.3">
      <c r="B16" s="2" t="s">
        <v>2</v>
      </c>
      <c r="C16" s="2"/>
      <c r="D16" s="1">
        <v>15</v>
      </c>
      <c r="E16" s="60">
        <f t="shared" si="0"/>
        <v>1360</v>
      </c>
      <c r="F16" s="54">
        <v>480</v>
      </c>
      <c r="G16" s="54"/>
      <c r="H16" s="54"/>
      <c r="I16" s="54"/>
      <c r="J16" s="54"/>
      <c r="K16" s="54"/>
      <c r="L16" s="54"/>
      <c r="M16" s="54"/>
      <c r="N16" s="54"/>
      <c r="O16" s="54"/>
      <c r="P16" s="54">
        <v>730</v>
      </c>
      <c r="Q16" s="54"/>
      <c r="R16" s="12">
        <v>150</v>
      </c>
    </row>
    <row r="17" spans="2:18" x14ac:dyDescent="0.3">
      <c r="B17" s="2"/>
      <c r="C17" s="2"/>
      <c r="D17" s="1">
        <v>16</v>
      </c>
      <c r="E17" s="60">
        <f t="shared" si="0"/>
        <v>1360</v>
      </c>
      <c r="F17" s="54">
        <v>480</v>
      </c>
      <c r="G17" s="54"/>
      <c r="H17" s="54">
        <v>750</v>
      </c>
      <c r="I17" s="54"/>
      <c r="J17" s="54"/>
      <c r="K17" s="54"/>
      <c r="L17" s="54">
        <v>130</v>
      </c>
      <c r="M17" s="54"/>
      <c r="N17" s="54"/>
      <c r="O17" s="54"/>
      <c r="P17" s="54"/>
      <c r="Q17" s="54"/>
      <c r="R17" s="12"/>
    </row>
    <row r="18" spans="2:18" x14ac:dyDescent="0.3">
      <c r="B18" s="2" t="s">
        <v>3</v>
      </c>
      <c r="C18" s="2"/>
      <c r="D18" s="1">
        <v>17</v>
      </c>
      <c r="E18" s="60">
        <f t="shared" si="0"/>
        <v>1460</v>
      </c>
      <c r="F18" s="54">
        <v>480</v>
      </c>
      <c r="G18" s="54"/>
      <c r="H18" s="54">
        <v>750</v>
      </c>
      <c r="I18" s="54"/>
      <c r="J18" s="54"/>
      <c r="K18" s="54"/>
      <c r="L18" s="54">
        <v>130</v>
      </c>
      <c r="M18" s="54"/>
      <c r="N18" s="54"/>
      <c r="O18" s="54"/>
      <c r="P18" s="54"/>
      <c r="Q18" s="54">
        <v>100</v>
      </c>
      <c r="R18" s="12"/>
    </row>
    <row r="19" spans="2:18" x14ac:dyDescent="0.3">
      <c r="B19" s="2" t="s">
        <v>4</v>
      </c>
      <c r="C19" s="2"/>
      <c r="D19" s="1">
        <v>18</v>
      </c>
      <c r="E19" s="60">
        <f t="shared" si="0"/>
        <v>1510</v>
      </c>
      <c r="F19" s="54">
        <v>480</v>
      </c>
      <c r="G19" s="54"/>
      <c r="H19" s="54">
        <v>750</v>
      </c>
      <c r="I19" s="54"/>
      <c r="J19" s="54"/>
      <c r="K19" s="54"/>
      <c r="L19" s="54">
        <v>130</v>
      </c>
      <c r="M19" s="54"/>
      <c r="N19" s="54"/>
      <c r="O19" s="54"/>
      <c r="P19" s="54"/>
      <c r="Q19" s="54"/>
      <c r="R19" s="12">
        <v>150</v>
      </c>
    </row>
    <row r="20" spans="2:18" x14ac:dyDescent="0.3">
      <c r="B20" s="2"/>
      <c r="C20" s="2"/>
      <c r="D20" s="1">
        <v>19</v>
      </c>
      <c r="E20" s="60">
        <f t="shared" si="0"/>
        <v>1510</v>
      </c>
      <c r="F20" s="54">
        <v>480</v>
      </c>
      <c r="G20" s="54"/>
      <c r="H20" s="54">
        <v>750</v>
      </c>
      <c r="I20" s="54"/>
      <c r="J20" s="54"/>
      <c r="K20" s="54"/>
      <c r="L20" s="54"/>
      <c r="M20" s="54">
        <v>280</v>
      </c>
      <c r="N20" s="54"/>
      <c r="O20" s="54"/>
      <c r="P20" s="54"/>
      <c r="Q20" s="54"/>
      <c r="R20" s="12"/>
    </row>
    <row r="21" spans="2:18" x14ac:dyDescent="0.3">
      <c r="B21" s="2" t="s">
        <v>5</v>
      </c>
      <c r="C21" s="2"/>
      <c r="D21" s="1">
        <v>20</v>
      </c>
      <c r="E21" s="60">
        <f t="shared" si="0"/>
        <v>1610</v>
      </c>
      <c r="F21" s="54">
        <v>480</v>
      </c>
      <c r="G21" s="54"/>
      <c r="H21" s="54">
        <v>750</v>
      </c>
      <c r="I21" s="54"/>
      <c r="J21" s="54"/>
      <c r="K21" s="54"/>
      <c r="L21" s="54"/>
      <c r="M21" s="54">
        <v>280</v>
      </c>
      <c r="N21" s="54"/>
      <c r="O21" s="54"/>
      <c r="P21" s="54"/>
      <c r="Q21" s="54">
        <v>100</v>
      </c>
      <c r="R21" s="12"/>
    </row>
    <row r="22" spans="2:18" x14ac:dyDescent="0.3">
      <c r="B22" s="2" t="s">
        <v>6</v>
      </c>
      <c r="C22" s="2"/>
      <c r="D22" s="1">
        <v>21</v>
      </c>
      <c r="E22" s="60">
        <f t="shared" si="0"/>
        <v>1660</v>
      </c>
      <c r="F22" s="54">
        <v>480</v>
      </c>
      <c r="G22" s="54"/>
      <c r="H22" s="54">
        <v>750</v>
      </c>
      <c r="I22" s="54"/>
      <c r="J22" s="54"/>
      <c r="K22" s="54"/>
      <c r="L22" s="54"/>
      <c r="M22" s="54">
        <v>280</v>
      </c>
      <c r="N22" s="54"/>
      <c r="O22" s="54"/>
      <c r="P22" s="54"/>
      <c r="Q22" s="54"/>
      <c r="R22" s="12">
        <v>150</v>
      </c>
    </row>
    <row r="23" spans="2:18" x14ac:dyDescent="0.3">
      <c r="B23" s="2"/>
      <c r="C23" s="2"/>
      <c r="D23" s="1">
        <v>22</v>
      </c>
      <c r="E23" s="60">
        <f t="shared" si="0"/>
        <v>1660</v>
      </c>
      <c r="F23" s="54">
        <v>480</v>
      </c>
      <c r="G23" s="54"/>
      <c r="H23" s="54">
        <v>750</v>
      </c>
      <c r="I23" s="54"/>
      <c r="J23" s="54"/>
      <c r="K23" s="54"/>
      <c r="L23" s="54"/>
      <c r="M23" s="54"/>
      <c r="N23" s="54">
        <v>430</v>
      </c>
      <c r="O23" s="54"/>
      <c r="P23" s="54"/>
      <c r="Q23" s="54"/>
      <c r="R23" s="12"/>
    </row>
    <row r="24" spans="2:18" x14ac:dyDescent="0.3">
      <c r="B24" s="2" t="s">
        <v>7</v>
      </c>
      <c r="C24" s="2"/>
      <c r="D24" s="1">
        <v>23</v>
      </c>
      <c r="E24" s="60">
        <f t="shared" si="0"/>
        <v>1660</v>
      </c>
      <c r="F24" s="54">
        <v>480</v>
      </c>
      <c r="G24" s="54"/>
      <c r="H24" s="54"/>
      <c r="I24" s="54"/>
      <c r="J24" s="54">
        <v>1050</v>
      </c>
      <c r="K24" s="54"/>
      <c r="L24" s="54">
        <v>130</v>
      </c>
      <c r="M24" s="54"/>
      <c r="N24" s="54"/>
      <c r="O24" s="54"/>
      <c r="P24" s="54"/>
      <c r="Q24" s="54"/>
      <c r="R24" s="12"/>
    </row>
    <row r="25" spans="2:18" x14ac:dyDescent="0.3">
      <c r="B25" s="2" t="s">
        <v>8</v>
      </c>
      <c r="C25" s="2"/>
      <c r="D25" s="1">
        <v>24</v>
      </c>
      <c r="E25" s="60">
        <f t="shared" si="0"/>
        <v>1760</v>
      </c>
      <c r="F25" s="54">
        <v>480</v>
      </c>
      <c r="G25" s="54"/>
      <c r="H25" s="54">
        <v>750</v>
      </c>
      <c r="I25" s="54"/>
      <c r="J25" s="54"/>
      <c r="K25" s="54"/>
      <c r="L25" s="54"/>
      <c r="M25" s="54"/>
      <c r="N25" s="54">
        <v>430</v>
      </c>
      <c r="O25" s="54"/>
      <c r="P25" s="54"/>
      <c r="Q25" s="54">
        <v>100</v>
      </c>
      <c r="R25" s="12"/>
    </row>
    <row r="26" spans="2:18" x14ac:dyDescent="0.3">
      <c r="B26" s="2"/>
      <c r="C26" s="2"/>
      <c r="D26" s="1">
        <v>25</v>
      </c>
      <c r="E26" s="60">
        <f t="shared" si="0"/>
        <v>1760</v>
      </c>
      <c r="F26" s="54">
        <v>480</v>
      </c>
      <c r="G26" s="54"/>
      <c r="H26" s="54"/>
      <c r="I26" s="54"/>
      <c r="J26" s="54">
        <v>1050</v>
      </c>
      <c r="K26" s="54"/>
      <c r="L26" s="54">
        <v>130</v>
      </c>
      <c r="M26" s="54"/>
      <c r="N26" s="54"/>
      <c r="O26" s="54"/>
      <c r="P26" s="54"/>
      <c r="Q26" s="54">
        <v>100</v>
      </c>
      <c r="R26" s="12"/>
    </row>
    <row r="27" spans="2:18" x14ac:dyDescent="0.3">
      <c r="B27" s="2" t="s">
        <v>9</v>
      </c>
      <c r="C27" s="2"/>
      <c r="D27" s="1">
        <v>26</v>
      </c>
      <c r="E27" s="60">
        <f t="shared" si="0"/>
        <v>1810</v>
      </c>
      <c r="F27" s="54">
        <v>480</v>
      </c>
      <c r="G27" s="54"/>
      <c r="H27" s="54">
        <v>750</v>
      </c>
      <c r="I27" s="54"/>
      <c r="J27" s="54"/>
      <c r="K27" s="54"/>
      <c r="L27" s="54"/>
      <c r="M27" s="54"/>
      <c r="N27" s="54">
        <v>430</v>
      </c>
      <c r="O27" s="54"/>
      <c r="P27" s="54"/>
      <c r="Q27" s="54"/>
      <c r="R27" s="12">
        <v>150</v>
      </c>
    </row>
    <row r="28" spans="2:18" x14ac:dyDescent="0.3">
      <c r="D28" s="1">
        <v>27</v>
      </c>
      <c r="E28" s="60">
        <f t="shared" si="0"/>
        <v>1810</v>
      </c>
      <c r="F28" s="54">
        <v>480</v>
      </c>
      <c r="G28" s="54"/>
      <c r="H28" s="54">
        <v>750</v>
      </c>
      <c r="I28" s="54"/>
      <c r="J28" s="54"/>
      <c r="K28" s="54"/>
      <c r="L28" s="54"/>
      <c r="M28" s="54"/>
      <c r="N28" s="54"/>
      <c r="O28" s="54">
        <v>580</v>
      </c>
      <c r="P28" s="54"/>
      <c r="Q28" s="54"/>
      <c r="R28" s="12"/>
    </row>
    <row r="29" spans="2:18" x14ac:dyDescent="0.3">
      <c r="D29" s="1">
        <v>28</v>
      </c>
      <c r="E29" s="60">
        <f t="shared" si="0"/>
        <v>1810</v>
      </c>
      <c r="F29" s="54">
        <v>480</v>
      </c>
      <c r="G29" s="54"/>
      <c r="H29" s="54"/>
      <c r="I29" s="54"/>
      <c r="J29" s="54">
        <v>1050</v>
      </c>
      <c r="K29" s="54"/>
      <c r="L29" s="54">
        <v>130</v>
      </c>
      <c r="M29" s="54"/>
      <c r="N29" s="54"/>
      <c r="O29" s="54"/>
      <c r="P29" s="54"/>
      <c r="Q29" s="54"/>
      <c r="R29" s="12">
        <v>150</v>
      </c>
    </row>
    <row r="30" spans="2:18" x14ac:dyDescent="0.3">
      <c r="D30" s="1">
        <v>29</v>
      </c>
      <c r="E30" s="60">
        <f t="shared" si="0"/>
        <v>1810</v>
      </c>
      <c r="F30" s="54">
        <v>480</v>
      </c>
      <c r="G30" s="54"/>
      <c r="H30" s="54"/>
      <c r="I30" s="54"/>
      <c r="J30" s="54">
        <v>1050</v>
      </c>
      <c r="K30" s="54"/>
      <c r="L30" s="54"/>
      <c r="M30" s="54">
        <v>280</v>
      </c>
      <c r="N30" s="54"/>
      <c r="O30" s="54"/>
      <c r="P30" s="54"/>
      <c r="Q30" s="54"/>
      <c r="R30" s="12"/>
    </row>
    <row r="31" spans="2:18" x14ac:dyDescent="0.3">
      <c r="D31" s="1">
        <v>30</v>
      </c>
      <c r="E31" s="60">
        <f t="shared" si="0"/>
        <v>1910</v>
      </c>
      <c r="F31" s="54">
        <v>480</v>
      </c>
      <c r="G31" s="54"/>
      <c r="H31" s="54">
        <v>750</v>
      </c>
      <c r="I31" s="54"/>
      <c r="J31" s="54"/>
      <c r="K31" s="54"/>
      <c r="L31" s="54"/>
      <c r="M31" s="54"/>
      <c r="N31" s="54"/>
      <c r="O31" s="54">
        <v>580</v>
      </c>
      <c r="P31" s="54"/>
      <c r="Q31" s="54">
        <v>100</v>
      </c>
      <c r="R31" s="12"/>
    </row>
    <row r="32" spans="2:18" x14ac:dyDescent="0.3">
      <c r="D32" s="1">
        <v>31</v>
      </c>
      <c r="E32" s="60">
        <f t="shared" si="0"/>
        <v>1910</v>
      </c>
      <c r="F32" s="54">
        <v>480</v>
      </c>
      <c r="G32" s="54"/>
      <c r="H32" s="54"/>
      <c r="I32" s="54"/>
      <c r="J32" s="54">
        <v>1050</v>
      </c>
      <c r="K32" s="54"/>
      <c r="L32" s="54"/>
      <c r="M32" s="54">
        <v>280</v>
      </c>
      <c r="N32" s="54"/>
      <c r="O32" s="54"/>
      <c r="P32" s="54"/>
      <c r="Q32" s="54">
        <v>100</v>
      </c>
      <c r="R32" s="12"/>
    </row>
    <row r="33" spans="3:18" x14ac:dyDescent="0.3">
      <c r="D33" s="1">
        <v>32</v>
      </c>
      <c r="E33" s="60">
        <f t="shared" si="0"/>
        <v>1960</v>
      </c>
      <c r="F33" s="54">
        <v>480</v>
      </c>
      <c r="G33" s="54"/>
      <c r="H33" s="54">
        <v>750</v>
      </c>
      <c r="I33" s="54"/>
      <c r="J33" s="54"/>
      <c r="K33" s="54"/>
      <c r="L33" s="54"/>
      <c r="M33" s="54"/>
      <c r="N33" s="54"/>
      <c r="O33" s="54">
        <v>580</v>
      </c>
      <c r="P33" s="54"/>
      <c r="Q33" s="54"/>
      <c r="R33" s="12">
        <v>150</v>
      </c>
    </row>
    <row r="34" spans="3:18" x14ac:dyDescent="0.3">
      <c r="D34" s="1">
        <v>33</v>
      </c>
      <c r="E34" s="60">
        <f t="shared" ref="E34:E65" si="1">SUM(F34:R34)</f>
        <v>1960</v>
      </c>
      <c r="F34" s="54">
        <v>480</v>
      </c>
      <c r="G34" s="54"/>
      <c r="H34" s="54">
        <v>750</v>
      </c>
      <c r="I34" s="54"/>
      <c r="J34" s="54"/>
      <c r="K34" s="54"/>
      <c r="L34" s="54"/>
      <c r="M34" s="54"/>
      <c r="N34" s="54"/>
      <c r="O34" s="54"/>
      <c r="P34" s="54">
        <v>730</v>
      </c>
      <c r="Q34" s="54"/>
      <c r="R34" s="12"/>
    </row>
    <row r="35" spans="3:18" x14ac:dyDescent="0.3">
      <c r="D35" s="1">
        <v>34</v>
      </c>
      <c r="E35" s="60">
        <f t="shared" si="1"/>
        <v>1960</v>
      </c>
      <c r="F35" s="54">
        <v>480</v>
      </c>
      <c r="G35" s="54"/>
      <c r="H35" s="54"/>
      <c r="I35" s="54"/>
      <c r="J35" s="54">
        <v>1050</v>
      </c>
      <c r="K35" s="54"/>
      <c r="L35" s="54"/>
      <c r="M35" s="54">
        <v>280</v>
      </c>
      <c r="N35" s="54"/>
      <c r="O35" s="54"/>
      <c r="P35" s="54"/>
      <c r="Q35" s="54"/>
      <c r="R35" s="12">
        <v>150</v>
      </c>
    </row>
    <row r="36" spans="3:18" x14ac:dyDescent="0.3">
      <c r="D36" s="1">
        <v>35</v>
      </c>
      <c r="E36" s="60">
        <f t="shared" si="1"/>
        <v>1960</v>
      </c>
      <c r="F36" s="54">
        <v>480</v>
      </c>
      <c r="G36" s="54"/>
      <c r="H36" s="54"/>
      <c r="I36" s="54"/>
      <c r="J36" s="54">
        <v>1050</v>
      </c>
      <c r="K36" s="54"/>
      <c r="L36" s="54"/>
      <c r="M36" s="54"/>
      <c r="N36" s="54">
        <v>430</v>
      </c>
      <c r="O36" s="54"/>
      <c r="P36" s="54"/>
      <c r="Q36" s="54"/>
      <c r="R36" s="12"/>
    </row>
    <row r="37" spans="3:18" x14ac:dyDescent="0.3">
      <c r="D37" s="1">
        <v>36</v>
      </c>
      <c r="E37" s="60">
        <f t="shared" si="1"/>
        <v>2060</v>
      </c>
      <c r="F37" s="54">
        <v>480</v>
      </c>
      <c r="G37" s="54"/>
      <c r="H37" s="54">
        <v>750</v>
      </c>
      <c r="I37" s="54"/>
      <c r="J37" s="54"/>
      <c r="K37" s="54"/>
      <c r="L37" s="54"/>
      <c r="M37" s="54"/>
      <c r="N37" s="54"/>
      <c r="O37" s="54"/>
      <c r="P37" s="54">
        <v>730</v>
      </c>
      <c r="Q37" s="54">
        <v>100</v>
      </c>
      <c r="R37" s="12"/>
    </row>
    <row r="38" spans="3:18" x14ac:dyDescent="0.3">
      <c r="D38" s="1">
        <v>37</v>
      </c>
      <c r="E38" s="60">
        <f t="shared" si="1"/>
        <v>2060</v>
      </c>
      <c r="F38" s="54">
        <v>480</v>
      </c>
      <c r="G38" s="54"/>
      <c r="H38" s="54"/>
      <c r="I38" s="54"/>
      <c r="J38" s="54">
        <v>1050</v>
      </c>
      <c r="K38" s="54"/>
      <c r="L38" s="54"/>
      <c r="M38" s="54"/>
      <c r="N38" s="54">
        <v>430</v>
      </c>
      <c r="O38" s="54"/>
      <c r="P38" s="54"/>
      <c r="Q38" s="54">
        <v>100</v>
      </c>
      <c r="R38" s="12"/>
    </row>
    <row r="39" spans="3:18" x14ac:dyDescent="0.3">
      <c r="D39" s="1">
        <v>38</v>
      </c>
      <c r="E39" s="60">
        <f t="shared" si="1"/>
        <v>2110</v>
      </c>
      <c r="F39" s="54">
        <v>480</v>
      </c>
      <c r="G39" s="54"/>
      <c r="H39" s="54">
        <v>750</v>
      </c>
      <c r="I39" s="54"/>
      <c r="J39" s="54"/>
      <c r="K39" s="54"/>
      <c r="L39" s="54"/>
      <c r="M39" s="54"/>
      <c r="N39" s="54"/>
      <c r="O39" s="54"/>
      <c r="P39" s="54">
        <v>730</v>
      </c>
      <c r="Q39" s="54"/>
      <c r="R39" s="12">
        <v>150</v>
      </c>
    </row>
    <row r="40" spans="3:18" x14ac:dyDescent="0.3">
      <c r="D40" s="1">
        <v>39</v>
      </c>
      <c r="E40" s="60">
        <f t="shared" si="1"/>
        <v>2110</v>
      </c>
      <c r="F40" s="54">
        <v>480</v>
      </c>
      <c r="G40" s="54"/>
      <c r="H40" s="54"/>
      <c r="I40" s="54"/>
      <c r="J40" s="54">
        <v>1050</v>
      </c>
      <c r="K40" s="54"/>
      <c r="L40" s="54"/>
      <c r="M40" s="54"/>
      <c r="N40" s="54">
        <v>430</v>
      </c>
      <c r="O40" s="54"/>
      <c r="P40" s="54"/>
      <c r="Q40" s="54"/>
      <c r="R40" s="12">
        <v>150</v>
      </c>
    </row>
    <row r="41" spans="3:18" x14ac:dyDescent="0.3">
      <c r="D41" s="1">
        <v>40</v>
      </c>
      <c r="E41" s="60">
        <f t="shared" si="1"/>
        <v>2110</v>
      </c>
      <c r="F41" s="54">
        <v>480</v>
      </c>
      <c r="G41" s="54"/>
      <c r="H41" s="54"/>
      <c r="I41" s="54"/>
      <c r="J41" s="54">
        <v>1050</v>
      </c>
      <c r="K41" s="54"/>
      <c r="L41" s="54"/>
      <c r="M41" s="54"/>
      <c r="N41" s="54"/>
      <c r="O41" s="54">
        <v>580</v>
      </c>
      <c r="P41" s="54"/>
      <c r="Q41" s="54"/>
      <c r="R41" s="12"/>
    </row>
    <row r="42" spans="3:18" x14ac:dyDescent="0.3">
      <c r="D42" s="1">
        <v>41</v>
      </c>
      <c r="E42" s="60">
        <f t="shared" si="1"/>
        <v>2210</v>
      </c>
      <c r="F42" s="54">
        <v>480</v>
      </c>
      <c r="G42" s="54"/>
      <c r="H42" s="54"/>
      <c r="I42" s="54"/>
      <c r="J42" s="54">
        <v>1050</v>
      </c>
      <c r="K42" s="54"/>
      <c r="L42" s="54"/>
      <c r="M42" s="54"/>
      <c r="N42" s="54"/>
      <c r="O42" s="54">
        <v>580</v>
      </c>
      <c r="P42" s="54"/>
      <c r="Q42" s="54">
        <v>100</v>
      </c>
      <c r="R42" s="12"/>
    </row>
    <row r="43" spans="3:18" x14ac:dyDescent="0.3">
      <c r="C43" t="s">
        <v>23</v>
      </c>
      <c r="D43" s="1">
        <v>42</v>
      </c>
      <c r="E43" s="60">
        <f t="shared" si="1"/>
        <v>2260</v>
      </c>
      <c r="F43" s="54">
        <v>480</v>
      </c>
      <c r="G43" s="54"/>
      <c r="H43" s="54"/>
      <c r="I43" s="54"/>
      <c r="J43" s="54">
        <v>1050</v>
      </c>
      <c r="K43" s="54"/>
      <c r="L43" s="54"/>
      <c r="M43" s="54"/>
      <c r="N43" s="54"/>
      <c r="O43" s="54">
        <v>580</v>
      </c>
      <c r="P43" s="54"/>
      <c r="Q43" s="54"/>
      <c r="R43" s="12">
        <v>150</v>
      </c>
    </row>
    <row r="44" spans="3:18" x14ac:dyDescent="0.3">
      <c r="D44" s="1">
        <v>43</v>
      </c>
      <c r="E44" s="60">
        <f t="shared" si="1"/>
        <v>2260</v>
      </c>
      <c r="F44" s="54">
        <v>480</v>
      </c>
      <c r="G44" s="54"/>
      <c r="H44" s="54"/>
      <c r="I44" s="54"/>
      <c r="J44" s="54">
        <v>1050</v>
      </c>
      <c r="K44" s="54"/>
      <c r="L44" s="54"/>
      <c r="M44" s="54"/>
      <c r="N44" s="54"/>
      <c r="O44" s="54"/>
      <c r="P44" s="54">
        <v>730</v>
      </c>
      <c r="Q44" s="54"/>
      <c r="R44" s="12"/>
    </row>
    <row r="45" spans="3:18" x14ac:dyDescent="0.3">
      <c r="D45" s="1">
        <v>44</v>
      </c>
      <c r="E45" s="60">
        <f t="shared" si="1"/>
        <v>2360</v>
      </c>
      <c r="F45" s="54">
        <v>480</v>
      </c>
      <c r="G45" s="54"/>
      <c r="H45" s="54"/>
      <c r="I45" s="54"/>
      <c r="J45" s="54">
        <v>1050</v>
      </c>
      <c r="K45" s="54"/>
      <c r="L45" s="54"/>
      <c r="M45" s="54"/>
      <c r="N45" s="54"/>
      <c r="O45" s="54"/>
      <c r="P45" s="54">
        <v>730</v>
      </c>
      <c r="Q45" s="54">
        <v>100</v>
      </c>
      <c r="R45" s="12"/>
    </row>
    <row r="46" spans="3:18" x14ac:dyDescent="0.3">
      <c r="D46" s="1">
        <v>45</v>
      </c>
      <c r="E46" s="60">
        <f t="shared" si="1"/>
        <v>2410</v>
      </c>
      <c r="F46" s="54">
        <v>480</v>
      </c>
      <c r="G46" s="54"/>
      <c r="H46" s="54"/>
      <c r="I46" s="54"/>
      <c r="J46" s="54">
        <v>1050</v>
      </c>
      <c r="K46" s="54"/>
      <c r="L46" s="54"/>
      <c r="M46" s="54"/>
      <c r="N46" s="54"/>
      <c r="O46" s="54"/>
      <c r="P46" s="54">
        <v>730</v>
      </c>
      <c r="Q46" s="54"/>
      <c r="R46" s="12">
        <v>150</v>
      </c>
    </row>
    <row r="47" spans="3:18" x14ac:dyDescent="0.3">
      <c r="D47" s="1">
        <v>46</v>
      </c>
      <c r="E47" s="60">
        <f t="shared" si="1"/>
        <v>880</v>
      </c>
      <c r="F47" s="54"/>
      <c r="G47" s="54">
        <v>750</v>
      </c>
      <c r="H47" s="54"/>
      <c r="I47" s="54"/>
      <c r="J47" s="54"/>
      <c r="K47" s="54"/>
      <c r="L47" s="54">
        <v>130</v>
      </c>
      <c r="M47" s="54"/>
      <c r="N47" s="54"/>
      <c r="O47" s="54"/>
      <c r="P47" s="54"/>
      <c r="Q47" s="54"/>
      <c r="R47" s="12"/>
    </row>
    <row r="48" spans="3:18" x14ac:dyDescent="0.3">
      <c r="D48" s="1">
        <v>47</v>
      </c>
      <c r="E48" s="60">
        <f t="shared" si="1"/>
        <v>980</v>
      </c>
      <c r="F48" s="54"/>
      <c r="G48" s="54">
        <v>750</v>
      </c>
      <c r="H48" s="54"/>
      <c r="I48" s="54"/>
      <c r="J48" s="54"/>
      <c r="K48" s="54"/>
      <c r="L48" s="54">
        <v>130</v>
      </c>
      <c r="M48" s="54"/>
      <c r="N48" s="54"/>
      <c r="O48" s="54"/>
      <c r="P48" s="54"/>
      <c r="Q48" s="54">
        <v>100</v>
      </c>
      <c r="R48" s="12"/>
    </row>
    <row r="49" spans="4:18" x14ac:dyDescent="0.3">
      <c r="D49" s="1">
        <v>48</v>
      </c>
      <c r="E49" s="60">
        <f t="shared" si="1"/>
        <v>1030</v>
      </c>
      <c r="F49" s="54"/>
      <c r="G49" s="54">
        <v>750</v>
      </c>
      <c r="H49" s="54"/>
      <c r="I49" s="54"/>
      <c r="J49" s="54"/>
      <c r="K49" s="54"/>
      <c r="L49" s="54">
        <v>130</v>
      </c>
      <c r="M49" s="54"/>
      <c r="N49" s="54"/>
      <c r="O49" s="54"/>
      <c r="P49" s="54"/>
      <c r="Q49" s="54"/>
      <c r="R49" s="12">
        <v>150</v>
      </c>
    </row>
    <row r="50" spans="4:18" x14ac:dyDescent="0.3">
      <c r="D50" s="1">
        <v>49</v>
      </c>
      <c r="E50" s="60">
        <f t="shared" si="1"/>
        <v>1030</v>
      </c>
      <c r="F50" s="54"/>
      <c r="G50" s="54">
        <v>750</v>
      </c>
      <c r="H50" s="54"/>
      <c r="I50" s="54"/>
      <c r="J50" s="54"/>
      <c r="K50" s="54"/>
      <c r="L50" s="54"/>
      <c r="M50" s="54">
        <v>280</v>
      </c>
      <c r="N50" s="54"/>
      <c r="O50" s="54"/>
      <c r="P50" s="54"/>
      <c r="Q50" s="54"/>
      <c r="R50" s="12"/>
    </row>
    <row r="51" spans="4:18" x14ac:dyDescent="0.3">
      <c r="D51" s="1">
        <v>50</v>
      </c>
      <c r="E51" s="60">
        <f t="shared" si="1"/>
        <v>1130</v>
      </c>
      <c r="F51" s="54"/>
      <c r="G51" s="54">
        <v>750</v>
      </c>
      <c r="H51" s="54"/>
      <c r="I51" s="54"/>
      <c r="J51" s="54"/>
      <c r="K51" s="54"/>
      <c r="L51" s="54"/>
      <c r="M51" s="54">
        <v>280</v>
      </c>
      <c r="N51" s="54"/>
      <c r="O51" s="54"/>
      <c r="P51" s="54"/>
      <c r="Q51" s="54">
        <v>100</v>
      </c>
      <c r="R51" s="12"/>
    </row>
    <row r="52" spans="4:18" x14ac:dyDescent="0.3">
      <c r="D52" s="1">
        <v>51</v>
      </c>
      <c r="E52" s="60">
        <f t="shared" si="1"/>
        <v>1180</v>
      </c>
      <c r="F52" s="54"/>
      <c r="G52" s="54">
        <v>750</v>
      </c>
      <c r="H52" s="54"/>
      <c r="I52" s="54"/>
      <c r="J52" s="54"/>
      <c r="K52" s="54"/>
      <c r="L52" s="54"/>
      <c r="M52" s="54">
        <v>280</v>
      </c>
      <c r="N52" s="54"/>
      <c r="O52" s="54"/>
      <c r="P52" s="54"/>
      <c r="Q52" s="54"/>
      <c r="R52" s="12">
        <v>150</v>
      </c>
    </row>
    <row r="53" spans="4:18" x14ac:dyDescent="0.3">
      <c r="D53" s="1">
        <v>52</v>
      </c>
      <c r="E53" s="60">
        <f t="shared" si="1"/>
        <v>1180</v>
      </c>
      <c r="F53" s="54"/>
      <c r="G53" s="54">
        <v>750</v>
      </c>
      <c r="H53" s="54"/>
      <c r="I53" s="54"/>
      <c r="J53" s="54"/>
      <c r="K53" s="54"/>
      <c r="L53" s="54"/>
      <c r="M53" s="54"/>
      <c r="N53" s="54">
        <v>430</v>
      </c>
      <c r="O53" s="54"/>
      <c r="P53" s="54"/>
      <c r="Q53" s="54"/>
      <c r="R53" s="12"/>
    </row>
    <row r="54" spans="4:18" x14ac:dyDescent="0.3">
      <c r="D54" s="1">
        <v>53</v>
      </c>
      <c r="E54" s="60">
        <f t="shared" si="1"/>
        <v>1280</v>
      </c>
      <c r="F54" s="54"/>
      <c r="G54" s="54">
        <v>750</v>
      </c>
      <c r="H54" s="54"/>
      <c r="I54" s="54"/>
      <c r="J54" s="54"/>
      <c r="K54" s="54"/>
      <c r="L54" s="54"/>
      <c r="M54" s="54"/>
      <c r="N54" s="54">
        <v>430</v>
      </c>
      <c r="O54" s="54"/>
      <c r="P54" s="54"/>
      <c r="Q54" s="54">
        <v>100</v>
      </c>
      <c r="R54" s="12"/>
    </row>
    <row r="55" spans="4:18" x14ac:dyDescent="0.3">
      <c r="D55" s="1">
        <v>54</v>
      </c>
      <c r="E55" s="60">
        <f t="shared" si="1"/>
        <v>1330</v>
      </c>
      <c r="F55" s="54"/>
      <c r="G55" s="54">
        <v>750</v>
      </c>
      <c r="H55" s="54"/>
      <c r="I55" s="54"/>
      <c r="J55" s="54"/>
      <c r="K55" s="54"/>
      <c r="L55" s="54"/>
      <c r="M55" s="54"/>
      <c r="N55" s="54">
        <v>430</v>
      </c>
      <c r="O55" s="54"/>
      <c r="P55" s="54"/>
      <c r="Q55" s="54"/>
      <c r="R55" s="12">
        <v>150</v>
      </c>
    </row>
    <row r="56" spans="4:18" x14ac:dyDescent="0.3">
      <c r="D56" s="1">
        <v>55</v>
      </c>
      <c r="E56" s="60">
        <f t="shared" si="1"/>
        <v>1330</v>
      </c>
      <c r="F56" s="54"/>
      <c r="G56" s="54">
        <v>750</v>
      </c>
      <c r="H56" s="54"/>
      <c r="I56" s="54"/>
      <c r="J56" s="54"/>
      <c r="K56" s="54"/>
      <c r="L56" s="54"/>
      <c r="M56" s="54"/>
      <c r="N56" s="54"/>
      <c r="O56" s="54">
        <v>580</v>
      </c>
      <c r="P56" s="54"/>
      <c r="Q56" s="54"/>
      <c r="R56" s="12"/>
    </row>
    <row r="57" spans="4:18" x14ac:dyDescent="0.3">
      <c r="D57" s="1">
        <v>56</v>
      </c>
      <c r="E57" s="60">
        <f t="shared" si="1"/>
        <v>1430</v>
      </c>
      <c r="F57" s="54"/>
      <c r="G57" s="54">
        <v>750</v>
      </c>
      <c r="H57" s="54"/>
      <c r="I57" s="54"/>
      <c r="J57" s="54"/>
      <c r="K57" s="54"/>
      <c r="L57" s="54"/>
      <c r="M57" s="54"/>
      <c r="N57" s="54"/>
      <c r="O57" s="54">
        <v>580</v>
      </c>
      <c r="P57" s="54"/>
      <c r="Q57" s="54">
        <v>100</v>
      </c>
      <c r="R57" s="12"/>
    </row>
    <row r="58" spans="4:18" x14ac:dyDescent="0.3">
      <c r="D58" s="1">
        <v>57</v>
      </c>
      <c r="E58" s="60">
        <f t="shared" si="1"/>
        <v>1480</v>
      </c>
      <c r="F58" s="54"/>
      <c r="G58" s="54">
        <v>750</v>
      </c>
      <c r="H58" s="54"/>
      <c r="I58" s="54"/>
      <c r="J58" s="54"/>
      <c r="K58" s="54"/>
      <c r="L58" s="54"/>
      <c r="M58" s="54"/>
      <c r="N58" s="54"/>
      <c r="O58" s="54">
        <v>580</v>
      </c>
      <c r="P58" s="54"/>
      <c r="Q58" s="54"/>
      <c r="R58" s="12">
        <v>150</v>
      </c>
    </row>
    <row r="59" spans="4:18" x14ac:dyDescent="0.3">
      <c r="D59" s="1">
        <v>58</v>
      </c>
      <c r="E59" s="60">
        <f t="shared" si="1"/>
        <v>1480</v>
      </c>
      <c r="F59" s="54"/>
      <c r="G59" s="54">
        <v>750</v>
      </c>
      <c r="H59" s="54"/>
      <c r="I59" s="54"/>
      <c r="J59" s="54"/>
      <c r="K59" s="54"/>
      <c r="L59" s="54"/>
      <c r="M59" s="54"/>
      <c r="N59" s="54"/>
      <c r="O59" s="54"/>
      <c r="P59" s="54">
        <v>730</v>
      </c>
      <c r="Q59" s="54"/>
      <c r="R59" s="12"/>
    </row>
    <row r="60" spans="4:18" x14ac:dyDescent="0.3">
      <c r="D60" s="1">
        <v>59</v>
      </c>
      <c r="E60" s="60">
        <f t="shared" si="1"/>
        <v>1580</v>
      </c>
      <c r="F60" s="54"/>
      <c r="G60" s="54">
        <v>750</v>
      </c>
      <c r="H60" s="54"/>
      <c r="I60" s="54"/>
      <c r="J60" s="54"/>
      <c r="K60" s="54"/>
      <c r="L60" s="54"/>
      <c r="M60" s="54"/>
      <c r="N60" s="54"/>
      <c r="O60" s="54"/>
      <c r="P60" s="54">
        <v>730</v>
      </c>
      <c r="Q60" s="54">
        <v>100</v>
      </c>
      <c r="R60" s="12"/>
    </row>
    <row r="61" spans="4:18" x14ac:dyDescent="0.3">
      <c r="D61" s="1">
        <v>60</v>
      </c>
      <c r="E61" s="60">
        <f t="shared" si="1"/>
        <v>1630</v>
      </c>
      <c r="F61" s="54"/>
      <c r="G61" s="54">
        <v>750</v>
      </c>
      <c r="H61" s="54"/>
      <c r="I61" s="54"/>
      <c r="J61" s="54"/>
      <c r="K61" s="54"/>
      <c r="L61" s="54"/>
      <c r="M61" s="54"/>
      <c r="N61" s="54"/>
      <c r="O61" s="54"/>
      <c r="P61" s="54">
        <v>730</v>
      </c>
      <c r="Q61" s="54"/>
      <c r="R61" s="12">
        <v>150</v>
      </c>
    </row>
    <row r="62" spans="4:18" x14ac:dyDescent="0.3">
      <c r="D62" s="1">
        <v>61</v>
      </c>
      <c r="E62" s="60">
        <f t="shared" si="1"/>
        <v>1630</v>
      </c>
      <c r="F62" s="54"/>
      <c r="G62" s="54">
        <v>750</v>
      </c>
      <c r="H62" s="54">
        <v>750</v>
      </c>
      <c r="I62" s="54"/>
      <c r="J62" s="54"/>
      <c r="K62" s="54"/>
      <c r="L62" s="54">
        <v>130</v>
      </c>
      <c r="M62" s="54"/>
      <c r="N62" s="54"/>
      <c r="O62" s="54"/>
      <c r="P62" s="54"/>
      <c r="Q62" s="54"/>
      <c r="R62" s="12"/>
    </row>
    <row r="63" spans="4:18" x14ac:dyDescent="0.3">
      <c r="D63" s="1">
        <v>62</v>
      </c>
      <c r="E63" s="60">
        <f t="shared" si="1"/>
        <v>1730</v>
      </c>
      <c r="F63" s="54"/>
      <c r="G63" s="54">
        <v>750</v>
      </c>
      <c r="H63" s="54">
        <v>750</v>
      </c>
      <c r="I63" s="54"/>
      <c r="J63" s="54"/>
      <c r="K63" s="54"/>
      <c r="L63" s="54">
        <v>130</v>
      </c>
      <c r="M63" s="54"/>
      <c r="N63" s="54"/>
      <c r="O63" s="54"/>
      <c r="P63" s="54"/>
      <c r="Q63" s="54">
        <v>100</v>
      </c>
      <c r="R63" s="12"/>
    </row>
    <row r="64" spans="4:18" x14ac:dyDescent="0.3">
      <c r="D64" s="1">
        <v>63</v>
      </c>
      <c r="E64" s="60">
        <f t="shared" si="1"/>
        <v>1780</v>
      </c>
      <c r="F64" s="54"/>
      <c r="G64" s="54">
        <v>750</v>
      </c>
      <c r="H64" s="54">
        <v>750</v>
      </c>
      <c r="I64" s="54"/>
      <c r="J64" s="54"/>
      <c r="K64" s="54"/>
      <c r="L64" s="54">
        <v>130</v>
      </c>
      <c r="M64" s="54"/>
      <c r="N64" s="54"/>
      <c r="O64" s="54"/>
      <c r="P64" s="54"/>
      <c r="Q64" s="54"/>
      <c r="R64" s="12">
        <v>150</v>
      </c>
    </row>
    <row r="65" spans="4:18" x14ac:dyDescent="0.3">
      <c r="D65" s="1">
        <v>64</v>
      </c>
      <c r="E65" s="60">
        <f t="shared" si="1"/>
        <v>1780</v>
      </c>
      <c r="F65" s="54"/>
      <c r="G65" s="54">
        <v>750</v>
      </c>
      <c r="H65" s="54">
        <v>750</v>
      </c>
      <c r="I65" s="54"/>
      <c r="J65" s="54"/>
      <c r="K65" s="54"/>
      <c r="L65" s="54"/>
      <c r="M65" s="54">
        <v>280</v>
      </c>
      <c r="N65" s="54"/>
      <c r="O65" s="54"/>
      <c r="P65" s="54"/>
      <c r="Q65" s="54"/>
      <c r="R65" s="12"/>
    </row>
    <row r="66" spans="4:18" x14ac:dyDescent="0.3">
      <c r="D66" s="1">
        <v>65</v>
      </c>
      <c r="E66" s="60">
        <f t="shared" ref="E66:E97" si="2">SUM(F66:R66)</f>
        <v>1880</v>
      </c>
      <c r="F66" s="54"/>
      <c r="G66" s="54">
        <v>750</v>
      </c>
      <c r="H66" s="54">
        <v>750</v>
      </c>
      <c r="I66" s="54"/>
      <c r="J66" s="54"/>
      <c r="K66" s="54"/>
      <c r="L66" s="54"/>
      <c r="M66" s="54">
        <v>280</v>
      </c>
      <c r="N66" s="54"/>
      <c r="O66" s="54"/>
      <c r="P66" s="54"/>
      <c r="Q66" s="54">
        <v>100</v>
      </c>
      <c r="R66" s="12"/>
    </row>
    <row r="67" spans="4:18" x14ac:dyDescent="0.3">
      <c r="D67" s="1">
        <v>66</v>
      </c>
      <c r="E67" s="60">
        <f t="shared" si="2"/>
        <v>1930</v>
      </c>
      <c r="F67" s="54"/>
      <c r="G67" s="54">
        <v>750</v>
      </c>
      <c r="H67" s="54">
        <v>750</v>
      </c>
      <c r="I67" s="54"/>
      <c r="J67" s="54"/>
      <c r="K67" s="54"/>
      <c r="L67" s="54"/>
      <c r="M67" s="54">
        <v>280</v>
      </c>
      <c r="N67" s="54"/>
      <c r="O67" s="54"/>
      <c r="P67" s="54"/>
      <c r="Q67" s="54"/>
      <c r="R67" s="12">
        <v>150</v>
      </c>
    </row>
    <row r="68" spans="4:18" x14ac:dyDescent="0.3">
      <c r="D68" s="1">
        <v>67</v>
      </c>
      <c r="E68" s="60">
        <f t="shared" si="2"/>
        <v>1930</v>
      </c>
      <c r="F68" s="54"/>
      <c r="G68" s="54">
        <v>750</v>
      </c>
      <c r="H68" s="54">
        <v>750</v>
      </c>
      <c r="I68" s="54"/>
      <c r="J68" s="54"/>
      <c r="K68" s="54"/>
      <c r="L68" s="54"/>
      <c r="M68" s="54"/>
      <c r="N68" s="54">
        <v>430</v>
      </c>
      <c r="O68" s="54"/>
      <c r="P68" s="54"/>
      <c r="Q68" s="54"/>
      <c r="R68" s="12"/>
    </row>
    <row r="69" spans="4:18" x14ac:dyDescent="0.3">
      <c r="D69" s="1">
        <v>68</v>
      </c>
      <c r="E69" s="60">
        <f t="shared" si="2"/>
        <v>1930</v>
      </c>
      <c r="F69" s="54"/>
      <c r="G69" s="54">
        <v>750</v>
      </c>
      <c r="H69" s="54"/>
      <c r="I69" s="54"/>
      <c r="J69" s="54">
        <v>1050</v>
      </c>
      <c r="K69" s="54"/>
      <c r="L69" s="54">
        <v>130</v>
      </c>
      <c r="M69" s="54"/>
      <c r="N69" s="54"/>
      <c r="O69" s="54"/>
      <c r="P69" s="54"/>
      <c r="Q69" s="54"/>
      <c r="R69" s="12"/>
    </row>
    <row r="70" spans="4:18" x14ac:dyDescent="0.3">
      <c r="D70" s="1">
        <v>69</v>
      </c>
      <c r="E70" s="60">
        <f t="shared" si="2"/>
        <v>2030</v>
      </c>
      <c r="F70" s="54"/>
      <c r="G70" s="54">
        <v>750</v>
      </c>
      <c r="H70" s="54">
        <v>750</v>
      </c>
      <c r="I70" s="54"/>
      <c r="J70" s="54"/>
      <c r="K70" s="54"/>
      <c r="L70" s="54"/>
      <c r="M70" s="54"/>
      <c r="N70" s="54">
        <v>430</v>
      </c>
      <c r="O70" s="54"/>
      <c r="P70" s="54"/>
      <c r="Q70" s="54">
        <v>100</v>
      </c>
      <c r="R70" s="12"/>
    </row>
    <row r="71" spans="4:18" x14ac:dyDescent="0.3">
      <c r="D71" s="1">
        <v>70</v>
      </c>
      <c r="E71" s="60">
        <f t="shared" si="2"/>
        <v>2030</v>
      </c>
      <c r="F71" s="54"/>
      <c r="G71" s="54">
        <v>750</v>
      </c>
      <c r="H71" s="54"/>
      <c r="I71" s="54"/>
      <c r="J71" s="54">
        <v>1050</v>
      </c>
      <c r="K71" s="54"/>
      <c r="L71" s="54">
        <v>130</v>
      </c>
      <c r="M71" s="54"/>
      <c r="N71" s="54"/>
      <c r="O71" s="54"/>
      <c r="P71" s="54"/>
      <c r="Q71" s="54">
        <v>100</v>
      </c>
      <c r="R71" s="12"/>
    </row>
    <row r="72" spans="4:18" x14ac:dyDescent="0.3">
      <c r="D72" s="1">
        <v>71</v>
      </c>
      <c r="E72" s="60">
        <f t="shared" si="2"/>
        <v>2080</v>
      </c>
      <c r="F72" s="54"/>
      <c r="G72" s="54">
        <v>750</v>
      </c>
      <c r="H72" s="54">
        <v>750</v>
      </c>
      <c r="I72" s="54"/>
      <c r="J72" s="54"/>
      <c r="K72" s="54"/>
      <c r="L72" s="54"/>
      <c r="M72" s="54"/>
      <c r="N72" s="54">
        <v>430</v>
      </c>
      <c r="O72" s="54"/>
      <c r="P72" s="54"/>
      <c r="Q72" s="54"/>
      <c r="R72" s="12">
        <v>150</v>
      </c>
    </row>
    <row r="73" spans="4:18" x14ac:dyDescent="0.3">
      <c r="D73" s="1">
        <v>72</v>
      </c>
      <c r="E73" s="60">
        <f t="shared" si="2"/>
        <v>2080</v>
      </c>
      <c r="F73" s="54"/>
      <c r="G73" s="54">
        <v>750</v>
      </c>
      <c r="H73" s="54">
        <v>750</v>
      </c>
      <c r="I73" s="54"/>
      <c r="J73" s="54"/>
      <c r="K73" s="54"/>
      <c r="L73" s="54"/>
      <c r="M73" s="54"/>
      <c r="N73" s="54"/>
      <c r="O73" s="54">
        <v>580</v>
      </c>
      <c r="P73" s="54"/>
      <c r="Q73" s="54"/>
      <c r="R73" s="12"/>
    </row>
    <row r="74" spans="4:18" x14ac:dyDescent="0.3">
      <c r="D74" s="1">
        <v>73</v>
      </c>
      <c r="E74" s="60">
        <f t="shared" si="2"/>
        <v>2080</v>
      </c>
      <c r="F74" s="54"/>
      <c r="G74" s="54">
        <v>750</v>
      </c>
      <c r="H74" s="54"/>
      <c r="I74" s="54"/>
      <c r="J74" s="54">
        <v>1050</v>
      </c>
      <c r="K74" s="54"/>
      <c r="L74" s="54">
        <v>130</v>
      </c>
      <c r="M74" s="54"/>
      <c r="N74" s="54"/>
      <c r="O74" s="54"/>
      <c r="P74" s="54"/>
      <c r="Q74" s="54"/>
      <c r="R74" s="12">
        <v>150</v>
      </c>
    </row>
    <row r="75" spans="4:18" x14ac:dyDescent="0.3">
      <c r="D75" s="1">
        <v>74</v>
      </c>
      <c r="E75" s="60">
        <f t="shared" si="2"/>
        <v>2080</v>
      </c>
      <c r="F75" s="54"/>
      <c r="G75" s="54">
        <v>750</v>
      </c>
      <c r="H75" s="54"/>
      <c r="I75" s="54"/>
      <c r="J75" s="54">
        <v>1050</v>
      </c>
      <c r="K75" s="54"/>
      <c r="L75" s="54"/>
      <c r="M75" s="54">
        <v>280</v>
      </c>
      <c r="N75" s="54"/>
      <c r="O75" s="54"/>
      <c r="P75" s="54"/>
      <c r="Q75" s="54"/>
      <c r="R75" s="12"/>
    </row>
    <row r="76" spans="4:18" x14ac:dyDescent="0.3">
      <c r="D76" s="1">
        <v>75</v>
      </c>
      <c r="E76" s="60">
        <f t="shared" si="2"/>
        <v>2180</v>
      </c>
      <c r="F76" s="54"/>
      <c r="G76" s="54">
        <v>750</v>
      </c>
      <c r="H76" s="54">
        <v>750</v>
      </c>
      <c r="I76" s="54"/>
      <c r="J76" s="54"/>
      <c r="K76" s="54"/>
      <c r="L76" s="54"/>
      <c r="M76" s="54"/>
      <c r="N76" s="54"/>
      <c r="O76" s="54">
        <v>580</v>
      </c>
      <c r="P76" s="54"/>
      <c r="Q76" s="54">
        <v>100</v>
      </c>
      <c r="R76" s="12"/>
    </row>
    <row r="77" spans="4:18" x14ac:dyDescent="0.3">
      <c r="D77" s="1">
        <v>76</v>
      </c>
      <c r="E77" s="60">
        <f t="shared" si="2"/>
        <v>2180</v>
      </c>
      <c r="F77" s="54"/>
      <c r="G77" s="54">
        <v>750</v>
      </c>
      <c r="H77" s="54"/>
      <c r="I77" s="54"/>
      <c r="J77" s="54">
        <v>1050</v>
      </c>
      <c r="K77" s="54"/>
      <c r="L77" s="54"/>
      <c r="M77" s="54">
        <v>280</v>
      </c>
      <c r="N77" s="54"/>
      <c r="O77" s="54"/>
      <c r="P77" s="54"/>
      <c r="Q77" s="54">
        <v>100</v>
      </c>
      <c r="R77" s="12"/>
    </row>
    <row r="78" spans="4:18" x14ac:dyDescent="0.3">
      <c r="D78" s="1">
        <v>77</v>
      </c>
      <c r="E78" s="60">
        <f t="shared" si="2"/>
        <v>2230</v>
      </c>
      <c r="F78" s="54"/>
      <c r="G78" s="54">
        <v>750</v>
      </c>
      <c r="H78" s="54">
        <v>750</v>
      </c>
      <c r="I78" s="54"/>
      <c r="J78" s="54"/>
      <c r="K78" s="54"/>
      <c r="L78" s="54"/>
      <c r="M78" s="54"/>
      <c r="N78" s="54"/>
      <c r="O78" s="54">
        <v>580</v>
      </c>
      <c r="P78" s="54"/>
      <c r="Q78" s="54"/>
      <c r="R78" s="12">
        <v>150</v>
      </c>
    </row>
    <row r="79" spans="4:18" x14ac:dyDescent="0.3">
      <c r="D79" s="1">
        <v>78</v>
      </c>
      <c r="E79" s="60">
        <f t="shared" si="2"/>
        <v>2230</v>
      </c>
      <c r="F79" s="54"/>
      <c r="G79" s="54">
        <v>750</v>
      </c>
      <c r="H79" s="54">
        <v>750</v>
      </c>
      <c r="I79" s="54"/>
      <c r="J79" s="54"/>
      <c r="K79" s="54"/>
      <c r="L79" s="54"/>
      <c r="M79" s="54"/>
      <c r="N79" s="54"/>
      <c r="O79" s="54"/>
      <c r="P79" s="54">
        <v>730</v>
      </c>
      <c r="Q79" s="54"/>
      <c r="R79" s="12"/>
    </row>
    <row r="80" spans="4:18" x14ac:dyDescent="0.3">
      <c r="D80" s="1">
        <v>79</v>
      </c>
      <c r="E80" s="60">
        <f t="shared" si="2"/>
        <v>2230</v>
      </c>
      <c r="F80" s="54"/>
      <c r="G80" s="54">
        <v>750</v>
      </c>
      <c r="H80" s="54"/>
      <c r="I80" s="54"/>
      <c r="J80" s="54">
        <v>1050</v>
      </c>
      <c r="K80" s="54"/>
      <c r="L80" s="54"/>
      <c r="M80" s="54">
        <v>280</v>
      </c>
      <c r="N80" s="54"/>
      <c r="O80" s="54"/>
      <c r="P80" s="54"/>
      <c r="Q80" s="54"/>
      <c r="R80" s="12">
        <v>150</v>
      </c>
    </row>
    <row r="81" spans="4:18" x14ac:dyDescent="0.3">
      <c r="D81" s="1">
        <v>80</v>
      </c>
      <c r="E81" s="60">
        <f t="shared" si="2"/>
        <v>2230</v>
      </c>
      <c r="F81" s="54"/>
      <c r="G81" s="54">
        <v>750</v>
      </c>
      <c r="H81" s="54"/>
      <c r="I81" s="54"/>
      <c r="J81" s="54">
        <v>1050</v>
      </c>
      <c r="K81" s="54"/>
      <c r="L81" s="54"/>
      <c r="M81" s="54"/>
      <c r="N81" s="54">
        <v>430</v>
      </c>
      <c r="O81" s="54"/>
      <c r="P81" s="54"/>
      <c r="Q81" s="54"/>
      <c r="R81" s="12"/>
    </row>
    <row r="82" spans="4:18" x14ac:dyDescent="0.3">
      <c r="D82" s="1">
        <v>81</v>
      </c>
      <c r="E82" s="60">
        <f t="shared" si="2"/>
        <v>2330</v>
      </c>
      <c r="F82" s="54"/>
      <c r="G82" s="54">
        <v>750</v>
      </c>
      <c r="H82" s="54">
        <v>750</v>
      </c>
      <c r="I82" s="54"/>
      <c r="J82" s="54"/>
      <c r="K82" s="54"/>
      <c r="L82" s="54"/>
      <c r="M82" s="54"/>
      <c r="N82" s="54"/>
      <c r="O82" s="54"/>
      <c r="P82" s="54">
        <v>730</v>
      </c>
      <c r="Q82" s="54">
        <v>100</v>
      </c>
      <c r="R82" s="12"/>
    </row>
    <row r="83" spans="4:18" x14ac:dyDescent="0.3">
      <c r="D83" s="1">
        <v>82</v>
      </c>
      <c r="E83" s="60">
        <f t="shared" si="2"/>
        <v>2330</v>
      </c>
      <c r="F83" s="54"/>
      <c r="G83" s="54">
        <v>750</v>
      </c>
      <c r="H83" s="54"/>
      <c r="I83" s="54"/>
      <c r="J83" s="54">
        <v>1050</v>
      </c>
      <c r="K83" s="54"/>
      <c r="L83" s="54"/>
      <c r="M83" s="54"/>
      <c r="N83" s="54">
        <v>430</v>
      </c>
      <c r="O83" s="54"/>
      <c r="P83" s="54"/>
      <c r="Q83" s="54">
        <v>100</v>
      </c>
      <c r="R83" s="12"/>
    </row>
    <row r="84" spans="4:18" x14ac:dyDescent="0.3">
      <c r="D84" s="1">
        <v>83</v>
      </c>
      <c r="E84" s="60">
        <f t="shared" si="2"/>
        <v>2380</v>
      </c>
      <c r="F84" s="54"/>
      <c r="G84" s="54">
        <v>750</v>
      </c>
      <c r="H84" s="54">
        <v>750</v>
      </c>
      <c r="I84" s="54"/>
      <c r="J84" s="54"/>
      <c r="K84" s="54"/>
      <c r="L84" s="54"/>
      <c r="M84" s="54"/>
      <c r="N84" s="54"/>
      <c r="O84" s="54"/>
      <c r="P84" s="54">
        <v>730</v>
      </c>
      <c r="Q84" s="54"/>
      <c r="R84" s="12">
        <v>150</v>
      </c>
    </row>
    <row r="85" spans="4:18" x14ac:dyDescent="0.3">
      <c r="D85" s="1">
        <v>84</v>
      </c>
      <c r="E85" s="60">
        <f t="shared" si="2"/>
        <v>2380</v>
      </c>
      <c r="F85" s="54"/>
      <c r="G85" s="54">
        <v>750</v>
      </c>
      <c r="H85" s="54"/>
      <c r="I85" s="54"/>
      <c r="J85" s="54">
        <v>1050</v>
      </c>
      <c r="K85" s="54"/>
      <c r="L85" s="54"/>
      <c r="M85" s="54"/>
      <c r="N85" s="54">
        <v>430</v>
      </c>
      <c r="O85" s="54"/>
      <c r="P85" s="54"/>
      <c r="Q85" s="54"/>
      <c r="R85" s="12">
        <v>150</v>
      </c>
    </row>
    <row r="86" spans="4:18" x14ac:dyDescent="0.3">
      <c r="D86" s="1">
        <v>85</v>
      </c>
      <c r="E86" s="60">
        <f t="shared" si="2"/>
        <v>2380</v>
      </c>
      <c r="F86" s="54"/>
      <c r="G86" s="54">
        <v>750</v>
      </c>
      <c r="H86" s="54"/>
      <c r="I86" s="54"/>
      <c r="J86" s="54">
        <v>1050</v>
      </c>
      <c r="K86" s="54"/>
      <c r="L86" s="54"/>
      <c r="M86" s="54"/>
      <c r="N86" s="54"/>
      <c r="O86" s="54">
        <v>580</v>
      </c>
      <c r="P86" s="54"/>
      <c r="Q86" s="54"/>
      <c r="R86" s="12"/>
    </row>
    <row r="87" spans="4:18" x14ac:dyDescent="0.3">
      <c r="D87" s="1">
        <v>86</v>
      </c>
      <c r="E87" s="60">
        <f t="shared" si="2"/>
        <v>2380</v>
      </c>
      <c r="F87" s="54"/>
      <c r="G87" s="54">
        <v>750</v>
      </c>
      <c r="H87" s="54">
        <v>750</v>
      </c>
      <c r="I87" s="54">
        <v>750</v>
      </c>
      <c r="J87" s="54"/>
      <c r="K87" s="54"/>
      <c r="L87" s="54">
        <v>130</v>
      </c>
      <c r="M87" s="54"/>
      <c r="N87" s="54"/>
      <c r="O87" s="54"/>
      <c r="P87" s="54"/>
      <c r="Q87" s="54"/>
      <c r="R87" s="12"/>
    </row>
    <row r="88" spans="4:18" x14ac:dyDescent="0.3">
      <c r="D88" s="1">
        <v>87</v>
      </c>
      <c r="E88" s="60">
        <f t="shared" si="2"/>
        <v>2480</v>
      </c>
      <c r="F88" s="54"/>
      <c r="G88" s="54">
        <v>750</v>
      </c>
      <c r="H88" s="54"/>
      <c r="I88" s="54"/>
      <c r="J88" s="54">
        <v>1050</v>
      </c>
      <c r="K88" s="54"/>
      <c r="L88" s="54"/>
      <c r="M88" s="54"/>
      <c r="N88" s="54"/>
      <c r="O88" s="54">
        <v>580</v>
      </c>
      <c r="P88" s="54"/>
      <c r="Q88" s="54">
        <v>100</v>
      </c>
      <c r="R88" s="12"/>
    </row>
    <row r="89" spans="4:18" x14ac:dyDescent="0.3">
      <c r="D89" s="1">
        <v>88</v>
      </c>
      <c r="E89" s="60">
        <f t="shared" si="2"/>
        <v>2480</v>
      </c>
      <c r="F89" s="54"/>
      <c r="G89" s="54">
        <v>750</v>
      </c>
      <c r="H89" s="54">
        <v>750</v>
      </c>
      <c r="I89" s="54">
        <v>750</v>
      </c>
      <c r="J89" s="54"/>
      <c r="K89" s="54"/>
      <c r="L89" s="54">
        <v>130</v>
      </c>
      <c r="M89" s="54"/>
      <c r="N89" s="54"/>
      <c r="O89" s="54"/>
      <c r="P89" s="54"/>
      <c r="Q89" s="54">
        <v>100</v>
      </c>
      <c r="R89" s="12"/>
    </row>
    <row r="90" spans="4:18" x14ac:dyDescent="0.3">
      <c r="D90" s="1">
        <v>89</v>
      </c>
      <c r="E90" s="60">
        <f t="shared" si="2"/>
        <v>2530</v>
      </c>
      <c r="F90" s="54"/>
      <c r="G90" s="54">
        <v>750</v>
      </c>
      <c r="H90" s="54"/>
      <c r="I90" s="54"/>
      <c r="J90" s="54">
        <v>1050</v>
      </c>
      <c r="K90" s="54"/>
      <c r="L90" s="54"/>
      <c r="M90" s="54"/>
      <c r="N90" s="54"/>
      <c r="O90" s="54">
        <v>580</v>
      </c>
      <c r="P90" s="54"/>
      <c r="Q90" s="54"/>
      <c r="R90" s="12">
        <v>150</v>
      </c>
    </row>
    <row r="91" spans="4:18" x14ac:dyDescent="0.3">
      <c r="D91" s="1">
        <v>90</v>
      </c>
      <c r="E91" s="60">
        <f t="shared" si="2"/>
        <v>2530</v>
      </c>
      <c r="F91" s="54"/>
      <c r="G91" s="54">
        <v>750</v>
      </c>
      <c r="H91" s="54"/>
      <c r="I91" s="54"/>
      <c r="J91" s="54">
        <v>1050</v>
      </c>
      <c r="K91" s="54"/>
      <c r="L91" s="54"/>
      <c r="M91" s="54"/>
      <c r="N91" s="54"/>
      <c r="O91" s="54"/>
      <c r="P91" s="54">
        <v>730</v>
      </c>
      <c r="Q91" s="54"/>
      <c r="R91" s="12"/>
    </row>
    <row r="92" spans="4:18" x14ac:dyDescent="0.3">
      <c r="D92" s="1">
        <v>91</v>
      </c>
      <c r="E92" s="60">
        <f t="shared" si="2"/>
        <v>2530</v>
      </c>
      <c r="F92" s="54"/>
      <c r="G92" s="54">
        <v>750</v>
      </c>
      <c r="H92" s="54">
        <v>750</v>
      </c>
      <c r="I92" s="54">
        <v>750</v>
      </c>
      <c r="J92" s="54"/>
      <c r="K92" s="54"/>
      <c r="L92" s="54">
        <v>130</v>
      </c>
      <c r="M92" s="54"/>
      <c r="N92" s="54"/>
      <c r="O92" s="54"/>
      <c r="P92" s="54"/>
      <c r="Q92" s="54"/>
      <c r="R92" s="12">
        <v>150</v>
      </c>
    </row>
    <row r="93" spans="4:18" x14ac:dyDescent="0.3">
      <c r="D93" s="1">
        <v>92</v>
      </c>
      <c r="E93" s="60">
        <f t="shared" si="2"/>
        <v>2530</v>
      </c>
      <c r="F93" s="54"/>
      <c r="G93" s="54">
        <v>750</v>
      </c>
      <c r="H93" s="54">
        <v>750</v>
      </c>
      <c r="I93" s="54">
        <v>750</v>
      </c>
      <c r="J93" s="54"/>
      <c r="K93" s="54"/>
      <c r="L93" s="54"/>
      <c r="M93" s="54">
        <v>280</v>
      </c>
      <c r="N93" s="54"/>
      <c r="O93" s="54"/>
      <c r="P93" s="54"/>
      <c r="Q93" s="54"/>
      <c r="R93" s="12"/>
    </row>
    <row r="94" spans="4:18" x14ac:dyDescent="0.3">
      <c r="D94" s="1">
        <v>93</v>
      </c>
      <c r="E94" s="60">
        <f t="shared" si="2"/>
        <v>2630</v>
      </c>
      <c r="F94" s="54"/>
      <c r="G94" s="54">
        <v>750</v>
      </c>
      <c r="H94" s="54"/>
      <c r="I94" s="54"/>
      <c r="J94" s="54">
        <v>1050</v>
      </c>
      <c r="K94" s="54"/>
      <c r="L94" s="54"/>
      <c r="M94" s="54"/>
      <c r="N94" s="54"/>
      <c r="O94" s="54"/>
      <c r="P94" s="54">
        <v>730</v>
      </c>
      <c r="Q94" s="54">
        <v>100</v>
      </c>
      <c r="R94" s="12"/>
    </row>
    <row r="95" spans="4:18" x14ac:dyDescent="0.3">
      <c r="D95" s="1">
        <v>94</v>
      </c>
      <c r="E95" s="60">
        <f t="shared" si="2"/>
        <v>2630</v>
      </c>
      <c r="F95" s="54"/>
      <c r="G95" s="54">
        <v>750</v>
      </c>
      <c r="H95" s="54">
        <v>750</v>
      </c>
      <c r="I95" s="54">
        <v>750</v>
      </c>
      <c r="J95" s="54"/>
      <c r="K95" s="54"/>
      <c r="L95" s="54"/>
      <c r="M95" s="54">
        <v>280</v>
      </c>
      <c r="N95" s="54"/>
      <c r="O95" s="54"/>
      <c r="P95" s="54"/>
      <c r="Q95" s="54">
        <v>100</v>
      </c>
      <c r="R95" s="12"/>
    </row>
    <row r="96" spans="4:18" x14ac:dyDescent="0.3">
      <c r="D96" s="1">
        <v>95</v>
      </c>
      <c r="E96" s="60">
        <f t="shared" si="2"/>
        <v>2680</v>
      </c>
      <c r="F96" s="54"/>
      <c r="G96" s="54">
        <v>750</v>
      </c>
      <c r="H96" s="54"/>
      <c r="I96" s="54"/>
      <c r="J96" s="54">
        <v>1050</v>
      </c>
      <c r="K96" s="54"/>
      <c r="L96" s="54"/>
      <c r="M96" s="54"/>
      <c r="N96" s="54"/>
      <c r="O96" s="54"/>
      <c r="P96" s="54">
        <v>730</v>
      </c>
      <c r="Q96" s="54"/>
      <c r="R96" s="12">
        <v>150</v>
      </c>
    </row>
    <row r="97" spans="4:18" x14ac:dyDescent="0.3">
      <c r="D97" s="1">
        <v>96</v>
      </c>
      <c r="E97" s="60">
        <f t="shared" si="2"/>
        <v>2680</v>
      </c>
      <c r="F97" s="54"/>
      <c r="G97" s="54">
        <v>750</v>
      </c>
      <c r="H97" s="54">
        <v>750</v>
      </c>
      <c r="I97" s="54">
        <v>750</v>
      </c>
      <c r="J97" s="54"/>
      <c r="K97" s="54"/>
      <c r="L97" s="54"/>
      <c r="M97" s="54">
        <v>280</v>
      </c>
      <c r="N97" s="54"/>
      <c r="O97" s="54"/>
      <c r="P97" s="54"/>
      <c r="Q97" s="54"/>
      <c r="R97" s="12">
        <v>150</v>
      </c>
    </row>
    <row r="98" spans="4:18" x14ac:dyDescent="0.3">
      <c r="D98" s="1">
        <v>97</v>
      </c>
      <c r="E98" s="60">
        <f t="shared" ref="E98:E106" si="3">SUM(F98:R98)</f>
        <v>2680</v>
      </c>
      <c r="F98" s="54"/>
      <c r="G98" s="54">
        <v>750</v>
      </c>
      <c r="H98" s="54">
        <v>750</v>
      </c>
      <c r="I98" s="54">
        <v>750</v>
      </c>
      <c r="J98" s="54"/>
      <c r="K98" s="54"/>
      <c r="L98" s="54"/>
      <c r="M98" s="54"/>
      <c r="N98" s="54">
        <v>430</v>
      </c>
      <c r="O98" s="54"/>
      <c r="P98" s="54"/>
      <c r="Q98" s="54"/>
      <c r="R98" s="12"/>
    </row>
    <row r="99" spans="4:18" x14ac:dyDescent="0.3">
      <c r="D99" s="1">
        <v>98</v>
      </c>
      <c r="E99" s="60">
        <f t="shared" si="3"/>
        <v>2780</v>
      </c>
      <c r="F99" s="54"/>
      <c r="G99" s="54">
        <v>750</v>
      </c>
      <c r="H99" s="54">
        <v>750</v>
      </c>
      <c r="I99" s="54">
        <v>750</v>
      </c>
      <c r="J99" s="54"/>
      <c r="K99" s="54"/>
      <c r="L99" s="54"/>
      <c r="M99" s="54"/>
      <c r="N99" s="54">
        <v>430</v>
      </c>
      <c r="O99" s="54"/>
      <c r="P99" s="54"/>
      <c r="Q99" s="54">
        <v>100</v>
      </c>
      <c r="R99" s="12"/>
    </row>
    <row r="100" spans="4:18" x14ac:dyDescent="0.3">
      <c r="D100" s="1">
        <v>99</v>
      </c>
      <c r="E100" s="60">
        <f t="shared" si="3"/>
        <v>2830</v>
      </c>
      <c r="F100" s="54"/>
      <c r="G100" s="54">
        <v>750</v>
      </c>
      <c r="H100" s="54">
        <v>750</v>
      </c>
      <c r="I100" s="54">
        <v>750</v>
      </c>
      <c r="J100" s="54"/>
      <c r="K100" s="54"/>
      <c r="L100" s="54"/>
      <c r="M100" s="54"/>
      <c r="N100" s="54">
        <v>430</v>
      </c>
      <c r="O100" s="54"/>
      <c r="P100" s="54"/>
      <c r="Q100" s="54"/>
      <c r="R100" s="12">
        <v>150</v>
      </c>
    </row>
    <row r="101" spans="4:18" x14ac:dyDescent="0.3">
      <c r="D101" s="1">
        <v>100</v>
      </c>
      <c r="E101" s="60">
        <f t="shared" si="3"/>
        <v>2830</v>
      </c>
      <c r="F101" s="54"/>
      <c r="G101" s="54">
        <v>750</v>
      </c>
      <c r="H101" s="54">
        <v>750</v>
      </c>
      <c r="I101" s="54">
        <v>750</v>
      </c>
      <c r="J101" s="54"/>
      <c r="K101" s="54"/>
      <c r="L101" s="54"/>
      <c r="M101" s="54"/>
      <c r="N101" s="54"/>
      <c r="O101" s="54">
        <v>580</v>
      </c>
      <c r="P101" s="54"/>
      <c r="Q101" s="54"/>
      <c r="R101" s="12"/>
    </row>
    <row r="102" spans="4:18" x14ac:dyDescent="0.3">
      <c r="D102" s="1">
        <v>101</v>
      </c>
      <c r="E102" s="60">
        <f t="shared" si="3"/>
        <v>2930</v>
      </c>
      <c r="F102" s="54"/>
      <c r="G102" s="54">
        <v>750</v>
      </c>
      <c r="H102" s="54">
        <v>750</v>
      </c>
      <c r="I102" s="54">
        <v>750</v>
      </c>
      <c r="J102" s="54"/>
      <c r="K102" s="54"/>
      <c r="L102" s="54"/>
      <c r="M102" s="54"/>
      <c r="N102" s="54"/>
      <c r="O102" s="54">
        <v>580</v>
      </c>
      <c r="P102" s="54"/>
      <c r="Q102" s="54">
        <v>100</v>
      </c>
      <c r="R102" s="12"/>
    </row>
    <row r="103" spans="4:18" x14ac:dyDescent="0.3">
      <c r="D103" s="1">
        <v>102</v>
      </c>
      <c r="E103" s="60">
        <f t="shared" si="3"/>
        <v>2980</v>
      </c>
      <c r="F103" s="54"/>
      <c r="G103" s="54">
        <v>750</v>
      </c>
      <c r="H103" s="54">
        <v>750</v>
      </c>
      <c r="I103" s="54">
        <v>750</v>
      </c>
      <c r="J103" s="54"/>
      <c r="K103" s="54"/>
      <c r="L103" s="54"/>
      <c r="M103" s="54"/>
      <c r="N103" s="54"/>
      <c r="O103" s="54">
        <v>580</v>
      </c>
      <c r="P103" s="54"/>
      <c r="Q103" s="54"/>
      <c r="R103" s="12">
        <v>150</v>
      </c>
    </row>
    <row r="104" spans="4:18" x14ac:dyDescent="0.3">
      <c r="D104" s="1">
        <v>103</v>
      </c>
      <c r="E104" s="60">
        <f t="shared" si="3"/>
        <v>2980</v>
      </c>
      <c r="F104" s="54"/>
      <c r="G104" s="54">
        <v>750</v>
      </c>
      <c r="H104" s="54">
        <v>750</v>
      </c>
      <c r="I104" s="54">
        <v>750</v>
      </c>
      <c r="J104" s="54"/>
      <c r="K104" s="54"/>
      <c r="L104" s="54"/>
      <c r="M104" s="54"/>
      <c r="N104" s="54"/>
      <c r="O104" s="54"/>
      <c r="P104" s="54">
        <v>730</v>
      </c>
      <c r="Q104" s="54"/>
      <c r="R104" s="12"/>
    </row>
    <row r="105" spans="4:18" x14ac:dyDescent="0.3">
      <c r="D105" s="1">
        <v>104</v>
      </c>
      <c r="E105" s="60">
        <f t="shared" si="3"/>
        <v>3080</v>
      </c>
      <c r="F105" s="54"/>
      <c r="G105" s="54">
        <v>750</v>
      </c>
      <c r="H105" s="54">
        <v>750</v>
      </c>
      <c r="I105" s="54">
        <v>750</v>
      </c>
      <c r="J105" s="54"/>
      <c r="K105" s="54"/>
      <c r="L105" s="54"/>
      <c r="M105" s="54"/>
      <c r="N105" s="54"/>
      <c r="O105" s="54"/>
      <c r="P105" s="54">
        <v>730</v>
      </c>
      <c r="Q105" s="54">
        <v>100</v>
      </c>
      <c r="R105" s="12"/>
    </row>
    <row r="106" spans="4:18" ht="15" thickBot="1" x14ac:dyDescent="0.35">
      <c r="D106" s="1">
        <v>105</v>
      </c>
      <c r="E106" s="16">
        <f t="shared" si="3"/>
        <v>3130</v>
      </c>
      <c r="F106" s="56"/>
      <c r="G106" s="56">
        <v>750</v>
      </c>
      <c r="H106" s="56">
        <v>750</v>
      </c>
      <c r="I106" s="56">
        <v>750</v>
      </c>
      <c r="J106" s="56"/>
      <c r="K106" s="56"/>
      <c r="L106" s="56"/>
      <c r="M106" s="56"/>
      <c r="N106" s="56"/>
      <c r="O106" s="56"/>
      <c r="P106" s="56">
        <v>730</v>
      </c>
      <c r="Q106" s="56"/>
      <c r="R106" s="57">
        <v>150</v>
      </c>
    </row>
  </sheetData>
  <autoFilter ref="E1:R61">
    <sortState ref="E2:R106">
      <sortCondition ref="F1:F61"/>
    </sortState>
  </autoFilter>
  <conditionalFormatting sqref="E1:E1048576">
    <cfRule type="duplicateValues" dxfId="1" priority="1"/>
  </conditionalFormatting>
  <pageMargins left="0.7" right="0.7" top="0.75" bottom="0.75" header="0.3" footer="0.3"/>
  <pageSetup paperSize="8" scale="4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U254"/>
  <sheetViews>
    <sheetView topLeftCell="C1" zoomScale="40" zoomScaleNormal="40" workbookViewId="0">
      <pane xSplit="4" ySplit="1" topLeftCell="G2" activePane="bottomRight" state="frozenSplit"/>
      <selection activeCell="C1" sqref="C1"/>
      <selection pane="topRight" activeCell="J1" sqref="J1"/>
      <selection pane="bottomLeft" activeCell="C14" sqref="C14"/>
      <selection pane="bottomRight" activeCell="C111" sqref="C111:U254"/>
    </sheetView>
  </sheetViews>
  <sheetFormatPr baseColWidth="10" defaultRowHeight="14.4" x14ac:dyDescent="0.3"/>
  <cols>
    <col min="1" max="1" width="4.21875" hidden="1" customWidth="1"/>
    <col min="2" max="2" width="0" style="1" hidden="1" customWidth="1"/>
    <col min="3" max="3" width="11.5546875" style="37"/>
    <col min="4" max="4" width="14.33203125" bestFit="1" customWidth="1"/>
    <col min="5" max="6" width="14.33203125" customWidth="1"/>
    <col min="7" max="7" width="20.6640625" style="1" bestFit="1" customWidth="1"/>
    <col min="8" max="11" width="20.6640625" style="1" customWidth="1"/>
    <col min="12" max="13" width="17.77734375" style="1" bestFit="1" customWidth="1"/>
    <col min="14" max="16" width="17.33203125" style="1" bestFit="1" customWidth="1"/>
    <col min="17" max="19" width="17.33203125" style="1" customWidth="1"/>
    <col min="20" max="21" width="19.109375" style="1" bestFit="1" customWidth="1"/>
  </cols>
  <sheetData>
    <row r="1" spans="1:21" s="51" customFormat="1" ht="50.4" customHeight="1" x14ac:dyDescent="0.3">
      <c r="B1" s="87" t="s">
        <v>24</v>
      </c>
      <c r="C1" s="88" t="s">
        <v>10</v>
      </c>
      <c r="D1" s="55" t="s">
        <v>109</v>
      </c>
      <c r="E1" s="55" t="s">
        <v>111</v>
      </c>
      <c r="F1" s="55" t="s">
        <v>110</v>
      </c>
      <c r="G1" s="52" t="s">
        <v>112</v>
      </c>
      <c r="H1" s="52" t="s">
        <v>113</v>
      </c>
      <c r="I1" s="52" t="s">
        <v>114</v>
      </c>
      <c r="J1" s="52" t="s">
        <v>115</v>
      </c>
      <c r="K1" s="52" t="s">
        <v>116</v>
      </c>
      <c r="L1" s="52" t="s">
        <v>3</v>
      </c>
      <c r="M1" s="52" t="s">
        <v>4</v>
      </c>
      <c r="N1" s="52" t="s">
        <v>5</v>
      </c>
      <c r="O1" s="52" t="s">
        <v>6</v>
      </c>
      <c r="P1" s="52" t="s">
        <v>7</v>
      </c>
      <c r="Q1" s="52" t="s">
        <v>117</v>
      </c>
      <c r="R1" s="52" t="s">
        <v>118</v>
      </c>
      <c r="S1" s="52" t="s">
        <v>119</v>
      </c>
      <c r="T1" s="52" t="s">
        <v>8</v>
      </c>
      <c r="U1" s="53" t="s">
        <v>9</v>
      </c>
    </row>
    <row r="2" spans="1:21" x14ac:dyDescent="0.3">
      <c r="B2" s="41">
        <v>1</v>
      </c>
      <c r="C2" s="86">
        <f t="shared" ref="C2:C65" si="0">SUM(D2:U2)</f>
        <v>710</v>
      </c>
      <c r="D2" s="54">
        <v>550</v>
      </c>
      <c r="E2" s="54"/>
      <c r="F2" s="54"/>
      <c r="G2" s="54"/>
      <c r="H2" s="54"/>
      <c r="I2" s="54"/>
      <c r="J2" s="54"/>
      <c r="K2" s="54"/>
      <c r="L2" s="54">
        <v>160</v>
      </c>
      <c r="M2" s="54"/>
      <c r="N2" s="54"/>
      <c r="O2" s="54"/>
      <c r="P2" s="54"/>
      <c r="Q2" s="54"/>
      <c r="R2" s="54"/>
      <c r="S2" s="54"/>
      <c r="T2" s="54"/>
      <c r="U2" s="12"/>
    </row>
    <row r="3" spans="1:21" x14ac:dyDescent="0.3">
      <c r="A3" s="2"/>
      <c r="B3" s="41">
        <v>2</v>
      </c>
      <c r="C3" s="86">
        <f t="shared" si="0"/>
        <v>810</v>
      </c>
      <c r="D3" s="54">
        <v>550</v>
      </c>
      <c r="E3" s="54"/>
      <c r="F3" s="54"/>
      <c r="G3" s="54"/>
      <c r="H3" s="54"/>
      <c r="I3" s="54"/>
      <c r="J3" s="54"/>
      <c r="K3" s="54"/>
      <c r="L3" s="54">
        <v>160</v>
      </c>
      <c r="M3" s="54"/>
      <c r="N3" s="54"/>
      <c r="O3" s="54"/>
      <c r="P3" s="54"/>
      <c r="Q3" s="54"/>
      <c r="R3" s="54"/>
      <c r="S3" s="54"/>
      <c r="T3" s="54">
        <v>100</v>
      </c>
      <c r="U3" s="12"/>
    </row>
    <row r="4" spans="1:21" x14ac:dyDescent="0.3">
      <c r="A4" s="2"/>
      <c r="B4" s="41">
        <v>3</v>
      </c>
      <c r="C4" s="86">
        <f t="shared" si="0"/>
        <v>830</v>
      </c>
      <c r="D4" s="54">
        <v>550</v>
      </c>
      <c r="E4" s="54"/>
      <c r="F4" s="54"/>
      <c r="G4" s="54"/>
      <c r="H4" s="54"/>
      <c r="I4" s="54"/>
      <c r="J4" s="54"/>
      <c r="K4" s="54"/>
      <c r="L4" s="54"/>
      <c r="M4" s="54">
        <v>280</v>
      </c>
      <c r="N4" s="54"/>
      <c r="O4" s="54"/>
      <c r="P4" s="54"/>
      <c r="Q4" s="54"/>
      <c r="R4" s="54"/>
      <c r="S4" s="54"/>
      <c r="T4" s="54"/>
      <c r="U4" s="12"/>
    </row>
    <row r="5" spans="1:21" x14ac:dyDescent="0.3">
      <c r="A5" s="2"/>
      <c r="B5" s="41">
        <v>4</v>
      </c>
      <c r="C5" s="86">
        <f t="shared" si="0"/>
        <v>860</v>
      </c>
      <c r="D5" s="54">
        <v>550</v>
      </c>
      <c r="E5" s="54"/>
      <c r="F5" s="54"/>
      <c r="G5" s="54"/>
      <c r="H5" s="54"/>
      <c r="I5" s="54"/>
      <c r="J5" s="54"/>
      <c r="K5" s="54"/>
      <c r="L5" s="54">
        <v>160</v>
      </c>
      <c r="M5" s="54"/>
      <c r="N5" s="54"/>
      <c r="O5" s="54"/>
      <c r="P5" s="54"/>
      <c r="Q5" s="54"/>
      <c r="R5" s="54"/>
      <c r="S5" s="54"/>
      <c r="T5" s="54"/>
      <c r="U5" s="12">
        <v>150</v>
      </c>
    </row>
    <row r="6" spans="1:21" x14ac:dyDescent="0.3">
      <c r="A6" s="2"/>
      <c r="B6" s="41">
        <v>5</v>
      </c>
      <c r="C6" s="86">
        <f t="shared" si="0"/>
        <v>930</v>
      </c>
      <c r="D6" s="54">
        <v>550</v>
      </c>
      <c r="E6" s="54"/>
      <c r="F6" s="54"/>
      <c r="G6" s="54"/>
      <c r="H6" s="54"/>
      <c r="I6" s="54"/>
      <c r="J6" s="54"/>
      <c r="K6" s="54"/>
      <c r="L6" s="54"/>
      <c r="M6" s="54">
        <v>280</v>
      </c>
      <c r="N6" s="54"/>
      <c r="O6" s="54"/>
      <c r="P6" s="54"/>
      <c r="Q6" s="54"/>
      <c r="R6" s="54"/>
      <c r="S6" s="54"/>
      <c r="T6" s="54">
        <v>100</v>
      </c>
      <c r="U6" s="12"/>
    </row>
    <row r="7" spans="1:21" x14ac:dyDescent="0.3">
      <c r="A7" s="2"/>
      <c r="B7" s="41">
        <v>6</v>
      </c>
      <c r="C7" s="86">
        <f t="shared" si="0"/>
        <v>980</v>
      </c>
      <c r="D7" s="54">
        <v>550</v>
      </c>
      <c r="E7" s="54"/>
      <c r="F7" s="54"/>
      <c r="G7" s="54"/>
      <c r="H7" s="54"/>
      <c r="I7" s="54"/>
      <c r="J7" s="54"/>
      <c r="K7" s="54"/>
      <c r="L7" s="54"/>
      <c r="M7" s="54">
        <v>280</v>
      </c>
      <c r="N7" s="54"/>
      <c r="O7" s="54"/>
      <c r="P7" s="54"/>
      <c r="Q7" s="54"/>
      <c r="R7" s="54"/>
      <c r="S7" s="54"/>
      <c r="T7" s="54"/>
      <c r="U7" s="12">
        <v>150</v>
      </c>
    </row>
    <row r="8" spans="1:21" x14ac:dyDescent="0.3">
      <c r="A8" s="2"/>
      <c r="B8" s="41">
        <v>7</v>
      </c>
      <c r="C8" s="86">
        <f t="shared" si="0"/>
        <v>980</v>
      </c>
      <c r="D8" s="54">
        <v>550</v>
      </c>
      <c r="E8" s="54"/>
      <c r="F8" s="54"/>
      <c r="G8" s="54"/>
      <c r="H8" s="54"/>
      <c r="I8" s="54"/>
      <c r="J8" s="54"/>
      <c r="K8" s="54"/>
      <c r="L8" s="54"/>
      <c r="M8" s="54"/>
      <c r="N8" s="54">
        <v>430</v>
      </c>
      <c r="O8" s="54"/>
      <c r="P8" s="54"/>
      <c r="Q8" s="54"/>
      <c r="R8" s="54"/>
      <c r="S8" s="54"/>
      <c r="T8" s="54"/>
      <c r="U8" s="12"/>
    </row>
    <row r="9" spans="1:21" x14ac:dyDescent="0.3">
      <c r="A9" s="2"/>
      <c r="B9" s="41">
        <v>8</v>
      </c>
      <c r="C9" s="86">
        <f t="shared" si="0"/>
        <v>1080</v>
      </c>
      <c r="D9" s="54">
        <v>550</v>
      </c>
      <c r="E9" s="54"/>
      <c r="F9" s="54"/>
      <c r="G9" s="54"/>
      <c r="H9" s="54"/>
      <c r="I9" s="54"/>
      <c r="J9" s="54"/>
      <c r="K9" s="54"/>
      <c r="L9" s="54"/>
      <c r="M9" s="54"/>
      <c r="N9" s="54">
        <v>430</v>
      </c>
      <c r="O9" s="54"/>
      <c r="P9" s="54"/>
      <c r="Q9" s="54"/>
      <c r="R9" s="54"/>
      <c r="S9" s="54"/>
      <c r="T9" s="54">
        <v>100</v>
      </c>
      <c r="U9" s="12"/>
    </row>
    <row r="10" spans="1:21" x14ac:dyDescent="0.3">
      <c r="A10" s="2"/>
      <c r="B10" s="41">
        <v>9</v>
      </c>
      <c r="C10" s="86">
        <f t="shared" si="0"/>
        <v>1130</v>
      </c>
      <c r="D10" s="54">
        <v>550</v>
      </c>
      <c r="E10" s="54"/>
      <c r="F10" s="54"/>
      <c r="G10" s="54"/>
      <c r="H10" s="54"/>
      <c r="I10" s="54"/>
      <c r="J10" s="54"/>
      <c r="K10" s="54"/>
      <c r="L10" s="54"/>
      <c r="M10" s="54"/>
      <c r="N10" s="54">
        <v>430</v>
      </c>
      <c r="O10" s="54"/>
      <c r="P10" s="54"/>
      <c r="Q10" s="54"/>
      <c r="R10" s="54"/>
      <c r="S10" s="54"/>
      <c r="T10" s="54"/>
      <c r="U10" s="12">
        <v>150</v>
      </c>
    </row>
    <row r="11" spans="1:21" x14ac:dyDescent="0.3">
      <c r="A11" s="2"/>
      <c r="B11" s="41">
        <v>10</v>
      </c>
      <c r="C11" s="86">
        <f t="shared" si="0"/>
        <v>1130</v>
      </c>
      <c r="D11" s="54">
        <v>550</v>
      </c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>
        <v>580</v>
      </c>
      <c r="P11" s="54"/>
      <c r="Q11" s="54"/>
      <c r="R11" s="54"/>
      <c r="S11" s="54"/>
      <c r="T11" s="54"/>
      <c r="U11" s="12"/>
    </row>
    <row r="12" spans="1:21" x14ac:dyDescent="0.3">
      <c r="A12" s="2"/>
      <c r="B12" s="41">
        <v>11</v>
      </c>
      <c r="C12" s="86">
        <f t="shared" si="0"/>
        <v>1230</v>
      </c>
      <c r="D12" s="54">
        <v>550</v>
      </c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>
        <v>580</v>
      </c>
      <c r="P12" s="54"/>
      <c r="Q12" s="54"/>
      <c r="R12" s="54"/>
      <c r="S12" s="54"/>
      <c r="T12" s="54">
        <v>100</v>
      </c>
      <c r="U12" s="12"/>
    </row>
    <row r="13" spans="1:21" x14ac:dyDescent="0.3">
      <c r="A13" s="2"/>
      <c r="B13" s="41">
        <v>12</v>
      </c>
      <c r="C13" s="86">
        <f t="shared" si="0"/>
        <v>1280</v>
      </c>
      <c r="D13" s="54">
        <v>550</v>
      </c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>
        <v>580</v>
      </c>
      <c r="P13" s="54"/>
      <c r="Q13" s="54"/>
      <c r="R13" s="54"/>
      <c r="S13" s="54"/>
      <c r="T13" s="54"/>
      <c r="U13" s="12">
        <v>150</v>
      </c>
    </row>
    <row r="14" spans="1:21" x14ac:dyDescent="0.3">
      <c r="A14" s="2"/>
      <c r="B14" s="41">
        <v>13</v>
      </c>
      <c r="C14" s="86">
        <f t="shared" si="0"/>
        <v>1280</v>
      </c>
      <c r="D14" s="54">
        <v>550</v>
      </c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>
        <v>730</v>
      </c>
      <c r="Q14" s="54"/>
      <c r="R14" s="54"/>
      <c r="S14" s="54"/>
      <c r="T14" s="54"/>
      <c r="U14" s="12"/>
    </row>
    <row r="15" spans="1:21" x14ac:dyDescent="0.3">
      <c r="A15" s="2"/>
      <c r="B15" s="41">
        <v>14</v>
      </c>
      <c r="C15" s="86">
        <f t="shared" si="0"/>
        <v>930</v>
      </c>
      <c r="D15" s="54"/>
      <c r="E15" s="54">
        <v>770</v>
      </c>
      <c r="F15" s="54"/>
      <c r="G15" s="54"/>
      <c r="H15" s="54"/>
      <c r="I15" s="54"/>
      <c r="J15" s="54"/>
      <c r="K15" s="54"/>
      <c r="L15" s="54">
        <v>160</v>
      </c>
      <c r="M15" s="54"/>
      <c r="N15" s="54"/>
      <c r="O15" s="54"/>
      <c r="P15" s="54"/>
      <c r="Q15" s="54"/>
      <c r="R15" s="54"/>
      <c r="S15" s="54"/>
      <c r="T15" s="54"/>
      <c r="U15" s="12"/>
    </row>
    <row r="16" spans="1:21" x14ac:dyDescent="0.3">
      <c r="A16" s="2"/>
      <c r="B16" s="41">
        <v>15</v>
      </c>
      <c r="C16" s="86">
        <f t="shared" si="0"/>
        <v>1030</v>
      </c>
      <c r="D16" s="54"/>
      <c r="E16" s="54">
        <v>770</v>
      </c>
      <c r="F16" s="54"/>
      <c r="G16" s="54"/>
      <c r="H16" s="54"/>
      <c r="I16" s="54"/>
      <c r="J16" s="54"/>
      <c r="K16" s="54"/>
      <c r="L16" s="54">
        <v>160</v>
      </c>
      <c r="M16" s="54"/>
      <c r="N16" s="54"/>
      <c r="O16" s="54"/>
      <c r="P16" s="54"/>
      <c r="Q16" s="54"/>
      <c r="R16" s="54"/>
      <c r="S16" s="54"/>
      <c r="T16" s="54">
        <v>100</v>
      </c>
      <c r="U16" s="12"/>
    </row>
    <row r="17" spans="1:21" x14ac:dyDescent="0.3">
      <c r="A17" s="2"/>
      <c r="B17" s="41">
        <v>16</v>
      </c>
      <c r="C17" s="86">
        <f t="shared" si="0"/>
        <v>1050</v>
      </c>
      <c r="D17" s="54"/>
      <c r="E17" s="54">
        <v>770</v>
      </c>
      <c r="F17" s="54"/>
      <c r="G17" s="54"/>
      <c r="H17" s="54"/>
      <c r="I17" s="54"/>
      <c r="J17" s="54"/>
      <c r="K17" s="54"/>
      <c r="L17" s="54"/>
      <c r="M17" s="54">
        <v>280</v>
      </c>
      <c r="N17" s="54"/>
      <c r="O17" s="54"/>
      <c r="P17" s="54"/>
      <c r="Q17" s="54"/>
      <c r="R17" s="54"/>
      <c r="S17" s="54"/>
      <c r="T17" s="54"/>
      <c r="U17" s="12"/>
    </row>
    <row r="18" spans="1:21" x14ac:dyDescent="0.3">
      <c r="A18" s="2"/>
      <c r="B18" s="41">
        <v>17</v>
      </c>
      <c r="C18" s="86">
        <f t="shared" si="0"/>
        <v>1080</v>
      </c>
      <c r="D18" s="54"/>
      <c r="E18" s="54">
        <v>770</v>
      </c>
      <c r="F18" s="54"/>
      <c r="G18" s="54"/>
      <c r="H18" s="54"/>
      <c r="I18" s="54"/>
      <c r="J18" s="54"/>
      <c r="K18" s="54"/>
      <c r="L18" s="54">
        <v>160</v>
      </c>
      <c r="M18" s="54"/>
      <c r="N18" s="54"/>
      <c r="O18" s="54"/>
      <c r="P18" s="54"/>
      <c r="Q18" s="54"/>
      <c r="R18" s="54"/>
      <c r="S18" s="54"/>
      <c r="T18" s="54"/>
      <c r="U18" s="12">
        <v>150</v>
      </c>
    </row>
    <row r="19" spans="1:21" x14ac:dyDescent="0.3">
      <c r="A19" s="2"/>
      <c r="B19" s="41">
        <v>18</v>
      </c>
      <c r="C19" s="86">
        <f t="shared" si="0"/>
        <v>1150</v>
      </c>
      <c r="D19" s="54"/>
      <c r="E19" s="54">
        <v>770</v>
      </c>
      <c r="F19" s="54"/>
      <c r="G19" s="54"/>
      <c r="H19" s="54"/>
      <c r="I19" s="54"/>
      <c r="J19" s="54"/>
      <c r="K19" s="54"/>
      <c r="L19" s="54"/>
      <c r="M19" s="54">
        <v>280</v>
      </c>
      <c r="N19" s="54"/>
      <c r="O19" s="54"/>
      <c r="P19" s="54"/>
      <c r="Q19" s="54"/>
      <c r="R19" s="54"/>
      <c r="S19" s="54"/>
      <c r="T19" s="54">
        <v>100</v>
      </c>
      <c r="U19" s="12"/>
    </row>
    <row r="20" spans="1:21" x14ac:dyDescent="0.3">
      <c r="A20" s="2"/>
      <c r="B20" s="41">
        <v>19</v>
      </c>
      <c r="C20" s="86">
        <f t="shared" si="0"/>
        <v>1200</v>
      </c>
      <c r="D20" s="54"/>
      <c r="E20" s="54">
        <v>770</v>
      </c>
      <c r="F20" s="54"/>
      <c r="G20" s="54"/>
      <c r="H20" s="54"/>
      <c r="I20" s="54"/>
      <c r="J20" s="54"/>
      <c r="K20" s="54"/>
      <c r="L20" s="54"/>
      <c r="M20" s="54">
        <v>280</v>
      </c>
      <c r="N20" s="54"/>
      <c r="O20" s="54"/>
      <c r="P20" s="54"/>
      <c r="Q20" s="54"/>
      <c r="R20" s="54"/>
      <c r="S20" s="54"/>
      <c r="T20" s="54"/>
      <c r="U20" s="12">
        <v>150</v>
      </c>
    </row>
    <row r="21" spans="1:21" x14ac:dyDescent="0.3">
      <c r="A21" s="2"/>
      <c r="B21" s="41">
        <v>20</v>
      </c>
      <c r="C21" s="86">
        <f t="shared" si="0"/>
        <v>1200</v>
      </c>
      <c r="D21" s="54"/>
      <c r="E21" s="54">
        <v>770</v>
      </c>
      <c r="F21" s="54"/>
      <c r="G21" s="54"/>
      <c r="H21" s="54"/>
      <c r="I21" s="54"/>
      <c r="J21" s="54"/>
      <c r="K21" s="54"/>
      <c r="L21" s="54"/>
      <c r="M21" s="54"/>
      <c r="N21" s="54">
        <v>430</v>
      </c>
      <c r="O21" s="54"/>
      <c r="P21" s="54"/>
      <c r="Q21" s="54"/>
      <c r="R21" s="54"/>
      <c r="S21" s="54"/>
      <c r="T21" s="54"/>
      <c r="U21" s="12"/>
    </row>
    <row r="22" spans="1:21" x14ac:dyDescent="0.3">
      <c r="A22" s="2"/>
      <c r="B22" s="41">
        <v>21</v>
      </c>
      <c r="C22" s="86">
        <f t="shared" si="0"/>
        <v>1300</v>
      </c>
      <c r="D22" s="54"/>
      <c r="E22" s="54">
        <v>770</v>
      </c>
      <c r="F22" s="54"/>
      <c r="G22" s="54"/>
      <c r="H22" s="54"/>
      <c r="I22" s="54"/>
      <c r="J22" s="54"/>
      <c r="K22" s="54"/>
      <c r="L22" s="54"/>
      <c r="M22" s="54"/>
      <c r="N22" s="54">
        <v>430</v>
      </c>
      <c r="O22" s="54"/>
      <c r="P22" s="54"/>
      <c r="Q22" s="54"/>
      <c r="R22" s="54"/>
      <c r="S22" s="54"/>
      <c r="T22" s="54">
        <v>100</v>
      </c>
      <c r="U22" s="12"/>
    </row>
    <row r="23" spans="1:21" x14ac:dyDescent="0.3">
      <c r="A23" s="2"/>
      <c r="B23" s="41">
        <v>22</v>
      </c>
      <c r="C23" s="86">
        <f t="shared" si="0"/>
        <v>1350</v>
      </c>
      <c r="D23" s="54"/>
      <c r="E23" s="54">
        <v>770</v>
      </c>
      <c r="F23" s="54"/>
      <c r="G23" s="54"/>
      <c r="H23" s="54"/>
      <c r="I23" s="54"/>
      <c r="J23" s="54"/>
      <c r="K23" s="54"/>
      <c r="L23" s="54"/>
      <c r="M23" s="54"/>
      <c r="N23" s="54">
        <v>430</v>
      </c>
      <c r="O23" s="54"/>
      <c r="P23" s="54"/>
      <c r="Q23" s="54"/>
      <c r="R23" s="54"/>
      <c r="S23" s="54"/>
      <c r="T23" s="54"/>
      <c r="U23" s="12">
        <v>150</v>
      </c>
    </row>
    <row r="24" spans="1:21" x14ac:dyDescent="0.3">
      <c r="A24" s="2"/>
      <c r="B24" s="41">
        <v>23</v>
      </c>
      <c r="C24" s="86">
        <f t="shared" si="0"/>
        <v>1350</v>
      </c>
      <c r="D24" s="54"/>
      <c r="E24" s="54">
        <v>770</v>
      </c>
      <c r="F24" s="54"/>
      <c r="G24" s="54"/>
      <c r="H24" s="54"/>
      <c r="I24" s="54"/>
      <c r="J24" s="54"/>
      <c r="K24" s="54"/>
      <c r="L24" s="54"/>
      <c r="M24" s="54"/>
      <c r="N24" s="54"/>
      <c r="O24" s="54">
        <v>580</v>
      </c>
      <c r="P24" s="54"/>
      <c r="Q24" s="54"/>
      <c r="R24" s="54"/>
      <c r="S24" s="54"/>
      <c r="T24" s="54"/>
      <c r="U24" s="12"/>
    </row>
    <row r="25" spans="1:21" x14ac:dyDescent="0.3">
      <c r="A25" s="2"/>
      <c r="B25" s="41">
        <v>24</v>
      </c>
      <c r="C25" s="86">
        <f t="shared" si="0"/>
        <v>1450</v>
      </c>
      <c r="D25" s="54"/>
      <c r="E25" s="54">
        <v>770</v>
      </c>
      <c r="F25" s="54"/>
      <c r="G25" s="54"/>
      <c r="H25" s="54"/>
      <c r="I25" s="54"/>
      <c r="J25" s="54"/>
      <c r="K25" s="54"/>
      <c r="L25" s="54"/>
      <c r="M25" s="54"/>
      <c r="N25" s="54"/>
      <c r="O25" s="54">
        <v>580</v>
      </c>
      <c r="P25" s="54"/>
      <c r="Q25" s="54"/>
      <c r="R25" s="54"/>
      <c r="S25" s="54"/>
      <c r="T25" s="54">
        <v>100</v>
      </c>
      <c r="U25" s="12"/>
    </row>
    <row r="26" spans="1:21" x14ac:dyDescent="0.3">
      <c r="A26" s="2"/>
      <c r="B26" s="41">
        <v>25</v>
      </c>
      <c r="C26" s="86">
        <f t="shared" si="0"/>
        <v>1500</v>
      </c>
      <c r="D26" s="54"/>
      <c r="E26" s="54">
        <v>770</v>
      </c>
      <c r="F26" s="54"/>
      <c r="G26" s="54"/>
      <c r="H26" s="54"/>
      <c r="I26" s="54"/>
      <c r="J26" s="54"/>
      <c r="K26" s="54"/>
      <c r="L26" s="54"/>
      <c r="M26" s="54"/>
      <c r="N26" s="54"/>
      <c r="O26" s="54">
        <v>580</v>
      </c>
      <c r="P26" s="54"/>
      <c r="Q26" s="54"/>
      <c r="R26" s="54"/>
      <c r="S26" s="54"/>
      <c r="T26" s="54"/>
      <c r="U26" s="12">
        <v>150</v>
      </c>
    </row>
    <row r="27" spans="1:21" x14ac:dyDescent="0.3">
      <c r="A27" s="2"/>
      <c r="B27" s="41">
        <v>26</v>
      </c>
      <c r="C27" s="86">
        <f t="shared" si="0"/>
        <v>1500</v>
      </c>
      <c r="D27" s="54"/>
      <c r="E27" s="54">
        <v>770</v>
      </c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>
        <v>730</v>
      </c>
      <c r="Q27" s="54"/>
      <c r="R27" s="54"/>
      <c r="S27" s="54"/>
      <c r="T27" s="54"/>
      <c r="U27" s="12"/>
    </row>
    <row r="28" spans="1:21" x14ac:dyDescent="0.3">
      <c r="B28" s="41">
        <v>27</v>
      </c>
      <c r="C28" s="86">
        <f t="shared" si="0"/>
        <v>1600</v>
      </c>
      <c r="D28" s="54"/>
      <c r="E28" s="54">
        <v>770</v>
      </c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>
        <v>730</v>
      </c>
      <c r="Q28" s="54"/>
      <c r="R28" s="54"/>
      <c r="S28" s="54"/>
      <c r="T28" s="54">
        <v>100</v>
      </c>
      <c r="U28" s="12"/>
    </row>
    <row r="29" spans="1:21" x14ac:dyDescent="0.3">
      <c r="B29" s="41">
        <v>28</v>
      </c>
      <c r="C29" s="86">
        <f t="shared" si="0"/>
        <v>1650</v>
      </c>
      <c r="D29" s="54"/>
      <c r="E29" s="54">
        <v>770</v>
      </c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>
        <v>730</v>
      </c>
      <c r="Q29" s="54"/>
      <c r="R29" s="54"/>
      <c r="S29" s="54"/>
      <c r="T29" s="54"/>
      <c r="U29" s="12">
        <v>150</v>
      </c>
    </row>
    <row r="30" spans="1:21" x14ac:dyDescent="0.3">
      <c r="B30" s="41">
        <v>29</v>
      </c>
      <c r="C30" s="86">
        <f t="shared" si="0"/>
        <v>1650</v>
      </c>
      <c r="D30" s="54"/>
      <c r="E30" s="54">
        <v>770</v>
      </c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>
        <v>880</v>
      </c>
      <c r="R30" s="54"/>
      <c r="S30" s="54"/>
      <c r="T30" s="54"/>
      <c r="U30" s="12"/>
    </row>
    <row r="31" spans="1:21" x14ac:dyDescent="0.3">
      <c r="B31" s="41">
        <v>30</v>
      </c>
      <c r="C31" s="86">
        <f t="shared" si="0"/>
        <v>1750</v>
      </c>
      <c r="D31" s="54"/>
      <c r="E31" s="54">
        <v>770</v>
      </c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>
        <v>880</v>
      </c>
      <c r="R31" s="54"/>
      <c r="S31" s="54"/>
      <c r="T31" s="54">
        <v>100</v>
      </c>
      <c r="U31" s="12"/>
    </row>
    <row r="32" spans="1:21" x14ac:dyDescent="0.3">
      <c r="B32" s="41">
        <v>31</v>
      </c>
      <c r="C32" s="86">
        <f t="shared" si="0"/>
        <v>1800</v>
      </c>
      <c r="D32" s="54"/>
      <c r="E32" s="54">
        <v>770</v>
      </c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>
        <v>880</v>
      </c>
      <c r="R32" s="54"/>
      <c r="S32" s="54"/>
      <c r="T32" s="54"/>
      <c r="U32" s="12">
        <v>150</v>
      </c>
    </row>
    <row r="33" spans="2:21" x14ac:dyDescent="0.3">
      <c r="B33" s="41">
        <v>32</v>
      </c>
      <c r="C33" s="86">
        <f t="shared" si="0"/>
        <v>1800</v>
      </c>
      <c r="D33" s="54"/>
      <c r="E33" s="54">
        <v>770</v>
      </c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>
        <v>1030</v>
      </c>
      <c r="S33" s="54"/>
      <c r="T33" s="54"/>
      <c r="U33" s="12"/>
    </row>
    <row r="34" spans="2:21" x14ac:dyDescent="0.3">
      <c r="B34" s="41">
        <v>33</v>
      </c>
      <c r="C34" s="86">
        <f t="shared" si="0"/>
        <v>1830</v>
      </c>
      <c r="D34" s="54"/>
      <c r="E34" s="54">
        <v>770</v>
      </c>
      <c r="F34" s="54"/>
      <c r="G34" s="54">
        <v>900</v>
      </c>
      <c r="H34" s="54"/>
      <c r="I34" s="54"/>
      <c r="J34" s="54"/>
      <c r="K34" s="54"/>
      <c r="L34" s="54">
        <v>160</v>
      </c>
      <c r="M34" s="54"/>
      <c r="N34" s="54"/>
      <c r="O34" s="54"/>
      <c r="P34" s="54"/>
      <c r="Q34" s="54"/>
      <c r="R34" s="54"/>
      <c r="S34" s="54"/>
      <c r="T34" s="54"/>
      <c r="U34" s="12"/>
    </row>
    <row r="35" spans="2:21" x14ac:dyDescent="0.3">
      <c r="B35" s="41">
        <v>34</v>
      </c>
      <c r="C35" s="86">
        <f t="shared" si="0"/>
        <v>1900</v>
      </c>
      <c r="D35" s="54"/>
      <c r="E35" s="54">
        <v>770</v>
      </c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>
        <v>1030</v>
      </c>
      <c r="S35" s="54"/>
      <c r="T35" s="54">
        <v>100</v>
      </c>
      <c r="U35" s="12"/>
    </row>
    <row r="36" spans="2:21" x14ac:dyDescent="0.3">
      <c r="B36" s="41">
        <v>35</v>
      </c>
      <c r="C36" s="86">
        <f t="shared" si="0"/>
        <v>1930</v>
      </c>
      <c r="D36" s="54"/>
      <c r="E36" s="54">
        <v>770</v>
      </c>
      <c r="F36" s="54"/>
      <c r="G36" s="54">
        <v>900</v>
      </c>
      <c r="H36" s="54"/>
      <c r="I36" s="54"/>
      <c r="J36" s="54"/>
      <c r="K36" s="54"/>
      <c r="L36" s="54">
        <v>160</v>
      </c>
      <c r="M36" s="54"/>
      <c r="N36" s="54"/>
      <c r="O36" s="54"/>
      <c r="P36" s="54"/>
      <c r="Q36" s="54"/>
      <c r="R36" s="54"/>
      <c r="S36" s="54"/>
      <c r="T36" s="54">
        <v>100</v>
      </c>
      <c r="U36" s="12"/>
    </row>
    <row r="37" spans="2:21" x14ac:dyDescent="0.3">
      <c r="B37" s="41">
        <v>36</v>
      </c>
      <c r="C37" s="86">
        <f t="shared" si="0"/>
        <v>1950</v>
      </c>
      <c r="D37" s="54"/>
      <c r="E37" s="54">
        <v>770</v>
      </c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>
        <v>1030</v>
      </c>
      <c r="S37" s="54"/>
      <c r="T37" s="54"/>
      <c r="U37" s="12">
        <v>150</v>
      </c>
    </row>
    <row r="38" spans="2:21" x14ac:dyDescent="0.3">
      <c r="B38" s="41">
        <v>37</v>
      </c>
      <c r="C38" s="86">
        <f t="shared" si="0"/>
        <v>1950</v>
      </c>
      <c r="D38" s="54"/>
      <c r="E38" s="54">
        <v>770</v>
      </c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>
        <v>1180</v>
      </c>
      <c r="T38" s="54"/>
      <c r="U38" s="12"/>
    </row>
    <row r="39" spans="2:21" x14ac:dyDescent="0.3">
      <c r="B39" s="41">
        <v>38</v>
      </c>
      <c r="C39" s="86">
        <f t="shared" si="0"/>
        <v>1950</v>
      </c>
      <c r="D39" s="54"/>
      <c r="E39" s="54">
        <v>770</v>
      </c>
      <c r="F39" s="54"/>
      <c r="G39" s="54">
        <v>900</v>
      </c>
      <c r="H39" s="54"/>
      <c r="I39" s="54"/>
      <c r="J39" s="54"/>
      <c r="K39" s="54"/>
      <c r="L39" s="54"/>
      <c r="M39" s="54">
        <v>280</v>
      </c>
      <c r="N39" s="54"/>
      <c r="O39" s="54"/>
      <c r="P39" s="54"/>
      <c r="Q39" s="54"/>
      <c r="R39" s="54"/>
      <c r="S39" s="54"/>
      <c r="T39" s="54"/>
      <c r="U39" s="12"/>
    </row>
    <row r="40" spans="2:21" x14ac:dyDescent="0.3">
      <c r="B40" s="41">
        <v>39</v>
      </c>
      <c r="C40" s="86">
        <f t="shared" si="0"/>
        <v>1980</v>
      </c>
      <c r="D40" s="54"/>
      <c r="E40" s="54">
        <v>770</v>
      </c>
      <c r="F40" s="54"/>
      <c r="G40" s="54">
        <v>900</v>
      </c>
      <c r="H40" s="54"/>
      <c r="I40" s="54"/>
      <c r="J40" s="54"/>
      <c r="K40" s="54"/>
      <c r="L40" s="54">
        <v>160</v>
      </c>
      <c r="M40" s="54"/>
      <c r="N40" s="54"/>
      <c r="O40" s="54"/>
      <c r="P40" s="54"/>
      <c r="Q40" s="54"/>
      <c r="R40" s="54"/>
      <c r="S40" s="54"/>
      <c r="T40" s="54"/>
      <c r="U40" s="12">
        <v>150</v>
      </c>
    </row>
    <row r="41" spans="2:21" x14ac:dyDescent="0.3">
      <c r="B41" s="41">
        <v>40</v>
      </c>
      <c r="C41" s="86">
        <f t="shared" si="0"/>
        <v>2050</v>
      </c>
      <c r="D41" s="54"/>
      <c r="E41" s="54">
        <v>770</v>
      </c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>
        <v>1180</v>
      </c>
      <c r="T41" s="54">
        <v>100</v>
      </c>
      <c r="U41" s="12"/>
    </row>
    <row r="42" spans="2:21" x14ac:dyDescent="0.3">
      <c r="B42" s="41">
        <v>41</v>
      </c>
      <c r="C42" s="86">
        <f t="shared" si="0"/>
        <v>2050</v>
      </c>
      <c r="D42" s="54"/>
      <c r="E42" s="54">
        <v>770</v>
      </c>
      <c r="F42" s="54"/>
      <c r="G42" s="54">
        <v>900</v>
      </c>
      <c r="H42" s="54"/>
      <c r="I42" s="54"/>
      <c r="J42" s="54"/>
      <c r="K42" s="54"/>
      <c r="L42" s="54"/>
      <c r="M42" s="54">
        <v>280</v>
      </c>
      <c r="N42" s="54"/>
      <c r="O42" s="54"/>
      <c r="P42" s="54"/>
      <c r="Q42" s="54"/>
      <c r="R42" s="54"/>
      <c r="S42" s="54"/>
      <c r="T42" s="54">
        <v>100</v>
      </c>
      <c r="U42" s="12"/>
    </row>
    <row r="43" spans="2:21" x14ac:dyDescent="0.3">
      <c r="B43" s="41">
        <v>42</v>
      </c>
      <c r="C43" s="86">
        <f t="shared" si="0"/>
        <v>2100</v>
      </c>
      <c r="D43" s="54"/>
      <c r="E43" s="54">
        <v>770</v>
      </c>
      <c r="F43" s="54"/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>
        <v>1180</v>
      </c>
      <c r="T43" s="54"/>
      <c r="U43" s="12">
        <v>150</v>
      </c>
    </row>
    <row r="44" spans="2:21" x14ac:dyDescent="0.3">
      <c r="B44" s="41">
        <v>43</v>
      </c>
      <c r="C44" s="86">
        <f t="shared" si="0"/>
        <v>2100</v>
      </c>
      <c r="D44" s="54"/>
      <c r="E44" s="54">
        <v>770</v>
      </c>
      <c r="F44" s="54"/>
      <c r="G44" s="54">
        <v>900</v>
      </c>
      <c r="H44" s="54"/>
      <c r="I44" s="54"/>
      <c r="J44" s="54"/>
      <c r="K44" s="54"/>
      <c r="L44" s="54"/>
      <c r="M44" s="54">
        <v>280</v>
      </c>
      <c r="N44" s="54"/>
      <c r="O44" s="54"/>
      <c r="P44" s="54"/>
      <c r="Q44" s="54"/>
      <c r="R44" s="54"/>
      <c r="S44" s="54"/>
      <c r="T44" s="54"/>
      <c r="U44" s="12">
        <v>150</v>
      </c>
    </row>
    <row r="45" spans="2:21" x14ac:dyDescent="0.3">
      <c r="B45" s="41">
        <v>44</v>
      </c>
      <c r="C45" s="86">
        <f t="shared" si="0"/>
        <v>2100</v>
      </c>
      <c r="D45" s="54"/>
      <c r="E45" s="54">
        <v>770</v>
      </c>
      <c r="F45" s="54"/>
      <c r="G45" s="54">
        <v>900</v>
      </c>
      <c r="H45" s="54"/>
      <c r="I45" s="54"/>
      <c r="J45" s="54"/>
      <c r="K45" s="54"/>
      <c r="L45" s="54"/>
      <c r="M45" s="54"/>
      <c r="N45" s="54">
        <v>430</v>
      </c>
      <c r="O45" s="54"/>
      <c r="P45" s="54"/>
      <c r="Q45" s="54"/>
      <c r="R45" s="54"/>
      <c r="S45" s="54"/>
      <c r="T45" s="54"/>
      <c r="U45" s="12"/>
    </row>
    <row r="46" spans="2:21" x14ac:dyDescent="0.3">
      <c r="B46" s="41">
        <v>45</v>
      </c>
      <c r="C46" s="86">
        <f t="shared" si="0"/>
        <v>2130</v>
      </c>
      <c r="D46" s="54"/>
      <c r="E46" s="54">
        <v>770</v>
      </c>
      <c r="F46" s="54"/>
      <c r="G46" s="54"/>
      <c r="H46" s="54"/>
      <c r="I46" s="54"/>
      <c r="J46" s="54">
        <v>1200</v>
      </c>
      <c r="K46" s="54"/>
      <c r="L46" s="54">
        <v>160</v>
      </c>
      <c r="M46" s="54"/>
      <c r="N46" s="54"/>
      <c r="O46" s="54"/>
      <c r="P46" s="54"/>
      <c r="Q46" s="54"/>
      <c r="R46" s="54"/>
      <c r="S46" s="54"/>
      <c r="T46" s="54"/>
      <c r="U46" s="12"/>
    </row>
    <row r="47" spans="2:21" x14ac:dyDescent="0.3">
      <c r="B47" s="41">
        <v>46</v>
      </c>
      <c r="C47" s="86">
        <f t="shared" si="0"/>
        <v>2200</v>
      </c>
      <c r="D47" s="54"/>
      <c r="E47" s="54">
        <v>770</v>
      </c>
      <c r="F47" s="54"/>
      <c r="G47" s="54">
        <v>900</v>
      </c>
      <c r="H47" s="54"/>
      <c r="I47" s="54"/>
      <c r="J47" s="54"/>
      <c r="K47" s="54"/>
      <c r="L47" s="54"/>
      <c r="M47" s="54"/>
      <c r="N47" s="54">
        <v>430</v>
      </c>
      <c r="O47" s="54"/>
      <c r="P47" s="54"/>
      <c r="Q47" s="54"/>
      <c r="R47" s="54"/>
      <c r="S47" s="54"/>
      <c r="T47" s="54">
        <v>100</v>
      </c>
      <c r="U47" s="12"/>
    </row>
    <row r="48" spans="2:21" x14ac:dyDescent="0.3">
      <c r="B48" s="41">
        <v>47</v>
      </c>
      <c r="C48" s="86">
        <f t="shared" si="0"/>
        <v>2230</v>
      </c>
      <c r="D48" s="54"/>
      <c r="E48" s="54">
        <v>770</v>
      </c>
      <c r="F48" s="54"/>
      <c r="G48" s="54"/>
      <c r="H48" s="54"/>
      <c r="I48" s="54"/>
      <c r="J48" s="54">
        <v>1200</v>
      </c>
      <c r="K48" s="54"/>
      <c r="L48" s="54">
        <v>160</v>
      </c>
      <c r="M48" s="54"/>
      <c r="N48" s="54"/>
      <c r="O48" s="54"/>
      <c r="P48" s="54"/>
      <c r="Q48" s="54"/>
      <c r="R48" s="54"/>
      <c r="S48" s="54"/>
      <c r="T48" s="54">
        <v>100</v>
      </c>
      <c r="U48" s="12"/>
    </row>
    <row r="49" spans="2:21" x14ac:dyDescent="0.3">
      <c r="B49" s="41">
        <v>48</v>
      </c>
      <c r="C49" s="86">
        <f t="shared" si="0"/>
        <v>2250</v>
      </c>
      <c r="D49" s="54"/>
      <c r="E49" s="54">
        <v>770</v>
      </c>
      <c r="F49" s="54"/>
      <c r="G49" s="54">
        <v>900</v>
      </c>
      <c r="H49" s="54"/>
      <c r="I49" s="54"/>
      <c r="J49" s="54"/>
      <c r="K49" s="54"/>
      <c r="L49" s="54"/>
      <c r="M49" s="54"/>
      <c r="N49" s="54">
        <v>430</v>
      </c>
      <c r="O49" s="54"/>
      <c r="P49" s="54"/>
      <c r="Q49" s="54"/>
      <c r="R49" s="54"/>
      <c r="S49" s="54"/>
      <c r="T49" s="54"/>
      <c r="U49" s="12">
        <v>150</v>
      </c>
    </row>
    <row r="50" spans="2:21" x14ac:dyDescent="0.3">
      <c r="B50" s="41">
        <v>49</v>
      </c>
      <c r="C50" s="86">
        <f t="shared" si="0"/>
        <v>2250</v>
      </c>
      <c r="D50" s="54"/>
      <c r="E50" s="54">
        <v>770</v>
      </c>
      <c r="F50" s="54"/>
      <c r="G50" s="54">
        <v>900</v>
      </c>
      <c r="H50" s="54"/>
      <c r="I50" s="54"/>
      <c r="J50" s="54"/>
      <c r="K50" s="54"/>
      <c r="L50" s="54"/>
      <c r="M50" s="54"/>
      <c r="N50" s="54"/>
      <c r="O50" s="54">
        <v>580</v>
      </c>
      <c r="P50" s="54"/>
      <c r="Q50" s="54"/>
      <c r="R50" s="54"/>
      <c r="S50" s="54"/>
      <c r="T50" s="54"/>
      <c r="U50" s="12"/>
    </row>
    <row r="51" spans="2:21" x14ac:dyDescent="0.3">
      <c r="B51" s="41">
        <v>50</v>
      </c>
      <c r="C51" s="86">
        <f t="shared" si="0"/>
        <v>2250</v>
      </c>
      <c r="D51" s="54"/>
      <c r="E51" s="54">
        <v>770</v>
      </c>
      <c r="F51" s="54"/>
      <c r="G51" s="54"/>
      <c r="H51" s="54"/>
      <c r="I51" s="54"/>
      <c r="J51" s="54">
        <v>1200</v>
      </c>
      <c r="K51" s="54"/>
      <c r="L51" s="54"/>
      <c r="M51" s="54">
        <v>280</v>
      </c>
      <c r="N51" s="54"/>
      <c r="O51" s="54"/>
      <c r="P51" s="54"/>
      <c r="Q51" s="54"/>
      <c r="R51" s="54"/>
      <c r="S51" s="54"/>
      <c r="T51" s="54"/>
      <c r="U51" s="12"/>
    </row>
    <row r="52" spans="2:21" x14ac:dyDescent="0.3">
      <c r="B52" s="41">
        <v>51</v>
      </c>
      <c r="C52" s="86">
        <f t="shared" si="0"/>
        <v>2280</v>
      </c>
      <c r="D52" s="54"/>
      <c r="E52" s="54">
        <v>770</v>
      </c>
      <c r="F52" s="54"/>
      <c r="G52" s="54"/>
      <c r="H52" s="54"/>
      <c r="I52" s="54"/>
      <c r="J52" s="54">
        <v>1200</v>
      </c>
      <c r="K52" s="54"/>
      <c r="L52" s="54">
        <v>160</v>
      </c>
      <c r="M52" s="54"/>
      <c r="N52" s="54"/>
      <c r="O52" s="54"/>
      <c r="P52" s="54"/>
      <c r="Q52" s="54"/>
      <c r="R52" s="54"/>
      <c r="S52" s="54"/>
      <c r="T52" s="54"/>
      <c r="U52" s="12">
        <v>150</v>
      </c>
    </row>
    <row r="53" spans="2:21" x14ac:dyDescent="0.3">
      <c r="B53" s="41">
        <v>52</v>
      </c>
      <c r="C53" s="86">
        <f t="shared" si="0"/>
        <v>2350</v>
      </c>
      <c r="D53" s="54"/>
      <c r="E53" s="54">
        <v>770</v>
      </c>
      <c r="F53" s="54"/>
      <c r="G53" s="54">
        <v>900</v>
      </c>
      <c r="H53" s="54"/>
      <c r="I53" s="54"/>
      <c r="J53" s="54"/>
      <c r="K53" s="54"/>
      <c r="L53" s="54"/>
      <c r="M53" s="54"/>
      <c r="N53" s="54"/>
      <c r="O53" s="54">
        <v>580</v>
      </c>
      <c r="P53" s="54"/>
      <c r="Q53" s="54"/>
      <c r="R53" s="54"/>
      <c r="S53" s="54"/>
      <c r="T53" s="54">
        <v>100</v>
      </c>
      <c r="U53" s="12"/>
    </row>
    <row r="54" spans="2:21" x14ac:dyDescent="0.3">
      <c r="B54" s="41">
        <v>53</v>
      </c>
      <c r="C54" s="86">
        <f t="shared" si="0"/>
        <v>2350</v>
      </c>
      <c r="D54" s="54"/>
      <c r="E54" s="54">
        <v>770</v>
      </c>
      <c r="F54" s="54"/>
      <c r="G54" s="54"/>
      <c r="H54" s="54"/>
      <c r="I54" s="54"/>
      <c r="J54" s="54">
        <v>1200</v>
      </c>
      <c r="K54" s="54"/>
      <c r="L54" s="54"/>
      <c r="M54" s="54">
        <v>280</v>
      </c>
      <c r="N54" s="54"/>
      <c r="O54" s="54"/>
      <c r="P54" s="54"/>
      <c r="Q54" s="54"/>
      <c r="R54" s="54"/>
      <c r="S54" s="54"/>
      <c r="T54" s="54">
        <v>100</v>
      </c>
      <c r="U54" s="12"/>
    </row>
    <row r="55" spans="2:21" x14ac:dyDescent="0.3">
      <c r="B55" s="41">
        <v>54</v>
      </c>
      <c r="C55" s="86">
        <f t="shared" si="0"/>
        <v>2400</v>
      </c>
      <c r="D55" s="54"/>
      <c r="E55" s="54">
        <v>770</v>
      </c>
      <c r="F55" s="54"/>
      <c r="G55" s="54">
        <v>900</v>
      </c>
      <c r="H55" s="54"/>
      <c r="I55" s="54"/>
      <c r="J55" s="54"/>
      <c r="K55" s="54"/>
      <c r="L55" s="54"/>
      <c r="M55" s="54"/>
      <c r="N55" s="54"/>
      <c r="O55" s="54">
        <v>580</v>
      </c>
      <c r="P55" s="54"/>
      <c r="Q55" s="54"/>
      <c r="R55" s="54"/>
      <c r="S55" s="54"/>
      <c r="T55" s="54"/>
      <c r="U55" s="12">
        <v>150</v>
      </c>
    </row>
    <row r="56" spans="2:21" x14ac:dyDescent="0.3">
      <c r="B56" s="41">
        <v>55</v>
      </c>
      <c r="C56" s="86">
        <f t="shared" si="0"/>
        <v>2400</v>
      </c>
      <c r="D56" s="54"/>
      <c r="E56" s="54">
        <v>770</v>
      </c>
      <c r="F56" s="54"/>
      <c r="G56" s="54">
        <v>900</v>
      </c>
      <c r="H56" s="54"/>
      <c r="I56" s="54"/>
      <c r="J56" s="54"/>
      <c r="K56" s="54"/>
      <c r="L56" s="54"/>
      <c r="M56" s="54"/>
      <c r="N56" s="54"/>
      <c r="O56" s="54"/>
      <c r="P56" s="54">
        <v>730</v>
      </c>
      <c r="Q56" s="54"/>
      <c r="R56" s="54"/>
      <c r="S56" s="54"/>
      <c r="T56" s="54"/>
      <c r="U56" s="12"/>
    </row>
    <row r="57" spans="2:21" x14ac:dyDescent="0.3">
      <c r="B57" s="41">
        <v>56</v>
      </c>
      <c r="C57" s="86">
        <f t="shared" si="0"/>
        <v>2400</v>
      </c>
      <c r="D57" s="54"/>
      <c r="E57" s="54">
        <v>770</v>
      </c>
      <c r="F57" s="54"/>
      <c r="G57" s="54"/>
      <c r="H57" s="54"/>
      <c r="I57" s="54"/>
      <c r="J57" s="54">
        <v>1200</v>
      </c>
      <c r="K57" s="54"/>
      <c r="L57" s="54"/>
      <c r="M57" s="54">
        <v>280</v>
      </c>
      <c r="N57" s="54"/>
      <c r="O57" s="54"/>
      <c r="P57" s="54"/>
      <c r="Q57" s="54"/>
      <c r="R57" s="54"/>
      <c r="S57" s="54"/>
      <c r="T57" s="54"/>
      <c r="U57" s="12">
        <v>150</v>
      </c>
    </row>
    <row r="58" spans="2:21" x14ac:dyDescent="0.3">
      <c r="B58" s="41">
        <v>57</v>
      </c>
      <c r="C58" s="86">
        <f t="shared" si="0"/>
        <v>2400</v>
      </c>
      <c r="D58" s="54"/>
      <c r="E58" s="54">
        <v>770</v>
      </c>
      <c r="F58" s="54"/>
      <c r="G58" s="54"/>
      <c r="H58" s="54"/>
      <c r="I58" s="54"/>
      <c r="J58" s="54">
        <v>1200</v>
      </c>
      <c r="K58" s="54"/>
      <c r="L58" s="54"/>
      <c r="M58" s="54"/>
      <c r="N58" s="54">
        <v>430</v>
      </c>
      <c r="O58" s="54"/>
      <c r="P58" s="54"/>
      <c r="Q58" s="54"/>
      <c r="R58" s="54"/>
      <c r="S58" s="54"/>
      <c r="T58" s="54"/>
      <c r="U58" s="12"/>
    </row>
    <row r="59" spans="2:21" x14ac:dyDescent="0.3">
      <c r="B59" s="41">
        <v>58</v>
      </c>
      <c r="C59" s="86">
        <f t="shared" si="0"/>
        <v>2500</v>
      </c>
      <c r="D59" s="54"/>
      <c r="E59" s="54">
        <v>770</v>
      </c>
      <c r="F59" s="54"/>
      <c r="G59" s="54">
        <v>900</v>
      </c>
      <c r="H59" s="54"/>
      <c r="I59" s="54"/>
      <c r="J59" s="54"/>
      <c r="K59" s="54"/>
      <c r="L59" s="54"/>
      <c r="M59" s="54"/>
      <c r="N59" s="54"/>
      <c r="O59" s="54"/>
      <c r="P59" s="54">
        <v>730</v>
      </c>
      <c r="Q59" s="54"/>
      <c r="R59" s="54"/>
      <c r="S59" s="54"/>
      <c r="T59" s="54">
        <v>100</v>
      </c>
      <c r="U59" s="12"/>
    </row>
    <row r="60" spans="2:21" x14ac:dyDescent="0.3">
      <c r="B60" s="41">
        <v>59</v>
      </c>
      <c r="C60" s="86">
        <f t="shared" si="0"/>
        <v>2500</v>
      </c>
      <c r="D60" s="54"/>
      <c r="E60" s="54">
        <v>770</v>
      </c>
      <c r="F60" s="54"/>
      <c r="G60" s="54"/>
      <c r="H60" s="54"/>
      <c r="I60" s="54"/>
      <c r="J60" s="54">
        <v>1200</v>
      </c>
      <c r="K60" s="54"/>
      <c r="L60" s="54"/>
      <c r="M60" s="54"/>
      <c r="N60" s="54">
        <v>430</v>
      </c>
      <c r="O60" s="54"/>
      <c r="P60" s="54"/>
      <c r="Q60" s="54"/>
      <c r="R60" s="54"/>
      <c r="S60" s="54"/>
      <c r="T60" s="54">
        <v>100</v>
      </c>
      <c r="U60" s="12"/>
    </row>
    <row r="61" spans="2:21" x14ac:dyDescent="0.3">
      <c r="B61" s="41">
        <v>60</v>
      </c>
      <c r="C61" s="86">
        <f t="shared" si="0"/>
        <v>2550</v>
      </c>
      <c r="D61" s="54"/>
      <c r="E61" s="54">
        <v>770</v>
      </c>
      <c r="F61" s="54"/>
      <c r="G61" s="54">
        <v>900</v>
      </c>
      <c r="H61" s="54"/>
      <c r="I61" s="54"/>
      <c r="J61" s="54"/>
      <c r="K61" s="54"/>
      <c r="L61" s="54"/>
      <c r="M61" s="54"/>
      <c r="N61" s="54"/>
      <c r="O61" s="54"/>
      <c r="P61" s="54">
        <v>730</v>
      </c>
      <c r="Q61" s="54"/>
      <c r="R61" s="54"/>
      <c r="S61" s="54"/>
      <c r="T61" s="54"/>
      <c r="U61" s="12">
        <v>150</v>
      </c>
    </row>
    <row r="62" spans="2:21" x14ac:dyDescent="0.3">
      <c r="B62" s="41">
        <v>61</v>
      </c>
      <c r="C62" s="86">
        <f t="shared" si="0"/>
        <v>2550</v>
      </c>
      <c r="D62" s="54"/>
      <c r="E62" s="54">
        <v>770</v>
      </c>
      <c r="F62" s="54"/>
      <c r="G62" s="54">
        <v>900</v>
      </c>
      <c r="H62" s="54"/>
      <c r="I62" s="54"/>
      <c r="J62" s="54"/>
      <c r="K62" s="54"/>
      <c r="L62" s="54"/>
      <c r="M62" s="54"/>
      <c r="N62" s="54"/>
      <c r="O62" s="54"/>
      <c r="P62" s="54"/>
      <c r="Q62" s="54">
        <v>880</v>
      </c>
      <c r="R62" s="54"/>
      <c r="S62" s="54"/>
      <c r="T62" s="54"/>
      <c r="U62" s="12"/>
    </row>
    <row r="63" spans="2:21" x14ac:dyDescent="0.3">
      <c r="B63" s="41">
        <v>62</v>
      </c>
      <c r="C63" s="86">
        <f t="shared" si="0"/>
        <v>2550</v>
      </c>
      <c r="D63" s="54"/>
      <c r="E63" s="54">
        <v>770</v>
      </c>
      <c r="F63" s="54"/>
      <c r="G63" s="54"/>
      <c r="H63" s="54"/>
      <c r="I63" s="54"/>
      <c r="J63" s="54">
        <v>1200</v>
      </c>
      <c r="K63" s="54"/>
      <c r="L63" s="54"/>
      <c r="M63" s="54"/>
      <c r="N63" s="54">
        <v>430</v>
      </c>
      <c r="O63" s="54"/>
      <c r="P63" s="54"/>
      <c r="Q63" s="54"/>
      <c r="R63" s="54"/>
      <c r="S63" s="54"/>
      <c r="T63" s="54"/>
      <c r="U63" s="12">
        <v>150</v>
      </c>
    </row>
    <row r="64" spans="2:21" x14ac:dyDescent="0.3">
      <c r="B64" s="41">
        <v>63</v>
      </c>
      <c r="C64" s="86">
        <f t="shared" si="0"/>
        <v>2550</v>
      </c>
      <c r="D64" s="54"/>
      <c r="E64" s="54">
        <v>770</v>
      </c>
      <c r="F64" s="54"/>
      <c r="G64" s="54"/>
      <c r="H64" s="54"/>
      <c r="I64" s="54"/>
      <c r="J64" s="54">
        <v>1200</v>
      </c>
      <c r="K64" s="54"/>
      <c r="L64" s="54"/>
      <c r="M64" s="54"/>
      <c r="N64" s="54"/>
      <c r="O64" s="54">
        <v>580</v>
      </c>
      <c r="P64" s="54"/>
      <c r="Q64" s="54"/>
      <c r="R64" s="54"/>
      <c r="S64" s="54"/>
      <c r="T64" s="54"/>
      <c r="U64" s="12"/>
    </row>
    <row r="65" spans="2:21" x14ac:dyDescent="0.3">
      <c r="B65" s="41">
        <v>64</v>
      </c>
      <c r="C65" s="86">
        <f t="shared" si="0"/>
        <v>2650</v>
      </c>
      <c r="D65" s="54"/>
      <c r="E65" s="54">
        <v>770</v>
      </c>
      <c r="F65" s="54"/>
      <c r="G65" s="54">
        <v>900</v>
      </c>
      <c r="H65" s="54"/>
      <c r="I65" s="54"/>
      <c r="J65" s="54"/>
      <c r="K65" s="54"/>
      <c r="L65" s="54"/>
      <c r="M65" s="54"/>
      <c r="N65" s="54"/>
      <c r="O65" s="54"/>
      <c r="P65" s="54"/>
      <c r="Q65" s="54">
        <v>880</v>
      </c>
      <c r="R65" s="54"/>
      <c r="S65" s="54"/>
      <c r="T65" s="54">
        <v>100</v>
      </c>
      <c r="U65" s="12"/>
    </row>
    <row r="66" spans="2:21" x14ac:dyDescent="0.3">
      <c r="B66" s="41">
        <v>65</v>
      </c>
      <c r="C66" s="86">
        <f t="shared" ref="C66:C129" si="1">SUM(D66:U66)</f>
        <v>2650</v>
      </c>
      <c r="D66" s="54"/>
      <c r="E66" s="54">
        <v>770</v>
      </c>
      <c r="F66" s="54"/>
      <c r="G66" s="54"/>
      <c r="H66" s="54"/>
      <c r="I66" s="54"/>
      <c r="J66" s="54">
        <v>1200</v>
      </c>
      <c r="K66" s="54"/>
      <c r="L66" s="54"/>
      <c r="M66" s="54"/>
      <c r="N66" s="54"/>
      <c r="O66" s="54">
        <v>580</v>
      </c>
      <c r="P66" s="54"/>
      <c r="Q66" s="54"/>
      <c r="R66" s="54"/>
      <c r="S66" s="54"/>
      <c r="T66" s="54">
        <v>100</v>
      </c>
      <c r="U66" s="12"/>
    </row>
    <row r="67" spans="2:21" x14ac:dyDescent="0.3">
      <c r="B67" s="41">
        <v>66</v>
      </c>
      <c r="C67" s="86">
        <f t="shared" si="1"/>
        <v>2700</v>
      </c>
      <c r="D67" s="54"/>
      <c r="E67" s="54">
        <v>770</v>
      </c>
      <c r="F67" s="54"/>
      <c r="G67" s="54">
        <v>900</v>
      </c>
      <c r="H67" s="54"/>
      <c r="I67" s="54"/>
      <c r="J67" s="54"/>
      <c r="K67" s="54"/>
      <c r="L67" s="54"/>
      <c r="M67" s="54"/>
      <c r="N67" s="54"/>
      <c r="O67" s="54"/>
      <c r="P67" s="54"/>
      <c r="Q67" s="54">
        <v>880</v>
      </c>
      <c r="R67" s="54"/>
      <c r="S67" s="54"/>
      <c r="T67" s="54"/>
      <c r="U67" s="12">
        <v>150</v>
      </c>
    </row>
    <row r="68" spans="2:21" x14ac:dyDescent="0.3">
      <c r="B68" s="41">
        <v>67</v>
      </c>
      <c r="C68" s="86">
        <f t="shared" si="1"/>
        <v>2700</v>
      </c>
      <c r="D68" s="54"/>
      <c r="E68" s="54">
        <v>770</v>
      </c>
      <c r="F68" s="54"/>
      <c r="G68" s="54">
        <v>900</v>
      </c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>
        <v>1030</v>
      </c>
      <c r="S68" s="54"/>
      <c r="T68" s="54"/>
      <c r="U68" s="12"/>
    </row>
    <row r="69" spans="2:21" x14ac:dyDescent="0.3">
      <c r="B69" s="41">
        <v>68</v>
      </c>
      <c r="C69" s="86">
        <f t="shared" si="1"/>
        <v>2700</v>
      </c>
      <c r="D69" s="54"/>
      <c r="E69" s="54">
        <v>770</v>
      </c>
      <c r="F69" s="54"/>
      <c r="G69" s="54"/>
      <c r="H69" s="54"/>
      <c r="I69" s="54"/>
      <c r="J69" s="54">
        <v>1200</v>
      </c>
      <c r="K69" s="54"/>
      <c r="L69" s="54"/>
      <c r="M69" s="54"/>
      <c r="N69" s="54"/>
      <c r="O69" s="54">
        <v>580</v>
      </c>
      <c r="P69" s="54"/>
      <c r="Q69" s="54"/>
      <c r="R69" s="54"/>
      <c r="S69" s="54"/>
      <c r="T69" s="54"/>
      <c r="U69" s="12">
        <v>150</v>
      </c>
    </row>
    <row r="70" spans="2:21" x14ac:dyDescent="0.3">
      <c r="B70" s="41">
        <v>69</v>
      </c>
      <c r="C70" s="86">
        <f t="shared" si="1"/>
        <v>2700</v>
      </c>
      <c r="D70" s="54"/>
      <c r="E70" s="54">
        <v>770</v>
      </c>
      <c r="F70" s="54"/>
      <c r="G70" s="54"/>
      <c r="H70" s="54"/>
      <c r="I70" s="54"/>
      <c r="J70" s="54">
        <v>1200</v>
      </c>
      <c r="K70" s="54"/>
      <c r="L70" s="54"/>
      <c r="M70" s="54"/>
      <c r="N70" s="54"/>
      <c r="O70" s="54"/>
      <c r="P70" s="54">
        <v>730</v>
      </c>
      <c r="Q70" s="54"/>
      <c r="R70" s="54"/>
      <c r="S70" s="54"/>
      <c r="T70" s="54"/>
      <c r="U70" s="12"/>
    </row>
    <row r="71" spans="2:21" x14ac:dyDescent="0.3">
      <c r="B71" s="41">
        <v>70</v>
      </c>
      <c r="C71" s="86">
        <f t="shared" si="1"/>
        <v>2730</v>
      </c>
      <c r="D71" s="54"/>
      <c r="E71" s="54">
        <v>770</v>
      </c>
      <c r="F71" s="54"/>
      <c r="G71" s="54">
        <v>900</v>
      </c>
      <c r="H71" s="54">
        <v>900</v>
      </c>
      <c r="I71" s="54"/>
      <c r="J71" s="54"/>
      <c r="K71" s="54"/>
      <c r="L71" s="54">
        <v>160</v>
      </c>
      <c r="M71" s="54"/>
      <c r="N71" s="54"/>
      <c r="O71" s="54"/>
      <c r="P71" s="54"/>
      <c r="Q71" s="54"/>
      <c r="R71" s="54"/>
      <c r="S71" s="54"/>
      <c r="T71" s="54"/>
      <c r="U71" s="12"/>
    </row>
    <row r="72" spans="2:21" x14ac:dyDescent="0.3">
      <c r="B72" s="41">
        <v>71</v>
      </c>
      <c r="C72" s="86">
        <f t="shared" si="1"/>
        <v>2800</v>
      </c>
      <c r="D72" s="54"/>
      <c r="E72" s="54">
        <v>770</v>
      </c>
      <c r="F72" s="54"/>
      <c r="G72" s="54">
        <v>900</v>
      </c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4">
        <v>1030</v>
      </c>
      <c r="S72" s="54"/>
      <c r="T72" s="54">
        <v>100</v>
      </c>
      <c r="U72" s="12"/>
    </row>
    <row r="73" spans="2:21" x14ac:dyDescent="0.3">
      <c r="B73" s="41">
        <v>72</v>
      </c>
      <c r="C73" s="86">
        <f t="shared" si="1"/>
        <v>2800</v>
      </c>
      <c r="D73" s="54"/>
      <c r="E73" s="54">
        <v>770</v>
      </c>
      <c r="F73" s="54"/>
      <c r="G73" s="54"/>
      <c r="H73" s="54"/>
      <c r="I73" s="54"/>
      <c r="J73" s="54">
        <v>1200</v>
      </c>
      <c r="K73" s="54"/>
      <c r="L73" s="54"/>
      <c r="M73" s="54"/>
      <c r="N73" s="54"/>
      <c r="O73" s="54"/>
      <c r="P73" s="54">
        <v>730</v>
      </c>
      <c r="Q73" s="54"/>
      <c r="R73" s="54"/>
      <c r="S73" s="54"/>
      <c r="T73" s="54">
        <v>100</v>
      </c>
      <c r="U73" s="12"/>
    </row>
    <row r="74" spans="2:21" x14ac:dyDescent="0.3">
      <c r="B74" s="41">
        <v>73</v>
      </c>
      <c r="C74" s="86">
        <f t="shared" si="1"/>
        <v>2830</v>
      </c>
      <c r="D74" s="54"/>
      <c r="E74" s="54">
        <v>770</v>
      </c>
      <c r="F74" s="54"/>
      <c r="G74" s="54">
        <v>900</v>
      </c>
      <c r="H74" s="54">
        <v>900</v>
      </c>
      <c r="I74" s="54"/>
      <c r="J74" s="54"/>
      <c r="K74" s="54"/>
      <c r="L74" s="54">
        <v>160</v>
      </c>
      <c r="M74" s="54"/>
      <c r="N74" s="54"/>
      <c r="O74" s="54"/>
      <c r="P74" s="54"/>
      <c r="Q74" s="54"/>
      <c r="R74" s="54"/>
      <c r="S74" s="54"/>
      <c r="T74" s="54">
        <v>100</v>
      </c>
      <c r="U74" s="12"/>
    </row>
    <row r="75" spans="2:21" x14ac:dyDescent="0.3">
      <c r="B75" s="41">
        <v>74</v>
      </c>
      <c r="C75" s="86">
        <f t="shared" si="1"/>
        <v>2850</v>
      </c>
      <c r="D75" s="54"/>
      <c r="E75" s="54">
        <v>770</v>
      </c>
      <c r="F75" s="54"/>
      <c r="G75" s="54">
        <v>900</v>
      </c>
      <c r="H75" s="54"/>
      <c r="I75" s="54"/>
      <c r="J75" s="54"/>
      <c r="K75" s="54"/>
      <c r="L75" s="54"/>
      <c r="M75" s="54"/>
      <c r="N75" s="54"/>
      <c r="O75" s="54"/>
      <c r="P75" s="54"/>
      <c r="Q75" s="54"/>
      <c r="R75" s="54">
        <v>1030</v>
      </c>
      <c r="S75" s="54"/>
      <c r="T75" s="54"/>
      <c r="U75" s="12">
        <v>150</v>
      </c>
    </row>
    <row r="76" spans="2:21" x14ac:dyDescent="0.3">
      <c r="B76" s="41">
        <v>75</v>
      </c>
      <c r="C76" s="86">
        <f t="shared" si="1"/>
        <v>2850</v>
      </c>
      <c r="D76" s="54"/>
      <c r="E76" s="54">
        <v>770</v>
      </c>
      <c r="F76" s="54"/>
      <c r="G76" s="54">
        <v>900</v>
      </c>
      <c r="H76" s="54"/>
      <c r="I76" s="54"/>
      <c r="J76" s="54"/>
      <c r="K76" s="54"/>
      <c r="L76" s="54"/>
      <c r="M76" s="54"/>
      <c r="N76" s="54"/>
      <c r="O76" s="54"/>
      <c r="P76" s="54"/>
      <c r="Q76" s="54"/>
      <c r="R76" s="54"/>
      <c r="S76" s="54">
        <v>1180</v>
      </c>
      <c r="T76" s="54"/>
      <c r="U76" s="12"/>
    </row>
    <row r="77" spans="2:21" x14ac:dyDescent="0.3">
      <c r="B77" s="41">
        <v>76</v>
      </c>
      <c r="C77" s="86">
        <f t="shared" si="1"/>
        <v>2850</v>
      </c>
      <c r="D77" s="54"/>
      <c r="E77" s="54">
        <v>770</v>
      </c>
      <c r="F77" s="54"/>
      <c r="G77" s="54"/>
      <c r="H77" s="54"/>
      <c r="I77" s="54"/>
      <c r="J77" s="54">
        <v>1200</v>
      </c>
      <c r="K77" s="54"/>
      <c r="L77" s="54"/>
      <c r="M77" s="54"/>
      <c r="N77" s="54"/>
      <c r="O77" s="54"/>
      <c r="P77" s="54">
        <v>730</v>
      </c>
      <c r="Q77" s="54"/>
      <c r="R77" s="54"/>
      <c r="S77" s="54"/>
      <c r="T77" s="54"/>
      <c r="U77" s="12">
        <v>150</v>
      </c>
    </row>
    <row r="78" spans="2:21" x14ac:dyDescent="0.3">
      <c r="B78" s="41">
        <v>77</v>
      </c>
      <c r="C78" s="86">
        <f t="shared" si="1"/>
        <v>2850</v>
      </c>
      <c r="D78" s="54"/>
      <c r="E78" s="54">
        <v>770</v>
      </c>
      <c r="F78" s="54"/>
      <c r="G78" s="54"/>
      <c r="H78" s="54"/>
      <c r="I78" s="54"/>
      <c r="J78" s="54">
        <v>1200</v>
      </c>
      <c r="K78" s="54"/>
      <c r="L78" s="54"/>
      <c r="M78" s="54"/>
      <c r="N78" s="54"/>
      <c r="O78" s="54"/>
      <c r="P78" s="54"/>
      <c r="Q78" s="54">
        <v>880</v>
      </c>
      <c r="R78" s="54"/>
      <c r="S78" s="54"/>
      <c r="T78" s="54"/>
      <c r="U78" s="12"/>
    </row>
    <row r="79" spans="2:21" x14ac:dyDescent="0.3">
      <c r="B79" s="41">
        <v>78</v>
      </c>
      <c r="C79" s="86">
        <f t="shared" si="1"/>
        <v>2850</v>
      </c>
      <c r="D79" s="54"/>
      <c r="E79" s="54">
        <v>770</v>
      </c>
      <c r="F79" s="54"/>
      <c r="G79" s="54">
        <v>900</v>
      </c>
      <c r="H79" s="54">
        <v>900</v>
      </c>
      <c r="I79" s="54"/>
      <c r="J79" s="54"/>
      <c r="K79" s="54"/>
      <c r="L79" s="54"/>
      <c r="M79" s="54">
        <v>280</v>
      </c>
      <c r="N79" s="54"/>
      <c r="O79" s="54"/>
      <c r="P79" s="54"/>
      <c r="Q79" s="54"/>
      <c r="R79" s="54"/>
      <c r="S79" s="54"/>
      <c r="T79" s="54"/>
      <c r="U79" s="12"/>
    </row>
    <row r="80" spans="2:21" x14ac:dyDescent="0.3">
      <c r="B80" s="41">
        <v>79</v>
      </c>
      <c r="C80" s="86">
        <f t="shared" si="1"/>
        <v>2880</v>
      </c>
      <c r="D80" s="54"/>
      <c r="E80" s="54">
        <v>770</v>
      </c>
      <c r="F80" s="54"/>
      <c r="G80" s="54">
        <v>900</v>
      </c>
      <c r="H80" s="54">
        <v>900</v>
      </c>
      <c r="I80" s="54"/>
      <c r="J80" s="54"/>
      <c r="K80" s="54"/>
      <c r="L80" s="54">
        <v>160</v>
      </c>
      <c r="M80" s="54"/>
      <c r="N80" s="54"/>
      <c r="O80" s="54"/>
      <c r="P80" s="54"/>
      <c r="Q80" s="54"/>
      <c r="R80" s="54"/>
      <c r="S80" s="54"/>
      <c r="T80" s="54"/>
      <c r="U80" s="12">
        <v>150</v>
      </c>
    </row>
    <row r="81" spans="2:21" x14ac:dyDescent="0.3">
      <c r="B81" s="41">
        <v>80</v>
      </c>
      <c r="C81" s="86">
        <f t="shared" si="1"/>
        <v>2950</v>
      </c>
      <c r="D81" s="54"/>
      <c r="E81" s="54">
        <v>770</v>
      </c>
      <c r="F81" s="54"/>
      <c r="G81" s="54">
        <v>900</v>
      </c>
      <c r="H81" s="54"/>
      <c r="I81" s="54"/>
      <c r="J81" s="54"/>
      <c r="K81" s="54"/>
      <c r="L81" s="54"/>
      <c r="M81" s="54"/>
      <c r="N81" s="54"/>
      <c r="O81" s="54"/>
      <c r="P81" s="54"/>
      <c r="Q81" s="54"/>
      <c r="R81" s="54"/>
      <c r="S81" s="54">
        <v>1180</v>
      </c>
      <c r="T81" s="54">
        <v>100</v>
      </c>
      <c r="U81" s="12"/>
    </row>
    <row r="82" spans="2:21" x14ac:dyDescent="0.3">
      <c r="B82" s="41">
        <v>81</v>
      </c>
      <c r="C82" s="86">
        <f t="shared" si="1"/>
        <v>2950</v>
      </c>
      <c r="D82" s="54"/>
      <c r="E82" s="54">
        <v>770</v>
      </c>
      <c r="F82" s="54"/>
      <c r="G82" s="54"/>
      <c r="H82" s="54"/>
      <c r="I82" s="54"/>
      <c r="J82" s="54">
        <v>1200</v>
      </c>
      <c r="K82" s="54"/>
      <c r="L82" s="54"/>
      <c r="M82" s="54"/>
      <c r="N82" s="54"/>
      <c r="O82" s="54"/>
      <c r="P82" s="54"/>
      <c r="Q82" s="54">
        <v>880</v>
      </c>
      <c r="R82" s="54"/>
      <c r="S82" s="54"/>
      <c r="T82" s="54">
        <v>100</v>
      </c>
      <c r="U82" s="12"/>
    </row>
    <row r="83" spans="2:21" x14ac:dyDescent="0.3">
      <c r="B83" s="41">
        <v>82</v>
      </c>
      <c r="C83" s="86">
        <f t="shared" si="1"/>
        <v>2950</v>
      </c>
      <c r="D83" s="54"/>
      <c r="E83" s="54">
        <v>770</v>
      </c>
      <c r="F83" s="54"/>
      <c r="G83" s="54">
        <v>900</v>
      </c>
      <c r="H83" s="54">
        <v>900</v>
      </c>
      <c r="I83" s="54"/>
      <c r="J83" s="54"/>
      <c r="K83" s="54"/>
      <c r="L83" s="54"/>
      <c r="M83" s="54">
        <v>280</v>
      </c>
      <c r="N83" s="54"/>
      <c r="O83" s="54"/>
      <c r="P83" s="54"/>
      <c r="Q83" s="54"/>
      <c r="R83" s="54"/>
      <c r="S83" s="54"/>
      <c r="T83" s="54">
        <v>100</v>
      </c>
      <c r="U83" s="12"/>
    </row>
    <row r="84" spans="2:21" x14ac:dyDescent="0.3">
      <c r="B84" s="41">
        <v>83</v>
      </c>
      <c r="C84" s="86">
        <f t="shared" si="1"/>
        <v>3000</v>
      </c>
      <c r="D84" s="54"/>
      <c r="E84" s="54">
        <v>770</v>
      </c>
      <c r="F84" s="54"/>
      <c r="G84" s="54">
        <v>900</v>
      </c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4"/>
      <c r="S84" s="54">
        <v>1180</v>
      </c>
      <c r="T84" s="54"/>
      <c r="U84" s="12">
        <v>150</v>
      </c>
    </row>
    <row r="85" spans="2:21" x14ac:dyDescent="0.3">
      <c r="B85" s="41">
        <v>84</v>
      </c>
      <c r="C85" s="86">
        <f t="shared" si="1"/>
        <v>3000</v>
      </c>
      <c r="D85" s="54"/>
      <c r="E85" s="54">
        <v>770</v>
      </c>
      <c r="F85" s="54"/>
      <c r="G85" s="54"/>
      <c r="H85" s="54"/>
      <c r="I85" s="54"/>
      <c r="J85" s="54">
        <v>1200</v>
      </c>
      <c r="K85" s="54"/>
      <c r="L85" s="54"/>
      <c r="M85" s="54"/>
      <c r="N85" s="54"/>
      <c r="O85" s="54"/>
      <c r="P85" s="54"/>
      <c r="Q85" s="54">
        <v>880</v>
      </c>
      <c r="R85" s="54"/>
      <c r="S85" s="54"/>
      <c r="T85" s="54"/>
      <c r="U85" s="12">
        <v>150</v>
      </c>
    </row>
    <row r="86" spans="2:21" x14ac:dyDescent="0.3">
      <c r="B86" s="41">
        <v>85</v>
      </c>
      <c r="C86" s="86">
        <f t="shared" si="1"/>
        <v>3000</v>
      </c>
      <c r="D86" s="54"/>
      <c r="E86" s="54">
        <v>770</v>
      </c>
      <c r="F86" s="54"/>
      <c r="G86" s="54"/>
      <c r="H86" s="54"/>
      <c r="I86" s="54"/>
      <c r="J86" s="54">
        <v>1200</v>
      </c>
      <c r="K86" s="54"/>
      <c r="L86" s="54"/>
      <c r="M86" s="54"/>
      <c r="N86" s="54"/>
      <c r="O86" s="54"/>
      <c r="P86" s="54"/>
      <c r="Q86" s="54"/>
      <c r="R86" s="54">
        <v>1030</v>
      </c>
      <c r="S86" s="54"/>
      <c r="T86" s="54"/>
      <c r="U86" s="12"/>
    </row>
    <row r="87" spans="2:21" x14ac:dyDescent="0.3">
      <c r="B87" s="41">
        <v>86</v>
      </c>
      <c r="C87" s="86">
        <f t="shared" si="1"/>
        <v>3000</v>
      </c>
      <c r="D87" s="54"/>
      <c r="E87" s="54">
        <v>770</v>
      </c>
      <c r="F87" s="54"/>
      <c r="G87" s="54">
        <v>900</v>
      </c>
      <c r="H87" s="54">
        <v>900</v>
      </c>
      <c r="I87" s="54"/>
      <c r="J87" s="54"/>
      <c r="K87" s="54"/>
      <c r="L87" s="54"/>
      <c r="M87" s="54">
        <v>280</v>
      </c>
      <c r="N87" s="54"/>
      <c r="O87" s="54"/>
      <c r="P87" s="54"/>
      <c r="Q87" s="54"/>
      <c r="R87" s="54"/>
      <c r="S87" s="54"/>
      <c r="T87" s="54"/>
      <c r="U87" s="12">
        <v>150</v>
      </c>
    </row>
    <row r="88" spans="2:21" x14ac:dyDescent="0.3">
      <c r="B88" s="41">
        <v>87</v>
      </c>
      <c r="C88" s="86">
        <f t="shared" si="1"/>
        <v>3000</v>
      </c>
      <c r="D88" s="54"/>
      <c r="E88" s="54">
        <v>770</v>
      </c>
      <c r="F88" s="54"/>
      <c r="G88" s="54">
        <v>900</v>
      </c>
      <c r="H88" s="54">
        <v>900</v>
      </c>
      <c r="I88" s="54"/>
      <c r="J88" s="54"/>
      <c r="K88" s="54"/>
      <c r="L88" s="54"/>
      <c r="M88" s="54"/>
      <c r="N88" s="54">
        <v>430</v>
      </c>
      <c r="O88" s="54"/>
      <c r="P88" s="54"/>
      <c r="Q88" s="54"/>
      <c r="R88" s="54"/>
      <c r="S88" s="54"/>
      <c r="T88" s="54"/>
      <c r="U88" s="12"/>
    </row>
    <row r="89" spans="2:21" x14ac:dyDescent="0.3">
      <c r="B89" s="41">
        <v>88</v>
      </c>
      <c r="C89" s="86">
        <f t="shared" si="1"/>
        <v>3100</v>
      </c>
      <c r="D89" s="54"/>
      <c r="E89" s="54">
        <v>770</v>
      </c>
      <c r="F89" s="54"/>
      <c r="G89" s="54"/>
      <c r="H89" s="54"/>
      <c r="I89" s="54"/>
      <c r="J89" s="54">
        <v>1200</v>
      </c>
      <c r="K89" s="54"/>
      <c r="L89" s="54"/>
      <c r="M89" s="54"/>
      <c r="N89" s="54"/>
      <c r="O89" s="54"/>
      <c r="P89" s="54"/>
      <c r="Q89" s="54"/>
      <c r="R89" s="54">
        <v>1030</v>
      </c>
      <c r="S89" s="54"/>
      <c r="T89" s="54">
        <v>100</v>
      </c>
      <c r="U89" s="12"/>
    </row>
    <row r="90" spans="2:21" x14ac:dyDescent="0.3">
      <c r="B90" s="41">
        <v>89</v>
      </c>
      <c r="C90" s="86">
        <f t="shared" si="1"/>
        <v>3100</v>
      </c>
      <c r="D90" s="54"/>
      <c r="E90" s="54">
        <v>770</v>
      </c>
      <c r="F90" s="54"/>
      <c r="G90" s="54">
        <v>900</v>
      </c>
      <c r="H90" s="54">
        <v>900</v>
      </c>
      <c r="I90" s="54"/>
      <c r="J90" s="54"/>
      <c r="K90" s="54"/>
      <c r="L90" s="54"/>
      <c r="M90" s="54"/>
      <c r="N90" s="54">
        <v>430</v>
      </c>
      <c r="O90" s="54"/>
      <c r="P90" s="54"/>
      <c r="Q90" s="54"/>
      <c r="R90" s="54"/>
      <c r="S90" s="54"/>
      <c r="T90" s="54">
        <v>100</v>
      </c>
      <c r="U90" s="12"/>
    </row>
    <row r="91" spans="2:21" x14ac:dyDescent="0.3">
      <c r="B91" s="41">
        <v>90</v>
      </c>
      <c r="C91" s="86">
        <f t="shared" si="1"/>
        <v>3150</v>
      </c>
      <c r="D91" s="54"/>
      <c r="E91" s="54">
        <v>770</v>
      </c>
      <c r="F91" s="54"/>
      <c r="G91" s="54"/>
      <c r="H91" s="54"/>
      <c r="I91" s="54"/>
      <c r="J91" s="54">
        <v>1200</v>
      </c>
      <c r="K91" s="54"/>
      <c r="L91" s="54"/>
      <c r="M91" s="54"/>
      <c r="N91" s="54"/>
      <c r="O91" s="54"/>
      <c r="P91" s="54"/>
      <c r="Q91" s="54"/>
      <c r="R91" s="54">
        <v>1030</v>
      </c>
      <c r="S91" s="54"/>
      <c r="T91" s="54"/>
      <c r="U91" s="12">
        <v>150</v>
      </c>
    </row>
    <row r="92" spans="2:21" x14ac:dyDescent="0.3">
      <c r="B92" s="41">
        <v>91</v>
      </c>
      <c r="C92" s="86">
        <f t="shared" si="1"/>
        <v>3150</v>
      </c>
      <c r="D92" s="54"/>
      <c r="E92" s="54">
        <v>770</v>
      </c>
      <c r="F92" s="54"/>
      <c r="G92" s="54"/>
      <c r="H92" s="54"/>
      <c r="I92" s="54"/>
      <c r="J92" s="54">
        <v>1200</v>
      </c>
      <c r="K92" s="54"/>
      <c r="L92" s="54"/>
      <c r="M92" s="54"/>
      <c r="N92" s="54"/>
      <c r="O92" s="54"/>
      <c r="P92" s="54"/>
      <c r="Q92" s="54"/>
      <c r="R92" s="54"/>
      <c r="S92" s="54">
        <v>1180</v>
      </c>
      <c r="T92" s="54"/>
      <c r="U92" s="12"/>
    </row>
    <row r="93" spans="2:21" x14ac:dyDescent="0.3">
      <c r="B93" s="41">
        <v>92</v>
      </c>
      <c r="C93" s="86">
        <f t="shared" si="1"/>
        <v>3150</v>
      </c>
      <c r="D93" s="54"/>
      <c r="E93" s="54">
        <v>770</v>
      </c>
      <c r="F93" s="54"/>
      <c r="G93" s="54">
        <v>900</v>
      </c>
      <c r="H93" s="54">
        <v>900</v>
      </c>
      <c r="I93" s="54"/>
      <c r="J93" s="54"/>
      <c r="K93" s="54"/>
      <c r="L93" s="54"/>
      <c r="M93" s="54"/>
      <c r="N93" s="54">
        <v>430</v>
      </c>
      <c r="O93" s="54"/>
      <c r="P93" s="54"/>
      <c r="Q93" s="54"/>
      <c r="R93" s="54"/>
      <c r="S93" s="54"/>
      <c r="T93" s="54"/>
      <c r="U93" s="12">
        <v>150</v>
      </c>
    </row>
    <row r="94" spans="2:21" x14ac:dyDescent="0.3">
      <c r="B94" s="41">
        <v>93</v>
      </c>
      <c r="C94" s="86">
        <f t="shared" si="1"/>
        <v>3150</v>
      </c>
      <c r="D94" s="54"/>
      <c r="E94" s="54">
        <v>770</v>
      </c>
      <c r="F94" s="54"/>
      <c r="G94" s="54">
        <v>900</v>
      </c>
      <c r="H94" s="54">
        <v>900</v>
      </c>
      <c r="I94" s="54"/>
      <c r="J94" s="54"/>
      <c r="K94" s="54"/>
      <c r="L94" s="54"/>
      <c r="M94" s="54"/>
      <c r="N94" s="54"/>
      <c r="O94" s="54">
        <v>580</v>
      </c>
      <c r="P94" s="54"/>
      <c r="Q94" s="54"/>
      <c r="R94" s="54"/>
      <c r="S94" s="54"/>
      <c r="T94" s="54"/>
      <c r="U94" s="12"/>
    </row>
    <row r="95" spans="2:21" x14ac:dyDescent="0.3">
      <c r="B95" s="41">
        <v>94</v>
      </c>
      <c r="C95" s="86">
        <f t="shared" si="1"/>
        <v>3250</v>
      </c>
      <c r="D95" s="54"/>
      <c r="E95" s="54">
        <v>770</v>
      </c>
      <c r="F95" s="54"/>
      <c r="G95" s="54"/>
      <c r="H95" s="54"/>
      <c r="I95" s="54"/>
      <c r="J95" s="54">
        <v>1200</v>
      </c>
      <c r="K95" s="54"/>
      <c r="L95" s="54"/>
      <c r="M95" s="54"/>
      <c r="N95" s="54"/>
      <c r="O95" s="54"/>
      <c r="P95" s="54"/>
      <c r="Q95" s="54"/>
      <c r="R95" s="54"/>
      <c r="S95" s="54">
        <v>1180</v>
      </c>
      <c r="T95" s="54">
        <v>100</v>
      </c>
      <c r="U95" s="12"/>
    </row>
    <row r="96" spans="2:21" x14ac:dyDescent="0.3">
      <c r="B96" s="41">
        <v>95</v>
      </c>
      <c r="C96" s="86">
        <f t="shared" si="1"/>
        <v>3250</v>
      </c>
      <c r="D96" s="54"/>
      <c r="E96" s="54">
        <v>770</v>
      </c>
      <c r="F96" s="54"/>
      <c r="G96" s="54">
        <v>900</v>
      </c>
      <c r="H96" s="54">
        <v>900</v>
      </c>
      <c r="I96" s="54"/>
      <c r="J96" s="54"/>
      <c r="K96" s="54"/>
      <c r="L96" s="54"/>
      <c r="M96" s="54"/>
      <c r="N96" s="54"/>
      <c r="O96" s="54">
        <v>580</v>
      </c>
      <c r="P96" s="54"/>
      <c r="Q96" s="54"/>
      <c r="R96" s="54"/>
      <c r="S96" s="54"/>
      <c r="T96" s="54">
        <v>100</v>
      </c>
      <c r="U96" s="12"/>
    </row>
    <row r="97" spans="2:21" x14ac:dyDescent="0.3">
      <c r="B97" s="41">
        <v>96</v>
      </c>
      <c r="C97" s="86">
        <f t="shared" si="1"/>
        <v>3300</v>
      </c>
      <c r="D97" s="54"/>
      <c r="E97" s="54">
        <v>770</v>
      </c>
      <c r="F97" s="54"/>
      <c r="G97" s="54"/>
      <c r="H97" s="54"/>
      <c r="I97" s="54"/>
      <c r="J97" s="54">
        <v>1200</v>
      </c>
      <c r="K97" s="54"/>
      <c r="L97" s="54"/>
      <c r="M97" s="54"/>
      <c r="N97" s="54"/>
      <c r="O97" s="54"/>
      <c r="P97" s="54"/>
      <c r="Q97" s="54"/>
      <c r="R97" s="54"/>
      <c r="S97" s="54">
        <v>1180</v>
      </c>
      <c r="T97" s="54"/>
      <c r="U97" s="12">
        <v>150</v>
      </c>
    </row>
    <row r="98" spans="2:21" x14ac:dyDescent="0.3">
      <c r="B98" s="41">
        <v>97</v>
      </c>
      <c r="C98" s="86">
        <f t="shared" si="1"/>
        <v>3300</v>
      </c>
      <c r="D98" s="54"/>
      <c r="E98" s="54">
        <v>770</v>
      </c>
      <c r="F98" s="54"/>
      <c r="G98" s="54">
        <v>900</v>
      </c>
      <c r="H98" s="54">
        <v>900</v>
      </c>
      <c r="I98" s="54"/>
      <c r="J98" s="54"/>
      <c r="K98" s="54"/>
      <c r="L98" s="54"/>
      <c r="M98" s="54"/>
      <c r="N98" s="54"/>
      <c r="O98" s="54">
        <v>580</v>
      </c>
      <c r="P98" s="54"/>
      <c r="Q98" s="54"/>
      <c r="R98" s="54"/>
      <c r="S98" s="54"/>
      <c r="T98" s="54"/>
      <c r="U98" s="12">
        <v>150</v>
      </c>
    </row>
    <row r="99" spans="2:21" x14ac:dyDescent="0.3">
      <c r="B99" s="41">
        <v>98</v>
      </c>
      <c r="C99" s="86">
        <f t="shared" si="1"/>
        <v>3300</v>
      </c>
      <c r="D99" s="54"/>
      <c r="E99" s="54">
        <v>770</v>
      </c>
      <c r="F99" s="54"/>
      <c r="G99" s="54">
        <v>900</v>
      </c>
      <c r="H99" s="54">
        <v>900</v>
      </c>
      <c r="I99" s="54"/>
      <c r="J99" s="54"/>
      <c r="K99" s="54"/>
      <c r="L99" s="54"/>
      <c r="M99" s="54"/>
      <c r="N99" s="54"/>
      <c r="O99" s="54"/>
      <c r="P99" s="54">
        <v>730</v>
      </c>
      <c r="Q99" s="54"/>
      <c r="R99" s="54"/>
      <c r="S99" s="54"/>
      <c r="T99" s="54"/>
      <c r="U99" s="12"/>
    </row>
    <row r="100" spans="2:21" x14ac:dyDescent="0.3">
      <c r="B100" s="41">
        <v>99</v>
      </c>
      <c r="C100" s="86">
        <f t="shared" si="1"/>
        <v>3400</v>
      </c>
      <c r="D100" s="54"/>
      <c r="E100" s="54">
        <v>770</v>
      </c>
      <c r="F100" s="54"/>
      <c r="G100" s="54">
        <v>900</v>
      </c>
      <c r="H100" s="54">
        <v>900</v>
      </c>
      <c r="I100" s="54"/>
      <c r="J100" s="54"/>
      <c r="K100" s="54"/>
      <c r="L100" s="54"/>
      <c r="M100" s="54"/>
      <c r="N100" s="54"/>
      <c r="O100" s="54"/>
      <c r="P100" s="54">
        <v>730</v>
      </c>
      <c r="Q100" s="54"/>
      <c r="R100" s="54"/>
      <c r="S100" s="54"/>
      <c r="T100" s="54">
        <v>100</v>
      </c>
      <c r="U100" s="12"/>
    </row>
    <row r="101" spans="2:21" x14ac:dyDescent="0.3">
      <c r="B101" s="41">
        <v>100</v>
      </c>
      <c r="C101" s="86">
        <f t="shared" si="1"/>
        <v>3450</v>
      </c>
      <c r="D101" s="54"/>
      <c r="E101" s="54">
        <v>770</v>
      </c>
      <c r="F101" s="54"/>
      <c r="G101" s="54">
        <v>900</v>
      </c>
      <c r="H101" s="54">
        <v>900</v>
      </c>
      <c r="I101" s="54"/>
      <c r="J101" s="54"/>
      <c r="K101" s="54"/>
      <c r="L101" s="54"/>
      <c r="M101" s="54"/>
      <c r="N101" s="54"/>
      <c r="O101" s="54"/>
      <c r="P101" s="54">
        <v>730</v>
      </c>
      <c r="Q101" s="54"/>
      <c r="R101" s="54"/>
      <c r="S101" s="54"/>
      <c r="T101" s="54"/>
      <c r="U101" s="12">
        <v>150</v>
      </c>
    </row>
    <row r="102" spans="2:21" x14ac:dyDescent="0.3">
      <c r="B102" s="41">
        <v>101</v>
      </c>
      <c r="C102" s="86">
        <f t="shared" si="1"/>
        <v>3450</v>
      </c>
      <c r="D102" s="54"/>
      <c r="E102" s="54">
        <v>770</v>
      </c>
      <c r="F102" s="54"/>
      <c r="G102" s="54">
        <v>900</v>
      </c>
      <c r="H102" s="54">
        <v>900</v>
      </c>
      <c r="I102" s="54"/>
      <c r="J102" s="54"/>
      <c r="K102" s="54"/>
      <c r="L102" s="54"/>
      <c r="M102" s="54"/>
      <c r="N102" s="54"/>
      <c r="O102" s="54"/>
      <c r="P102" s="54"/>
      <c r="Q102" s="54">
        <v>880</v>
      </c>
      <c r="R102" s="54"/>
      <c r="S102" s="54"/>
      <c r="T102" s="54"/>
      <c r="U102" s="12"/>
    </row>
    <row r="103" spans="2:21" x14ac:dyDescent="0.3">
      <c r="B103" s="41">
        <v>102</v>
      </c>
      <c r="C103" s="86">
        <f t="shared" si="1"/>
        <v>3550</v>
      </c>
      <c r="D103" s="54"/>
      <c r="E103" s="54">
        <v>770</v>
      </c>
      <c r="F103" s="54"/>
      <c r="G103" s="54">
        <v>900</v>
      </c>
      <c r="H103" s="54">
        <v>900</v>
      </c>
      <c r="I103" s="54"/>
      <c r="J103" s="54"/>
      <c r="K103" s="54"/>
      <c r="L103" s="54"/>
      <c r="M103" s="54"/>
      <c r="N103" s="54"/>
      <c r="O103" s="54"/>
      <c r="P103" s="54"/>
      <c r="Q103" s="54">
        <v>880</v>
      </c>
      <c r="R103" s="54"/>
      <c r="S103" s="54"/>
      <c r="T103" s="54">
        <v>100</v>
      </c>
      <c r="U103" s="12"/>
    </row>
    <row r="104" spans="2:21" x14ac:dyDescent="0.3">
      <c r="B104" s="41">
        <v>103</v>
      </c>
      <c r="C104" s="86">
        <f t="shared" si="1"/>
        <v>3600</v>
      </c>
      <c r="D104" s="54"/>
      <c r="E104" s="54">
        <v>770</v>
      </c>
      <c r="F104" s="54"/>
      <c r="G104" s="54">
        <v>900</v>
      </c>
      <c r="H104" s="54">
        <v>900</v>
      </c>
      <c r="I104" s="54"/>
      <c r="J104" s="54"/>
      <c r="K104" s="54"/>
      <c r="L104" s="54"/>
      <c r="M104" s="54"/>
      <c r="N104" s="54"/>
      <c r="O104" s="54"/>
      <c r="P104" s="54"/>
      <c r="Q104" s="54">
        <v>880</v>
      </c>
      <c r="R104" s="54"/>
      <c r="S104" s="54"/>
      <c r="T104" s="54"/>
      <c r="U104" s="12">
        <v>150</v>
      </c>
    </row>
    <row r="105" spans="2:21" x14ac:dyDescent="0.3">
      <c r="B105" s="41">
        <v>104</v>
      </c>
      <c r="C105" s="86">
        <f t="shared" si="1"/>
        <v>3600</v>
      </c>
      <c r="D105" s="54"/>
      <c r="E105" s="54">
        <v>770</v>
      </c>
      <c r="F105" s="54"/>
      <c r="G105" s="54">
        <v>900</v>
      </c>
      <c r="H105" s="54">
        <v>900</v>
      </c>
      <c r="I105" s="54"/>
      <c r="J105" s="54"/>
      <c r="K105" s="54"/>
      <c r="L105" s="54"/>
      <c r="M105" s="54"/>
      <c r="N105" s="54"/>
      <c r="O105" s="54"/>
      <c r="P105" s="54"/>
      <c r="Q105" s="54"/>
      <c r="R105" s="54">
        <v>1030</v>
      </c>
      <c r="S105" s="54"/>
      <c r="T105" s="54"/>
      <c r="U105" s="12"/>
    </row>
    <row r="106" spans="2:21" x14ac:dyDescent="0.3">
      <c r="B106" s="41">
        <v>105</v>
      </c>
      <c r="C106" s="86">
        <f t="shared" si="1"/>
        <v>3700</v>
      </c>
      <c r="D106" s="54"/>
      <c r="E106" s="54">
        <v>770</v>
      </c>
      <c r="F106" s="54"/>
      <c r="G106" s="54">
        <v>900</v>
      </c>
      <c r="H106" s="54">
        <v>900</v>
      </c>
      <c r="I106" s="54"/>
      <c r="J106" s="54"/>
      <c r="K106" s="54"/>
      <c r="L106" s="54"/>
      <c r="M106" s="54"/>
      <c r="N106" s="54"/>
      <c r="O106" s="54"/>
      <c r="P106" s="54"/>
      <c r="Q106" s="54"/>
      <c r="R106" s="54">
        <v>1030</v>
      </c>
      <c r="S106" s="54"/>
      <c r="T106" s="54">
        <v>100</v>
      </c>
      <c r="U106" s="12"/>
    </row>
    <row r="107" spans="2:21" x14ac:dyDescent="0.3">
      <c r="B107" s="41">
        <v>106</v>
      </c>
      <c r="C107" s="86">
        <f t="shared" si="1"/>
        <v>3750</v>
      </c>
      <c r="D107" s="54"/>
      <c r="E107" s="54">
        <v>770</v>
      </c>
      <c r="F107" s="54"/>
      <c r="G107" s="54">
        <v>900</v>
      </c>
      <c r="H107" s="54">
        <v>900</v>
      </c>
      <c r="I107" s="54"/>
      <c r="J107" s="54"/>
      <c r="K107" s="54"/>
      <c r="L107" s="54"/>
      <c r="M107" s="54"/>
      <c r="N107" s="54"/>
      <c r="O107" s="54"/>
      <c r="P107" s="54"/>
      <c r="Q107" s="54"/>
      <c r="R107" s="54">
        <v>1030</v>
      </c>
      <c r="S107" s="54"/>
      <c r="T107" s="54"/>
      <c r="U107" s="12">
        <v>150</v>
      </c>
    </row>
    <row r="108" spans="2:21" x14ac:dyDescent="0.3">
      <c r="B108" s="41">
        <v>107</v>
      </c>
      <c r="C108" s="86">
        <f t="shared" si="1"/>
        <v>3750</v>
      </c>
      <c r="D108" s="54"/>
      <c r="E108" s="54">
        <v>770</v>
      </c>
      <c r="F108" s="54"/>
      <c r="G108" s="54">
        <v>900</v>
      </c>
      <c r="H108" s="54">
        <v>900</v>
      </c>
      <c r="I108" s="54"/>
      <c r="J108" s="54"/>
      <c r="K108" s="54"/>
      <c r="L108" s="54"/>
      <c r="M108" s="54"/>
      <c r="N108" s="54"/>
      <c r="O108" s="54"/>
      <c r="P108" s="54"/>
      <c r="Q108" s="54"/>
      <c r="R108" s="54"/>
      <c r="S108" s="54">
        <v>1180</v>
      </c>
      <c r="T108" s="54"/>
      <c r="U108" s="12"/>
    </row>
    <row r="109" spans="2:21" x14ac:dyDescent="0.3">
      <c r="B109" s="41">
        <v>108</v>
      </c>
      <c r="C109" s="86">
        <f t="shared" si="1"/>
        <v>3850</v>
      </c>
      <c r="D109" s="54"/>
      <c r="E109" s="54">
        <v>770</v>
      </c>
      <c r="F109" s="54"/>
      <c r="G109" s="54">
        <v>900</v>
      </c>
      <c r="H109" s="54">
        <v>900</v>
      </c>
      <c r="I109" s="54"/>
      <c r="J109" s="54"/>
      <c r="K109" s="54"/>
      <c r="L109" s="54"/>
      <c r="M109" s="54"/>
      <c r="N109" s="54"/>
      <c r="O109" s="54"/>
      <c r="P109" s="54"/>
      <c r="Q109" s="54"/>
      <c r="R109" s="54"/>
      <c r="S109" s="54">
        <v>1180</v>
      </c>
      <c r="T109" s="54">
        <v>100</v>
      </c>
      <c r="U109" s="12"/>
    </row>
    <row r="110" spans="2:21" x14ac:dyDescent="0.3">
      <c r="B110" s="41">
        <v>109</v>
      </c>
      <c r="C110" s="86">
        <f t="shared" si="1"/>
        <v>3900</v>
      </c>
      <c r="D110" s="54"/>
      <c r="E110" s="54">
        <v>770</v>
      </c>
      <c r="F110" s="54"/>
      <c r="G110" s="54">
        <v>900</v>
      </c>
      <c r="H110" s="54">
        <v>900</v>
      </c>
      <c r="I110" s="54"/>
      <c r="J110" s="54"/>
      <c r="K110" s="54"/>
      <c r="L110" s="54"/>
      <c r="M110" s="54"/>
      <c r="N110" s="54"/>
      <c r="O110" s="54"/>
      <c r="P110" s="54"/>
      <c r="Q110" s="54"/>
      <c r="R110" s="54"/>
      <c r="S110" s="54">
        <v>1180</v>
      </c>
      <c r="T110" s="54"/>
      <c r="U110" s="12">
        <v>150</v>
      </c>
    </row>
    <row r="111" spans="2:21" x14ac:dyDescent="0.3">
      <c r="B111" s="41">
        <v>110</v>
      </c>
      <c r="C111" s="86">
        <f t="shared" si="1"/>
        <v>1160</v>
      </c>
      <c r="D111" s="54"/>
      <c r="E111" s="54"/>
      <c r="F111" s="54">
        <v>1000</v>
      </c>
      <c r="G111" s="54"/>
      <c r="H111" s="54"/>
      <c r="I111" s="54"/>
      <c r="J111" s="54"/>
      <c r="K111" s="54"/>
      <c r="L111" s="54">
        <v>160</v>
      </c>
      <c r="M111" s="54"/>
      <c r="N111" s="54"/>
      <c r="O111" s="54"/>
      <c r="P111" s="54"/>
      <c r="Q111" s="54"/>
      <c r="R111" s="54"/>
      <c r="S111" s="54"/>
      <c r="T111" s="54"/>
      <c r="U111" s="12"/>
    </row>
    <row r="112" spans="2:21" x14ac:dyDescent="0.3">
      <c r="B112" s="41">
        <v>111</v>
      </c>
      <c r="C112" s="86">
        <f t="shared" si="1"/>
        <v>1260</v>
      </c>
      <c r="D112" s="54"/>
      <c r="E112" s="54"/>
      <c r="F112" s="54">
        <v>1000</v>
      </c>
      <c r="G112" s="54"/>
      <c r="H112" s="54"/>
      <c r="I112" s="54"/>
      <c r="J112" s="54"/>
      <c r="K112" s="54"/>
      <c r="L112" s="54">
        <v>160</v>
      </c>
      <c r="M112" s="54"/>
      <c r="N112" s="54"/>
      <c r="O112" s="54"/>
      <c r="P112" s="54"/>
      <c r="Q112" s="54"/>
      <c r="R112" s="54"/>
      <c r="S112" s="54"/>
      <c r="T112" s="54">
        <v>100</v>
      </c>
      <c r="U112" s="12"/>
    </row>
    <row r="113" spans="2:21" x14ac:dyDescent="0.3">
      <c r="B113" s="41">
        <v>112</v>
      </c>
      <c r="C113" s="86">
        <f t="shared" si="1"/>
        <v>1280</v>
      </c>
      <c r="D113" s="54"/>
      <c r="E113" s="54"/>
      <c r="F113" s="54">
        <v>1000</v>
      </c>
      <c r="G113" s="54"/>
      <c r="H113" s="54"/>
      <c r="I113" s="54"/>
      <c r="J113" s="54"/>
      <c r="K113" s="54"/>
      <c r="L113" s="54"/>
      <c r="M113" s="54">
        <v>280</v>
      </c>
      <c r="N113" s="54"/>
      <c r="O113" s="54"/>
      <c r="P113" s="54"/>
      <c r="Q113" s="54"/>
      <c r="R113" s="54"/>
      <c r="S113" s="54"/>
      <c r="T113" s="54"/>
      <c r="U113" s="12"/>
    </row>
    <row r="114" spans="2:21" x14ac:dyDescent="0.3">
      <c r="B114" s="41">
        <v>113</v>
      </c>
      <c r="C114" s="86">
        <f t="shared" si="1"/>
        <v>1310</v>
      </c>
      <c r="D114" s="54"/>
      <c r="E114" s="54"/>
      <c r="F114" s="54">
        <v>1000</v>
      </c>
      <c r="G114" s="54"/>
      <c r="H114" s="54"/>
      <c r="I114" s="54"/>
      <c r="J114" s="54"/>
      <c r="K114" s="54"/>
      <c r="L114" s="54">
        <v>160</v>
      </c>
      <c r="M114" s="54"/>
      <c r="N114" s="54"/>
      <c r="O114" s="54"/>
      <c r="P114" s="54"/>
      <c r="Q114" s="54"/>
      <c r="R114" s="54"/>
      <c r="S114" s="54"/>
      <c r="T114" s="54"/>
      <c r="U114" s="12">
        <v>150</v>
      </c>
    </row>
    <row r="115" spans="2:21" x14ac:dyDescent="0.3">
      <c r="B115" s="41">
        <v>114</v>
      </c>
      <c r="C115" s="86">
        <f t="shared" si="1"/>
        <v>1380</v>
      </c>
      <c r="D115" s="54"/>
      <c r="E115" s="54"/>
      <c r="F115" s="54">
        <v>1000</v>
      </c>
      <c r="G115" s="54"/>
      <c r="H115" s="54"/>
      <c r="I115" s="54"/>
      <c r="J115" s="54"/>
      <c r="K115" s="54"/>
      <c r="L115" s="54"/>
      <c r="M115" s="54">
        <v>280</v>
      </c>
      <c r="N115" s="54"/>
      <c r="O115" s="54"/>
      <c r="P115" s="54"/>
      <c r="Q115" s="54"/>
      <c r="R115" s="54"/>
      <c r="S115" s="54"/>
      <c r="T115" s="54">
        <v>100</v>
      </c>
      <c r="U115" s="12"/>
    </row>
    <row r="116" spans="2:21" x14ac:dyDescent="0.3">
      <c r="B116" s="41">
        <v>115</v>
      </c>
      <c r="C116" s="86">
        <f t="shared" si="1"/>
        <v>1430</v>
      </c>
      <c r="D116" s="54"/>
      <c r="E116" s="54"/>
      <c r="F116" s="54">
        <v>1000</v>
      </c>
      <c r="G116" s="54"/>
      <c r="H116" s="54"/>
      <c r="I116" s="54"/>
      <c r="J116" s="54"/>
      <c r="K116" s="54"/>
      <c r="L116" s="54"/>
      <c r="M116" s="54">
        <v>280</v>
      </c>
      <c r="N116" s="54"/>
      <c r="O116" s="54"/>
      <c r="P116" s="54"/>
      <c r="Q116" s="54"/>
      <c r="R116" s="54"/>
      <c r="S116" s="54"/>
      <c r="T116" s="54"/>
      <c r="U116" s="12">
        <v>150</v>
      </c>
    </row>
    <row r="117" spans="2:21" x14ac:dyDescent="0.3">
      <c r="B117" s="41">
        <v>116</v>
      </c>
      <c r="C117" s="86">
        <f t="shared" si="1"/>
        <v>1430</v>
      </c>
      <c r="D117" s="54"/>
      <c r="E117" s="54"/>
      <c r="F117" s="54">
        <v>1000</v>
      </c>
      <c r="G117" s="54"/>
      <c r="H117" s="54"/>
      <c r="I117" s="54"/>
      <c r="J117" s="54"/>
      <c r="K117" s="54"/>
      <c r="L117" s="54"/>
      <c r="M117" s="54"/>
      <c r="N117" s="54">
        <v>430</v>
      </c>
      <c r="O117" s="54"/>
      <c r="P117" s="54"/>
      <c r="Q117" s="54"/>
      <c r="R117" s="54"/>
      <c r="S117" s="54"/>
      <c r="T117" s="54"/>
      <c r="U117" s="12"/>
    </row>
    <row r="118" spans="2:21" x14ac:dyDescent="0.3">
      <c r="B118" s="41">
        <v>117</v>
      </c>
      <c r="C118" s="86">
        <f t="shared" si="1"/>
        <v>1530</v>
      </c>
      <c r="D118" s="54"/>
      <c r="E118" s="54"/>
      <c r="F118" s="54">
        <v>1000</v>
      </c>
      <c r="G118" s="54"/>
      <c r="H118" s="54"/>
      <c r="I118" s="54"/>
      <c r="J118" s="54"/>
      <c r="K118" s="54"/>
      <c r="L118" s="54"/>
      <c r="M118" s="54"/>
      <c r="N118" s="54">
        <v>430</v>
      </c>
      <c r="O118" s="54"/>
      <c r="P118" s="54"/>
      <c r="Q118" s="54"/>
      <c r="R118" s="54"/>
      <c r="S118" s="54"/>
      <c r="T118" s="54">
        <v>100</v>
      </c>
      <c r="U118" s="12"/>
    </row>
    <row r="119" spans="2:21" x14ac:dyDescent="0.3">
      <c r="B119" s="41">
        <v>118</v>
      </c>
      <c r="C119" s="86">
        <f t="shared" si="1"/>
        <v>1580</v>
      </c>
      <c r="D119" s="54"/>
      <c r="E119" s="54"/>
      <c r="F119" s="54">
        <v>1000</v>
      </c>
      <c r="G119" s="54"/>
      <c r="H119" s="54"/>
      <c r="I119" s="54"/>
      <c r="J119" s="54"/>
      <c r="K119" s="54"/>
      <c r="L119" s="54"/>
      <c r="M119" s="54"/>
      <c r="N119" s="54">
        <v>430</v>
      </c>
      <c r="O119" s="54"/>
      <c r="P119" s="54"/>
      <c r="Q119" s="54"/>
      <c r="R119" s="54"/>
      <c r="S119" s="54"/>
      <c r="T119" s="54"/>
      <c r="U119" s="12">
        <v>150</v>
      </c>
    </row>
    <row r="120" spans="2:21" x14ac:dyDescent="0.3">
      <c r="B120" s="41">
        <v>119</v>
      </c>
      <c r="C120" s="86">
        <f t="shared" si="1"/>
        <v>1580</v>
      </c>
      <c r="D120" s="54"/>
      <c r="E120" s="54"/>
      <c r="F120" s="54">
        <v>1000</v>
      </c>
      <c r="G120" s="54"/>
      <c r="H120" s="54"/>
      <c r="I120" s="54"/>
      <c r="J120" s="54"/>
      <c r="K120" s="54"/>
      <c r="L120" s="54"/>
      <c r="M120" s="54"/>
      <c r="N120" s="54"/>
      <c r="O120" s="54">
        <v>580</v>
      </c>
      <c r="P120" s="54"/>
      <c r="Q120" s="54"/>
      <c r="R120" s="54"/>
      <c r="S120" s="54"/>
      <c r="T120" s="54"/>
      <c r="U120" s="12"/>
    </row>
    <row r="121" spans="2:21" x14ac:dyDescent="0.3">
      <c r="B121" s="41">
        <v>120</v>
      </c>
      <c r="C121" s="86">
        <f t="shared" si="1"/>
        <v>1680</v>
      </c>
      <c r="D121" s="54"/>
      <c r="E121" s="54"/>
      <c r="F121" s="54">
        <v>1000</v>
      </c>
      <c r="G121" s="54"/>
      <c r="H121" s="54"/>
      <c r="I121" s="54"/>
      <c r="J121" s="54"/>
      <c r="K121" s="54"/>
      <c r="L121" s="54"/>
      <c r="M121" s="54"/>
      <c r="N121" s="54"/>
      <c r="O121" s="54">
        <v>580</v>
      </c>
      <c r="P121" s="54"/>
      <c r="Q121" s="54"/>
      <c r="R121" s="54"/>
      <c r="S121" s="54"/>
      <c r="T121" s="54">
        <v>100</v>
      </c>
      <c r="U121" s="12"/>
    </row>
    <row r="122" spans="2:21" x14ac:dyDescent="0.3">
      <c r="B122" s="41">
        <v>121</v>
      </c>
      <c r="C122" s="86">
        <f t="shared" si="1"/>
        <v>1730</v>
      </c>
      <c r="D122" s="54"/>
      <c r="E122" s="54"/>
      <c r="F122" s="54">
        <v>1000</v>
      </c>
      <c r="G122" s="54"/>
      <c r="H122" s="54"/>
      <c r="I122" s="54"/>
      <c r="J122" s="54"/>
      <c r="K122" s="54"/>
      <c r="L122" s="54"/>
      <c r="M122" s="54"/>
      <c r="N122" s="54"/>
      <c r="O122" s="54">
        <v>580</v>
      </c>
      <c r="P122" s="54"/>
      <c r="Q122" s="54"/>
      <c r="R122" s="54"/>
      <c r="S122" s="54"/>
      <c r="T122" s="54"/>
      <c r="U122" s="12">
        <v>150</v>
      </c>
    </row>
    <row r="123" spans="2:21" x14ac:dyDescent="0.3">
      <c r="B123" s="41">
        <v>122</v>
      </c>
      <c r="C123" s="86">
        <f t="shared" si="1"/>
        <v>1730</v>
      </c>
      <c r="D123" s="54"/>
      <c r="E123" s="54"/>
      <c r="F123" s="54">
        <v>1000</v>
      </c>
      <c r="G123" s="54"/>
      <c r="H123" s="54"/>
      <c r="I123" s="54"/>
      <c r="J123" s="54"/>
      <c r="K123" s="54"/>
      <c r="L123" s="54"/>
      <c r="M123" s="54"/>
      <c r="N123" s="54"/>
      <c r="O123" s="54"/>
      <c r="P123" s="54">
        <v>730</v>
      </c>
      <c r="Q123" s="54"/>
      <c r="R123" s="54"/>
      <c r="S123" s="54"/>
      <c r="T123" s="54"/>
      <c r="U123" s="12"/>
    </row>
    <row r="124" spans="2:21" x14ac:dyDescent="0.3">
      <c r="B124" s="41">
        <v>123</v>
      </c>
      <c r="C124" s="86">
        <f t="shared" si="1"/>
        <v>1830</v>
      </c>
      <c r="D124" s="54"/>
      <c r="E124" s="54"/>
      <c r="F124" s="54">
        <v>1000</v>
      </c>
      <c r="G124" s="54"/>
      <c r="H124" s="54"/>
      <c r="I124" s="54"/>
      <c r="J124" s="54"/>
      <c r="K124" s="54"/>
      <c r="L124" s="54"/>
      <c r="M124" s="54"/>
      <c r="N124" s="54"/>
      <c r="O124" s="54"/>
      <c r="P124" s="54">
        <v>730</v>
      </c>
      <c r="Q124" s="54"/>
      <c r="R124" s="54"/>
      <c r="S124" s="54"/>
      <c r="T124" s="54">
        <v>100</v>
      </c>
      <c r="U124" s="12"/>
    </row>
    <row r="125" spans="2:21" x14ac:dyDescent="0.3">
      <c r="B125" s="41">
        <v>124</v>
      </c>
      <c r="C125" s="86">
        <f t="shared" si="1"/>
        <v>1880</v>
      </c>
      <c r="D125" s="54"/>
      <c r="E125" s="54"/>
      <c r="F125" s="54">
        <v>1000</v>
      </c>
      <c r="G125" s="54"/>
      <c r="H125" s="54"/>
      <c r="I125" s="54"/>
      <c r="J125" s="54"/>
      <c r="K125" s="54"/>
      <c r="L125" s="54"/>
      <c r="M125" s="54"/>
      <c r="N125" s="54"/>
      <c r="O125" s="54"/>
      <c r="P125" s="54">
        <v>730</v>
      </c>
      <c r="Q125" s="54"/>
      <c r="R125" s="54"/>
      <c r="S125" s="54"/>
      <c r="T125" s="54"/>
      <c r="U125" s="12">
        <v>150</v>
      </c>
    </row>
    <row r="126" spans="2:21" x14ac:dyDescent="0.3">
      <c r="B126" s="41">
        <v>125</v>
      </c>
      <c r="C126" s="86">
        <f t="shared" si="1"/>
        <v>1880</v>
      </c>
      <c r="D126" s="54"/>
      <c r="E126" s="54"/>
      <c r="F126" s="54">
        <v>1000</v>
      </c>
      <c r="G126" s="54"/>
      <c r="H126" s="54"/>
      <c r="I126" s="54"/>
      <c r="J126" s="54"/>
      <c r="K126" s="54"/>
      <c r="L126" s="54"/>
      <c r="M126" s="54"/>
      <c r="N126" s="54"/>
      <c r="O126" s="54"/>
      <c r="P126" s="54"/>
      <c r="Q126" s="54">
        <v>880</v>
      </c>
      <c r="R126" s="54"/>
      <c r="S126" s="54"/>
      <c r="T126" s="54"/>
      <c r="U126" s="12"/>
    </row>
    <row r="127" spans="2:21" x14ac:dyDescent="0.3">
      <c r="B127" s="41">
        <v>126</v>
      </c>
      <c r="C127" s="86">
        <f t="shared" si="1"/>
        <v>1980</v>
      </c>
      <c r="D127" s="54"/>
      <c r="E127" s="54"/>
      <c r="F127" s="54">
        <v>1000</v>
      </c>
      <c r="G127" s="54"/>
      <c r="H127" s="54"/>
      <c r="I127" s="54"/>
      <c r="J127" s="54"/>
      <c r="K127" s="54"/>
      <c r="L127" s="54"/>
      <c r="M127" s="54"/>
      <c r="N127" s="54"/>
      <c r="O127" s="54"/>
      <c r="P127" s="54"/>
      <c r="Q127" s="54">
        <v>880</v>
      </c>
      <c r="R127" s="54"/>
      <c r="S127" s="54"/>
      <c r="T127" s="54">
        <v>100</v>
      </c>
      <c r="U127" s="12"/>
    </row>
    <row r="128" spans="2:21" x14ac:dyDescent="0.3">
      <c r="B128" s="41">
        <v>127</v>
      </c>
      <c r="C128" s="86">
        <f t="shared" si="1"/>
        <v>2060</v>
      </c>
      <c r="D128" s="54"/>
      <c r="E128" s="54"/>
      <c r="F128" s="54">
        <v>1000</v>
      </c>
      <c r="G128" s="54">
        <v>900</v>
      </c>
      <c r="H128" s="54"/>
      <c r="I128" s="54"/>
      <c r="J128" s="54"/>
      <c r="K128" s="54"/>
      <c r="L128" s="54">
        <v>160</v>
      </c>
      <c r="M128" s="54"/>
      <c r="N128" s="54"/>
      <c r="O128" s="54"/>
      <c r="P128" s="54"/>
      <c r="Q128" s="54"/>
      <c r="R128" s="54"/>
      <c r="S128" s="54"/>
      <c r="T128" s="54"/>
      <c r="U128" s="12"/>
    </row>
    <row r="129" spans="2:21" x14ac:dyDescent="0.3">
      <c r="B129" s="41">
        <v>128</v>
      </c>
      <c r="C129" s="86">
        <f t="shared" si="1"/>
        <v>2030</v>
      </c>
      <c r="D129" s="54"/>
      <c r="E129" s="54"/>
      <c r="F129" s="54">
        <v>1000</v>
      </c>
      <c r="G129" s="54"/>
      <c r="H129" s="54"/>
      <c r="I129" s="54"/>
      <c r="J129" s="54"/>
      <c r="K129" s="54"/>
      <c r="L129" s="54"/>
      <c r="M129" s="54"/>
      <c r="N129" s="54"/>
      <c r="O129" s="54"/>
      <c r="P129" s="54"/>
      <c r="Q129" s="54">
        <v>880</v>
      </c>
      <c r="R129" s="54"/>
      <c r="S129" s="54"/>
      <c r="T129" s="54"/>
      <c r="U129" s="12">
        <v>150</v>
      </c>
    </row>
    <row r="130" spans="2:21" x14ac:dyDescent="0.3">
      <c r="B130" s="41">
        <v>129</v>
      </c>
      <c r="C130" s="86">
        <f t="shared" ref="C130:C193" si="2">SUM(D130:U130)</f>
        <v>2030</v>
      </c>
      <c r="D130" s="54"/>
      <c r="E130" s="54"/>
      <c r="F130" s="54">
        <v>1000</v>
      </c>
      <c r="G130" s="54"/>
      <c r="H130" s="54"/>
      <c r="I130" s="54"/>
      <c r="J130" s="54"/>
      <c r="K130" s="54"/>
      <c r="L130" s="54"/>
      <c r="M130" s="54"/>
      <c r="N130" s="54"/>
      <c r="O130" s="54"/>
      <c r="P130" s="54"/>
      <c r="Q130" s="54"/>
      <c r="R130" s="54">
        <v>1030</v>
      </c>
      <c r="S130" s="54"/>
      <c r="T130" s="54"/>
      <c r="U130" s="12"/>
    </row>
    <row r="131" spans="2:21" x14ac:dyDescent="0.3">
      <c r="B131" s="41">
        <v>130</v>
      </c>
      <c r="C131" s="86">
        <f t="shared" si="2"/>
        <v>2130</v>
      </c>
      <c r="D131" s="54"/>
      <c r="E131" s="54"/>
      <c r="F131" s="54">
        <v>1000</v>
      </c>
      <c r="G131" s="54"/>
      <c r="H131" s="54"/>
      <c r="I131" s="54"/>
      <c r="J131" s="54"/>
      <c r="K131" s="54"/>
      <c r="L131" s="54"/>
      <c r="M131" s="54"/>
      <c r="N131" s="54"/>
      <c r="O131" s="54"/>
      <c r="P131" s="54"/>
      <c r="Q131" s="54"/>
      <c r="R131" s="54">
        <v>1030</v>
      </c>
      <c r="S131" s="54"/>
      <c r="T131" s="54">
        <v>100</v>
      </c>
      <c r="U131" s="12"/>
    </row>
    <row r="132" spans="2:21" x14ac:dyDescent="0.3">
      <c r="B132" s="41">
        <v>131</v>
      </c>
      <c r="C132" s="86">
        <f t="shared" si="2"/>
        <v>2160</v>
      </c>
      <c r="D132" s="54"/>
      <c r="E132" s="54"/>
      <c r="F132" s="54">
        <v>1000</v>
      </c>
      <c r="G132" s="54">
        <v>900</v>
      </c>
      <c r="H132" s="54"/>
      <c r="I132" s="54"/>
      <c r="J132" s="54"/>
      <c r="K132" s="54"/>
      <c r="L132" s="54">
        <v>160</v>
      </c>
      <c r="M132" s="54"/>
      <c r="N132" s="54"/>
      <c r="O132" s="54"/>
      <c r="P132" s="54"/>
      <c r="Q132" s="54"/>
      <c r="R132" s="54"/>
      <c r="S132" s="54"/>
      <c r="T132" s="54">
        <v>100</v>
      </c>
      <c r="U132" s="12"/>
    </row>
    <row r="133" spans="2:21" x14ac:dyDescent="0.3">
      <c r="B133" s="41">
        <v>132</v>
      </c>
      <c r="C133" s="86">
        <f t="shared" si="2"/>
        <v>2180</v>
      </c>
      <c r="D133" s="54"/>
      <c r="E133" s="54"/>
      <c r="F133" s="54">
        <v>1000</v>
      </c>
      <c r="G133" s="54"/>
      <c r="H133" s="54"/>
      <c r="I133" s="54"/>
      <c r="J133" s="54"/>
      <c r="K133" s="54"/>
      <c r="L133" s="54"/>
      <c r="M133" s="54"/>
      <c r="N133" s="54"/>
      <c r="O133" s="54"/>
      <c r="P133" s="54"/>
      <c r="Q133" s="54"/>
      <c r="R133" s="54">
        <v>1030</v>
      </c>
      <c r="S133" s="54"/>
      <c r="T133" s="54"/>
      <c r="U133" s="12">
        <v>150</v>
      </c>
    </row>
    <row r="134" spans="2:21" x14ac:dyDescent="0.3">
      <c r="B134" s="41">
        <v>133</v>
      </c>
      <c r="C134" s="86">
        <f t="shared" si="2"/>
        <v>2180</v>
      </c>
      <c r="D134" s="54"/>
      <c r="E134" s="54"/>
      <c r="F134" s="54">
        <v>1000</v>
      </c>
      <c r="G134" s="54"/>
      <c r="H134" s="54"/>
      <c r="I134" s="54"/>
      <c r="J134" s="54"/>
      <c r="K134" s="54"/>
      <c r="L134" s="54"/>
      <c r="M134" s="54"/>
      <c r="N134" s="54"/>
      <c r="O134" s="54"/>
      <c r="P134" s="54"/>
      <c r="Q134" s="54"/>
      <c r="R134" s="54"/>
      <c r="S134" s="54">
        <v>1180</v>
      </c>
      <c r="T134" s="54"/>
      <c r="U134" s="12"/>
    </row>
    <row r="135" spans="2:21" x14ac:dyDescent="0.3">
      <c r="B135" s="41">
        <v>134</v>
      </c>
      <c r="C135" s="86">
        <f t="shared" si="2"/>
        <v>2180</v>
      </c>
      <c r="D135" s="54"/>
      <c r="E135" s="54"/>
      <c r="F135" s="54">
        <v>1000</v>
      </c>
      <c r="G135" s="54">
        <v>900</v>
      </c>
      <c r="H135" s="54"/>
      <c r="I135" s="54"/>
      <c r="J135" s="54"/>
      <c r="K135" s="54"/>
      <c r="L135" s="54"/>
      <c r="M135" s="54">
        <v>280</v>
      </c>
      <c r="N135" s="54"/>
      <c r="O135" s="54"/>
      <c r="P135" s="54"/>
      <c r="Q135" s="54"/>
      <c r="R135" s="54"/>
      <c r="S135" s="54"/>
      <c r="T135" s="54"/>
      <c r="U135" s="12"/>
    </row>
    <row r="136" spans="2:21" x14ac:dyDescent="0.3">
      <c r="B136" s="41">
        <v>135</v>
      </c>
      <c r="C136" s="86">
        <f t="shared" si="2"/>
        <v>2210</v>
      </c>
      <c r="D136" s="54"/>
      <c r="E136" s="54"/>
      <c r="F136" s="54">
        <v>1000</v>
      </c>
      <c r="G136" s="54">
        <v>900</v>
      </c>
      <c r="H136" s="54"/>
      <c r="I136" s="54"/>
      <c r="J136" s="54"/>
      <c r="K136" s="54"/>
      <c r="L136" s="54">
        <v>160</v>
      </c>
      <c r="M136" s="54"/>
      <c r="N136" s="54"/>
      <c r="O136" s="54"/>
      <c r="P136" s="54"/>
      <c r="Q136" s="54"/>
      <c r="R136" s="54"/>
      <c r="S136" s="54"/>
      <c r="T136" s="54"/>
      <c r="U136" s="12">
        <v>150</v>
      </c>
    </row>
    <row r="137" spans="2:21" x14ac:dyDescent="0.3">
      <c r="B137" s="41">
        <v>136</v>
      </c>
      <c r="C137" s="86">
        <f t="shared" si="2"/>
        <v>2330</v>
      </c>
      <c r="D137" s="54"/>
      <c r="E137" s="54"/>
      <c r="F137" s="54">
        <v>1000</v>
      </c>
      <c r="G137" s="54"/>
      <c r="H137" s="54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4">
        <v>1180</v>
      </c>
      <c r="T137" s="54"/>
      <c r="U137" s="12">
        <v>150</v>
      </c>
    </row>
    <row r="138" spans="2:21" x14ac:dyDescent="0.3">
      <c r="B138" s="41">
        <v>137</v>
      </c>
      <c r="C138" s="86">
        <f t="shared" si="2"/>
        <v>2330</v>
      </c>
      <c r="D138" s="54"/>
      <c r="E138" s="54"/>
      <c r="F138" s="54">
        <v>1000</v>
      </c>
      <c r="G138" s="54">
        <v>900</v>
      </c>
      <c r="H138" s="54"/>
      <c r="I138" s="54"/>
      <c r="J138" s="54"/>
      <c r="K138" s="54"/>
      <c r="L138" s="54"/>
      <c r="M138" s="54">
        <v>280</v>
      </c>
      <c r="N138" s="54"/>
      <c r="O138" s="54"/>
      <c r="P138" s="54"/>
      <c r="Q138" s="54"/>
      <c r="R138" s="54"/>
      <c r="S138" s="54"/>
      <c r="T138" s="54"/>
      <c r="U138" s="12">
        <v>150</v>
      </c>
    </row>
    <row r="139" spans="2:21" x14ac:dyDescent="0.3">
      <c r="B139" s="41">
        <v>138</v>
      </c>
      <c r="C139" s="86">
        <f t="shared" si="2"/>
        <v>2330</v>
      </c>
      <c r="D139" s="54"/>
      <c r="E139" s="54"/>
      <c r="F139" s="54">
        <v>1000</v>
      </c>
      <c r="G139" s="54">
        <v>900</v>
      </c>
      <c r="H139" s="54"/>
      <c r="I139" s="54"/>
      <c r="J139" s="54"/>
      <c r="K139" s="54"/>
      <c r="L139" s="54"/>
      <c r="M139" s="54"/>
      <c r="N139" s="54">
        <v>430</v>
      </c>
      <c r="O139" s="54"/>
      <c r="P139" s="54"/>
      <c r="Q139" s="54"/>
      <c r="R139" s="54"/>
      <c r="S139" s="54"/>
      <c r="T139" s="54"/>
      <c r="U139" s="12"/>
    </row>
    <row r="140" spans="2:21" x14ac:dyDescent="0.3">
      <c r="B140" s="41">
        <v>139</v>
      </c>
      <c r="C140" s="86">
        <f t="shared" si="2"/>
        <v>2280</v>
      </c>
      <c r="D140" s="54"/>
      <c r="E140" s="54"/>
      <c r="F140" s="54">
        <v>1000</v>
      </c>
      <c r="G140" s="54"/>
      <c r="H140" s="54"/>
      <c r="I140" s="54"/>
      <c r="J140" s="54"/>
      <c r="K140" s="54"/>
      <c r="L140" s="54"/>
      <c r="M140" s="54"/>
      <c r="N140" s="54"/>
      <c r="O140" s="54"/>
      <c r="P140" s="54"/>
      <c r="Q140" s="54"/>
      <c r="R140" s="54"/>
      <c r="S140" s="54">
        <v>1180</v>
      </c>
      <c r="T140" s="54">
        <v>100</v>
      </c>
      <c r="U140" s="12"/>
    </row>
    <row r="141" spans="2:21" x14ac:dyDescent="0.3">
      <c r="B141" s="41">
        <v>140</v>
      </c>
      <c r="C141" s="86">
        <f t="shared" si="2"/>
        <v>2280</v>
      </c>
      <c r="D141" s="54"/>
      <c r="E141" s="54"/>
      <c r="F141" s="54">
        <v>1000</v>
      </c>
      <c r="G141" s="54">
        <v>900</v>
      </c>
      <c r="H141" s="54"/>
      <c r="I141" s="54"/>
      <c r="J141" s="54"/>
      <c r="K141" s="54"/>
      <c r="L141" s="54"/>
      <c r="M141" s="54">
        <v>280</v>
      </c>
      <c r="N141" s="54"/>
      <c r="O141" s="54"/>
      <c r="P141" s="54"/>
      <c r="Q141" s="54"/>
      <c r="R141" s="54"/>
      <c r="S141" s="54"/>
      <c r="T141" s="54">
        <v>100</v>
      </c>
      <c r="U141" s="12"/>
    </row>
    <row r="142" spans="2:21" x14ac:dyDescent="0.3">
      <c r="B142" s="41">
        <v>141</v>
      </c>
      <c r="C142" s="86">
        <f t="shared" si="2"/>
        <v>2360</v>
      </c>
      <c r="D142" s="54"/>
      <c r="E142" s="54"/>
      <c r="F142" s="54">
        <v>1000</v>
      </c>
      <c r="G142" s="54"/>
      <c r="H142" s="54"/>
      <c r="I142" s="54"/>
      <c r="J142" s="54">
        <v>1200</v>
      </c>
      <c r="K142" s="54"/>
      <c r="L142" s="54">
        <v>160</v>
      </c>
      <c r="M142" s="54"/>
      <c r="N142" s="54"/>
      <c r="O142" s="54"/>
      <c r="P142" s="54"/>
      <c r="Q142" s="54"/>
      <c r="R142" s="54"/>
      <c r="S142" s="54"/>
      <c r="T142" s="54"/>
      <c r="U142" s="12"/>
    </row>
    <row r="143" spans="2:21" x14ac:dyDescent="0.3">
      <c r="B143" s="41">
        <v>142</v>
      </c>
      <c r="C143" s="86">
        <f t="shared" si="2"/>
        <v>2430</v>
      </c>
      <c r="D143" s="54"/>
      <c r="E143" s="54"/>
      <c r="F143" s="54">
        <v>1000</v>
      </c>
      <c r="G143" s="54">
        <v>900</v>
      </c>
      <c r="H143" s="54"/>
      <c r="I143" s="54"/>
      <c r="J143" s="54"/>
      <c r="K143" s="54"/>
      <c r="L143" s="54"/>
      <c r="M143" s="54"/>
      <c r="N143" s="54">
        <v>430</v>
      </c>
      <c r="O143" s="54"/>
      <c r="P143" s="54"/>
      <c r="Q143" s="54"/>
      <c r="R143" s="54"/>
      <c r="S143" s="54"/>
      <c r="T143" s="54">
        <v>100</v>
      </c>
      <c r="U143" s="12"/>
    </row>
    <row r="144" spans="2:21" x14ac:dyDescent="0.3">
      <c r="B144" s="41">
        <v>143</v>
      </c>
      <c r="C144" s="86">
        <f t="shared" si="2"/>
        <v>2460</v>
      </c>
      <c r="D144" s="54"/>
      <c r="E144" s="54"/>
      <c r="F144" s="54">
        <v>1000</v>
      </c>
      <c r="G144" s="54"/>
      <c r="H144" s="54"/>
      <c r="I144" s="54"/>
      <c r="J144" s="54">
        <v>1200</v>
      </c>
      <c r="K144" s="54"/>
      <c r="L144" s="54">
        <v>160</v>
      </c>
      <c r="M144" s="54"/>
      <c r="N144" s="54"/>
      <c r="O144" s="54"/>
      <c r="P144" s="54"/>
      <c r="Q144" s="54"/>
      <c r="R144" s="54"/>
      <c r="S144" s="54"/>
      <c r="T144" s="54">
        <v>100</v>
      </c>
      <c r="U144" s="12"/>
    </row>
    <row r="145" spans="2:21" x14ac:dyDescent="0.3">
      <c r="B145" s="41">
        <v>144</v>
      </c>
      <c r="C145" s="86">
        <f t="shared" si="2"/>
        <v>2480</v>
      </c>
      <c r="D145" s="54"/>
      <c r="E145" s="54"/>
      <c r="F145" s="54">
        <v>1000</v>
      </c>
      <c r="G145" s="54">
        <v>900</v>
      </c>
      <c r="H145" s="54"/>
      <c r="I145" s="54"/>
      <c r="J145" s="54"/>
      <c r="K145" s="54"/>
      <c r="L145" s="54"/>
      <c r="M145" s="54"/>
      <c r="N145" s="54">
        <v>430</v>
      </c>
      <c r="O145" s="54"/>
      <c r="P145" s="54"/>
      <c r="Q145" s="54"/>
      <c r="R145" s="54"/>
      <c r="S145" s="54"/>
      <c r="T145" s="54"/>
      <c r="U145" s="12">
        <v>150</v>
      </c>
    </row>
    <row r="146" spans="2:21" x14ac:dyDescent="0.3">
      <c r="B146" s="41">
        <v>145</v>
      </c>
      <c r="C146" s="86">
        <f t="shared" si="2"/>
        <v>2480</v>
      </c>
      <c r="D146" s="54"/>
      <c r="E146" s="54"/>
      <c r="F146" s="54">
        <v>1000</v>
      </c>
      <c r="G146" s="54">
        <v>900</v>
      </c>
      <c r="H146" s="54"/>
      <c r="I146" s="54"/>
      <c r="J146" s="54"/>
      <c r="K146" s="54"/>
      <c r="L146" s="54"/>
      <c r="M146" s="54"/>
      <c r="N146" s="54"/>
      <c r="O146" s="54">
        <v>580</v>
      </c>
      <c r="P146" s="54"/>
      <c r="Q146" s="54"/>
      <c r="R146" s="54"/>
      <c r="S146" s="54"/>
      <c r="T146" s="54"/>
      <c r="U146" s="12"/>
    </row>
    <row r="147" spans="2:21" x14ac:dyDescent="0.3">
      <c r="B147" s="41">
        <v>146</v>
      </c>
      <c r="C147" s="86">
        <f t="shared" si="2"/>
        <v>2480</v>
      </c>
      <c r="D147" s="54"/>
      <c r="E147" s="54"/>
      <c r="F147" s="54">
        <v>1000</v>
      </c>
      <c r="G147" s="54"/>
      <c r="H147" s="54"/>
      <c r="I147" s="54"/>
      <c r="J147" s="54">
        <v>1200</v>
      </c>
      <c r="K147" s="54"/>
      <c r="L147" s="54"/>
      <c r="M147" s="54">
        <v>280</v>
      </c>
      <c r="N147" s="54"/>
      <c r="O147" s="54"/>
      <c r="P147" s="54"/>
      <c r="Q147" s="54"/>
      <c r="R147" s="54"/>
      <c r="S147" s="54"/>
      <c r="T147" s="54"/>
      <c r="U147" s="12"/>
    </row>
    <row r="148" spans="2:21" x14ac:dyDescent="0.3">
      <c r="B148" s="41">
        <v>147</v>
      </c>
      <c r="C148" s="86">
        <f t="shared" si="2"/>
        <v>2510</v>
      </c>
      <c r="D148" s="54"/>
      <c r="E148" s="54"/>
      <c r="F148" s="54">
        <v>1000</v>
      </c>
      <c r="G148" s="54"/>
      <c r="H148" s="54"/>
      <c r="I148" s="54"/>
      <c r="J148" s="54">
        <v>1200</v>
      </c>
      <c r="K148" s="54"/>
      <c r="L148" s="54">
        <v>160</v>
      </c>
      <c r="M148" s="54"/>
      <c r="N148" s="54"/>
      <c r="O148" s="54"/>
      <c r="P148" s="54"/>
      <c r="Q148" s="54"/>
      <c r="R148" s="54"/>
      <c r="S148" s="54"/>
      <c r="T148" s="54"/>
      <c r="U148" s="12">
        <v>150</v>
      </c>
    </row>
    <row r="149" spans="2:21" x14ac:dyDescent="0.3">
      <c r="B149" s="41">
        <v>148</v>
      </c>
      <c r="C149" s="86">
        <f t="shared" si="2"/>
        <v>2580</v>
      </c>
      <c r="D149" s="54"/>
      <c r="E149" s="54"/>
      <c r="F149" s="54">
        <v>1000</v>
      </c>
      <c r="G149" s="54">
        <v>900</v>
      </c>
      <c r="H149" s="54"/>
      <c r="I149" s="54"/>
      <c r="J149" s="54"/>
      <c r="K149" s="54"/>
      <c r="L149" s="54"/>
      <c r="M149" s="54"/>
      <c r="N149" s="54"/>
      <c r="O149" s="54">
        <v>580</v>
      </c>
      <c r="P149" s="54"/>
      <c r="Q149" s="54"/>
      <c r="R149" s="54"/>
      <c r="S149" s="54"/>
      <c r="T149" s="54">
        <v>100</v>
      </c>
      <c r="U149" s="12"/>
    </row>
    <row r="150" spans="2:21" x14ac:dyDescent="0.3">
      <c r="B150" s="41">
        <v>149</v>
      </c>
      <c r="C150" s="86">
        <f t="shared" si="2"/>
        <v>2580</v>
      </c>
      <c r="D150" s="54"/>
      <c r="E150" s="54"/>
      <c r="F150" s="54">
        <v>1000</v>
      </c>
      <c r="G150" s="54"/>
      <c r="H150" s="54"/>
      <c r="I150" s="54"/>
      <c r="J150" s="54">
        <v>1200</v>
      </c>
      <c r="K150" s="54"/>
      <c r="L150" s="54"/>
      <c r="M150" s="54">
        <v>280</v>
      </c>
      <c r="N150" s="54"/>
      <c r="O150" s="54"/>
      <c r="P150" s="54"/>
      <c r="Q150" s="54"/>
      <c r="R150" s="54"/>
      <c r="S150" s="54"/>
      <c r="T150" s="54">
        <v>100</v>
      </c>
      <c r="U150" s="12"/>
    </row>
    <row r="151" spans="2:21" x14ac:dyDescent="0.3">
      <c r="B151" s="41">
        <v>150</v>
      </c>
      <c r="C151" s="86">
        <f t="shared" si="2"/>
        <v>2630</v>
      </c>
      <c r="D151" s="54"/>
      <c r="E151" s="54"/>
      <c r="F151" s="54">
        <v>1000</v>
      </c>
      <c r="G151" s="54">
        <v>900</v>
      </c>
      <c r="H151" s="54"/>
      <c r="I151" s="54"/>
      <c r="J151" s="54"/>
      <c r="K151" s="54"/>
      <c r="L151" s="54"/>
      <c r="M151" s="54"/>
      <c r="N151" s="54"/>
      <c r="O151" s="54">
        <v>580</v>
      </c>
      <c r="P151" s="54"/>
      <c r="Q151" s="54"/>
      <c r="R151" s="54"/>
      <c r="S151" s="54"/>
      <c r="T151" s="54"/>
      <c r="U151" s="12">
        <v>150</v>
      </c>
    </row>
    <row r="152" spans="2:21" x14ac:dyDescent="0.3">
      <c r="B152" s="41">
        <v>151</v>
      </c>
      <c r="C152" s="86">
        <f t="shared" si="2"/>
        <v>2630</v>
      </c>
      <c r="D152" s="54"/>
      <c r="E152" s="54"/>
      <c r="F152" s="54">
        <v>1000</v>
      </c>
      <c r="G152" s="54">
        <v>900</v>
      </c>
      <c r="H152" s="54"/>
      <c r="I152" s="54"/>
      <c r="J152" s="54"/>
      <c r="K152" s="54"/>
      <c r="L152" s="54"/>
      <c r="M152" s="54"/>
      <c r="N152" s="54"/>
      <c r="O152" s="54"/>
      <c r="P152" s="54">
        <v>730</v>
      </c>
      <c r="Q152" s="54"/>
      <c r="R152" s="54"/>
      <c r="S152" s="54"/>
      <c r="T152" s="54"/>
      <c r="U152" s="12"/>
    </row>
    <row r="153" spans="2:21" x14ac:dyDescent="0.3">
      <c r="B153" s="41">
        <v>152</v>
      </c>
      <c r="C153" s="86">
        <f t="shared" si="2"/>
        <v>2630</v>
      </c>
      <c r="D153" s="54"/>
      <c r="E153" s="54"/>
      <c r="F153" s="54">
        <v>1000</v>
      </c>
      <c r="G153" s="54"/>
      <c r="H153" s="54"/>
      <c r="I153" s="54"/>
      <c r="J153" s="54">
        <v>1200</v>
      </c>
      <c r="K153" s="54"/>
      <c r="L153" s="54"/>
      <c r="M153" s="54">
        <v>280</v>
      </c>
      <c r="N153" s="54"/>
      <c r="O153" s="54"/>
      <c r="P153" s="54"/>
      <c r="Q153" s="54"/>
      <c r="R153" s="54"/>
      <c r="S153" s="54"/>
      <c r="T153" s="54"/>
      <c r="U153" s="12">
        <v>150</v>
      </c>
    </row>
    <row r="154" spans="2:21" x14ac:dyDescent="0.3">
      <c r="B154" s="41">
        <v>153</v>
      </c>
      <c r="C154" s="86">
        <f t="shared" si="2"/>
        <v>2630</v>
      </c>
      <c r="D154" s="54"/>
      <c r="E154" s="54"/>
      <c r="F154" s="54">
        <v>1000</v>
      </c>
      <c r="G154" s="54"/>
      <c r="H154" s="54"/>
      <c r="I154" s="54"/>
      <c r="J154" s="54">
        <v>1200</v>
      </c>
      <c r="K154" s="54"/>
      <c r="L154" s="54"/>
      <c r="M154" s="54"/>
      <c r="N154" s="54">
        <v>430</v>
      </c>
      <c r="O154" s="54"/>
      <c r="P154" s="54"/>
      <c r="Q154" s="54"/>
      <c r="R154" s="54"/>
      <c r="S154" s="54"/>
      <c r="T154" s="54"/>
      <c r="U154" s="12"/>
    </row>
    <row r="155" spans="2:21" x14ac:dyDescent="0.3">
      <c r="B155" s="41">
        <v>154</v>
      </c>
      <c r="C155" s="86">
        <f t="shared" si="2"/>
        <v>2730</v>
      </c>
      <c r="D155" s="54"/>
      <c r="E155" s="54"/>
      <c r="F155" s="54">
        <v>1000</v>
      </c>
      <c r="G155" s="54">
        <v>900</v>
      </c>
      <c r="H155" s="54"/>
      <c r="I155" s="54"/>
      <c r="J155" s="54"/>
      <c r="K155" s="54"/>
      <c r="L155" s="54"/>
      <c r="M155" s="54"/>
      <c r="N155" s="54"/>
      <c r="O155" s="54"/>
      <c r="P155" s="54">
        <v>730</v>
      </c>
      <c r="Q155" s="54"/>
      <c r="R155" s="54"/>
      <c r="S155" s="54"/>
      <c r="T155" s="54">
        <v>100</v>
      </c>
      <c r="U155" s="12"/>
    </row>
    <row r="156" spans="2:21" x14ac:dyDescent="0.3">
      <c r="B156" s="41">
        <v>155</v>
      </c>
      <c r="C156" s="86">
        <f t="shared" si="2"/>
        <v>2730</v>
      </c>
      <c r="D156" s="54"/>
      <c r="E156" s="54"/>
      <c r="F156" s="54">
        <v>1000</v>
      </c>
      <c r="G156" s="54"/>
      <c r="H156" s="54"/>
      <c r="I156" s="54"/>
      <c r="J156" s="54">
        <v>1200</v>
      </c>
      <c r="K156" s="54"/>
      <c r="L156" s="54"/>
      <c r="M156" s="54"/>
      <c r="N156" s="54">
        <v>430</v>
      </c>
      <c r="O156" s="54"/>
      <c r="P156" s="54"/>
      <c r="Q156" s="54"/>
      <c r="R156" s="54"/>
      <c r="S156" s="54"/>
      <c r="T156" s="54">
        <v>100</v>
      </c>
      <c r="U156" s="12"/>
    </row>
    <row r="157" spans="2:21" x14ac:dyDescent="0.3">
      <c r="B157" s="41">
        <v>156</v>
      </c>
      <c r="C157" s="86">
        <f t="shared" si="2"/>
        <v>2780</v>
      </c>
      <c r="D157" s="54"/>
      <c r="E157" s="54"/>
      <c r="F157" s="54">
        <v>1000</v>
      </c>
      <c r="G157" s="54">
        <v>900</v>
      </c>
      <c r="H157" s="54"/>
      <c r="I157" s="54"/>
      <c r="J157" s="54"/>
      <c r="K157" s="54"/>
      <c r="L157" s="54"/>
      <c r="M157" s="54"/>
      <c r="N157" s="54"/>
      <c r="O157" s="54"/>
      <c r="P157" s="54">
        <v>730</v>
      </c>
      <c r="Q157" s="54"/>
      <c r="R157" s="54"/>
      <c r="S157" s="54"/>
      <c r="T157" s="54"/>
      <c r="U157" s="12">
        <v>150</v>
      </c>
    </row>
    <row r="158" spans="2:21" x14ac:dyDescent="0.3">
      <c r="B158" s="41">
        <v>157</v>
      </c>
      <c r="C158" s="86">
        <f t="shared" si="2"/>
        <v>2780</v>
      </c>
      <c r="D158" s="54"/>
      <c r="E158" s="54"/>
      <c r="F158" s="54">
        <v>1000</v>
      </c>
      <c r="G158" s="54">
        <v>900</v>
      </c>
      <c r="H158" s="54"/>
      <c r="I158" s="54"/>
      <c r="J158" s="54"/>
      <c r="K158" s="54"/>
      <c r="L158" s="54"/>
      <c r="M158" s="54"/>
      <c r="N158" s="54"/>
      <c r="O158" s="54"/>
      <c r="P158" s="54"/>
      <c r="Q158" s="54">
        <v>880</v>
      </c>
      <c r="R158" s="54"/>
      <c r="S158" s="54"/>
      <c r="T158" s="54"/>
      <c r="U158" s="12"/>
    </row>
    <row r="159" spans="2:21" x14ac:dyDescent="0.3">
      <c r="B159" s="41">
        <v>158</v>
      </c>
      <c r="C159" s="86">
        <f t="shared" si="2"/>
        <v>2780</v>
      </c>
      <c r="D159" s="54"/>
      <c r="E159" s="54"/>
      <c r="F159" s="54">
        <v>1000</v>
      </c>
      <c r="G159" s="54"/>
      <c r="H159" s="54"/>
      <c r="I159" s="54"/>
      <c r="J159" s="54">
        <v>1200</v>
      </c>
      <c r="K159" s="54"/>
      <c r="L159" s="54"/>
      <c r="M159" s="54"/>
      <c r="N159" s="54">
        <v>430</v>
      </c>
      <c r="O159" s="54"/>
      <c r="P159" s="54"/>
      <c r="Q159" s="54"/>
      <c r="R159" s="54"/>
      <c r="S159" s="54"/>
      <c r="T159" s="54"/>
      <c r="U159" s="12">
        <v>150</v>
      </c>
    </row>
    <row r="160" spans="2:21" x14ac:dyDescent="0.3">
      <c r="B160" s="41">
        <v>159</v>
      </c>
      <c r="C160" s="86">
        <f t="shared" si="2"/>
        <v>2780</v>
      </c>
      <c r="D160" s="54"/>
      <c r="E160" s="54"/>
      <c r="F160" s="54">
        <v>1000</v>
      </c>
      <c r="G160" s="54"/>
      <c r="H160" s="54"/>
      <c r="I160" s="54"/>
      <c r="J160" s="54">
        <v>1200</v>
      </c>
      <c r="K160" s="54"/>
      <c r="L160" s="54"/>
      <c r="M160" s="54"/>
      <c r="N160" s="54"/>
      <c r="O160" s="54">
        <v>580</v>
      </c>
      <c r="P160" s="54"/>
      <c r="Q160" s="54"/>
      <c r="R160" s="54"/>
      <c r="S160" s="54"/>
      <c r="T160" s="54"/>
      <c r="U160" s="12"/>
    </row>
    <row r="161" spans="2:21" x14ac:dyDescent="0.3">
      <c r="B161" s="41">
        <v>160</v>
      </c>
      <c r="C161" s="86">
        <f t="shared" si="2"/>
        <v>2880</v>
      </c>
      <c r="D161" s="54"/>
      <c r="E161" s="54"/>
      <c r="F161" s="54">
        <v>1000</v>
      </c>
      <c r="G161" s="54">
        <v>900</v>
      </c>
      <c r="H161" s="54"/>
      <c r="I161" s="54"/>
      <c r="J161" s="54"/>
      <c r="K161" s="54"/>
      <c r="L161" s="54"/>
      <c r="M161" s="54"/>
      <c r="N161" s="54"/>
      <c r="O161" s="54"/>
      <c r="P161" s="54"/>
      <c r="Q161" s="54">
        <v>880</v>
      </c>
      <c r="R161" s="54"/>
      <c r="S161" s="54"/>
      <c r="T161" s="54">
        <v>100</v>
      </c>
      <c r="U161" s="12"/>
    </row>
    <row r="162" spans="2:21" x14ac:dyDescent="0.3">
      <c r="B162" s="41">
        <v>161</v>
      </c>
      <c r="C162" s="86">
        <f t="shared" si="2"/>
        <v>2880</v>
      </c>
      <c r="D162" s="54"/>
      <c r="E162" s="54"/>
      <c r="F162" s="54">
        <v>1000</v>
      </c>
      <c r="G162" s="54"/>
      <c r="H162" s="54"/>
      <c r="I162" s="54"/>
      <c r="J162" s="54">
        <v>1200</v>
      </c>
      <c r="K162" s="54"/>
      <c r="L162" s="54"/>
      <c r="M162" s="54"/>
      <c r="N162" s="54"/>
      <c r="O162" s="54">
        <v>580</v>
      </c>
      <c r="P162" s="54"/>
      <c r="Q162" s="54"/>
      <c r="R162" s="54"/>
      <c r="S162" s="54"/>
      <c r="T162" s="54">
        <v>100</v>
      </c>
      <c r="U162" s="12"/>
    </row>
    <row r="163" spans="2:21" x14ac:dyDescent="0.3">
      <c r="B163" s="41">
        <v>162</v>
      </c>
      <c r="C163" s="86">
        <f t="shared" si="2"/>
        <v>2930</v>
      </c>
      <c r="D163" s="54"/>
      <c r="E163" s="54"/>
      <c r="F163" s="54">
        <v>1000</v>
      </c>
      <c r="G163" s="54">
        <v>900</v>
      </c>
      <c r="H163" s="54"/>
      <c r="I163" s="54"/>
      <c r="J163" s="54"/>
      <c r="K163" s="54"/>
      <c r="L163" s="54"/>
      <c r="M163" s="54"/>
      <c r="N163" s="54"/>
      <c r="O163" s="54"/>
      <c r="P163" s="54"/>
      <c r="Q163" s="54">
        <v>880</v>
      </c>
      <c r="R163" s="54"/>
      <c r="S163" s="54"/>
      <c r="T163" s="54"/>
      <c r="U163" s="12">
        <v>150</v>
      </c>
    </row>
    <row r="164" spans="2:21" x14ac:dyDescent="0.3">
      <c r="B164" s="41">
        <v>163</v>
      </c>
      <c r="C164" s="86">
        <f t="shared" si="2"/>
        <v>2930</v>
      </c>
      <c r="D164" s="54"/>
      <c r="E164" s="54"/>
      <c r="F164" s="54">
        <v>1000</v>
      </c>
      <c r="G164" s="54">
        <v>900</v>
      </c>
      <c r="H164" s="54"/>
      <c r="I164" s="54"/>
      <c r="J164" s="54"/>
      <c r="K164" s="54"/>
      <c r="L164" s="54"/>
      <c r="M164" s="54"/>
      <c r="N164" s="54"/>
      <c r="O164" s="54"/>
      <c r="P164" s="54"/>
      <c r="Q164" s="54"/>
      <c r="R164" s="54">
        <v>1030</v>
      </c>
      <c r="S164" s="54"/>
      <c r="T164" s="54"/>
      <c r="U164" s="12"/>
    </row>
    <row r="165" spans="2:21" x14ac:dyDescent="0.3">
      <c r="B165" s="41">
        <v>164</v>
      </c>
      <c r="C165" s="86">
        <f t="shared" si="2"/>
        <v>2930</v>
      </c>
      <c r="D165" s="54"/>
      <c r="E165" s="54"/>
      <c r="F165" s="54">
        <v>1000</v>
      </c>
      <c r="G165" s="54"/>
      <c r="H165" s="54"/>
      <c r="I165" s="54"/>
      <c r="J165" s="54">
        <v>1200</v>
      </c>
      <c r="K165" s="54"/>
      <c r="L165" s="54"/>
      <c r="M165" s="54"/>
      <c r="N165" s="54"/>
      <c r="O165" s="54">
        <v>580</v>
      </c>
      <c r="P165" s="54"/>
      <c r="Q165" s="54"/>
      <c r="R165" s="54"/>
      <c r="S165" s="54"/>
      <c r="T165" s="54"/>
      <c r="U165" s="12">
        <v>150</v>
      </c>
    </row>
    <row r="166" spans="2:21" x14ac:dyDescent="0.3">
      <c r="B166" s="41">
        <v>165</v>
      </c>
      <c r="C166" s="86">
        <f t="shared" si="2"/>
        <v>2930</v>
      </c>
      <c r="D166" s="54"/>
      <c r="E166" s="54"/>
      <c r="F166" s="54">
        <v>1000</v>
      </c>
      <c r="G166" s="54"/>
      <c r="H166" s="54"/>
      <c r="I166" s="54"/>
      <c r="J166" s="54">
        <v>1200</v>
      </c>
      <c r="K166" s="54"/>
      <c r="L166" s="54"/>
      <c r="M166" s="54"/>
      <c r="N166" s="54"/>
      <c r="O166" s="54"/>
      <c r="P166" s="54">
        <v>730</v>
      </c>
      <c r="Q166" s="54"/>
      <c r="R166" s="54"/>
      <c r="S166" s="54"/>
      <c r="T166" s="54"/>
      <c r="U166" s="12"/>
    </row>
    <row r="167" spans="2:21" x14ac:dyDescent="0.3">
      <c r="B167" s="41">
        <v>166</v>
      </c>
      <c r="C167" s="86">
        <f t="shared" si="2"/>
        <v>2960</v>
      </c>
      <c r="D167" s="54"/>
      <c r="E167" s="54"/>
      <c r="F167" s="54">
        <v>1000</v>
      </c>
      <c r="G167" s="54">
        <v>900</v>
      </c>
      <c r="H167" s="54">
        <v>900</v>
      </c>
      <c r="I167" s="54"/>
      <c r="J167" s="54"/>
      <c r="K167" s="54"/>
      <c r="L167" s="54">
        <v>160</v>
      </c>
      <c r="M167" s="54"/>
      <c r="N167" s="54"/>
      <c r="O167" s="54"/>
      <c r="P167" s="54"/>
      <c r="Q167" s="54"/>
      <c r="R167" s="54"/>
      <c r="S167" s="54"/>
      <c r="T167" s="54"/>
      <c r="U167" s="12"/>
    </row>
    <row r="168" spans="2:21" x14ac:dyDescent="0.3">
      <c r="B168" s="41">
        <v>167</v>
      </c>
      <c r="C168" s="86">
        <f t="shared" si="2"/>
        <v>3030</v>
      </c>
      <c r="D168" s="54"/>
      <c r="E168" s="54"/>
      <c r="F168" s="54">
        <v>1000</v>
      </c>
      <c r="G168" s="54">
        <v>900</v>
      </c>
      <c r="H168" s="54"/>
      <c r="I168" s="54"/>
      <c r="J168" s="54"/>
      <c r="K168" s="54"/>
      <c r="L168" s="54"/>
      <c r="M168" s="54"/>
      <c r="N168" s="54"/>
      <c r="O168" s="54"/>
      <c r="P168" s="54"/>
      <c r="Q168" s="54"/>
      <c r="R168" s="54">
        <v>1030</v>
      </c>
      <c r="S168" s="54"/>
      <c r="T168" s="54">
        <v>100</v>
      </c>
      <c r="U168" s="12"/>
    </row>
    <row r="169" spans="2:21" x14ac:dyDescent="0.3">
      <c r="B169" s="41">
        <v>168</v>
      </c>
      <c r="C169" s="86">
        <f t="shared" si="2"/>
        <v>3030</v>
      </c>
      <c r="D169" s="54"/>
      <c r="E169" s="54"/>
      <c r="F169" s="54">
        <v>1000</v>
      </c>
      <c r="G169" s="54"/>
      <c r="H169" s="54"/>
      <c r="I169" s="54"/>
      <c r="J169" s="54">
        <v>1200</v>
      </c>
      <c r="K169" s="54"/>
      <c r="L169" s="54"/>
      <c r="M169" s="54"/>
      <c r="N169" s="54"/>
      <c r="O169" s="54"/>
      <c r="P169" s="54">
        <v>730</v>
      </c>
      <c r="Q169" s="54"/>
      <c r="R169" s="54"/>
      <c r="S169" s="54"/>
      <c r="T169" s="54">
        <v>100</v>
      </c>
      <c r="U169" s="12"/>
    </row>
    <row r="170" spans="2:21" x14ac:dyDescent="0.3">
      <c r="B170" s="41">
        <v>169</v>
      </c>
      <c r="C170" s="86">
        <f t="shared" si="2"/>
        <v>3060</v>
      </c>
      <c r="D170" s="54"/>
      <c r="E170" s="54"/>
      <c r="F170" s="54">
        <v>1000</v>
      </c>
      <c r="G170" s="54">
        <v>900</v>
      </c>
      <c r="H170" s="54">
        <v>900</v>
      </c>
      <c r="I170" s="54"/>
      <c r="J170" s="54"/>
      <c r="K170" s="54"/>
      <c r="L170" s="54">
        <v>160</v>
      </c>
      <c r="M170" s="54"/>
      <c r="N170" s="54"/>
      <c r="O170" s="54"/>
      <c r="P170" s="54"/>
      <c r="Q170" s="54"/>
      <c r="R170" s="54"/>
      <c r="S170" s="54"/>
      <c r="T170" s="54">
        <v>100</v>
      </c>
      <c r="U170" s="12"/>
    </row>
    <row r="171" spans="2:21" x14ac:dyDescent="0.3">
      <c r="B171" s="41">
        <v>170</v>
      </c>
      <c r="C171" s="86">
        <f t="shared" si="2"/>
        <v>3080</v>
      </c>
      <c r="D171" s="54"/>
      <c r="E171" s="54"/>
      <c r="F171" s="54">
        <v>1000</v>
      </c>
      <c r="G171" s="54">
        <v>900</v>
      </c>
      <c r="H171" s="54"/>
      <c r="I171" s="54"/>
      <c r="J171" s="54"/>
      <c r="K171" s="54"/>
      <c r="L171" s="54"/>
      <c r="M171" s="54"/>
      <c r="N171" s="54"/>
      <c r="O171" s="54"/>
      <c r="P171" s="54"/>
      <c r="Q171" s="54"/>
      <c r="R171" s="54">
        <v>1030</v>
      </c>
      <c r="S171" s="54"/>
      <c r="T171" s="54"/>
      <c r="U171" s="12">
        <v>150</v>
      </c>
    </row>
    <row r="172" spans="2:21" x14ac:dyDescent="0.3">
      <c r="B172" s="41">
        <v>171</v>
      </c>
      <c r="C172" s="86">
        <f t="shared" si="2"/>
        <v>3080</v>
      </c>
      <c r="D172" s="54"/>
      <c r="E172" s="54"/>
      <c r="F172" s="54">
        <v>1000</v>
      </c>
      <c r="G172" s="54">
        <v>900</v>
      </c>
      <c r="H172" s="54"/>
      <c r="I172" s="54"/>
      <c r="J172" s="54"/>
      <c r="K172" s="54"/>
      <c r="L172" s="54"/>
      <c r="M172" s="54"/>
      <c r="N172" s="54"/>
      <c r="O172" s="54"/>
      <c r="P172" s="54"/>
      <c r="Q172" s="54"/>
      <c r="R172" s="54"/>
      <c r="S172" s="54">
        <v>1180</v>
      </c>
      <c r="T172" s="54"/>
      <c r="U172" s="12"/>
    </row>
    <row r="173" spans="2:21" x14ac:dyDescent="0.3">
      <c r="B173" s="41">
        <v>172</v>
      </c>
      <c r="C173" s="86">
        <f t="shared" si="2"/>
        <v>3080</v>
      </c>
      <c r="D173" s="54"/>
      <c r="E173" s="54"/>
      <c r="F173" s="54">
        <v>1000</v>
      </c>
      <c r="G173" s="54"/>
      <c r="H173" s="54"/>
      <c r="I173" s="54"/>
      <c r="J173" s="54">
        <v>1200</v>
      </c>
      <c r="K173" s="54"/>
      <c r="L173" s="54"/>
      <c r="M173" s="54"/>
      <c r="N173" s="54"/>
      <c r="O173" s="54"/>
      <c r="P173" s="54">
        <v>730</v>
      </c>
      <c r="Q173" s="54"/>
      <c r="R173" s="54"/>
      <c r="S173" s="54"/>
      <c r="T173" s="54"/>
      <c r="U173" s="12">
        <v>150</v>
      </c>
    </row>
    <row r="174" spans="2:21" x14ac:dyDescent="0.3">
      <c r="B174" s="41">
        <v>173</v>
      </c>
      <c r="C174" s="86">
        <f t="shared" si="2"/>
        <v>3080</v>
      </c>
      <c r="D174" s="54"/>
      <c r="E174" s="54"/>
      <c r="F174" s="54">
        <v>1000</v>
      </c>
      <c r="G174" s="54"/>
      <c r="H174" s="54"/>
      <c r="I174" s="54"/>
      <c r="J174" s="54">
        <v>1200</v>
      </c>
      <c r="K174" s="54"/>
      <c r="L174" s="54"/>
      <c r="M174" s="54"/>
      <c r="N174" s="54"/>
      <c r="O174" s="54"/>
      <c r="P174" s="54"/>
      <c r="Q174" s="54">
        <v>880</v>
      </c>
      <c r="R174" s="54"/>
      <c r="S174" s="54"/>
      <c r="T174" s="54"/>
      <c r="U174" s="12"/>
    </row>
    <row r="175" spans="2:21" x14ac:dyDescent="0.3">
      <c r="B175" s="41">
        <v>174</v>
      </c>
      <c r="C175" s="86">
        <f t="shared" si="2"/>
        <v>3080</v>
      </c>
      <c r="D175" s="54"/>
      <c r="E175" s="54"/>
      <c r="F175" s="54">
        <v>1000</v>
      </c>
      <c r="G175" s="54">
        <v>900</v>
      </c>
      <c r="H175" s="54">
        <v>900</v>
      </c>
      <c r="I175" s="54"/>
      <c r="J175" s="54"/>
      <c r="K175" s="54"/>
      <c r="L175" s="54"/>
      <c r="M175" s="54">
        <v>280</v>
      </c>
      <c r="N175" s="54"/>
      <c r="O175" s="54"/>
      <c r="P175" s="54"/>
      <c r="Q175" s="54"/>
      <c r="R175" s="54"/>
      <c r="S175" s="54"/>
      <c r="T175" s="54"/>
      <c r="U175" s="12"/>
    </row>
    <row r="176" spans="2:21" x14ac:dyDescent="0.3">
      <c r="B176" s="41">
        <v>175</v>
      </c>
      <c r="C176" s="86">
        <f t="shared" si="2"/>
        <v>3110</v>
      </c>
      <c r="D176" s="54"/>
      <c r="E176" s="54"/>
      <c r="F176" s="54">
        <v>1000</v>
      </c>
      <c r="G176" s="54">
        <v>900</v>
      </c>
      <c r="H176" s="54">
        <v>900</v>
      </c>
      <c r="I176" s="54"/>
      <c r="J176" s="54"/>
      <c r="K176" s="54"/>
      <c r="L176" s="54">
        <v>160</v>
      </c>
      <c r="M176" s="54"/>
      <c r="N176" s="54"/>
      <c r="O176" s="54"/>
      <c r="P176" s="54"/>
      <c r="Q176" s="54"/>
      <c r="R176" s="54"/>
      <c r="S176" s="54"/>
      <c r="T176" s="54"/>
      <c r="U176" s="12">
        <v>150</v>
      </c>
    </row>
    <row r="177" spans="2:21" x14ac:dyDescent="0.3">
      <c r="B177" s="41">
        <v>176</v>
      </c>
      <c r="C177" s="86">
        <f t="shared" si="2"/>
        <v>3180</v>
      </c>
      <c r="D177" s="54"/>
      <c r="E177" s="54"/>
      <c r="F177" s="54">
        <v>1000</v>
      </c>
      <c r="G177" s="54">
        <v>900</v>
      </c>
      <c r="H177" s="54"/>
      <c r="I177" s="54"/>
      <c r="J177" s="54"/>
      <c r="K177" s="54"/>
      <c r="L177" s="54"/>
      <c r="M177" s="54"/>
      <c r="N177" s="54"/>
      <c r="O177" s="54"/>
      <c r="P177" s="54"/>
      <c r="Q177" s="54"/>
      <c r="R177" s="54"/>
      <c r="S177" s="54">
        <v>1180</v>
      </c>
      <c r="T177" s="54">
        <v>100</v>
      </c>
      <c r="U177" s="12"/>
    </row>
    <row r="178" spans="2:21" x14ac:dyDescent="0.3">
      <c r="B178" s="41">
        <v>177</v>
      </c>
      <c r="C178" s="86">
        <f t="shared" si="2"/>
        <v>3180</v>
      </c>
      <c r="D178" s="54"/>
      <c r="E178" s="54"/>
      <c r="F178" s="54">
        <v>1000</v>
      </c>
      <c r="G178" s="54"/>
      <c r="H178" s="54"/>
      <c r="I178" s="54"/>
      <c r="J178" s="54">
        <v>1200</v>
      </c>
      <c r="K178" s="54"/>
      <c r="L178" s="54"/>
      <c r="M178" s="54"/>
      <c r="N178" s="54"/>
      <c r="O178" s="54"/>
      <c r="P178" s="54"/>
      <c r="Q178" s="54">
        <v>880</v>
      </c>
      <c r="R178" s="54"/>
      <c r="S178" s="54"/>
      <c r="T178" s="54">
        <v>100</v>
      </c>
      <c r="U178" s="12"/>
    </row>
    <row r="179" spans="2:21" x14ac:dyDescent="0.3">
      <c r="B179" s="41">
        <v>178</v>
      </c>
      <c r="C179" s="86">
        <f t="shared" si="2"/>
        <v>3180</v>
      </c>
      <c r="D179" s="54"/>
      <c r="E179" s="54"/>
      <c r="F179" s="54">
        <v>1000</v>
      </c>
      <c r="G179" s="54">
        <v>900</v>
      </c>
      <c r="H179" s="54">
        <v>900</v>
      </c>
      <c r="I179" s="54"/>
      <c r="J179" s="54"/>
      <c r="K179" s="54"/>
      <c r="L179" s="54"/>
      <c r="M179" s="54">
        <v>280</v>
      </c>
      <c r="N179" s="54"/>
      <c r="O179" s="54"/>
      <c r="P179" s="54"/>
      <c r="Q179" s="54"/>
      <c r="R179" s="54"/>
      <c r="S179" s="54"/>
      <c r="T179" s="54">
        <v>100</v>
      </c>
      <c r="U179" s="12"/>
    </row>
    <row r="180" spans="2:21" x14ac:dyDescent="0.3">
      <c r="B180" s="41">
        <v>179</v>
      </c>
      <c r="C180" s="86">
        <f t="shared" si="2"/>
        <v>3230</v>
      </c>
      <c r="D180" s="54"/>
      <c r="E180" s="54"/>
      <c r="F180" s="54">
        <v>1000</v>
      </c>
      <c r="G180" s="54">
        <v>900</v>
      </c>
      <c r="H180" s="54"/>
      <c r="I180" s="54"/>
      <c r="J180" s="54"/>
      <c r="K180" s="54"/>
      <c r="L180" s="54"/>
      <c r="M180" s="54"/>
      <c r="N180" s="54"/>
      <c r="O180" s="54"/>
      <c r="P180" s="54"/>
      <c r="Q180" s="54"/>
      <c r="R180" s="54"/>
      <c r="S180" s="54">
        <v>1180</v>
      </c>
      <c r="T180" s="54"/>
      <c r="U180" s="12">
        <v>150</v>
      </c>
    </row>
    <row r="181" spans="2:21" x14ac:dyDescent="0.3">
      <c r="B181" s="41">
        <v>180</v>
      </c>
      <c r="C181" s="86">
        <f t="shared" si="2"/>
        <v>3230</v>
      </c>
      <c r="D181" s="54"/>
      <c r="E181" s="54"/>
      <c r="F181" s="54">
        <v>1000</v>
      </c>
      <c r="G181" s="54"/>
      <c r="H181" s="54"/>
      <c r="I181" s="54"/>
      <c r="J181" s="54">
        <v>1200</v>
      </c>
      <c r="K181" s="54"/>
      <c r="L181" s="54"/>
      <c r="M181" s="54"/>
      <c r="N181" s="54"/>
      <c r="O181" s="54"/>
      <c r="P181" s="54"/>
      <c r="Q181" s="54">
        <v>880</v>
      </c>
      <c r="R181" s="54"/>
      <c r="S181" s="54"/>
      <c r="T181" s="54"/>
      <c r="U181" s="12">
        <v>150</v>
      </c>
    </row>
    <row r="182" spans="2:21" x14ac:dyDescent="0.3">
      <c r="B182" s="41">
        <v>181</v>
      </c>
      <c r="C182" s="86">
        <f t="shared" si="2"/>
        <v>3230</v>
      </c>
      <c r="D182" s="54"/>
      <c r="E182" s="54"/>
      <c r="F182" s="54">
        <v>1000</v>
      </c>
      <c r="G182" s="54"/>
      <c r="H182" s="54"/>
      <c r="I182" s="54"/>
      <c r="J182" s="54">
        <v>1200</v>
      </c>
      <c r="K182" s="54"/>
      <c r="L182" s="54"/>
      <c r="M182" s="54"/>
      <c r="N182" s="54"/>
      <c r="O182" s="54"/>
      <c r="P182" s="54"/>
      <c r="Q182" s="54"/>
      <c r="R182" s="54">
        <v>1030</v>
      </c>
      <c r="S182" s="54"/>
      <c r="T182" s="54"/>
      <c r="U182" s="12"/>
    </row>
    <row r="183" spans="2:21" x14ac:dyDescent="0.3">
      <c r="B183" s="41">
        <v>182</v>
      </c>
      <c r="C183" s="86">
        <f t="shared" si="2"/>
        <v>3230</v>
      </c>
      <c r="D183" s="54"/>
      <c r="E183" s="54"/>
      <c r="F183" s="54">
        <v>1000</v>
      </c>
      <c r="G183" s="54">
        <v>900</v>
      </c>
      <c r="H183" s="54">
        <v>900</v>
      </c>
      <c r="I183" s="54"/>
      <c r="J183" s="54"/>
      <c r="K183" s="54"/>
      <c r="L183" s="54"/>
      <c r="M183" s="54">
        <v>280</v>
      </c>
      <c r="N183" s="54"/>
      <c r="O183" s="54"/>
      <c r="P183" s="54"/>
      <c r="Q183" s="54"/>
      <c r="R183" s="54"/>
      <c r="S183" s="54"/>
      <c r="T183" s="54"/>
      <c r="U183" s="12">
        <v>150</v>
      </c>
    </row>
    <row r="184" spans="2:21" x14ac:dyDescent="0.3">
      <c r="B184" s="41">
        <v>183</v>
      </c>
      <c r="C184" s="86">
        <f t="shared" si="2"/>
        <v>3230</v>
      </c>
      <c r="D184" s="54"/>
      <c r="E184" s="54"/>
      <c r="F184" s="54">
        <v>1000</v>
      </c>
      <c r="G184" s="54">
        <v>900</v>
      </c>
      <c r="H184" s="54">
        <v>900</v>
      </c>
      <c r="I184" s="54"/>
      <c r="J184" s="54"/>
      <c r="K184" s="54"/>
      <c r="L184" s="54"/>
      <c r="M184" s="54"/>
      <c r="N184" s="54">
        <v>430</v>
      </c>
      <c r="O184" s="54"/>
      <c r="P184" s="54"/>
      <c r="Q184" s="54"/>
      <c r="R184" s="54"/>
      <c r="S184" s="54"/>
      <c r="T184" s="54"/>
      <c r="U184" s="12"/>
    </row>
    <row r="185" spans="2:21" x14ac:dyDescent="0.3">
      <c r="B185" s="41">
        <v>184</v>
      </c>
      <c r="C185" s="86">
        <f t="shared" si="2"/>
        <v>3330</v>
      </c>
      <c r="D185" s="54"/>
      <c r="E185" s="54"/>
      <c r="F185" s="54">
        <v>1000</v>
      </c>
      <c r="G185" s="54"/>
      <c r="H185" s="54"/>
      <c r="I185" s="54"/>
      <c r="J185" s="54">
        <v>1200</v>
      </c>
      <c r="K185" s="54"/>
      <c r="L185" s="54"/>
      <c r="M185" s="54"/>
      <c r="N185" s="54"/>
      <c r="O185" s="54"/>
      <c r="P185" s="54"/>
      <c r="Q185" s="54"/>
      <c r="R185" s="54">
        <v>1030</v>
      </c>
      <c r="S185" s="54"/>
      <c r="T185" s="54">
        <v>100</v>
      </c>
      <c r="U185" s="12"/>
    </row>
    <row r="186" spans="2:21" x14ac:dyDescent="0.3">
      <c r="B186" s="41">
        <v>185</v>
      </c>
      <c r="C186" s="86">
        <f t="shared" si="2"/>
        <v>3330</v>
      </c>
      <c r="D186" s="54"/>
      <c r="E186" s="54"/>
      <c r="F186" s="54">
        <v>1000</v>
      </c>
      <c r="G186" s="54">
        <v>900</v>
      </c>
      <c r="H186" s="54">
        <v>900</v>
      </c>
      <c r="I186" s="54"/>
      <c r="J186" s="54"/>
      <c r="K186" s="54"/>
      <c r="L186" s="54"/>
      <c r="M186" s="54"/>
      <c r="N186" s="54">
        <v>430</v>
      </c>
      <c r="O186" s="54"/>
      <c r="P186" s="54"/>
      <c r="Q186" s="54"/>
      <c r="R186" s="54"/>
      <c r="S186" s="54"/>
      <c r="T186" s="54">
        <v>100</v>
      </c>
      <c r="U186" s="12"/>
    </row>
    <row r="187" spans="2:21" x14ac:dyDescent="0.3">
      <c r="B187" s="41">
        <v>186</v>
      </c>
      <c r="C187" s="86">
        <f t="shared" si="2"/>
        <v>3380</v>
      </c>
      <c r="D187" s="54"/>
      <c r="E187" s="54"/>
      <c r="F187" s="54">
        <v>1000</v>
      </c>
      <c r="G187" s="54"/>
      <c r="H187" s="54"/>
      <c r="I187" s="54"/>
      <c r="J187" s="54">
        <v>1200</v>
      </c>
      <c r="K187" s="54"/>
      <c r="L187" s="54"/>
      <c r="M187" s="54"/>
      <c r="N187" s="54"/>
      <c r="O187" s="54"/>
      <c r="P187" s="54"/>
      <c r="Q187" s="54"/>
      <c r="R187" s="54">
        <v>1030</v>
      </c>
      <c r="S187" s="54"/>
      <c r="T187" s="54"/>
      <c r="U187" s="12">
        <v>150</v>
      </c>
    </row>
    <row r="188" spans="2:21" x14ac:dyDescent="0.3">
      <c r="B188" s="41">
        <v>187</v>
      </c>
      <c r="C188" s="86">
        <f t="shared" si="2"/>
        <v>3380</v>
      </c>
      <c r="D188" s="54"/>
      <c r="E188" s="54"/>
      <c r="F188" s="54">
        <v>1000</v>
      </c>
      <c r="G188" s="54"/>
      <c r="H188" s="54"/>
      <c r="I188" s="54"/>
      <c r="J188" s="54">
        <v>1200</v>
      </c>
      <c r="K188" s="54"/>
      <c r="L188" s="54"/>
      <c r="M188" s="54"/>
      <c r="N188" s="54"/>
      <c r="O188" s="54"/>
      <c r="P188" s="54"/>
      <c r="Q188" s="54"/>
      <c r="R188" s="54"/>
      <c r="S188" s="54">
        <v>1180</v>
      </c>
      <c r="T188" s="54"/>
      <c r="U188" s="12"/>
    </row>
    <row r="189" spans="2:21" x14ac:dyDescent="0.3">
      <c r="B189" s="41">
        <v>188</v>
      </c>
      <c r="C189" s="86">
        <f t="shared" si="2"/>
        <v>3380</v>
      </c>
      <c r="D189" s="54"/>
      <c r="E189" s="54"/>
      <c r="F189" s="54">
        <v>1000</v>
      </c>
      <c r="G189" s="54">
        <v>900</v>
      </c>
      <c r="H189" s="54">
        <v>900</v>
      </c>
      <c r="I189" s="54"/>
      <c r="J189" s="54"/>
      <c r="K189" s="54"/>
      <c r="L189" s="54"/>
      <c r="M189" s="54"/>
      <c r="N189" s="54">
        <v>430</v>
      </c>
      <c r="O189" s="54"/>
      <c r="P189" s="54"/>
      <c r="Q189" s="54"/>
      <c r="R189" s="54"/>
      <c r="S189" s="54"/>
      <c r="T189" s="54"/>
      <c r="U189" s="12">
        <v>150</v>
      </c>
    </row>
    <row r="190" spans="2:21" x14ac:dyDescent="0.3">
      <c r="B190" s="41">
        <v>189</v>
      </c>
      <c r="C190" s="86">
        <f t="shared" si="2"/>
        <v>3380</v>
      </c>
      <c r="D190" s="54"/>
      <c r="E190" s="54"/>
      <c r="F190" s="54">
        <v>1000</v>
      </c>
      <c r="G190" s="54">
        <v>900</v>
      </c>
      <c r="H190" s="54">
        <v>900</v>
      </c>
      <c r="I190" s="54"/>
      <c r="J190" s="54"/>
      <c r="K190" s="54"/>
      <c r="L190" s="54"/>
      <c r="M190" s="54"/>
      <c r="N190" s="54"/>
      <c r="O190" s="54">
        <v>580</v>
      </c>
      <c r="P190" s="54"/>
      <c r="Q190" s="54"/>
      <c r="R190" s="54"/>
      <c r="S190" s="54"/>
      <c r="T190" s="54"/>
      <c r="U190" s="12"/>
    </row>
    <row r="191" spans="2:21" x14ac:dyDescent="0.3">
      <c r="B191" s="41">
        <v>190</v>
      </c>
      <c r="C191" s="86">
        <f t="shared" si="2"/>
        <v>3530</v>
      </c>
      <c r="D191" s="54"/>
      <c r="E191" s="54"/>
      <c r="F191" s="54">
        <v>1000</v>
      </c>
      <c r="G191" s="54"/>
      <c r="H191" s="54"/>
      <c r="I191" s="54"/>
      <c r="J191" s="54">
        <v>1200</v>
      </c>
      <c r="K191" s="54"/>
      <c r="L191" s="54"/>
      <c r="M191" s="54"/>
      <c r="N191" s="54"/>
      <c r="O191" s="54"/>
      <c r="P191" s="54"/>
      <c r="Q191" s="54"/>
      <c r="R191" s="54"/>
      <c r="S191" s="54">
        <v>1180</v>
      </c>
      <c r="T191" s="54"/>
      <c r="U191" s="12">
        <v>150</v>
      </c>
    </row>
    <row r="192" spans="2:21" x14ac:dyDescent="0.3">
      <c r="B192" s="41">
        <v>191</v>
      </c>
      <c r="C192" s="86">
        <f t="shared" si="2"/>
        <v>3530</v>
      </c>
      <c r="D192" s="54"/>
      <c r="E192" s="54"/>
      <c r="F192" s="54">
        <v>1000</v>
      </c>
      <c r="G192" s="54">
        <v>900</v>
      </c>
      <c r="H192" s="54">
        <v>900</v>
      </c>
      <c r="I192" s="54"/>
      <c r="J192" s="54"/>
      <c r="K192" s="54"/>
      <c r="L192" s="54"/>
      <c r="M192" s="54"/>
      <c r="N192" s="54"/>
      <c r="O192" s="54">
        <v>580</v>
      </c>
      <c r="P192" s="54"/>
      <c r="Q192" s="54"/>
      <c r="R192" s="54"/>
      <c r="S192" s="54"/>
      <c r="T192" s="54"/>
      <c r="U192" s="12">
        <v>150</v>
      </c>
    </row>
    <row r="193" spans="2:21" x14ac:dyDescent="0.3">
      <c r="B193" s="41">
        <v>192</v>
      </c>
      <c r="C193" s="86">
        <f t="shared" si="2"/>
        <v>3530</v>
      </c>
      <c r="D193" s="54"/>
      <c r="E193" s="54"/>
      <c r="F193" s="54">
        <v>1000</v>
      </c>
      <c r="G193" s="54">
        <v>900</v>
      </c>
      <c r="H193" s="54">
        <v>900</v>
      </c>
      <c r="I193" s="54"/>
      <c r="J193" s="54"/>
      <c r="K193" s="54"/>
      <c r="L193" s="54"/>
      <c r="M193" s="54"/>
      <c r="N193" s="54"/>
      <c r="O193" s="54"/>
      <c r="P193" s="54">
        <v>730</v>
      </c>
      <c r="Q193" s="54"/>
      <c r="R193" s="54"/>
      <c r="S193" s="54"/>
      <c r="T193" s="54"/>
      <c r="U193" s="12"/>
    </row>
    <row r="194" spans="2:21" x14ac:dyDescent="0.3">
      <c r="B194" s="41">
        <v>193</v>
      </c>
      <c r="C194" s="86">
        <f t="shared" ref="C194:C254" si="3">SUM(D194:U194)</f>
        <v>3480</v>
      </c>
      <c r="D194" s="54"/>
      <c r="E194" s="54"/>
      <c r="F194" s="54">
        <v>1000</v>
      </c>
      <c r="G194" s="54"/>
      <c r="H194" s="54"/>
      <c r="I194" s="54"/>
      <c r="J194" s="54">
        <v>1200</v>
      </c>
      <c r="K194" s="54"/>
      <c r="L194" s="54"/>
      <c r="M194" s="54"/>
      <c r="N194" s="54"/>
      <c r="O194" s="54"/>
      <c r="P194" s="54"/>
      <c r="Q194" s="54"/>
      <c r="R194" s="54"/>
      <c r="S194" s="54">
        <v>1180</v>
      </c>
      <c r="T194" s="54">
        <v>100</v>
      </c>
      <c r="U194" s="12"/>
    </row>
    <row r="195" spans="2:21" x14ac:dyDescent="0.3">
      <c r="B195" s="41">
        <v>194</v>
      </c>
      <c r="C195" s="86">
        <f t="shared" si="3"/>
        <v>3480</v>
      </c>
      <c r="D195" s="54"/>
      <c r="E195" s="54"/>
      <c r="F195" s="54">
        <v>1000</v>
      </c>
      <c r="G195" s="54">
        <v>900</v>
      </c>
      <c r="H195" s="54">
        <v>900</v>
      </c>
      <c r="I195" s="54"/>
      <c r="J195" s="54"/>
      <c r="K195" s="54"/>
      <c r="L195" s="54"/>
      <c r="M195" s="54"/>
      <c r="N195" s="54"/>
      <c r="O195" s="54">
        <v>580</v>
      </c>
      <c r="P195" s="54"/>
      <c r="Q195" s="54"/>
      <c r="R195" s="54"/>
      <c r="S195" s="54"/>
      <c r="T195" s="54">
        <v>100</v>
      </c>
      <c r="U195" s="12"/>
    </row>
    <row r="196" spans="2:21" x14ac:dyDescent="0.3">
      <c r="B196" s="41">
        <v>195</v>
      </c>
      <c r="C196" s="86">
        <f t="shared" si="3"/>
        <v>3560</v>
      </c>
      <c r="D196" s="54"/>
      <c r="E196" s="54"/>
      <c r="F196" s="54">
        <v>1000</v>
      </c>
      <c r="G196" s="54"/>
      <c r="H196" s="54"/>
      <c r="I196" s="54"/>
      <c r="J196" s="54">
        <v>1200</v>
      </c>
      <c r="K196" s="54">
        <v>1200</v>
      </c>
      <c r="L196" s="54">
        <v>160</v>
      </c>
      <c r="M196" s="54"/>
      <c r="N196" s="54"/>
      <c r="O196" s="54"/>
      <c r="P196" s="54"/>
      <c r="Q196" s="54"/>
      <c r="R196" s="54"/>
      <c r="S196" s="54"/>
      <c r="T196" s="54"/>
      <c r="U196" s="12"/>
    </row>
    <row r="197" spans="2:21" x14ac:dyDescent="0.3">
      <c r="B197" s="41">
        <v>196</v>
      </c>
      <c r="C197" s="86">
        <f t="shared" si="3"/>
        <v>3630</v>
      </c>
      <c r="D197" s="54"/>
      <c r="E197" s="54"/>
      <c r="F197" s="54">
        <v>1000</v>
      </c>
      <c r="G197" s="54">
        <v>900</v>
      </c>
      <c r="H197" s="54">
        <v>900</v>
      </c>
      <c r="I197" s="54"/>
      <c r="J197" s="54"/>
      <c r="K197" s="54"/>
      <c r="L197" s="54"/>
      <c r="M197" s="54"/>
      <c r="N197" s="54"/>
      <c r="O197" s="54"/>
      <c r="P197" s="54">
        <v>730</v>
      </c>
      <c r="Q197" s="54"/>
      <c r="R197" s="54"/>
      <c r="S197" s="54"/>
      <c r="T197" s="54">
        <v>100</v>
      </c>
      <c r="U197" s="12"/>
    </row>
    <row r="198" spans="2:21" x14ac:dyDescent="0.3">
      <c r="B198" s="41">
        <v>197</v>
      </c>
      <c r="C198" s="86">
        <f t="shared" si="3"/>
        <v>3660</v>
      </c>
      <c r="D198" s="54"/>
      <c r="E198" s="54"/>
      <c r="F198" s="54">
        <v>1000</v>
      </c>
      <c r="G198" s="54"/>
      <c r="H198" s="54"/>
      <c r="I198" s="54"/>
      <c r="J198" s="54">
        <v>1200</v>
      </c>
      <c r="K198" s="54">
        <v>1200</v>
      </c>
      <c r="L198" s="54">
        <v>160</v>
      </c>
      <c r="M198" s="54"/>
      <c r="N198" s="54"/>
      <c r="O198" s="54"/>
      <c r="P198" s="54"/>
      <c r="Q198" s="54"/>
      <c r="R198" s="54"/>
      <c r="S198" s="54"/>
      <c r="T198" s="54">
        <v>100</v>
      </c>
      <c r="U198" s="12"/>
    </row>
    <row r="199" spans="2:21" x14ac:dyDescent="0.3">
      <c r="B199" s="41">
        <v>198</v>
      </c>
      <c r="C199" s="86">
        <f t="shared" si="3"/>
        <v>3680</v>
      </c>
      <c r="D199" s="54"/>
      <c r="E199" s="54"/>
      <c r="F199" s="54">
        <v>1000</v>
      </c>
      <c r="G199" s="54">
        <v>900</v>
      </c>
      <c r="H199" s="54">
        <v>900</v>
      </c>
      <c r="I199" s="54"/>
      <c r="J199" s="54"/>
      <c r="K199" s="54"/>
      <c r="L199" s="54"/>
      <c r="M199" s="54"/>
      <c r="N199" s="54"/>
      <c r="O199" s="54"/>
      <c r="P199" s="54">
        <v>730</v>
      </c>
      <c r="Q199" s="54"/>
      <c r="R199" s="54"/>
      <c r="S199" s="54"/>
      <c r="T199" s="54"/>
      <c r="U199" s="12">
        <v>150</v>
      </c>
    </row>
    <row r="200" spans="2:21" x14ac:dyDescent="0.3">
      <c r="B200" s="41">
        <v>199</v>
      </c>
      <c r="C200" s="86">
        <f t="shared" si="3"/>
        <v>3680</v>
      </c>
      <c r="D200" s="54"/>
      <c r="E200" s="54"/>
      <c r="F200" s="54">
        <v>1000</v>
      </c>
      <c r="G200" s="54">
        <v>900</v>
      </c>
      <c r="H200" s="54">
        <v>900</v>
      </c>
      <c r="I200" s="54"/>
      <c r="J200" s="54"/>
      <c r="K200" s="54"/>
      <c r="L200" s="54"/>
      <c r="M200" s="54"/>
      <c r="N200" s="54"/>
      <c r="O200" s="54"/>
      <c r="P200" s="54"/>
      <c r="Q200" s="54">
        <v>880</v>
      </c>
      <c r="R200" s="54"/>
      <c r="S200" s="54"/>
      <c r="T200" s="54"/>
      <c r="U200" s="12"/>
    </row>
    <row r="201" spans="2:21" x14ac:dyDescent="0.3">
      <c r="B201" s="41">
        <v>200</v>
      </c>
      <c r="C201" s="86">
        <f t="shared" si="3"/>
        <v>3680</v>
      </c>
      <c r="D201" s="54"/>
      <c r="E201" s="54"/>
      <c r="F201" s="54">
        <v>1000</v>
      </c>
      <c r="G201" s="54"/>
      <c r="H201" s="54"/>
      <c r="I201" s="54"/>
      <c r="J201" s="54">
        <v>1200</v>
      </c>
      <c r="K201" s="54">
        <v>1200</v>
      </c>
      <c r="L201" s="54"/>
      <c r="M201" s="54">
        <v>280</v>
      </c>
      <c r="N201" s="54"/>
      <c r="O201" s="54"/>
      <c r="P201" s="54"/>
      <c r="Q201" s="54"/>
      <c r="R201" s="54"/>
      <c r="S201" s="54"/>
      <c r="T201" s="54"/>
      <c r="U201" s="12"/>
    </row>
    <row r="202" spans="2:21" x14ac:dyDescent="0.3">
      <c r="B202" s="41">
        <v>201</v>
      </c>
      <c r="C202" s="86">
        <f t="shared" si="3"/>
        <v>3710</v>
      </c>
      <c r="D202" s="54"/>
      <c r="E202" s="54"/>
      <c r="F202" s="54">
        <v>1000</v>
      </c>
      <c r="G202" s="54"/>
      <c r="H202" s="54"/>
      <c r="I202" s="54"/>
      <c r="J202" s="54">
        <v>1200</v>
      </c>
      <c r="K202" s="54">
        <v>1200</v>
      </c>
      <c r="L202" s="54">
        <v>160</v>
      </c>
      <c r="M202" s="54"/>
      <c r="N202" s="54"/>
      <c r="O202" s="54"/>
      <c r="P202" s="54"/>
      <c r="Q202" s="54"/>
      <c r="R202" s="54"/>
      <c r="S202" s="54"/>
      <c r="T202" s="54"/>
      <c r="U202" s="12">
        <v>150</v>
      </c>
    </row>
    <row r="203" spans="2:21" x14ac:dyDescent="0.3">
      <c r="B203" s="41">
        <v>202</v>
      </c>
      <c r="C203" s="86">
        <f t="shared" si="3"/>
        <v>3780</v>
      </c>
      <c r="D203" s="54"/>
      <c r="E203" s="54"/>
      <c r="F203" s="54">
        <v>1000</v>
      </c>
      <c r="G203" s="54">
        <v>900</v>
      </c>
      <c r="H203" s="54">
        <v>900</v>
      </c>
      <c r="I203" s="54"/>
      <c r="J203" s="54"/>
      <c r="K203" s="54"/>
      <c r="L203" s="54"/>
      <c r="M203" s="54"/>
      <c r="N203" s="54"/>
      <c r="O203" s="54"/>
      <c r="P203" s="54"/>
      <c r="Q203" s="54">
        <v>880</v>
      </c>
      <c r="R203" s="54"/>
      <c r="S203" s="54"/>
      <c r="T203" s="54">
        <v>100</v>
      </c>
      <c r="U203" s="12"/>
    </row>
    <row r="204" spans="2:21" x14ac:dyDescent="0.3">
      <c r="B204" s="41">
        <v>203</v>
      </c>
      <c r="C204" s="86">
        <f t="shared" si="3"/>
        <v>3780</v>
      </c>
      <c r="D204" s="54"/>
      <c r="E204" s="54"/>
      <c r="F204" s="54">
        <v>1000</v>
      </c>
      <c r="G204" s="54"/>
      <c r="H204" s="54"/>
      <c r="I204" s="54"/>
      <c r="J204" s="54">
        <v>1200</v>
      </c>
      <c r="K204" s="54">
        <v>1200</v>
      </c>
      <c r="L204" s="54"/>
      <c r="M204" s="54">
        <v>280</v>
      </c>
      <c r="N204" s="54"/>
      <c r="O204" s="54"/>
      <c r="P204" s="54"/>
      <c r="Q204" s="54"/>
      <c r="R204" s="54"/>
      <c r="S204" s="54"/>
      <c r="T204" s="54">
        <v>100</v>
      </c>
      <c r="U204" s="12"/>
    </row>
    <row r="205" spans="2:21" x14ac:dyDescent="0.3">
      <c r="B205" s="41">
        <v>204</v>
      </c>
      <c r="C205" s="86">
        <f t="shared" si="3"/>
        <v>3830</v>
      </c>
      <c r="D205" s="54"/>
      <c r="E205" s="54"/>
      <c r="F205" s="54">
        <v>1000</v>
      </c>
      <c r="G205" s="54">
        <v>900</v>
      </c>
      <c r="H205" s="54">
        <v>900</v>
      </c>
      <c r="I205" s="54"/>
      <c r="J205" s="54"/>
      <c r="K205" s="54"/>
      <c r="L205" s="54"/>
      <c r="M205" s="54"/>
      <c r="N205" s="54"/>
      <c r="O205" s="54"/>
      <c r="P205" s="54"/>
      <c r="Q205" s="54">
        <v>880</v>
      </c>
      <c r="R205" s="54"/>
      <c r="S205" s="54"/>
      <c r="T205" s="54"/>
      <c r="U205" s="12">
        <v>150</v>
      </c>
    </row>
    <row r="206" spans="2:21" x14ac:dyDescent="0.3">
      <c r="B206" s="41">
        <v>205</v>
      </c>
      <c r="C206" s="86">
        <f t="shared" si="3"/>
        <v>3830</v>
      </c>
      <c r="D206" s="54"/>
      <c r="E206" s="54"/>
      <c r="F206" s="54">
        <v>1000</v>
      </c>
      <c r="G206" s="54">
        <v>900</v>
      </c>
      <c r="H206" s="54">
        <v>900</v>
      </c>
      <c r="I206" s="54"/>
      <c r="J206" s="54"/>
      <c r="K206" s="54"/>
      <c r="L206" s="54"/>
      <c r="M206" s="54"/>
      <c r="N206" s="54"/>
      <c r="O206" s="54"/>
      <c r="P206" s="54"/>
      <c r="Q206" s="54"/>
      <c r="R206" s="54">
        <v>1030</v>
      </c>
      <c r="S206" s="54"/>
      <c r="T206" s="54"/>
      <c r="U206" s="12"/>
    </row>
    <row r="207" spans="2:21" x14ac:dyDescent="0.3">
      <c r="B207" s="41">
        <v>206</v>
      </c>
      <c r="C207" s="86">
        <f t="shared" si="3"/>
        <v>3830</v>
      </c>
      <c r="D207" s="54"/>
      <c r="E207" s="54"/>
      <c r="F207" s="54">
        <v>1000</v>
      </c>
      <c r="G207" s="54"/>
      <c r="H207" s="54"/>
      <c r="I207" s="54"/>
      <c r="J207" s="54">
        <v>1200</v>
      </c>
      <c r="K207" s="54">
        <v>1200</v>
      </c>
      <c r="L207" s="54"/>
      <c r="M207" s="54">
        <v>280</v>
      </c>
      <c r="N207" s="54"/>
      <c r="O207" s="54"/>
      <c r="P207" s="54"/>
      <c r="Q207" s="54"/>
      <c r="R207" s="54"/>
      <c r="S207" s="54"/>
      <c r="T207" s="54"/>
      <c r="U207" s="12">
        <v>150</v>
      </c>
    </row>
    <row r="208" spans="2:21" x14ac:dyDescent="0.3">
      <c r="B208" s="41">
        <v>207</v>
      </c>
      <c r="C208" s="86">
        <f t="shared" si="3"/>
        <v>3830</v>
      </c>
      <c r="D208" s="54"/>
      <c r="E208" s="54"/>
      <c r="F208" s="54">
        <v>1000</v>
      </c>
      <c r="G208" s="54"/>
      <c r="H208" s="54"/>
      <c r="I208" s="54"/>
      <c r="J208" s="54">
        <v>1200</v>
      </c>
      <c r="K208" s="54">
        <v>1200</v>
      </c>
      <c r="L208" s="54"/>
      <c r="M208" s="54"/>
      <c r="N208" s="54">
        <v>430</v>
      </c>
      <c r="O208" s="54"/>
      <c r="P208" s="54"/>
      <c r="Q208" s="54"/>
      <c r="R208" s="54"/>
      <c r="S208" s="54"/>
      <c r="T208" s="54"/>
      <c r="U208" s="12"/>
    </row>
    <row r="209" spans="2:21" x14ac:dyDescent="0.3">
      <c r="B209" s="41">
        <v>208</v>
      </c>
      <c r="C209" s="86">
        <f t="shared" si="3"/>
        <v>3860</v>
      </c>
      <c r="D209" s="54"/>
      <c r="E209" s="54"/>
      <c r="F209" s="54">
        <v>1000</v>
      </c>
      <c r="G209" s="54">
        <v>900</v>
      </c>
      <c r="H209" s="54">
        <v>900</v>
      </c>
      <c r="I209" s="54">
        <v>900</v>
      </c>
      <c r="J209" s="54"/>
      <c r="K209" s="54"/>
      <c r="L209" s="54">
        <v>160</v>
      </c>
      <c r="M209" s="54"/>
      <c r="N209" s="54"/>
      <c r="O209" s="54"/>
      <c r="P209" s="54"/>
      <c r="Q209" s="54"/>
      <c r="R209" s="54"/>
      <c r="S209" s="54"/>
      <c r="T209" s="54"/>
      <c r="U209" s="12"/>
    </row>
    <row r="210" spans="2:21" x14ac:dyDescent="0.3">
      <c r="B210" s="41">
        <v>209</v>
      </c>
      <c r="C210" s="86">
        <f t="shared" si="3"/>
        <v>3930</v>
      </c>
      <c r="D210" s="54"/>
      <c r="E210" s="54"/>
      <c r="F210" s="54">
        <v>1000</v>
      </c>
      <c r="G210" s="54">
        <v>900</v>
      </c>
      <c r="H210" s="54">
        <v>900</v>
      </c>
      <c r="I210" s="54"/>
      <c r="J210" s="54"/>
      <c r="K210" s="54"/>
      <c r="L210" s="54"/>
      <c r="M210" s="54"/>
      <c r="N210" s="54"/>
      <c r="O210" s="54"/>
      <c r="P210" s="54"/>
      <c r="Q210" s="54"/>
      <c r="R210" s="54">
        <v>1030</v>
      </c>
      <c r="S210" s="54"/>
      <c r="T210" s="54">
        <v>100</v>
      </c>
      <c r="U210" s="12"/>
    </row>
    <row r="211" spans="2:21" x14ac:dyDescent="0.3">
      <c r="B211" s="41">
        <v>210</v>
      </c>
      <c r="C211" s="86">
        <f t="shared" si="3"/>
        <v>3930</v>
      </c>
      <c r="D211" s="54"/>
      <c r="E211" s="54"/>
      <c r="F211" s="54">
        <v>1000</v>
      </c>
      <c r="G211" s="54"/>
      <c r="H211" s="54"/>
      <c r="I211" s="54"/>
      <c r="J211" s="54">
        <v>1200</v>
      </c>
      <c r="K211" s="54">
        <v>1200</v>
      </c>
      <c r="L211" s="54"/>
      <c r="M211" s="54"/>
      <c r="N211" s="54">
        <v>430</v>
      </c>
      <c r="O211" s="54"/>
      <c r="P211" s="54"/>
      <c r="Q211" s="54"/>
      <c r="R211" s="54"/>
      <c r="S211" s="54"/>
      <c r="T211" s="54">
        <v>100</v>
      </c>
      <c r="U211" s="12"/>
    </row>
    <row r="212" spans="2:21" x14ac:dyDescent="0.3">
      <c r="B212" s="41">
        <v>211</v>
      </c>
      <c r="C212" s="86">
        <f t="shared" si="3"/>
        <v>3960</v>
      </c>
      <c r="D212" s="54"/>
      <c r="E212" s="54"/>
      <c r="F212" s="54">
        <v>1000</v>
      </c>
      <c r="G212" s="54">
        <v>900</v>
      </c>
      <c r="H212" s="54">
        <v>900</v>
      </c>
      <c r="I212" s="54">
        <v>900</v>
      </c>
      <c r="J212" s="54"/>
      <c r="K212" s="54"/>
      <c r="L212" s="54">
        <v>160</v>
      </c>
      <c r="M212" s="54"/>
      <c r="N212" s="54"/>
      <c r="O212" s="54"/>
      <c r="P212" s="54"/>
      <c r="Q212" s="54"/>
      <c r="R212" s="54"/>
      <c r="S212" s="54"/>
      <c r="T212" s="54">
        <v>100</v>
      </c>
      <c r="U212" s="12"/>
    </row>
    <row r="213" spans="2:21" x14ac:dyDescent="0.3">
      <c r="B213" s="41">
        <v>212</v>
      </c>
      <c r="C213" s="86">
        <f t="shared" si="3"/>
        <v>3980</v>
      </c>
      <c r="D213" s="54"/>
      <c r="E213" s="54"/>
      <c r="F213" s="54">
        <v>1000</v>
      </c>
      <c r="G213" s="54">
        <v>900</v>
      </c>
      <c r="H213" s="54">
        <v>900</v>
      </c>
      <c r="I213" s="54"/>
      <c r="J213" s="54"/>
      <c r="K213" s="54"/>
      <c r="L213" s="54"/>
      <c r="M213" s="54"/>
      <c r="N213" s="54"/>
      <c r="O213" s="54"/>
      <c r="P213" s="54"/>
      <c r="Q213" s="54"/>
      <c r="R213" s="54">
        <v>1030</v>
      </c>
      <c r="S213" s="54"/>
      <c r="T213" s="54"/>
      <c r="U213" s="12">
        <v>150</v>
      </c>
    </row>
    <row r="214" spans="2:21" x14ac:dyDescent="0.3">
      <c r="B214" s="41">
        <v>213</v>
      </c>
      <c r="C214" s="86">
        <f t="shared" si="3"/>
        <v>3980</v>
      </c>
      <c r="D214" s="54"/>
      <c r="E214" s="54"/>
      <c r="F214" s="54">
        <v>1000</v>
      </c>
      <c r="G214" s="54">
        <v>900</v>
      </c>
      <c r="H214" s="54">
        <v>900</v>
      </c>
      <c r="I214" s="54"/>
      <c r="J214" s="54"/>
      <c r="K214" s="54"/>
      <c r="L214" s="54"/>
      <c r="M214" s="54"/>
      <c r="N214" s="54"/>
      <c r="O214" s="54"/>
      <c r="P214" s="54"/>
      <c r="Q214" s="54"/>
      <c r="R214" s="54"/>
      <c r="S214" s="54">
        <v>1180</v>
      </c>
      <c r="T214" s="54"/>
      <c r="U214" s="12"/>
    </row>
    <row r="215" spans="2:21" x14ac:dyDescent="0.3">
      <c r="B215" s="41">
        <v>214</v>
      </c>
      <c r="C215" s="86">
        <f t="shared" si="3"/>
        <v>3980</v>
      </c>
      <c r="D215" s="54"/>
      <c r="E215" s="54"/>
      <c r="F215" s="54">
        <v>1000</v>
      </c>
      <c r="G215" s="54"/>
      <c r="H215" s="54"/>
      <c r="I215" s="54"/>
      <c r="J215" s="54">
        <v>1200</v>
      </c>
      <c r="K215" s="54">
        <v>1200</v>
      </c>
      <c r="L215" s="54"/>
      <c r="M215" s="54"/>
      <c r="N215" s="54">
        <v>430</v>
      </c>
      <c r="O215" s="54"/>
      <c r="P215" s="54"/>
      <c r="Q215" s="54"/>
      <c r="R215" s="54"/>
      <c r="S215" s="54"/>
      <c r="T215" s="54"/>
      <c r="U215" s="12">
        <v>150</v>
      </c>
    </row>
    <row r="216" spans="2:21" x14ac:dyDescent="0.3">
      <c r="B216" s="41">
        <v>215</v>
      </c>
      <c r="C216" s="86">
        <f t="shared" si="3"/>
        <v>3980</v>
      </c>
      <c r="D216" s="54"/>
      <c r="E216" s="54"/>
      <c r="F216" s="54">
        <v>1000</v>
      </c>
      <c r="G216" s="54"/>
      <c r="H216" s="54"/>
      <c r="I216" s="54"/>
      <c r="J216" s="54">
        <v>1200</v>
      </c>
      <c r="K216" s="54">
        <v>1200</v>
      </c>
      <c r="L216" s="54"/>
      <c r="M216" s="54"/>
      <c r="N216" s="54"/>
      <c r="O216" s="54">
        <v>580</v>
      </c>
      <c r="P216" s="54"/>
      <c r="Q216" s="54"/>
      <c r="R216" s="54"/>
      <c r="S216" s="54"/>
      <c r="T216" s="54"/>
      <c r="U216" s="12"/>
    </row>
    <row r="217" spans="2:21" x14ac:dyDescent="0.3">
      <c r="B217" s="41">
        <v>216</v>
      </c>
      <c r="C217" s="86">
        <f t="shared" si="3"/>
        <v>3980</v>
      </c>
      <c r="D217" s="54"/>
      <c r="E217" s="54"/>
      <c r="F217" s="54">
        <v>1000</v>
      </c>
      <c r="G217" s="54">
        <v>900</v>
      </c>
      <c r="H217" s="54">
        <v>900</v>
      </c>
      <c r="I217" s="54">
        <v>900</v>
      </c>
      <c r="J217" s="54"/>
      <c r="K217" s="54"/>
      <c r="L217" s="54"/>
      <c r="M217" s="54">
        <v>280</v>
      </c>
      <c r="N217" s="54"/>
      <c r="O217" s="54"/>
      <c r="P217" s="54"/>
      <c r="Q217" s="54"/>
      <c r="R217" s="54"/>
      <c r="S217" s="54"/>
      <c r="T217" s="54"/>
      <c r="U217" s="12"/>
    </row>
    <row r="218" spans="2:21" x14ac:dyDescent="0.3">
      <c r="B218" s="41">
        <v>217</v>
      </c>
      <c r="C218" s="86">
        <f t="shared" si="3"/>
        <v>4010</v>
      </c>
      <c r="D218" s="54"/>
      <c r="E218" s="54"/>
      <c r="F218" s="54">
        <v>1000</v>
      </c>
      <c r="G218" s="54">
        <v>900</v>
      </c>
      <c r="H218" s="54">
        <v>900</v>
      </c>
      <c r="I218" s="54">
        <v>900</v>
      </c>
      <c r="J218" s="54"/>
      <c r="K218" s="54"/>
      <c r="L218" s="54">
        <v>160</v>
      </c>
      <c r="M218" s="54"/>
      <c r="N218" s="54"/>
      <c r="O218" s="54"/>
      <c r="P218" s="54"/>
      <c r="Q218" s="54"/>
      <c r="R218" s="54"/>
      <c r="S218" s="54"/>
      <c r="T218" s="54"/>
      <c r="U218" s="12">
        <v>150</v>
      </c>
    </row>
    <row r="219" spans="2:21" x14ac:dyDescent="0.3">
      <c r="B219" s="41">
        <v>218</v>
      </c>
      <c r="C219" s="86">
        <f t="shared" si="3"/>
        <v>4080</v>
      </c>
      <c r="D219" s="54"/>
      <c r="E219" s="54"/>
      <c r="F219" s="54">
        <v>1000</v>
      </c>
      <c r="G219" s="54">
        <v>900</v>
      </c>
      <c r="H219" s="54">
        <v>900</v>
      </c>
      <c r="I219" s="54"/>
      <c r="J219" s="54"/>
      <c r="K219" s="54"/>
      <c r="L219" s="54"/>
      <c r="M219" s="54"/>
      <c r="N219" s="54"/>
      <c r="O219" s="54"/>
      <c r="P219" s="54"/>
      <c r="Q219" s="54"/>
      <c r="R219" s="54"/>
      <c r="S219" s="54">
        <v>1180</v>
      </c>
      <c r="T219" s="54">
        <v>100</v>
      </c>
      <c r="U219" s="12"/>
    </row>
    <row r="220" spans="2:21" x14ac:dyDescent="0.3">
      <c r="B220" s="41">
        <v>219</v>
      </c>
      <c r="C220" s="86">
        <f t="shared" si="3"/>
        <v>4080</v>
      </c>
      <c r="D220" s="54"/>
      <c r="E220" s="54"/>
      <c r="F220" s="54">
        <v>1000</v>
      </c>
      <c r="G220" s="54"/>
      <c r="H220" s="54"/>
      <c r="I220" s="54"/>
      <c r="J220" s="54">
        <v>1200</v>
      </c>
      <c r="K220" s="54">
        <v>1200</v>
      </c>
      <c r="L220" s="54"/>
      <c r="M220" s="54"/>
      <c r="N220" s="54"/>
      <c r="O220" s="54">
        <v>580</v>
      </c>
      <c r="P220" s="54"/>
      <c r="Q220" s="54"/>
      <c r="R220" s="54"/>
      <c r="S220" s="54"/>
      <c r="T220" s="54">
        <v>100</v>
      </c>
      <c r="U220" s="12"/>
    </row>
    <row r="221" spans="2:21" x14ac:dyDescent="0.3">
      <c r="B221" s="41">
        <v>220</v>
      </c>
      <c r="C221" s="86">
        <f t="shared" si="3"/>
        <v>4080</v>
      </c>
      <c r="D221" s="54"/>
      <c r="E221" s="54"/>
      <c r="F221" s="54">
        <v>1000</v>
      </c>
      <c r="G221" s="54">
        <v>900</v>
      </c>
      <c r="H221" s="54">
        <v>900</v>
      </c>
      <c r="I221" s="54">
        <v>900</v>
      </c>
      <c r="J221" s="54"/>
      <c r="K221" s="54"/>
      <c r="L221" s="54"/>
      <c r="M221" s="54">
        <v>280</v>
      </c>
      <c r="N221" s="54"/>
      <c r="O221" s="54"/>
      <c r="P221" s="54"/>
      <c r="Q221" s="54"/>
      <c r="R221" s="54"/>
      <c r="S221" s="54"/>
      <c r="T221" s="54">
        <v>100</v>
      </c>
      <c r="U221" s="12"/>
    </row>
    <row r="222" spans="2:21" x14ac:dyDescent="0.3">
      <c r="B222" s="41">
        <v>221</v>
      </c>
      <c r="C222" s="86">
        <f t="shared" si="3"/>
        <v>4130</v>
      </c>
      <c r="D222" s="54"/>
      <c r="E222" s="54"/>
      <c r="F222" s="54">
        <v>1000</v>
      </c>
      <c r="G222" s="54">
        <v>900</v>
      </c>
      <c r="H222" s="54">
        <v>900</v>
      </c>
      <c r="I222" s="54"/>
      <c r="J222" s="54"/>
      <c r="K222" s="54"/>
      <c r="L222" s="54"/>
      <c r="M222" s="54"/>
      <c r="N222" s="54"/>
      <c r="O222" s="54"/>
      <c r="P222" s="54"/>
      <c r="Q222" s="54"/>
      <c r="R222" s="54"/>
      <c r="S222" s="54">
        <v>1180</v>
      </c>
      <c r="T222" s="54"/>
      <c r="U222" s="12">
        <v>150</v>
      </c>
    </row>
    <row r="223" spans="2:21" x14ac:dyDescent="0.3">
      <c r="B223" s="41">
        <v>222</v>
      </c>
      <c r="C223" s="86">
        <f t="shared" si="3"/>
        <v>4130</v>
      </c>
      <c r="D223" s="54"/>
      <c r="E223" s="54"/>
      <c r="F223" s="54">
        <v>1000</v>
      </c>
      <c r="G223" s="54"/>
      <c r="H223" s="54"/>
      <c r="I223" s="54"/>
      <c r="J223" s="54">
        <v>1200</v>
      </c>
      <c r="K223" s="54">
        <v>1200</v>
      </c>
      <c r="L223" s="54"/>
      <c r="M223" s="54"/>
      <c r="N223" s="54"/>
      <c r="O223" s="54">
        <v>580</v>
      </c>
      <c r="P223" s="54"/>
      <c r="Q223" s="54"/>
      <c r="R223" s="54"/>
      <c r="S223" s="54"/>
      <c r="T223" s="54"/>
      <c r="U223" s="12">
        <v>150</v>
      </c>
    </row>
    <row r="224" spans="2:21" x14ac:dyDescent="0.3">
      <c r="B224" s="41">
        <v>223</v>
      </c>
      <c r="C224" s="86">
        <f t="shared" si="3"/>
        <v>4130</v>
      </c>
      <c r="D224" s="54"/>
      <c r="E224" s="54"/>
      <c r="F224" s="54">
        <v>1000</v>
      </c>
      <c r="G224" s="54"/>
      <c r="H224" s="54"/>
      <c r="I224" s="54"/>
      <c r="J224" s="54">
        <v>1200</v>
      </c>
      <c r="K224" s="54">
        <v>1200</v>
      </c>
      <c r="L224" s="54"/>
      <c r="M224" s="54"/>
      <c r="N224" s="54"/>
      <c r="O224" s="54"/>
      <c r="P224" s="54">
        <v>730</v>
      </c>
      <c r="Q224" s="54"/>
      <c r="R224" s="54"/>
      <c r="S224" s="54"/>
      <c r="T224" s="54"/>
      <c r="U224" s="12"/>
    </row>
    <row r="225" spans="2:21" x14ac:dyDescent="0.3">
      <c r="B225" s="41">
        <v>224</v>
      </c>
      <c r="C225" s="86">
        <f t="shared" si="3"/>
        <v>4130</v>
      </c>
      <c r="D225" s="54"/>
      <c r="E225" s="54"/>
      <c r="F225" s="54">
        <v>1000</v>
      </c>
      <c r="G225" s="54">
        <v>900</v>
      </c>
      <c r="H225" s="54">
        <v>900</v>
      </c>
      <c r="I225" s="54">
        <v>900</v>
      </c>
      <c r="J225" s="54"/>
      <c r="K225" s="54"/>
      <c r="L225" s="54"/>
      <c r="M225" s="54">
        <v>280</v>
      </c>
      <c r="N225" s="54"/>
      <c r="O225" s="54"/>
      <c r="P225" s="54"/>
      <c r="Q225" s="54"/>
      <c r="R225" s="54"/>
      <c r="S225" s="54"/>
      <c r="T225" s="54"/>
      <c r="U225" s="12">
        <v>150</v>
      </c>
    </row>
    <row r="226" spans="2:21" x14ac:dyDescent="0.3">
      <c r="B226" s="41">
        <v>225</v>
      </c>
      <c r="C226" s="86">
        <f t="shared" si="3"/>
        <v>4130</v>
      </c>
      <c r="D226" s="54"/>
      <c r="E226" s="54"/>
      <c r="F226" s="54">
        <v>1000</v>
      </c>
      <c r="G226" s="54">
        <v>900</v>
      </c>
      <c r="H226" s="54">
        <v>900</v>
      </c>
      <c r="I226" s="54">
        <v>900</v>
      </c>
      <c r="J226" s="54"/>
      <c r="K226" s="54"/>
      <c r="L226" s="54"/>
      <c r="M226" s="54"/>
      <c r="N226" s="54">
        <v>430</v>
      </c>
      <c r="O226" s="54"/>
      <c r="P226" s="54"/>
      <c r="Q226" s="54"/>
      <c r="R226" s="54"/>
      <c r="S226" s="54"/>
      <c r="T226" s="54"/>
      <c r="U226" s="12"/>
    </row>
    <row r="227" spans="2:21" x14ac:dyDescent="0.3">
      <c r="B227" s="41">
        <v>226</v>
      </c>
      <c r="C227" s="86">
        <f t="shared" si="3"/>
        <v>4230</v>
      </c>
      <c r="D227" s="54"/>
      <c r="E227" s="54"/>
      <c r="F227" s="54">
        <v>1000</v>
      </c>
      <c r="G227" s="54"/>
      <c r="H227" s="54"/>
      <c r="I227" s="54"/>
      <c r="J227" s="54">
        <v>1200</v>
      </c>
      <c r="K227" s="54">
        <v>1200</v>
      </c>
      <c r="L227" s="54"/>
      <c r="M227" s="54"/>
      <c r="N227" s="54"/>
      <c r="O227" s="54"/>
      <c r="P227" s="54">
        <v>730</v>
      </c>
      <c r="Q227" s="54"/>
      <c r="R227" s="54"/>
      <c r="S227" s="54"/>
      <c r="T227" s="54">
        <v>100</v>
      </c>
      <c r="U227" s="12"/>
    </row>
    <row r="228" spans="2:21" x14ac:dyDescent="0.3">
      <c r="B228" s="41">
        <v>227</v>
      </c>
      <c r="C228" s="86">
        <f t="shared" si="3"/>
        <v>4230</v>
      </c>
      <c r="D228" s="54"/>
      <c r="E228" s="54"/>
      <c r="F228" s="54">
        <v>1000</v>
      </c>
      <c r="G228" s="54">
        <v>900</v>
      </c>
      <c r="H228" s="54">
        <v>900</v>
      </c>
      <c r="I228" s="54">
        <v>900</v>
      </c>
      <c r="J228" s="54"/>
      <c r="K228" s="54"/>
      <c r="L228" s="54"/>
      <c r="M228" s="54"/>
      <c r="N228" s="54">
        <v>430</v>
      </c>
      <c r="O228" s="54"/>
      <c r="P228" s="54"/>
      <c r="Q228" s="54"/>
      <c r="R228" s="54"/>
      <c r="S228" s="54"/>
      <c r="T228" s="54">
        <v>100</v>
      </c>
      <c r="U228" s="12"/>
    </row>
    <row r="229" spans="2:21" x14ac:dyDescent="0.3">
      <c r="B229" s="41">
        <v>228</v>
      </c>
      <c r="C229" s="86">
        <f t="shared" si="3"/>
        <v>4280</v>
      </c>
      <c r="D229" s="54"/>
      <c r="E229" s="54"/>
      <c r="F229" s="54">
        <v>1000</v>
      </c>
      <c r="G229" s="54"/>
      <c r="H229" s="54"/>
      <c r="I229" s="54"/>
      <c r="J229" s="54">
        <v>1200</v>
      </c>
      <c r="K229" s="54">
        <v>1200</v>
      </c>
      <c r="L229" s="54"/>
      <c r="M229" s="54"/>
      <c r="N229" s="54"/>
      <c r="O229" s="54"/>
      <c r="P229" s="54">
        <v>730</v>
      </c>
      <c r="Q229" s="54"/>
      <c r="R229" s="54"/>
      <c r="S229" s="54"/>
      <c r="T229" s="54"/>
      <c r="U229" s="12">
        <v>150</v>
      </c>
    </row>
    <row r="230" spans="2:21" x14ac:dyDescent="0.3">
      <c r="B230" s="41">
        <v>229</v>
      </c>
      <c r="C230" s="86">
        <f t="shared" si="3"/>
        <v>4280</v>
      </c>
      <c r="D230" s="54"/>
      <c r="E230" s="54"/>
      <c r="F230" s="54">
        <v>1000</v>
      </c>
      <c r="G230" s="54"/>
      <c r="H230" s="54"/>
      <c r="I230" s="54"/>
      <c r="J230" s="54">
        <v>1200</v>
      </c>
      <c r="K230" s="54">
        <v>1200</v>
      </c>
      <c r="L230" s="54"/>
      <c r="M230" s="54"/>
      <c r="N230" s="54"/>
      <c r="O230" s="54"/>
      <c r="P230" s="54"/>
      <c r="Q230" s="54">
        <v>880</v>
      </c>
      <c r="R230" s="54"/>
      <c r="S230" s="54"/>
      <c r="T230" s="54"/>
      <c r="U230" s="12"/>
    </row>
    <row r="231" spans="2:21" x14ac:dyDescent="0.3">
      <c r="B231" s="41">
        <v>230</v>
      </c>
      <c r="C231" s="86">
        <f t="shared" si="3"/>
        <v>4280</v>
      </c>
      <c r="D231" s="54"/>
      <c r="E231" s="54"/>
      <c r="F231" s="54">
        <v>1000</v>
      </c>
      <c r="G231" s="54">
        <v>900</v>
      </c>
      <c r="H231" s="54">
        <v>900</v>
      </c>
      <c r="I231" s="54">
        <v>900</v>
      </c>
      <c r="J231" s="54"/>
      <c r="K231" s="54"/>
      <c r="L231" s="54"/>
      <c r="M231" s="54"/>
      <c r="N231" s="54">
        <v>430</v>
      </c>
      <c r="O231" s="54"/>
      <c r="P231" s="54"/>
      <c r="Q231" s="54"/>
      <c r="R231" s="54"/>
      <c r="S231" s="54"/>
      <c r="T231" s="54"/>
      <c r="U231" s="12">
        <v>150</v>
      </c>
    </row>
    <row r="232" spans="2:21" x14ac:dyDescent="0.3">
      <c r="B232" s="41">
        <v>231</v>
      </c>
      <c r="C232" s="86">
        <f t="shared" si="3"/>
        <v>4280</v>
      </c>
      <c r="D232" s="54"/>
      <c r="E232" s="54"/>
      <c r="F232" s="54">
        <v>1000</v>
      </c>
      <c r="G232" s="54">
        <v>900</v>
      </c>
      <c r="H232" s="54">
        <v>900</v>
      </c>
      <c r="I232" s="54">
        <v>900</v>
      </c>
      <c r="J232" s="54"/>
      <c r="K232" s="54"/>
      <c r="L232" s="54"/>
      <c r="M232" s="54"/>
      <c r="N232" s="54"/>
      <c r="O232" s="54">
        <v>580</v>
      </c>
      <c r="P232" s="54"/>
      <c r="Q232" s="54"/>
      <c r="R232" s="54"/>
      <c r="S232" s="54"/>
      <c r="T232" s="54"/>
      <c r="U232" s="12"/>
    </row>
    <row r="233" spans="2:21" x14ac:dyDescent="0.3">
      <c r="B233" s="41">
        <v>232</v>
      </c>
      <c r="C233" s="86">
        <f t="shared" si="3"/>
        <v>4380</v>
      </c>
      <c r="D233" s="54"/>
      <c r="E233" s="54"/>
      <c r="F233" s="54">
        <v>1000</v>
      </c>
      <c r="G233" s="54"/>
      <c r="H233" s="54"/>
      <c r="I233" s="54"/>
      <c r="J233" s="54">
        <v>1200</v>
      </c>
      <c r="K233" s="54">
        <v>1200</v>
      </c>
      <c r="L233" s="54"/>
      <c r="M233" s="54"/>
      <c r="N233" s="54"/>
      <c r="O233" s="54"/>
      <c r="P233" s="54"/>
      <c r="Q233" s="54">
        <v>880</v>
      </c>
      <c r="R233" s="54"/>
      <c r="S233" s="54"/>
      <c r="T233" s="54">
        <v>100</v>
      </c>
      <c r="U233" s="12"/>
    </row>
    <row r="234" spans="2:21" x14ac:dyDescent="0.3">
      <c r="B234" s="41">
        <v>233</v>
      </c>
      <c r="C234" s="86">
        <f t="shared" si="3"/>
        <v>4380</v>
      </c>
      <c r="D234" s="54"/>
      <c r="E234" s="54"/>
      <c r="F234" s="54">
        <v>1000</v>
      </c>
      <c r="G234" s="54">
        <v>900</v>
      </c>
      <c r="H234" s="54">
        <v>900</v>
      </c>
      <c r="I234" s="54">
        <v>900</v>
      </c>
      <c r="J234" s="54"/>
      <c r="K234" s="54"/>
      <c r="L234" s="54"/>
      <c r="M234" s="54"/>
      <c r="N234" s="54"/>
      <c r="O234" s="54">
        <v>580</v>
      </c>
      <c r="P234" s="54"/>
      <c r="Q234" s="54"/>
      <c r="R234" s="54"/>
      <c r="S234" s="54"/>
      <c r="T234" s="54">
        <v>100</v>
      </c>
      <c r="U234" s="12"/>
    </row>
    <row r="235" spans="2:21" x14ac:dyDescent="0.3">
      <c r="B235" s="41">
        <v>234</v>
      </c>
      <c r="C235" s="86">
        <f t="shared" si="3"/>
        <v>4430</v>
      </c>
      <c r="D235" s="54"/>
      <c r="E235" s="54"/>
      <c r="F235" s="54">
        <v>1000</v>
      </c>
      <c r="G235" s="54"/>
      <c r="H235" s="54"/>
      <c r="I235" s="54"/>
      <c r="J235" s="54">
        <v>1200</v>
      </c>
      <c r="K235" s="54">
        <v>1200</v>
      </c>
      <c r="L235" s="54"/>
      <c r="M235" s="54"/>
      <c r="N235" s="54"/>
      <c r="O235" s="54"/>
      <c r="P235" s="54"/>
      <c r="Q235" s="54">
        <v>880</v>
      </c>
      <c r="R235" s="54"/>
      <c r="S235" s="54"/>
      <c r="T235" s="54"/>
      <c r="U235" s="12">
        <v>150</v>
      </c>
    </row>
    <row r="236" spans="2:21" x14ac:dyDescent="0.3">
      <c r="B236" s="41">
        <v>235</v>
      </c>
      <c r="C236" s="86">
        <f t="shared" si="3"/>
        <v>4430</v>
      </c>
      <c r="D236" s="54"/>
      <c r="E236" s="54"/>
      <c r="F236" s="54">
        <v>1000</v>
      </c>
      <c r="G236" s="54"/>
      <c r="H236" s="54"/>
      <c r="I236" s="54"/>
      <c r="J236" s="54">
        <v>1200</v>
      </c>
      <c r="K236" s="54">
        <v>1200</v>
      </c>
      <c r="L236" s="54"/>
      <c r="M236" s="54"/>
      <c r="N236" s="54"/>
      <c r="O236" s="54"/>
      <c r="P236" s="54"/>
      <c r="Q236" s="54"/>
      <c r="R236" s="54">
        <v>1030</v>
      </c>
      <c r="S236" s="54"/>
      <c r="T236" s="54"/>
      <c r="U236" s="12"/>
    </row>
    <row r="237" spans="2:21" x14ac:dyDescent="0.3">
      <c r="B237" s="41">
        <v>236</v>
      </c>
      <c r="C237" s="86">
        <f t="shared" si="3"/>
        <v>4430</v>
      </c>
      <c r="D237" s="54"/>
      <c r="E237" s="54"/>
      <c r="F237" s="54">
        <v>1000</v>
      </c>
      <c r="G237" s="54">
        <v>900</v>
      </c>
      <c r="H237" s="54">
        <v>900</v>
      </c>
      <c r="I237" s="54">
        <v>900</v>
      </c>
      <c r="J237" s="54"/>
      <c r="K237" s="54"/>
      <c r="L237" s="54"/>
      <c r="M237" s="54"/>
      <c r="N237" s="54"/>
      <c r="O237" s="54">
        <v>580</v>
      </c>
      <c r="P237" s="54"/>
      <c r="Q237" s="54"/>
      <c r="R237" s="54"/>
      <c r="S237" s="54"/>
      <c r="T237" s="54"/>
      <c r="U237" s="12">
        <v>150</v>
      </c>
    </row>
    <row r="238" spans="2:21" x14ac:dyDescent="0.3">
      <c r="B238" s="41">
        <v>237</v>
      </c>
      <c r="C238" s="86">
        <f t="shared" si="3"/>
        <v>4430</v>
      </c>
      <c r="D238" s="54"/>
      <c r="E238" s="54"/>
      <c r="F238" s="54">
        <v>1000</v>
      </c>
      <c r="G238" s="54">
        <v>900</v>
      </c>
      <c r="H238" s="54">
        <v>900</v>
      </c>
      <c r="I238" s="54">
        <v>900</v>
      </c>
      <c r="J238" s="54"/>
      <c r="K238" s="54"/>
      <c r="L238" s="54"/>
      <c r="M238" s="54"/>
      <c r="N238" s="54"/>
      <c r="O238" s="54"/>
      <c r="P238" s="54">
        <v>730</v>
      </c>
      <c r="Q238" s="54"/>
      <c r="R238" s="54"/>
      <c r="S238" s="54"/>
      <c r="T238" s="54"/>
      <c r="U238" s="12"/>
    </row>
    <row r="239" spans="2:21" x14ac:dyDescent="0.3">
      <c r="B239" s="41">
        <v>238</v>
      </c>
      <c r="C239" s="86">
        <f t="shared" si="3"/>
        <v>4530</v>
      </c>
      <c r="D239" s="54"/>
      <c r="E239" s="54"/>
      <c r="F239" s="54">
        <v>1000</v>
      </c>
      <c r="G239" s="54"/>
      <c r="H239" s="54"/>
      <c r="I239" s="54"/>
      <c r="J239" s="54">
        <v>1200</v>
      </c>
      <c r="K239" s="54">
        <v>1200</v>
      </c>
      <c r="L239" s="54"/>
      <c r="M239" s="54"/>
      <c r="N239" s="54"/>
      <c r="O239" s="54"/>
      <c r="P239" s="54"/>
      <c r="Q239" s="54"/>
      <c r="R239" s="54">
        <v>1030</v>
      </c>
      <c r="S239" s="54"/>
      <c r="T239" s="54">
        <v>100</v>
      </c>
      <c r="U239" s="12"/>
    </row>
    <row r="240" spans="2:21" x14ac:dyDescent="0.3">
      <c r="B240" s="41">
        <v>239</v>
      </c>
      <c r="C240" s="86">
        <f t="shared" si="3"/>
        <v>4530</v>
      </c>
      <c r="D240" s="54"/>
      <c r="E240" s="54"/>
      <c r="F240" s="54">
        <v>1000</v>
      </c>
      <c r="G240" s="54">
        <v>900</v>
      </c>
      <c r="H240" s="54">
        <v>900</v>
      </c>
      <c r="I240" s="54">
        <v>900</v>
      </c>
      <c r="J240" s="54"/>
      <c r="K240" s="54"/>
      <c r="L240" s="54"/>
      <c r="M240" s="54"/>
      <c r="N240" s="54"/>
      <c r="O240" s="54"/>
      <c r="P240" s="54">
        <v>730</v>
      </c>
      <c r="Q240" s="54"/>
      <c r="R240" s="54"/>
      <c r="S240" s="54"/>
      <c r="T240" s="54">
        <v>100</v>
      </c>
      <c r="U240" s="12"/>
    </row>
    <row r="241" spans="2:21" x14ac:dyDescent="0.3">
      <c r="B241" s="41">
        <v>240</v>
      </c>
      <c r="C241" s="86">
        <f t="shared" si="3"/>
        <v>4580</v>
      </c>
      <c r="D241" s="54"/>
      <c r="E241" s="54"/>
      <c r="F241" s="54">
        <v>1000</v>
      </c>
      <c r="G241" s="54"/>
      <c r="H241" s="54"/>
      <c r="I241" s="54"/>
      <c r="J241" s="54">
        <v>1200</v>
      </c>
      <c r="K241" s="54">
        <v>1200</v>
      </c>
      <c r="L241" s="54"/>
      <c r="M241" s="54"/>
      <c r="N241" s="54"/>
      <c r="O241" s="54"/>
      <c r="P241" s="54"/>
      <c r="Q241" s="54"/>
      <c r="R241" s="54">
        <v>1030</v>
      </c>
      <c r="S241" s="54"/>
      <c r="T241" s="54"/>
      <c r="U241" s="12">
        <v>150</v>
      </c>
    </row>
    <row r="242" spans="2:21" x14ac:dyDescent="0.3">
      <c r="B242" s="41">
        <v>241</v>
      </c>
      <c r="C242" s="86">
        <f t="shared" si="3"/>
        <v>4580</v>
      </c>
      <c r="D242" s="54"/>
      <c r="E242" s="54"/>
      <c r="F242" s="54">
        <v>1000</v>
      </c>
      <c r="G242" s="54"/>
      <c r="H242" s="54"/>
      <c r="I242" s="54"/>
      <c r="J242" s="54">
        <v>1200</v>
      </c>
      <c r="K242" s="54">
        <v>1200</v>
      </c>
      <c r="L242" s="54"/>
      <c r="M242" s="54"/>
      <c r="N242" s="54"/>
      <c r="O242" s="54"/>
      <c r="P242" s="54"/>
      <c r="Q242" s="54"/>
      <c r="R242" s="54"/>
      <c r="S242" s="54">
        <v>1180</v>
      </c>
      <c r="T242" s="54"/>
      <c r="U242" s="12"/>
    </row>
    <row r="243" spans="2:21" x14ac:dyDescent="0.3">
      <c r="B243" s="41">
        <v>242</v>
      </c>
      <c r="C243" s="86">
        <f t="shared" si="3"/>
        <v>4580</v>
      </c>
      <c r="D243" s="54"/>
      <c r="E243" s="54"/>
      <c r="F243" s="54">
        <v>1000</v>
      </c>
      <c r="G243" s="54">
        <v>900</v>
      </c>
      <c r="H243" s="54">
        <v>900</v>
      </c>
      <c r="I243" s="54">
        <v>900</v>
      </c>
      <c r="J243" s="54"/>
      <c r="K243" s="54"/>
      <c r="L243" s="54"/>
      <c r="M243" s="54"/>
      <c r="N243" s="54"/>
      <c r="O243" s="54"/>
      <c r="P243" s="54">
        <v>730</v>
      </c>
      <c r="Q243" s="54"/>
      <c r="R243" s="54"/>
      <c r="S243" s="54"/>
      <c r="T243" s="54"/>
      <c r="U243" s="12">
        <v>150</v>
      </c>
    </row>
    <row r="244" spans="2:21" x14ac:dyDescent="0.3">
      <c r="B244" s="41">
        <v>243</v>
      </c>
      <c r="C244" s="86">
        <f t="shared" si="3"/>
        <v>4580</v>
      </c>
      <c r="D244" s="54"/>
      <c r="E244" s="54"/>
      <c r="F244" s="54">
        <v>1000</v>
      </c>
      <c r="G244" s="54">
        <v>900</v>
      </c>
      <c r="H244" s="54">
        <v>900</v>
      </c>
      <c r="I244" s="54">
        <v>900</v>
      </c>
      <c r="J244" s="54"/>
      <c r="K244" s="54"/>
      <c r="L244" s="54"/>
      <c r="M244" s="54"/>
      <c r="N244" s="54"/>
      <c r="O244" s="54"/>
      <c r="P244" s="54"/>
      <c r="Q244" s="54">
        <v>880</v>
      </c>
      <c r="R244" s="54"/>
      <c r="S244" s="54"/>
      <c r="T244" s="54"/>
      <c r="U244" s="12"/>
    </row>
    <row r="245" spans="2:21" x14ac:dyDescent="0.3">
      <c r="B245" s="41">
        <v>244</v>
      </c>
      <c r="C245" s="86">
        <f t="shared" si="3"/>
        <v>4680</v>
      </c>
      <c r="D245" s="54"/>
      <c r="E245" s="54"/>
      <c r="F245" s="54">
        <v>1000</v>
      </c>
      <c r="G245" s="54"/>
      <c r="H245" s="54"/>
      <c r="I245" s="54"/>
      <c r="J245" s="54">
        <v>1200</v>
      </c>
      <c r="K245" s="54">
        <v>1200</v>
      </c>
      <c r="L245" s="54"/>
      <c r="M245" s="54"/>
      <c r="N245" s="54"/>
      <c r="O245" s="54"/>
      <c r="P245" s="54"/>
      <c r="Q245" s="54"/>
      <c r="R245" s="54"/>
      <c r="S245" s="54">
        <v>1180</v>
      </c>
      <c r="T245" s="54">
        <v>100</v>
      </c>
      <c r="U245" s="12"/>
    </row>
    <row r="246" spans="2:21" x14ac:dyDescent="0.3">
      <c r="B246" s="41">
        <v>245</v>
      </c>
      <c r="C246" s="86">
        <f t="shared" si="3"/>
        <v>4680</v>
      </c>
      <c r="D246" s="54"/>
      <c r="E246" s="54"/>
      <c r="F246" s="54">
        <v>1000</v>
      </c>
      <c r="G246" s="54">
        <v>900</v>
      </c>
      <c r="H246" s="54">
        <v>900</v>
      </c>
      <c r="I246" s="54">
        <v>900</v>
      </c>
      <c r="J246" s="54"/>
      <c r="K246" s="54"/>
      <c r="L246" s="54"/>
      <c r="M246" s="54"/>
      <c r="N246" s="54"/>
      <c r="O246" s="54"/>
      <c r="P246" s="54"/>
      <c r="Q246" s="54">
        <v>880</v>
      </c>
      <c r="R246" s="54"/>
      <c r="S246" s="54"/>
      <c r="T246" s="54">
        <v>100</v>
      </c>
      <c r="U246" s="12"/>
    </row>
    <row r="247" spans="2:21" x14ac:dyDescent="0.3">
      <c r="B247" s="41">
        <v>246</v>
      </c>
      <c r="C247" s="86">
        <f t="shared" si="3"/>
        <v>4730</v>
      </c>
      <c r="D247" s="54"/>
      <c r="E247" s="54"/>
      <c r="F247" s="54">
        <v>1000</v>
      </c>
      <c r="G247" s="54"/>
      <c r="H247" s="54"/>
      <c r="I247" s="54"/>
      <c r="J247" s="54">
        <v>1200</v>
      </c>
      <c r="K247" s="54">
        <v>1200</v>
      </c>
      <c r="L247" s="54"/>
      <c r="M247" s="54"/>
      <c r="N247" s="54"/>
      <c r="O247" s="54"/>
      <c r="P247" s="54"/>
      <c r="Q247" s="54"/>
      <c r="R247" s="54"/>
      <c r="S247" s="54">
        <v>1180</v>
      </c>
      <c r="T247" s="54"/>
      <c r="U247" s="12">
        <v>150</v>
      </c>
    </row>
    <row r="248" spans="2:21" x14ac:dyDescent="0.3">
      <c r="B248" s="41">
        <v>247</v>
      </c>
      <c r="C248" s="86">
        <f t="shared" si="3"/>
        <v>4730</v>
      </c>
      <c r="D248" s="54"/>
      <c r="E248" s="54"/>
      <c r="F248" s="54">
        <v>1000</v>
      </c>
      <c r="G248" s="54">
        <v>900</v>
      </c>
      <c r="H248" s="54">
        <v>900</v>
      </c>
      <c r="I248" s="54">
        <v>900</v>
      </c>
      <c r="J248" s="54"/>
      <c r="K248" s="54"/>
      <c r="L248" s="54"/>
      <c r="M248" s="54"/>
      <c r="N248" s="54"/>
      <c r="O248" s="54"/>
      <c r="P248" s="54"/>
      <c r="Q248" s="54">
        <v>880</v>
      </c>
      <c r="R248" s="54"/>
      <c r="S248" s="54"/>
      <c r="T248" s="54"/>
      <c r="U248" s="12">
        <v>150</v>
      </c>
    </row>
    <row r="249" spans="2:21" x14ac:dyDescent="0.3">
      <c r="B249" s="41">
        <v>248</v>
      </c>
      <c r="C249" s="86">
        <f t="shared" si="3"/>
        <v>4730</v>
      </c>
      <c r="D249" s="54"/>
      <c r="E249" s="54"/>
      <c r="F249" s="54">
        <v>1000</v>
      </c>
      <c r="G249" s="54">
        <v>900</v>
      </c>
      <c r="H249" s="54">
        <v>900</v>
      </c>
      <c r="I249" s="54">
        <v>900</v>
      </c>
      <c r="J249" s="54"/>
      <c r="K249" s="54"/>
      <c r="L249" s="54"/>
      <c r="M249" s="54"/>
      <c r="N249" s="54"/>
      <c r="O249" s="54"/>
      <c r="P249" s="54"/>
      <c r="Q249" s="54"/>
      <c r="R249" s="54">
        <v>1030</v>
      </c>
      <c r="S249" s="54"/>
      <c r="T249" s="54"/>
      <c r="U249" s="12"/>
    </row>
    <row r="250" spans="2:21" x14ac:dyDescent="0.3">
      <c r="B250" s="41">
        <v>249</v>
      </c>
      <c r="C250" s="86">
        <f t="shared" si="3"/>
        <v>4830</v>
      </c>
      <c r="D250" s="54"/>
      <c r="E250" s="54"/>
      <c r="F250" s="54">
        <v>1000</v>
      </c>
      <c r="G250" s="54">
        <v>900</v>
      </c>
      <c r="H250" s="54">
        <v>900</v>
      </c>
      <c r="I250" s="54">
        <v>900</v>
      </c>
      <c r="J250" s="54"/>
      <c r="K250" s="54"/>
      <c r="L250" s="54"/>
      <c r="M250" s="54"/>
      <c r="N250" s="54"/>
      <c r="O250" s="54"/>
      <c r="P250" s="54"/>
      <c r="Q250" s="54"/>
      <c r="R250" s="54">
        <v>1030</v>
      </c>
      <c r="S250" s="54"/>
      <c r="T250" s="54">
        <v>100</v>
      </c>
      <c r="U250" s="12"/>
    </row>
    <row r="251" spans="2:21" x14ac:dyDescent="0.3">
      <c r="B251" s="41">
        <v>250</v>
      </c>
      <c r="C251" s="86">
        <f t="shared" si="3"/>
        <v>4880</v>
      </c>
      <c r="D251" s="54"/>
      <c r="E251" s="54"/>
      <c r="F251" s="54">
        <v>1000</v>
      </c>
      <c r="G251" s="54">
        <v>900</v>
      </c>
      <c r="H251" s="54">
        <v>900</v>
      </c>
      <c r="I251" s="54">
        <v>900</v>
      </c>
      <c r="J251" s="54"/>
      <c r="K251" s="54"/>
      <c r="L251" s="54"/>
      <c r="M251" s="54"/>
      <c r="N251" s="54"/>
      <c r="O251" s="54"/>
      <c r="P251" s="54"/>
      <c r="Q251" s="54"/>
      <c r="R251" s="54">
        <v>1030</v>
      </c>
      <c r="S251" s="54"/>
      <c r="T251" s="54"/>
      <c r="U251" s="12">
        <v>150</v>
      </c>
    </row>
    <row r="252" spans="2:21" x14ac:dyDescent="0.3">
      <c r="B252" s="41">
        <v>251</v>
      </c>
      <c r="C252" s="86">
        <f t="shared" si="3"/>
        <v>4880</v>
      </c>
      <c r="D252" s="54"/>
      <c r="E252" s="54"/>
      <c r="F252" s="54">
        <v>1000</v>
      </c>
      <c r="G252" s="54">
        <v>900</v>
      </c>
      <c r="H252" s="54">
        <v>900</v>
      </c>
      <c r="I252" s="54">
        <v>900</v>
      </c>
      <c r="J252" s="54"/>
      <c r="K252" s="54"/>
      <c r="L252" s="54"/>
      <c r="M252" s="54"/>
      <c r="N252" s="54"/>
      <c r="O252" s="54"/>
      <c r="P252" s="54"/>
      <c r="Q252" s="54"/>
      <c r="R252" s="54"/>
      <c r="S252" s="54">
        <v>1180</v>
      </c>
      <c r="T252" s="54"/>
      <c r="U252" s="12"/>
    </row>
    <row r="253" spans="2:21" x14ac:dyDescent="0.3">
      <c r="B253" s="41">
        <v>252</v>
      </c>
      <c r="C253" s="86">
        <f t="shared" si="3"/>
        <v>4980</v>
      </c>
      <c r="D253" s="54"/>
      <c r="E253" s="54"/>
      <c r="F253" s="54">
        <v>1000</v>
      </c>
      <c r="G253" s="54">
        <v>900</v>
      </c>
      <c r="H253" s="54">
        <v>900</v>
      </c>
      <c r="I253" s="54">
        <v>900</v>
      </c>
      <c r="J253" s="54"/>
      <c r="K253" s="54"/>
      <c r="L253" s="54"/>
      <c r="M253" s="54"/>
      <c r="N253" s="54"/>
      <c r="O253" s="54"/>
      <c r="P253" s="54"/>
      <c r="Q253" s="54"/>
      <c r="R253" s="54"/>
      <c r="S253" s="54">
        <v>1180</v>
      </c>
      <c r="T253" s="54">
        <v>100</v>
      </c>
      <c r="U253" s="12"/>
    </row>
    <row r="254" spans="2:21" ht="15" thickBot="1" x14ac:dyDescent="0.35">
      <c r="B254" s="41">
        <v>253</v>
      </c>
      <c r="C254" s="89">
        <f t="shared" si="3"/>
        <v>5030</v>
      </c>
      <c r="D254" s="56"/>
      <c r="E254" s="56"/>
      <c r="F254" s="56">
        <v>1000</v>
      </c>
      <c r="G254" s="56">
        <v>900</v>
      </c>
      <c r="H254" s="56">
        <v>900</v>
      </c>
      <c r="I254" s="56">
        <v>900</v>
      </c>
      <c r="J254" s="56"/>
      <c r="K254" s="56"/>
      <c r="L254" s="56"/>
      <c r="M254" s="56"/>
      <c r="N254" s="56"/>
      <c r="O254" s="56"/>
      <c r="P254" s="56"/>
      <c r="Q254" s="56"/>
      <c r="R254" s="56"/>
      <c r="S254" s="56">
        <v>1180</v>
      </c>
      <c r="T254" s="56"/>
      <c r="U254" s="57">
        <v>150</v>
      </c>
    </row>
  </sheetData>
  <conditionalFormatting sqref="C1:C1048576">
    <cfRule type="duplicateValues" dxfId="0" priority="1"/>
  </conditionalFormatting>
  <pageMargins left="0.7" right="0.7" top="0.75" bottom="0.75" header="0.3" footer="0.3"/>
  <pageSetup paperSize="8" scale="54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1"/>
  <sheetViews>
    <sheetView workbookViewId="0">
      <selection activeCell="C31" sqref="C31"/>
    </sheetView>
  </sheetViews>
  <sheetFormatPr baseColWidth="10" defaultRowHeight="14.4" x14ac:dyDescent="0.3"/>
  <cols>
    <col min="1" max="1" width="14.6640625" style="37" bestFit="1" customWidth="1"/>
    <col min="2" max="2" width="11.5546875" style="37"/>
    <col min="3" max="3" width="15.77734375" style="37" bestFit="1" customWidth="1"/>
    <col min="4" max="4" width="26.6640625" style="37" bestFit="1" customWidth="1"/>
    <col min="5" max="5" width="26.6640625" style="37" customWidth="1"/>
    <col min="6" max="6" width="28.44140625" style="37" bestFit="1" customWidth="1"/>
    <col min="7" max="16384" width="11.5546875" style="37"/>
  </cols>
  <sheetData>
    <row r="1" spans="1:17" x14ac:dyDescent="0.3">
      <c r="A1" s="30" t="s">
        <v>55</v>
      </c>
      <c r="B1" s="30" t="s">
        <v>25</v>
      </c>
      <c r="C1" s="30" t="s">
        <v>56</v>
      </c>
      <c r="D1" s="30" t="s">
        <v>70</v>
      </c>
      <c r="E1" s="30" t="s">
        <v>80</v>
      </c>
      <c r="F1" s="30" t="s">
        <v>90</v>
      </c>
      <c r="G1" s="30" t="s">
        <v>100</v>
      </c>
    </row>
    <row r="2" spans="1:17" x14ac:dyDescent="0.3">
      <c r="A2" s="66" t="s">
        <v>53</v>
      </c>
      <c r="B2" s="37" t="s">
        <v>13</v>
      </c>
      <c r="C2" s="37" t="s">
        <v>57</v>
      </c>
      <c r="D2" t="s">
        <v>67</v>
      </c>
      <c r="E2" s="67" t="s">
        <v>81</v>
      </c>
      <c r="F2" t="s">
        <v>71</v>
      </c>
      <c r="G2" s="37" t="s">
        <v>13</v>
      </c>
    </row>
    <row r="3" spans="1:17" x14ac:dyDescent="0.3">
      <c r="A3" s="37" t="s">
        <v>54</v>
      </c>
      <c r="B3" s="37" t="s">
        <v>14</v>
      </c>
      <c r="C3" s="37" t="s">
        <v>58</v>
      </c>
      <c r="D3" t="s">
        <v>68</v>
      </c>
      <c r="E3" s="67" t="s">
        <v>82</v>
      </c>
      <c r="F3" t="s">
        <v>72</v>
      </c>
      <c r="G3" s="73" t="s">
        <v>14</v>
      </c>
      <c r="H3" s="73"/>
      <c r="I3" s="73"/>
      <c r="J3" s="61"/>
      <c r="K3" s="133"/>
      <c r="L3" s="133"/>
      <c r="M3" s="133"/>
      <c r="N3" s="133"/>
      <c r="O3" s="133"/>
      <c r="P3" s="133"/>
      <c r="Q3" s="133"/>
    </row>
    <row r="4" spans="1:17" x14ac:dyDescent="0.3">
      <c r="C4" s="37" t="s">
        <v>59</v>
      </c>
      <c r="D4" t="s">
        <v>69</v>
      </c>
      <c r="E4" s="67" t="s">
        <v>83</v>
      </c>
      <c r="F4" t="s">
        <v>73</v>
      </c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</row>
    <row r="5" spans="1:17" x14ac:dyDescent="0.3">
      <c r="C5" s="37" t="s">
        <v>60</v>
      </c>
      <c r="E5" s="67" t="s">
        <v>84</v>
      </c>
      <c r="F5" t="s">
        <v>74</v>
      </c>
    </row>
    <row r="6" spans="1:17" x14ac:dyDescent="0.3">
      <c r="C6" s="37" t="s">
        <v>61</v>
      </c>
      <c r="E6" s="67" t="s">
        <v>85</v>
      </c>
      <c r="F6" t="s">
        <v>75</v>
      </c>
    </row>
    <row r="7" spans="1:17" x14ac:dyDescent="0.3">
      <c r="C7" s="37" t="s">
        <v>62</v>
      </c>
      <c r="E7" s="67" t="s">
        <v>86</v>
      </c>
      <c r="F7" t="s">
        <v>76</v>
      </c>
    </row>
    <row r="8" spans="1:17" x14ac:dyDescent="0.3">
      <c r="C8" s="37" t="s">
        <v>63</v>
      </c>
      <c r="E8" s="67" t="s">
        <v>87</v>
      </c>
      <c r="F8" t="s">
        <v>77</v>
      </c>
    </row>
    <row r="9" spans="1:17" x14ac:dyDescent="0.3">
      <c r="C9" s="37" t="s">
        <v>64</v>
      </c>
      <c r="E9" s="67" t="s">
        <v>88</v>
      </c>
      <c r="F9" t="s">
        <v>78</v>
      </c>
    </row>
    <row r="10" spans="1:17" x14ac:dyDescent="0.3">
      <c r="C10" s="37" t="s">
        <v>65</v>
      </c>
      <c r="E10" s="67" t="s">
        <v>89</v>
      </c>
      <c r="F10" t="s">
        <v>79</v>
      </c>
    </row>
    <row r="11" spans="1:17" x14ac:dyDescent="0.3">
      <c r="C11" s="37" t="s">
        <v>66</v>
      </c>
    </row>
  </sheetData>
  <mergeCells count="2">
    <mergeCell ref="K3:O3"/>
    <mergeCell ref="P3:Q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103</vt:i4>
      </vt:variant>
    </vt:vector>
  </HeadingPairs>
  <TitlesOfParts>
    <vt:vector size="108" baseType="lpstr">
      <vt:lpstr>Calepinage</vt:lpstr>
      <vt:lpstr>Recap1000</vt:lpstr>
      <vt:lpstr>800</vt:lpstr>
      <vt:lpstr>1000</vt:lpstr>
      <vt:lpstr>Listes</vt:lpstr>
      <vt:lpstr>coller</vt:lpstr>
      <vt:lpstr>copier</vt:lpstr>
      <vt:lpstr>D1000Entete</vt:lpstr>
      <vt:lpstr>D1000FC_Dalles180</vt:lpstr>
      <vt:lpstr>D1000FC_Dalles300</vt:lpstr>
      <vt:lpstr>D1000FC_FC</vt:lpstr>
      <vt:lpstr>D1000FC_Inter1200_1</vt:lpstr>
      <vt:lpstr>D1000FC_Inter1200_2</vt:lpstr>
      <vt:lpstr>D1000FC_Inter900_1</vt:lpstr>
      <vt:lpstr>D1000FC_Inter900_2</vt:lpstr>
      <vt:lpstr>D1000FC_Inter900_3</vt:lpstr>
      <vt:lpstr>D1000FC_Rehausses100</vt:lpstr>
      <vt:lpstr>D1000FC_Rehausses150</vt:lpstr>
      <vt:lpstr>D1000FC_Tetes1050</vt:lpstr>
      <vt:lpstr>D1000FC_Tetes1200</vt:lpstr>
      <vt:lpstr>D1000FC_Tetes450</vt:lpstr>
      <vt:lpstr>D1000FC_Tetes600</vt:lpstr>
      <vt:lpstr>D1000FC_Tetes750</vt:lpstr>
      <vt:lpstr>D1000FC_Tetes900</vt:lpstr>
      <vt:lpstr>D1000FP_Dalles180</vt:lpstr>
      <vt:lpstr>D1000FP_Dalles300</vt:lpstr>
      <vt:lpstr>D1000FP_FP</vt:lpstr>
      <vt:lpstr>D1000FP_Inter1200_1</vt:lpstr>
      <vt:lpstr>D1000FP_Inter1200_2</vt:lpstr>
      <vt:lpstr>D1000FP_Inter900_1</vt:lpstr>
      <vt:lpstr>D1000FP_Inter900_2</vt:lpstr>
      <vt:lpstr>D1000FP_Inter900_3</vt:lpstr>
      <vt:lpstr>D1000FP_Rehausses100</vt:lpstr>
      <vt:lpstr>D1000FP_Rehausses150</vt:lpstr>
      <vt:lpstr>D1000FP_Tetes1050</vt:lpstr>
      <vt:lpstr>D1000FP_Tetes1200</vt:lpstr>
      <vt:lpstr>D1000FP_Tetes450</vt:lpstr>
      <vt:lpstr>D1000FP_Tetes600</vt:lpstr>
      <vt:lpstr>D1000FP_Tetes750</vt:lpstr>
      <vt:lpstr>D1000FP_Tetes900</vt:lpstr>
      <vt:lpstr>D1000FS_Dalles180</vt:lpstr>
      <vt:lpstr>D1000FS_Dalles300</vt:lpstr>
      <vt:lpstr>D1000FS_FS</vt:lpstr>
      <vt:lpstr>D1000FS_Inter1200_1</vt:lpstr>
      <vt:lpstr>D1000FS_Inter1200_2</vt:lpstr>
      <vt:lpstr>D1000FS_Inter900_1</vt:lpstr>
      <vt:lpstr>D1000FS_Inter900_2</vt:lpstr>
      <vt:lpstr>D1000FS_Inter900_3</vt:lpstr>
      <vt:lpstr>D1000FS_Rehausses100</vt:lpstr>
      <vt:lpstr>D1000FS_Rehausses150</vt:lpstr>
      <vt:lpstr>D1000FS_Tetes1050</vt:lpstr>
      <vt:lpstr>D1000FS_Tetes1200</vt:lpstr>
      <vt:lpstr>D1000FS_Tetes450</vt:lpstr>
      <vt:lpstr>D1000FS_Tetes600</vt:lpstr>
      <vt:lpstr>D1000FS_Tetes750</vt:lpstr>
      <vt:lpstr>D1000FS_Tetes900</vt:lpstr>
      <vt:lpstr>D1000plage</vt:lpstr>
      <vt:lpstr>D1000TableauFondsCourts</vt:lpstr>
      <vt:lpstr>D1000TableauFondsPlats</vt:lpstr>
      <vt:lpstr>D1000TableauFondsStandards</vt:lpstr>
      <vt:lpstr>D800Dalle180</vt:lpstr>
      <vt:lpstr>D800Dalles180</vt:lpstr>
      <vt:lpstr>D800Dalles300</vt:lpstr>
      <vt:lpstr>D800Entete</vt:lpstr>
      <vt:lpstr>D800Fonds_Plats</vt:lpstr>
      <vt:lpstr>D800Fonds_Standards</vt:lpstr>
      <vt:lpstr>D800FP_Dalles180</vt:lpstr>
      <vt:lpstr>D800FP_Dalles300</vt:lpstr>
      <vt:lpstr>D800FP_FP</vt:lpstr>
      <vt:lpstr>D800FP_Inter1050_1</vt:lpstr>
      <vt:lpstr>D800FP_Inter1050_2</vt:lpstr>
      <vt:lpstr>D800FP_Inter750_1</vt:lpstr>
      <vt:lpstr>D800FP_Inter750_2</vt:lpstr>
      <vt:lpstr>D800FP_Rehausses100</vt:lpstr>
      <vt:lpstr>D800FP_Rehausses150</vt:lpstr>
      <vt:lpstr>D800FP_Tetes450</vt:lpstr>
      <vt:lpstr>D800FP_Tetes600</vt:lpstr>
      <vt:lpstr>D800FP_Tetes750</vt:lpstr>
      <vt:lpstr>D800FS_Dalles180</vt:lpstr>
      <vt:lpstr>D800FS_Dalles300</vt:lpstr>
      <vt:lpstr>D800FS_FS</vt:lpstr>
      <vt:lpstr>D800FS_Inter1050_1</vt:lpstr>
      <vt:lpstr>D800FS_Inter1050_2</vt:lpstr>
      <vt:lpstr>D800FS_Inter750_1</vt:lpstr>
      <vt:lpstr>D800FS_Inter750_2</vt:lpstr>
      <vt:lpstr>D800FS_Rehausses100</vt:lpstr>
      <vt:lpstr>D800FS_Rehausses150</vt:lpstr>
      <vt:lpstr>D800FS_Tetes450</vt:lpstr>
      <vt:lpstr>D800FS_Tetes600</vt:lpstr>
      <vt:lpstr>D800FS_Tetes750</vt:lpstr>
      <vt:lpstr>D800Inter1050_1</vt:lpstr>
      <vt:lpstr>D800Inter1050_2</vt:lpstr>
      <vt:lpstr>D800Inter750_1</vt:lpstr>
      <vt:lpstr>D800Inter750_2</vt:lpstr>
      <vt:lpstr>D800plage</vt:lpstr>
      <vt:lpstr>D800Rehausses100</vt:lpstr>
      <vt:lpstr>D800Rehausses150</vt:lpstr>
      <vt:lpstr>D800Tableau</vt:lpstr>
      <vt:lpstr>D800TableauFondsPlats</vt:lpstr>
      <vt:lpstr>D800TableauFondsStandards</vt:lpstr>
      <vt:lpstr>D800Tetes450</vt:lpstr>
      <vt:lpstr>D800Tetes600</vt:lpstr>
      <vt:lpstr>D800Tetes750</vt:lpstr>
      <vt:lpstr>PlageFonds1000Courts</vt:lpstr>
      <vt:lpstr>PlageFonds1000Plats</vt:lpstr>
      <vt:lpstr>PlageFonds1000Standards</vt:lpstr>
      <vt:lpstr>PlageFonds800Plats</vt:lpstr>
      <vt:lpstr>PlageFonds800Standards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DLU</dc:creator>
  <cp:lastModifiedBy>DLU</cp:lastModifiedBy>
  <cp:lastPrinted>2017-08-25T13:58:04Z</cp:lastPrinted>
  <dcterms:created xsi:type="dcterms:W3CDTF">2017-07-25T07:32:32Z</dcterms:created>
  <dcterms:modified xsi:type="dcterms:W3CDTF">2017-09-25T07:41:39Z</dcterms:modified>
</cp:coreProperties>
</file>