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rim\Desktop\Etat Budget Général MACRO\"/>
    </mc:Choice>
  </mc:AlternateContent>
  <bookViews>
    <workbookView xWindow="0" yWindow="0" windowWidth="20490" windowHeight="7755" tabRatio="690" activeTab="1"/>
  </bookViews>
  <sheets>
    <sheet name="Menu" sheetId="10" r:id="rId1"/>
    <sheet name="Table 1" sheetId="1" r:id="rId2"/>
    <sheet name="Table 2" sheetId="2" r:id="rId3"/>
    <sheet name="Table 3" sheetId="13" r:id="rId4"/>
    <sheet name="Récap" sheetId="12" r:id="rId5"/>
  </sheets>
  <externalReferences>
    <externalReference r:id="rId6"/>
  </externalReferences>
  <calcPr calcId="152511"/>
</workbook>
</file>

<file path=xl/calcChain.xml><?xml version="1.0" encoding="utf-8"?>
<calcChain xmlns="http://schemas.openxmlformats.org/spreadsheetml/2006/main">
  <c r="N4" i="12" l="1"/>
  <c r="A5" i="12" l="1"/>
  <c r="Q36" i="13" l="1"/>
  <c r="L5" i="12" s="1"/>
  <c r="J36" i="13"/>
  <c r="E5" i="12" s="1"/>
  <c r="H36" i="13"/>
  <c r="C5" i="12" s="1"/>
  <c r="Q35" i="13"/>
  <c r="J35" i="13"/>
  <c r="H35" i="13"/>
  <c r="G35" i="13"/>
  <c r="R34" i="13"/>
  <c r="M34" i="13"/>
  <c r="L34" i="13"/>
  <c r="L35" i="13" s="1"/>
  <c r="K34" i="13"/>
  <c r="I34" i="13"/>
  <c r="O34" i="13" s="1"/>
  <c r="P34" i="13" s="1"/>
  <c r="R31" i="13"/>
  <c r="Q31" i="13"/>
  <c r="J31" i="13"/>
  <c r="I31" i="13"/>
  <c r="H31" i="13"/>
  <c r="G31" i="13"/>
  <c r="R30" i="13"/>
  <c r="M30" i="13"/>
  <c r="L30" i="13"/>
  <c r="K30" i="13"/>
  <c r="I30" i="13"/>
  <c r="O30" i="13" s="1"/>
  <c r="P30" i="13" s="1"/>
  <c r="R29" i="13"/>
  <c r="L29" i="13"/>
  <c r="M29" i="13" s="1"/>
  <c r="K29" i="13"/>
  <c r="I29" i="13"/>
  <c r="O29" i="13" s="1"/>
  <c r="P29" i="13" s="1"/>
  <c r="R28" i="13"/>
  <c r="M28" i="13"/>
  <c r="L28" i="13"/>
  <c r="K28" i="13"/>
  <c r="I28" i="13"/>
  <c r="O28" i="13" s="1"/>
  <c r="P28" i="13" s="1"/>
  <c r="R27" i="13"/>
  <c r="L27" i="13"/>
  <c r="M27" i="13" s="1"/>
  <c r="K27" i="13"/>
  <c r="I27" i="13"/>
  <c r="O27" i="13" s="1"/>
  <c r="P27" i="13" s="1"/>
  <c r="R26" i="13"/>
  <c r="M26" i="13"/>
  <c r="L26" i="13"/>
  <c r="K26" i="13"/>
  <c r="I26" i="13"/>
  <c r="O26" i="13" s="1"/>
  <c r="P26" i="13" s="1"/>
  <c r="R25" i="13"/>
  <c r="L25" i="13"/>
  <c r="M25" i="13" s="1"/>
  <c r="K25" i="13"/>
  <c r="I25" i="13"/>
  <c r="O25" i="13" s="1"/>
  <c r="P25" i="13" s="1"/>
  <c r="R24" i="13"/>
  <c r="M24" i="13"/>
  <c r="L24" i="13"/>
  <c r="K24" i="13"/>
  <c r="I24" i="13"/>
  <c r="O24" i="13" s="1"/>
  <c r="P24" i="13" s="1"/>
  <c r="R23" i="13"/>
  <c r="L23" i="13"/>
  <c r="M23" i="13" s="1"/>
  <c r="K23" i="13"/>
  <c r="I23" i="13"/>
  <c r="O23" i="13" s="1"/>
  <c r="P23" i="13" s="1"/>
  <c r="R22" i="13"/>
  <c r="M22" i="13"/>
  <c r="L22" i="13"/>
  <c r="K22" i="13"/>
  <c r="I22" i="13"/>
  <c r="O22" i="13" s="1"/>
  <c r="P22" i="13" s="1"/>
  <c r="R21" i="13"/>
  <c r="L21" i="13"/>
  <c r="M21" i="13" s="1"/>
  <c r="K21" i="13"/>
  <c r="I21" i="13"/>
  <c r="O21" i="13" s="1"/>
  <c r="P21" i="13" s="1"/>
  <c r="R20" i="13"/>
  <c r="M20" i="13"/>
  <c r="L20" i="13"/>
  <c r="K20" i="13"/>
  <c r="I20" i="13"/>
  <c r="O20" i="13" s="1"/>
  <c r="P20" i="13" s="1"/>
  <c r="R19" i="13"/>
  <c r="L19" i="13"/>
  <c r="M19" i="13" s="1"/>
  <c r="K19" i="13"/>
  <c r="I19" i="13"/>
  <c r="O19" i="13" s="1"/>
  <c r="P19" i="13" s="1"/>
  <c r="R18" i="13"/>
  <c r="M18" i="13"/>
  <c r="L18" i="13"/>
  <c r="K18" i="13"/>
  <c r="I18" i="13"/>
  <c r="O18" i="13" s="1"/>
  <c r="P18" i="13" s="1"/>
  <c r="R17" i="13"/>
  <c r="L17" i="13"/>
  <c r="M17" i="13" s="1"/>
  <c r="K17" i="13"/>
  <c r="I17" i="13"/>
  <c r="O17" i="13" s="1"/>
  <c r="P17" i="13" s="1"/>
  <c r="R16" i="13"/>
  <c r="M16" i="13"/>
  <c r="L16" i="13"/>
  <c r="K16" i="13"/>
  <c r="I16" i="13"/>
  <c r="O16" i="13" s="1"/>
  <c r="P16" i="13" s="1"/>
  <c r="R15" i="13"/>
  <c r="L15" i="13"/>
  <c r="M15" i="13" s="1"/>
  <c r="K15" i="13"/>
  <c r="I15" i="13"/>
  <c r="O15" i="13" s="1"/>
  <c r="P15" i="13" s="1"/>
  <c r="R14" i="13"/>
  <c r="M14" i="13"/>
  <c r="L14" i="13"/>
  <c r="K14" i="13"/>
  <c r="I14" i="13"/>
  <c r="O14" i="13" s="1"/>
  <c r="P14" i="13" s="1"/>
  <c r="R13" i="13"/>
  <c r="L13" i="13"/>
  <c r="M13" i="13" s="1"/>
  <c r="K13" i="13"/>
  <c r="I13" i="13"/>
  <c r="O13" i="13" s="1"/>
  <c r="P13" i="13" s="1"/>
  <c r="R12" i="13"/>
  <c r="M12" i="13"/>
  <c r="L12" i="13"/>
  <c r="K12" i="13"/>
  <c r="I12" i="13"/>
  <c r="O12" i="13" s="1"/>
  <c r="P12" i="13" s="1"/>
  <c r="R11" i="13"/>
  <c r="L11" i="13"/>
  <c r="M11" i="13" s="1"/>
  <c r="K11" i="13"/>
  <c r="I11" i="13"/>
  <c r="O11" i="13" s="1"/>
  <c r="P11" i="13" s="1"/>
  <c r="R10" i="13"/>
  <c r="M10" i="13"/>
  <c r="L10" i="13"/>
  <c r="L31" i="13" s="1"/>
  <c r="M31" i="13" s="1"/>
  <c r="K10" i="13"/>
  <c r="I10" i="13"/>
  <c r="O10" i="13" s="1"/>
  <c r="P10" i="13" s="1"/>
  <c r="Q7" i="13"/>
  <c r="J7" i="13"/>
  <c r="H7" i="13"/>
  <c r="G7" i="13"/>
  <c r="K7" i="13" s="1"/>
  <c r="R6" i="13"/>
  <c r="M6" i="13"/>
  <c r="L6" i="13"/>
  <c r="K6" i="13"/>
  <c r="I6" i="13"/>
  <c r="O6" i="13" s="1"/>
  <c r="P6" i="13" s="1"/>
  <c r="R5" i="13"/>
  <c r="L5" i="13"/>
  <c r="M5" i="13" s="1"/>
  <c r="K5" i="13"/>
  <c r="I5" i="13"/>
  <c r="O5" i="13" s="1"/>
  <c r="P5" i="13" s="1"/>
  <c r="R4" i="13"/>
  <c r="M4" i="13"/>
  <c r="L4" i="13"/>
  <c r="K4" i="13"/>
  <c r="I4" i="13"/>
  <c r="O4" i="13" s="1"/>
  <c r="P4" i="13" s="1"/>
  <c r="R3" i="13"/>
  <c r="L3" i="13"/>
  <c r="L7" i="13" s="1"/>
  <c r="M7" i="13" s="1"/>
  <c r="K3" i="13"/>
  <c r="I3" i="13"/>
  <c r="O3" i="13" s="1"/>
  <c r="P3" i="13" s="1"/>
  <c r="L36" i="13" l="1"/>
  <c r="G5" i="12" s="1"/>
  <c r="M35" i="13"/>
  <c r="I7" i="13"/>
  <c r="O7" i="13" s="1"/>
  <c r="P7" i="13" s="1"/>
  <c r="R7" i="13"/>
  <c r="K31" i="13"/>
  <c r="O31" i="13" s="1"/>
  <c r="P31" i="13" s="1"/>
  <c r="I35" i="13"/>
  <c r="R35" i="13"/>
  <c r="M3" i="13"/>
  <c r="G36" i="13"/>
  <c r="K35" i="13"/>
  <c r="I36" i="13" l="1"/>
  <c r="D5" i="12" s="1"/>
  <c r="B5" i="12"/>
  <c r="R36" i="13"/>
  <c r="N5" i="12" s="1"/>
  <c r="K36" i="13"/>
  <c r="O35" i="13"/>
  <c r="P35" i="13" s="1"/>
  <c r="M36" i="13"/>
  <c r="H5" i="12" s="1"/>
  <c r="O36" i="13" l="1"/>
  <c r="P36" i="13" s="1"/>
  <c r="F5" i="12"/>
  <c r="M5" i="12"/>
  <c r="D4" i="12"/>
  <c r="C4" i="12"/>
  <c r="B4" i="12"/>
  <c r="M4" i="12" s="1"/>
  <c r="L4" i="12"/>
  <c r="J5" i="2"/>
  <c r="S5" i="2"/>
  <c r="M7" i="1" l="1"/>
  <c r="M8" i="1"/>
  <c r="N8" i="1" s="1"/>
  <c r="H7" i="1"/>
  <c r="E4" i="12" s="1"/>
  <c r="P7" i="1"/>
  <c r="P8" i="1"/>
  <c r="P6" i="1"/>
  <c r="M6" i="1"/>
  <c r="F16" i="10"/>
  <c r="A7" i="12"/>
  <c r="B6" i="12"/>
  <c r="C6" i="12"/>
  <c r="D6" i="12"/>
  <c r="E6" i="12"/>
  <c r="F6" i="12"/>
  <c r="G6" i="12"/>
  <c r="H6" i="12"/>
  <c r="A6" i="12"/>
  <c r="M29" i="2"/>
  <c r="M30" i="2"/>
  <c r="M31" i="2"/>
  <c r="M28" i="2"/>
  <c r="M22" i="2"/>
  <c r="M23" i="2"/>
  <c r="M24" i="2"/>
  <c r="M21" i="2"/>
  <c r="M17" i="2"/>
  <c r="M5" i="2"/>
  <c r="M6" i="2"/>
  <c r="M7" i="2"/>
  <c r="M8" i="2"/>
  <c r="M9" i="2"/>
  <c r="M10" i="2"/>
  <c r="M11" i="2"/>
  <c r="M12" i="2"/>
  <c r="M13" i="2"/>
  <c r="M4" i="2"/>
  <c r="J5" i="1"/>
  <c r="J6" i="1"/>
  <c r="J4" i="1"/>
  <c r="A4" i="12"/>
  <c r="C7" i="12"/>
  <c r="E7" i="12"/>
  <c r="F7" i="12"/>
  <c r="E8" i="1"/>
  <c r="B7" i="12" l="1"/>
  <c r="J6" i="12"/>
  <c r="K6" i="12" s="1"/>
  <c r="K32" i="2"/>
  <c r="I32" i="2"/>
  <c r="G32" i="2"/>
  <c r="D7" i="12" l="1"/>
  <c r="J7" i="12" s="1"/>
  <c r="K7" i="12" s="1"/>
  <c r="L7" i="12"/>
  <c r="M7" i="12" s="1"/>
  <c r="J32" i="2"/>
  <c r="L32" i="2"/>
  <c r="H7" i="12" l="1"/>
  <c r="G7" i="12"/>
  <c r="P32" i="2"/>
  <c r="Q32" i="2" s="1"/>
  <c r="N7" i="12"/>
  <c r="L6" i="12"/>
  <c r="M6" i="12" s="1"/>
  <c r="N6" i="12"/>
  <c r="N31" i="2"/>
  <c r="L30" i="2"/>
  <c r="R32" i="2"/>
  <c r="S32" i="2" s="1"/>
  <c r="S31" i="2"/>
  <c r="S30" i="2"/>
  <c r="S29" i="2"/>
  <c r="S28" i="2"/>
  <c r="R25" i="2"/>
  <c r="S24" i="2"/>
  <c r="S23" i="2"/>
  <c r="S22" i="2"/>
  <c r="S21" i="2"/>
  <c r="S17" i="2"/>
  <c r="R18" i="2"/>
  <c r="S18" i="2" s="1"/>
  <c r="P5" i="1"/>
  <c r="P4" i="1"/>
  <c r="R14" i="2"/>
  <c r="S6" i="2"/>
  <c r="S7" i="2"/>
  <c r="S8" i="2"/>
  <c r="S9" i="2"/>
  <c r="S10" i="2"/>
  <c r="S11" i="2"/>
  <c r="S12" i="2"/>
  <c r="S13" i="2"/>
  <c r="S4" i="2"/>
  <c r="O8" i="1"/>
  <c r="O7" i="1"/>
  <c r="J29" i="2"/>
  <c r="J30" i="2"/>
  <c r="J31" i="2"/>
  <c r="P31" i="2" s="1"/>
  <c r="L29" i="2"/>
  <c r="N29" i="2"/>
  <c r="P30" i="2"/>
  <c r="N30" i="2"/>
  <c r="L31" i="2"/>
  <c r="L28" i="2"/>
  <c r="J28" i="2"/>
  <c r="K18" i="2"/>
  <c r="J7" i="1"/>
  <c r="K25" i="2"/>
  <c r="I25" i="2"/>
  <c r="G25" i="2"/>
  <c r="L22" i="2"/>
  <c r="N22" i="2"/>
  <c r="L23" i="2"/>
  <c r="N23" i="2"/>
  <c r="L24" i="2"/>
  <c r="N24" i="2"/>
  <c r="J22" i="2"/>
  <c r="J23" i="2"/>
  <c r="J24" i="2"/>
  <c r="P24" i="2" s="1"/>
  <c r="Q24" i="2" s="1"/>
  <c r="N21" i="2"/>
  <c r="L21" i="2"/>
  <c r="J21" i="2"/>
  <c r="I18" i="2"/>
  <c r="G18" i="2"/>
  <c r="N17" i="2"/>
  <c r="L17" i="2"/>
  <c r="J17" i="2"/>
  <c r="S25" i="2" l="1"/>
  <c r="K7" i="1"/>
  <c r="H4" i="12" s="1"/>
  <c r="G4" i="12"/>
  <c r="Q30" i="2"/>
  <c r="P17" i="2"/>
  <c r="P28" i="2"/>
  <c r="Q28" i="2" s="1"/>
  <c r="N28" i="2"/>
  <c r="M32" i="2"/>
  <c r="P29" i="2"/>
  <c r="Q29" i="2" s="1"/>
  <c r="L18" i="2"/>
  <c r="L25" i="2"/>
  <c r="P22" i="2"/>
  <c r="Q22" i="2" s="1"/>
  <c r="P21" i="2"/>
  <c r="Q21" i="2" s="1"/>
  <c r="P23" i="2"/>
  <c r="Q23" i="2" s="1"/>
  <c r="M18" i="2"/>
  <c r="N18" i="2" s="1"/>
  <c r="J25" i="2"/>
  <c r="P25" i="2" s="1"/>
  <c r="Q25" i="2" s="1"/>
  <c r="Q31" i="2"/>
  <c r="M25" i="2"/>
  <c r="N25" i="2" s="1"/>
  <c r="J18" i="2"/>
  <c r="P18" i="2" s="1"/>
  <c r="Q18" i="2" s="1"/>
  <c r="N13" i="2"/>
  <c r="L13" i="2"/>
  <c r="J13" i="2"/>
  <c r="K14" i="2"/>
  <c r="E8" i="12" s="1"/>
  <c r="I14" i="2"/>
  <c r="C8" i="12" s="1"/>
  <c r="G14" i="2"/>
  <c r="L5" i="2"/>
  <c r="P5" i="2" s="1"/>
  <c r="Q5" i="2" s="1"/>
  <c r="N5" i="2"/>
  <c r="L6" i="2"/>
  <c r="N6" i="2"/>
  <c r="L7" i="2"/>
  <c r="N7" i="2"/>
  <c r="L8" i="2"/>
  <c r="N8" i="2"/>
  <c r="L9" i="2"/>
  <c r="N9" i="2"/>
  <c r="L10" i="2"/>
  <c r="N10" i="2"/>
  <c r="L11" i="2"/>
  <c r="N11" i="2"/>
  <c r="L12" i="2"/>
  <c r="N12" i="2"/>
  <c r="J6" i="2"/>
  <c r="J7" i="2"/>
  <c r="J8" i="2"/>
  <c r="J9" i="2"/>
  <c r="J10" i="2"/>
  <c r="J11" i="2"/>
  <c r="J12" i="2"/>
  <c r="N4" i="2"/>
  <c r="J8" i="1"/>
  <c r="K8" i="1" s="1"/>
  <c r="L4" i="2"/>
  <c r="J4" i="2"/>
  <c r="I4" i="1"/>
  <c r="M5" i="1"/>
  <c r="N5" i="1" s="1"/>
  <c r="N6" i="1"/>
  <c r="F7" i="1"/>
  <c r="G7" i="1" s="1"/>
  <c r="I7" i="1"/>
  <c r="F8" i="1"/>
  <c r="G8" i="1" s="1"/>
  <c r="H8" i="1"/>
  <c r="I8" i="1" s="1"/>
  <c r="E7" i="1"/>
  <c r="K5" i="1"/>
  <c r="K6" i="1"/>
  <c r="I5" i="1"/>
  <c r="I6" i="1"/>
  <c r="G5" i="1"/>
  <c r="G6" i="1"/>
  <c r="G4" i="1"/>
  <c r="M4" i="1" s="1"/>
  <c r="N4" i="1" s="1"/>
  <c r="S14" i="2" l="1"/>
  <c r="L8" i="12"/>
  <c r="N7" i="1"/>
  <c r="F4" i="12"/>
  <c r="J4" i="12" s="1"/>
  <c r="K4" i="12" s="1"/>
  <c r="Q17" i="2"/>
  <c r="N32" i="2"/>
  <c r="P6" i="2"/>
  <c r="Q6" i="2" s="1"/>
  <c r="P8" i="2"/>
  <c r="Q8" i="2" s="1"/>
  <c r="P12" i="2"/>
  <c r="Q12" i="2" s="1"/>
  <c r="P11" i="2"/>
  <c r="Q11" i="2" s="1"/>
  <c r="P13" i="2"/>
  <c r="Q13" i="2" s="1"/>
  <c r="P4" i="2"/>
  <c r="P9" i="2"/>
  <c r="Q9" i="2" s="1"/>
  <c r="P10" i="2"/>
  <c r="Q10" i="2" s="1"/>
  <c r="P7" i="2"/>
  <c r="Q7" i="2" s="1"/>
  <c r="J14" i="2"/>
  <c r="L14" i="2"/>
  <c r="M14" i="2"/>
  <c r="K4" i="1"/>
  <c r="B8" i="12" l="1"/>
  <c r="F8" i="12" s="1"/>
  <c r="P14" i="2"/>
  <c r="Q14" i="2" s="1"/>
  <c r="B10" i="12"/>
  <c r="B11" i="12" s="1"/>
  <c r="N14" i="2"/>
  <c r="Q4" i="2"/>
  <c r="N8" i="12" l="1"/>
  <c r="D8" i="12"/>
  <c r="J8" i="12" s="1"/>
  <c r="K8" i="12" s="1"/>
  <c r="J5" i="12"/>
  <c r="K5" i="12" s="1"/>
  <c r="G8" i="12"/>
  <c r="H8" i="12" s="1"/>
</calcChain>
</file>

<file path=xl/sharedStrings.xml><?xml version="1.0" encoding="utf-8"?>
<sst xmlns="http://schemas.openxmlformats.org/spreadsheetml/2006/main" count="321" uniqueCount="121">
  <si>
    <r>
      <rPr>
        <sz val="8"/>
        <color rgb="FFFFFFFF"/>
        <rFont val="Trebuchet MS"/>
        <family val="2"/>
      </rPr>
      <t>Total achats / assurances :</t>
    </r>
  </si>
  <si>
    <t>Instance</t>
  </si>
  <si>
    <t>Poste</t>
  </si>
  <si>
    <t>Libellé poste</t>
  </si>
  <si>
    <t>Budget alloué</t>
  </si>
  <si>
    <t>Reste engagé</t>
  </si>
  <si>
    <t>%</t>
  </si>
  <si>
    <t>Réalisé</t>
  </si>
  <si>
    <t>Disponible</t>
  </si>
  <si>
    <t>Ecart %</t>
  </si>
  <si>
    <t>Ecart Val.</t>
  </si>
  <si>
    <t>Commentaire</t>
  </si>
  <si>
    <t>Suivi budgétaire - Direction Générale</t>
  </si>
  <si>
    <t>COM</t>
  </si>
  <si>
    <t>FRACTDIV</t>
  </si>
  <si>
    <t>FRAIS ACTES ET CONTENTIEUX DIVERS</t>
  </si>
  <si>
    <t>RECEPTIO</t>
  </si>
  <si>
    <t>RECEPTIONS</t>
  </si>
  <si>
    <t>COMMUNIC</t>
  </si>
  <si>
    <t>COMMUNICATION</t>
  </si>
  <si>
    <t>Total Direction GÈnÈrale :</t>
  </si>
  <si>
    <t>Total communication :</t>
  </si>
  <si>
    <t>Ecart disponible à ce jour %</t>
  </si>
  <si>
    <t>Ecart disponible à ce jour Val.</t>
  </si>
  <si>
    <t>Mois acquis</t>
  </si>
  <si>
    <t>Jour du mois présent</t>
  </si>
  <si>
    <t>Pourcentage de référence</t>
  </si>
  <si>
    <t>Suivi budgétaire - Direction Technique</t>
  </si>
  <si>
    <t>Budget Alloué</t>
  </si>
  <si>
    <t>ACAS</t>
  </si>
  <si>
    <t>ASSURST</t>
  </si>
  <si>
    <t>ASSURANCES - ST</t>
  </si>
  <si>
    <t>FOUROP</t>
  </si>
  <si>
    <t>FOURNITURES DIVERSES SIEGE ET LOGES</t>
  </si>
  <si>
    <t>FRDIVERS</t>
  </si>
  <si>
    <t>DOCUM-FR.CONGRES-COTIS-REDEVANCES-CH.DIV</t>
  </si>
  <si>
    <t>LOCMOBIL</t>
  </si>
  <si>
    <t>LOCATIONS ENTRETIEN DIVERSES</t>
  </si>
  <si>
    <t>MAINTOP</t>
  </si>
  <si>
    <t>MAINTENANCE MATERIEL</t>
  </si>
  <si>
    <t>MISSIONS</t>
  </si>
  <si>
    <t>PUBLICIT</t>
  </si>
  <si>
    <t>PUBLICITE</t>
  </si>
  <si>
    <t>CHEXPNR</t>
  </si>
  <si>
    <t>CH EXPLOIT DIV INTERVENANT EXTERIEUR NR</t>
  </si>
  <si>
    <t>ESSENCE</t>
  </si>
  <si>
    <t>IMMCORPO</t>
  </si>
  <si>
    <t>IMMOBILISATIONS CORPORELLES</t>
  </si>
  <si>
    <t>DTCV</t>
  </si>
  <si>
    <t>VANDAL</t>
  </si>
  <si>
    <t>PETIT ENTRETIEN SUITE A VANDALISME</t>
  </si>
  <si>
    <t>PTENTNR</t>
  </si>
  <si>
    <t>PETIT ENTRETIEN NON RECUPERABLE</t>
  </si>
  <si>
    <t>GRENTRST</t>
  </si>
  <si>
    <t>GROS ENTRETIEN-DMO</t>
  </si>
  <si>
    <t>PTENTR</t>
  </si>
  <si>
    <t>PETIT ENTRETIEN RECUPERABLE</t>
  </si>
  <si>
    <t>DTFJ</t>
  </si>
  <si>
    <t>ACHATS / ASSURANCES</t>
  </si>
  <si>
    <t>Réduction du budget alloué</t>
  </si>
  <si>
    <t>TOTAL</t>
  </si>
  <si>
    <t>Réduction Objectif</t>
  </si>
  <si>
    <t>Réduction Réalisée</t>
  </si>
  <si>
    <t>Ecart</t>
  </si>
  <si>
    <t xml:space="preserve">  </t>
  </si>
  <si>
    <t>Nouveau Budget</t>
  </si>
  <si>
    <t>SI &gt; 0 en vert</t>
  </si>
  <si>
    <t>SI &lt; 0 en rouge</t>
  </si>
  <si>
    <t>Colonne sur laquelle j'appuie mes recherches</t>
  </si>
  <si>
    <t>Ce sont ces données que je recherche pour chaque instance</t>
  </si>
  <si>
    <t>Ici, lors de l'extraction, je perd mes formules donc il faudrait les ajouter</t>
  </si>
  <si>
    <t>Cette ligne n'est pas à copier</t>
  </si>
  <si>
    <t>Ces lignes non plus ne sont pas à copier</t>
  </si>
  <si>
    <t>Donc ici COM</t>
  </si>
  <si>
    <t>Je extraire ces valeurs</t>
  </si>
  <si>
    <t>A savoir que sur les autres feuilles cela change</t>
  </si>
  <si>
    <t>Ces colonnes sont rajoutés (ce tableau) c'est ici que je ferai mon analyse, par conséquent, pour chaque extraction je devrai rajouter ces colonnes, c'est mené à changer toutefois avec une base je pourrai m'en sortir =)</t>
  </si>
  <si>
    <t>Total dt CV :</t>
  </si>
  <si>
    <t>Total dt FJ :</t>
  </si>
  <si>
    <t>DT CV</t>
  </si>
  <si>
    <t>DT FJ</t>
  </si>
  <si>
    <t>DTPC</t>
  </si>
  <si>
    <t>EXPLOITATION</t>
  </si>
  <si>
    <t>EXPL</t>
  </si>
  <si>
    <t>SINISTRE</t>
  </si>
  <si>
    <t>CHARGES EXCEPTIONNELLES SINISTRES</t>
  </si>
  <si>
    <t>PARKINGR</t>
  </si>
  <si>
    <t>PARKINGS RECUPERABLES</t>
  </si>
  <si>
    <t>GRENTEDL</t>
  </si>
  <si>
    <t>GROS ENTRETIEN-ETATS DES LIEUX</t>
  </si>
  <si>
    <t>GECHP3</t>
  </si>
  <si>
    <t>GROS ENTRETIEN -CHAUFFAGE P3</t>
  </si>
  <si>
    <t>FOURATR</t>
  </si>
  <si>
    <t>FOURNITURES ATELIER RECUPERABLES</t>
  </si>
  <si>
    <t>FOURATNR</t>
  </si>
  <si>
    <t>FOURNITURES ATELIER NON RECUPERABLES</t>
  </si>
  <si>
    <t>EVERTSR</t>
  </si>
  <si>
    <t>ESPACES VERTS RECUPERABLES</t>
  </si>
  <si>
    <t>EVERTSNR</t>
  </si>
  <si>
    <t>ESPACES VERTS NON RECUPERABLES</t>
  </si>
  <si>
    <t>ETUDRECH</t>
  </si>
  <si>
    <t>FRAIS ETUDES ET RECHERCHES</t>
  </si>
  <si>
    <t>CHEXPLR</t>
  </si>
  <si>
    <t>CH. EXPLOIT. DIV INTERVENANT EXTERIEUR R</t>
  </si>
  <si>
    <t>CHAUFFR</t>
  </si>
  <si>
    <t>CHAUFFAGE RECUPERABLE</t>
  </si>
  <si>
    <t>CH EXANT</t>
  </si>
  <si>
    <t>CHARGES SUR EXERCICES ANTERIEURS</t>
  </si>
  <si>
    <t>ASCR</t>
  </si>
  <si>
    <t>ASCENSEURS RECUPERABLES</t>
  </si>
  <si>
    <t>ASCNR</t>
  </si>
  <si>
    <t>ASCENSEURS NON RECUPERABLES</t>
  </si>
  <si>
    <r>
      <rPr>
        <sz val="8"/>
        <color rgb="FFFFFFFF"/>
        <rFont val="Trebuchet MS"/>
        <family val="2"/>
      </rPr>
      <t>Total exploitation :</t>
    </r>
  </si>
  <si>
    <t>MAITRISE D'OUVRAGE</t>
  </si>
  <si>
    <t>MO</t>
  </si>
  <si>
    <t>IMMENCOU</t>
  </si>
  <si>
    <t>IMMOBILISATIONS EN COURS</t>
  </si>
  <si>
    <t>Total Maitrise d'ouvrage</t>
  </si>
  <si>
    <t>Total Direction Technique</t>
  </si>
  <si>
    <t>DT PC</t>
  </si>
  <si>
    <t>Total dt PC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</si>
</sst>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Times New Roman"/>
      <charset val="204"/>
    </font>
    <font>
      <sz val="8"/>
      <name val="Trebuchet MS"/>
      <family val="2"/>
    </font>
    <font>
      <sz val="8"/>
      <color rgb="FFFFFFFF"/>
      <name val="Trebuchet MS"/>
      <family val="2"/>
    </font>
    <font>
      <sz val="8"/>
      <color theme="0"/>
      <name val="Trebuchet MS"/>
      <family val="2"/>
    </font>
    <font>
      <sz val="10"/>
      <color rgb="FF000000"/>
      <name val="Times New Roman"/>
      <family val="1"/>
    </font>
    <font>
      <sz val="8"/>
      <color rgb="FF000000"/>
      <name val="Trebuchet MS"/>
      <family val="2"/>
    </font>
    <font>
      <b/>
      <sz val="16"/>
      <color rgb="FF000000"/>
      <name val="Trebuchet MS"/>
      <family val="2"/>
    </font>
    <font>
      <sz val="10"/>
      <color rgb="FF000000"/>
      <name val="Trebuchet MS"/>
      <family val="2"/>
    </font>
    <font>
      <b/>
      <sz val="8"/>
      <color theme="0"/>
      <name val="Trebuchet MS"/>
      <family val="2"/>
    </font>
    <font>
      <b/>
      <sz val="8"/>
      <color rgb="FF000000"/>
      <name val="Trebuchet MS"/>
      <family val="2"/>
    </font>
    <font>
      <b/>
      <sz val="10"/>
      <name val="Trebuchet MS"/>
      <family val="2"/>
    </font>
  </fonts>
  <fills count="16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D3E1ED"/>
      </patternFill>
    </fill>
    <fill>
      <patternFill patternType="solid">
        <fgColor rgb="FFFFFFE8"/>
      </patternFill>
    </fill>
    <fill>
      <patternFill patternType="solid">
        <fgColor theme="1"/>
        <bgColor indexed="64"/>
      </patternFill>
    </fill>
    <fill>
      <patternFill patternType="solid">
        <fgColor rgb="FFD3E1ED"/>
        <bgColor indexed="64"/>
      </patternFill>
    </fill>
    <fill>
      <patternFill patternType="solid">
        <fgColor rgb="FFFFFFE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E8"/>
        <bgColor indexed="64"/>
      </patternFill>
    </fill>
    <fill>
      <patternFill patternType="lightUp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4" fillId="0" borderId="0"/>
  </cellStyleXfs>
  <cellXfs count="1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10" fontId="3" fillId="5" borderId="0" xfId="0" applyNumberFormat="1" applyFont="1" applyFill="1" applyBorder="1" applyAlignment="1">
      <alignment horizontal="center" vertical="center"/>
    </xf>
    <xf numFmtId="3" fontId="3" fillId="5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3" fontId="5" fillId="0" borderId="0" xfId="0" applyNumberFormat="1" applyFont="1" applyFill="1" applyBorder="1" applyAlignment="1">
      <alignment horizontal="left" vertical="center"/>
    </xf>
    <xf numFmtId="1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10" fontId="5" fillId="0" borderId="0" xfId="1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4" fontId="3" fillId="5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11" borderId="0" xfId="0" applyFont="1" applyFill="1" applyBorder="1" applyAlignment="1">
      <alignment horizontal="left" vertical="center"/>
    </xf>
    <xf numFmtId="0" fontId="3" fillId="10" borderId="0" xfId="0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horizontal="center" vertical="center" shrinkToFit="1"/>
    </xf>
    <xf numFmtId="10" fontId="3" fillId="2" borderId="0" xfId="1" applyNumberFormat="1" applyFont="1" applyFill="1" applyBorder="1" applyAlignment="1">
      <alignment horizontal="center" vertical="center" wrapText="1"/>
    </xf>
    <xf numFmtId="10" fontId="5" fillId="5" borderId="0" xfId="0" applyNumberFormat="1" applyFont="1" applyFill="1" applyBorder="1" applyAlignment="1">
      <alignment horizontal="right" vertical="center"/>
    </xf>
    <xf numFmtId="4" fontId="5" fillId="5" borderId="0" xfId="0" applyNumberFormat="1" applyFont="1" applyFill="1" applyBorder="1" applyAlignment="1">
      <alignment horizontal="right" vertical="center"/>
    </xf>
    <xf numFmtId="4" fontId="3" fillId="5" borderId="0" xfId="0" applyNumberFormat="1" applyFont="1" applyFill="1" applyBorder="1" applyAlignment="1">
      <alignment horizontal="center" vertical="center" wrapText="1"/>
    </xf>
    <xf numFmtId="10" fontId="3" fillId="5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 wrapText="1"/>
    </xf>
    <xf numFmtId="10" fontId="5" fillId="6" borderId="0" xfId="0" applyNumberFormat="1" applyFont="1" applyFill="1" applyBorder="1" applyAlignment="1">
      <alignment horizontal="right" vertical="center"/>
    </xf>
    <xf numFmtId="10" fontId="5" fillId="10" borderId="0" xfId="0" applyNumberFormat="1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left" vertical="center" wrapText="1"/>
    </xf>
    <xf numFmtId="10" fontId="5" fillId="7" borderId="0" xfId="0" applyNumberFormat="1" applyFont="1" applyFill="1" applyBorder="1" applyAlignment="1">
      <alignment horizontal="right" vertical="center"/>
    </xf>
    <xf numFmtId="9" fontId="3" fillId="10" borderId="0" xfId="1" applyFont="1" applyFill="1" applyBorder="1" applyAlignment="1">
      <alignment horizontal="right" vertical="center" wrapText="1"/>
    </xf>
    <xf numFmtId="3" fontId="3" fillId="5" borderId="0" xfId="0" applyNumberFormat="1" applyFont="1" applyFill="1" applyBorder="1" applyAlignment="1">
      <alignment horizontal="center" vertical="center" shrinkToFit="1"/>
    </xf>
    <xf numFmtId="9" fontId="3" fillId="10" borderId="0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 vertical="center" wrapText="1"/>
    </xf>
    <xf numFmtId="3" fontId="5" fillId="7" borderId="3" xfId="0" applyNumberFormat="1" applyFont="1" applyFill="1" applyBorder="1" applyAlignment="1">
      <alignment horizontal="right" vertical="center" shrinkToFit="1"/>
    </xf>
    <xf numFmtId="0" fontId="5" fillId="4" borderId="3" xfId="0" applyFont="1" applyFill="1" applyBorder="1" applyAlignment="1">
      <alignment horizontal="right" vertical="center" wrapText="1"/>
    </xf>
    <xf numFmtId="3" fontId="5" fillId="4" borderId="3" xfId="0" applyNumberFormat="1" applyFont="1" applyFill="1" applyBorder="1" applyAlignment="1">
      <alignment horizontal="right" vertical="center" shrinkToFit="1"/>
    </xf>
    <xf numFmtId="3" fontId="5" fillId="3" borderId="3" xfId="0" applyNumberFormat="1" applyFont="1" applyFill="1" applyBorder="1" applyAlignment="1">
      <alignment horizontal="right" vertical="center" shrinkToFit="1"/>
    </xf>
    <xf numFmtId="1" fontId="5" fillId="7" borderId="3" xfId="0" applyNumberFormat="1" applyFont="1" applyFill="1" applyBorder="1" applyAlignment="1">
      <alignment horizontal="right" vertical="center" shrinkToFit="1"/>
    </xf>
    <xf numFmtId="0" fontId="5" fillId="7" borderId="3" xfId="0" applyFont="1" applyFill="1" applyBorder="1" applyAlignment="1">
      <alignment horizontal="right" vertical="center" wrapText="1"/>
    </xf>
    <xf numFmtId="3" fontId="5" fillId="6" borderId="3" xfId="0" applyNumberFormat="1" applyFont="1" applyFill="1" applyBorder="1" applyAlignment="1">
      <alignment horizontal="right" vertical="center"/>
    </xf>
    <xf numFmtId="3" fontId="5" fillId="7" borderId="3" xfId="0" applyNumberFormat="1" applyFont="1" applyFill="1" applyBorder="1" applyAlignment="1">
      <alignment horizontal="right" vertical="center"/>
    </xf>
    <xf numFmtId="10" fontId="5" fillId="6" borderId="3" xfId="0" applyNumberFormat="1" applyFont="1" applyFill="1" applyBorder="1" applyAlignment="1">
      <alignment horizontal="right" vertical="center"/>
    </xf>
    <xf numFmtId="10" fontId="5" fillId="7" borderId="3" xfId="0" applyNumberFormat="1" applyFont="1" applyFill="1" applyBorder="1" applyAlignment="1">
      <alignment horizontal="right" vertical="center"/>
    </xf>
    <xf numFmtId="4" fontId="5" fillId="6" borderId="3" xfId="0" applyNumberFormat="1" applyFont="1" applyFill="1" applyBorder="1" applyAlignment="1">
      <alignment horizontal="right" vertical="center"/>
    </xf>
    <xf numFmtId="4" fontId="5" fillId="7" borderId="3" xfId="0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right" vertical="center" wrapText="1"/>
    </xf>
    <xf numFmtId="10" fontId="1" fillId="6" borderId="3" xfId="0" applyNumberFormat="1" applyFont="1" applyFill="1" applyBorder="1" applyAlignment="1">
      <alignment horizontal="right" vertical="center"/>
    </xf>
    <xf numFmtId="3" fontId="1" fillId="3" borderId="3" xfId="0" applyNumberFormat="1" applyFont="1" applyFill="1" applyBorder="1" applyAlignment="1">
      <alignment horizontal="right" vertical="center" shrinkToFit="1"/>
    </xf>
    <xf numFmtId="10" fontId="1" fillId="7" borderId="3" xfId="0" applyNumberFormat="1" applyFont="1" applyFill="1" applyBorder="1" applyAlignment="1">
      <alignment horizontal="right" vertical="center"/>
    </xf>
    <xf numFmtId="1" fontId="5" fillId="3" borderId="3" xfId="0" applyNumberFormat="1" applyFont="1" applyFill="1" applyBorder="1" applyAlignment="1">
      <alignment horizontal="right" vertical="center" shrinkToFit="1"/>
    </xf>
    <xf numFmtId="0" fontId="5" fillId="9" borderId="3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right" vertical="center" wrapText="1"/>
    </xf>
    <xf numFmtId="3" fontId="5" fillId="6" borderId="3" xfId="0" applyNumberFormat="1" applyFont="1" applyFill="1" applyBorder="1" applyAlignment="1">
      <alignment horizontal="right" vertical="center" shrinkToFit="1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6" borderId="0" xfId="0" applyFont="1" applyFill="1" applyBorder="1" applyAlignment="1">
      <alignment horizontal="left" vertical="center"/>
    </xf>
    <xf numFmtId="4" fontId="5" fillId="6" borderId="0" xfId="0" applyNumberFormat="1" applyFont="1" applyFill="1" applyBorder="1" applyAlignment="1">
      <alignment horizontal="right" vertical="center"/>
    </xf>
    <xf numFmtId="10" fontId="5" fillId="6" borderId="0" xfId="1" applyNumberFormat="1" applyFont="1" applyFill="1" applyBorder="1" applyAlignment="1">
      <alignment horizontal="right" vertical="center"/>
    </xf>
    <xf numFmtId="0" fontId="5" fillId="7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4" fontId="3" fillId="5" borderId="0" xfId="0" applyNumberFormat="1" applyFont="1" applyFill="1" applyBorder="1" applyAlignment="1">
      <alignment horizontal="right" vertical="center"/>
    </xf>
    <xf numFmtId="0" fontId="5" fillId="6" borderId="0" xfId="0" applyFont="1" applyFill="1" applyBorder="1" applyAlignment="1">
      <alignment horizontal="right" vertical="center"/>
    </xf>
    <xf numFmtId="10" fontId="5" fillId="6" borderId="0" xfId="0" applyNumberFormat="1" applyFont="1" applyFill="1" applyBorder="1" applyAlignment="1">
      <alignment horizontal="left" vertical="center"/>
    </xf>
    <xf numFmtId="10" fontId="5" fillId="6" borderId="3" xfId="1" applyNumberFormat="1" applyFont="1" applyFill="1" applyBorder="1" applyAlignment="1">
      <alignment horizontal="right" vertical="center"/>
    </xf>
    <xf numFmtId="10" fontId="5" fillId="7" borderId="3" xfId="1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horizontal="right" vertical="center"/>
    </xf>
    <xf numFmtId="0" fontId="5" fillId="12" borderId="0" xfId="2" applyFont="1" applyFill="1" applyBorder="1" applyAlignment="1">
      <alignment horizontal="left" vertical="top"/>
    </xf>
    <xf numFmtId="10" fontId="9" fillId="12" borderId="1" xfId="2" applyNumberFormat="1" applyFont="1" applyFill="1" applyBorder="1" applyAlignment="1">
      <alignment horizontal="center" vertical="center"/>
    </xf>
    <xf numFmtId="14" fontId="5" fillId="12" borderId="0" xfId="2" applyNumberFormat="1" applyFont="1" applyFill="1" applyBorder="1" applyAlignment="1">
      <alignment horizontal="left" vertical="top"/>
    </xf>
    <xf numFmtId="2" fontId="5" fillId="12" borderId="0" xfId="2" applyNumberFormat="1" applyFont="1" applyFill="1" applyBorder="1" applyAlignment="1">
      <alignment horizontal="left" vertical="top"/>
    </xf>
    <xf numFmtId="0" fontId="8" fillId="5" borderId="7" xfId="2" applyFont="1" applyFill="1" applyBorder="1" applyAlignment="1">
      <alignment horizontal="center" vertical="center" wrapText="1"/>
    </xf>
    <xf numFmtId="0" fontId="8" fillId="5" borderId="8" xfId="2" applyFont="1" applyFill="1" applyBorder="1" applyAlignment="1">
      <alignment horizontal="center" vertical="center" wrapText="1"/>
    </xf>
    <xf numFmtId="0" fontId="5" fillId="12" borderId="9" xfId="2" applyFont="1" applyFill="1" applyBorder="1" applyAlignment="1">
      <alignment horizontal="left" vertical="top"/>
    </xf>
    <xf numFmtId="0" fontId="9" fillId="12" borderId="10" xfId="2" applyFont="1" applyFill="1" applyBorder="1" applyAlignment="1">
      <alignment horizontal="center" vertical="center"/>
    </xf>
    <xf numFmtId="0" fontId="9" fillId="12" borderId="11" xfId="2" applyFont="1" applyFill="1" applyBorder="1" applyAlignment="1">
      <alignment horizontal="center" vertical="center"/>
    </xf>
    <xf numFmtId="0" fontId="5" fillId="12" borderId="12" xfId="2" applyFont="1" applyFill="1" applyBorder="1" applyAlignment="1">
      <alignment horizontal="left" vertical="top"/>
    </xf>
    <xf numFmtId="3" fontId="5" fillId="0" borderId="0" xfId="0" applyNumberFormat="1" applyFont="1" applyFill="1" applyBorder="1" applyAlignment="1">
      <alignment horizontal="left" vertical="center" wrapText="1"/>
    </xf>
    <xf numFmtId="0" fontId="5" fillId="13" borderId="1" xfId="0" applyFont="1" applyFill="1" applyBorder="1" applyAlignment="1">
      <alignment horizontal="left" vertical="center"/>
    </xf>
    <xf numFmtId="0" fontId="5" fillId="15" borderId="1" xfId="0" applyFont="1" applyFill="1" applyBorder="1" applyAlignment="1">
      <alignment horizontal="left" vertical="center"/>
    </xf>
    <xf numFmtId="0" fontId="5" fillId="15" borderId="4" xfId="0" applyFont="1" applyFill="1" applyBorder="1" applyAlignment="1">
      <alignment horizontal="left" vertical="center"/>
    </xf>
    <xf numFmtId="0" fontId="5" fillId="15" borderId="5" xfId="0" applyFont="1" applyFill="1" applyBorder="1" applyAlignment="1">
      <alignment horizontal="left" vertical="center"/>
    </xf>
    <xf numFmtId="0" fontId="5" fillId="15" borderId="6" xfId="0" applyFont="1" applyFill="1" applyBorder="1" applyAlignment="1">
      <alignment horizontal="left" vertical="center"/>
    </xf>
    <xf numFmtId="10" fontId="5" fillId="15" borderId="0" xfId="0" applyNumberFormat="1" applyFont="1" applyFill="1" applyBorder="1" applyAlignment="1">
      <alignment horizontal="left" vertical="center" wrapText="1"/>
    </xf>
    <xf numFmtId="0" fontId="5" fillId="15" borderId="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1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0" fontId="3" fillId="5" borderId="0" xfId="2" applyFont="1" applyFill="1" applyBorder="1" applyAlignment="1">
      <alignment horizontal="center" vertical="center"/>
    </xf>
    <xf numFmtId="0" fontId="3" fillId="10" borderId="0" xfId="2" applyFont="1" applyFill="1" applyBorder="1" applyAlignment="1">
      <alignment horizontal="center" vertical="center"/>
    </xf>
    <xf numFmtId="0" fontId="3" fillId="5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1" fillId="3" borderId="0" xfId="2" applyFont="1" applyFill="1" applyBorder="1" applyAlignment="1">
      <alignment horizontal="left" vertical="center" wrapText="1"/>
    </xf>
    <xf numFmtId="3" fontId="5" fillId="6" borderId="3" xfId="2" applyNumberFormat="1" applyFont="1" applyFill="1" applyBorder="1" applyAlignment="1">
      <alignment horizontal="right" vertical="center" shrinkToFit="1"/>
    </xf>
    <xf numFmtId="10" fontId="5" fillId="6" borderId="3" xfId="2" applyNumberFormat="1" applyFont="1" applyFill="1" applyBorder="1" applyAlignment="1">
      <alignment horizontal="right" vertical="center"/>
    </xf>
    <xf numFmtId="0" fontId="5" fillId="6" borderId="3" xfId="2" applyFont="1" applyFill="1" applyBorder="1" applyAlignment="1">
      <alignment horizontal="right" vertical="center" wrapText="1"/>
    </xf>
    <xf numFmtId="3" fontId="5" fillId="6" borderId="3" xfId="2" applyNumberFormat="1" applyFont="1" applyFill="1" applyBorder="1" applyAlignment="1">
      <alignment horizontal="right" vertical="center"/>
    </xf>
    <xf numFmtId="10" fontId="5" fillId="10" borderId="0" xfId="2" applyNumberFormat="1" applyFont="1" applyFill="1" applyBorder="1" applyAlignment="1">
      <alignment horizontal="right" vertical="center"/>
    </xf>
    <xf numFmtId="10" fontId="5" fillId="6" borderId="0" xfId="2" applyNumberFormat="1" applyFont="1" applyFill="1" applyBorder="1" applyAlignment="1">
      <alignment horizontal="right" vertical="center"/>
    </xf>
    <xf numFmtId="4" fontId="5" fillId="6" borderId="3" xfId="2" applyNumberFormat="1" applyFont="1" applyFill="1" applyBorder="1" applyAlignment="1">
      <alignment horizontal="right" vertical="center"/>
    </xf>
    <xf numFmtId="0" fontId="5" fillId="6" borderId="3" xfId="2" applyFont="1" applyFill="1" applyBorder="1" applyAlignment="1">
      <alignment horizontal="left" vertical="center"/>
    </xf>
    <xf numFmtId="0" fontId="1" fillId="4" borderId="0" xfId="2" applyFont="1" applyFill="1" applyBorder="1" applyAlignment="1">
      <alignment horizontal="left" vertical="center" wrapText="1"/>
    </xf>
    <xf numFmtId="3" fontId="5" fillId="7" borderId="3" xfId="2" applyNumberFormat="1" applyFont="1" applyFill="1" applyBorder="1" applyAlignment="1">
      <alignment horizontal="right" vertical="center" shrinkToFit="1"/>
    </xf>
    <xf numFmtId="10" fontId="5" fillId="7" borderId="3" xfId="2" applyNumberFormat="1" applyFont="1" applyFill="1" applyBorder="1" applyAlignment="1">
      <alignment horizontal="right" vertical="center"/>
    </xf>
    <xf numFmtId="0" fontId="5" fillId="7" borderId="3" xfId="2" applyFont="1" applyFill="1" applyBorder="1" applyAlignment="1">
      <alignment horizontal="right" vertical="center" wrapText="1"/>
    </xf>
    <xf numFmtId="3" fontId="5" fillId="7" borderId="3" xfId="2" applyNumberFormat="1" applyFont="1" applyFill="1" applyBorder="1" applyAlignment="1">
      <alignment horizontal="right" vertical="center"/>
    </xf>
    <xf numFmtId="10" fontId="5" fillId="7" borderId="0" xfId="2" applyNumberFormat="1" applyFont="1" applyFill="1" applyBorder="1" applyAlignment="1">
      <alignment horizontal="right" vertical="center"/>
    </xf>
    <xf numFmtId="4" fontId="5" fillId="7" borderId="3" xfId="2" applyNumberFormat="1" applyFont="1" applyFill="1" applyBorder="1" applyAlignment="1">
      <alignment horizontal="right" vertical="center"/>
    </xf>
    <xf numFmtId="0" fontId="5" fillId="7" borderId="3" xfId="2" applyFont="1" applyFill="1" applyBorder="1" applyAlignment="1">
      <alignment horizontal="left" vertical="center"/>
    </xf>
    <xf numFmtId="3" fontId="5" fillId="3" borderId="3" xfId="2" applyNumberFormat="1" applyFont="1" applyFill="1" applyBorder="1" applyAlignment="1">
      <alignment horizontal="right" vertical="center" shrinkToFit="1"/>
    </xf>
    <xf numFmtId="0" fontId="5" fillId="3" borderId="3" xfId="2" applyFont="1" applyFill="1" applyBorder="1" applyAlignment="1">
      <alignment horizontal="right" vertical="center" wrapText="1"/>
    </xf>
    <xf numFmtId="0" fontId="5" fillId="2" borderId="0" xfId="2" applyFont="1" applyFill="1" applyBorder="1" applyAlignment="1">
      <alignment horizontal="center" vertical="center" wrapText="1"/>
    </xf>
    <xf numFmtId="4" fontId="3" fillId="2" borderId="0" xfId="2" applyNumberFormat="1" applyFont="1" applyFill="1" applyBorder="1" applyAlignment="1">
      <alignment horizontal="center" vertical="center" wrapText="1"/>
    </xf>
    <xf numFmtId="10" fontId="3" fillId="5" borderId="0" xfId="2" applyNumberFormat="1" applyFont="1" applyFill="1" applyBorder="1" applyAlignment="1">
      <alignment horizontal="center" vertical="center"/>
    </xf>
    <xf numFmtId="3" fontId="3" fillId="2" borderId="0" xfId="2" applyNumberFormat="1" applyFont="1" applyFill="1" applyBorder="1" applyAlignment="1">
      <alignment horizontal="center" vertical="center" wrapText="1"/>
    </xf>
    <xf numFmtId="10" fontId="5" fillId="5" borderId="0" xfId="2" applyNumberFormat="1" applyFont="1" applyFill="1" applyBorder="1" applyAlignment="1">
      <alignment horizontal="right" vertical="center"/>
    </xf>
    <xf numFmtId="4" fontId="5" fillId="5" borderId="0" xfId="2" applyNumberFormat="1" applyFont="1" applyFill="1" applyBorder="1" applyAlignment="1">
      <alignment horizontal="right" vertical="center"/>
    </xf>
    <xf numFmtId="10" fontId="3" fillId="5" borderId="0" xfId="2" applyNumberFormat="1" applyFont="1" applyFill="1" applyBorder="1" applyAlignment="1">
      <alignment horizontal="right" vertical="center"/>
    </xf>
    <xf numFmtId="3" fontId="5" fillId="4" borderId="3" xfId="2" applyNumberFormat="1" applyFont="1" applyFill="1" applyBorder="1" applyAlignment="1">
      <alignment horizontal="right" vertical="center" shrinkToFit="1"/>
    </xf>
    <xf numFmtId="1" fontId="5" fillId="3" borderId="3" xfId="2" applyNumberFormat="1" applyFont="1" applyFill="1" applyBorder="1" applyAlignment="1">
      <alignment horizontal="right" vertical="center" shrinkToFit="1"/>
    </xf>
    <xf numFmtId="0" fontId="3" fillId="10" borderId="0" xfId="2" applyFont="1" applyFill="1" applyBorder="1" applyAlignment="1">
      <alignment horizontal="right" vertical="center"/>
    </xf>
    <xf numFmtId="0" fontId="2" fillId="2" borderId="0" xfId="2" applyFont="1" applyFill="1" applyBorder="1" applyAlignment="1">
      <alignment vertical="center" wrapText="1"/>
    </xf>
    <xf numFmtId="0" fontId="2" fillId="2" borderId="0" xfId="2" applyFont="1" applyFill="1" applyBorder="1" applyAlignment="1">
      <alignment horizontal="right" vertical="center" wrapText="1"/>
    </xf>
    <xf numFmtId="3" fontId="5" fillId="0" borderId="0" xfId="2" applyNumberFormat="1" applyFont="1" applyFill="1" applyBorder="1" applyAlignment="1">
      <alignment horizontal="left" vertical="center"/>
    </xf>
    <xf numFmtId="0" fontId="10" fillId="12" borderId="4" xfId="2" applyFont="1" applyFill="1" applyBorder="1" applyAlignment="1">
      <alignment horizontal="center" vertical="top"/>
    </xf>
    <xf numFmtId="0" fontId="10" fillId="12" borderId="5" xfId="2" applyFont="1" applyFill="1" applyBorder="1" applyAlignment="1">
      <alignment horizontal="center" vertical="top"/>
    </xf>
    <xf numFmtId="0" fontId="10" fillId="12" borderId="6" xfId="2" applyFont="1" applyFill="1" applyBorder="1" applyAlignment="1">
      <alignment horizontal="center" vertical="top"/>
    </xf>
    <xf numFmtId="0" fontId="6" fillId="8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right" vertical="center" shrinkToFit="1"/>
    </xf>
    <xf numFmtId="3" fontId="1" fillId="3" borderId="2" xfId="0" applyNumberFormat="1" applyFont="1" applyFill="1" applyBorder="1" applyAlignment="1">
      <alignment horizontal="right" vertical="center" shrinkToFit="1"/>
    </xf>
    <xf numFmtId="4" fontId="2" fillId="2" borderId="0" xfId="0" applyNumberFormat="1" applyFont="1" applyFill="1" applyBorder="1" applyAlignment="1">
      <alignment horizontal="center" vertical="center" shrinkToFit="1"/>
    </xf>
    <xf numFmtId="3" fontId="5" fillId="4" borderId="3" xfId="0" applyNumberFormat="1" applyFont="1" applyFill="1" applyBorder="1" applyAlignment="1">
      <alignment horizontal="right" vertical="center" shrinkToFit="1"/>
    </xf>
    <xf numFmtId="3" fontId="5" fillId="4" borderId="2" xfId="0" applyNumberFormat="1" applyFont="1" applyFill="1" applyBorder="1" applyAlignment="1">
      <alignment horizontal="right" vertical="center" shrinkToFit="1"/>
    </xf>
    <xf numFmtId="3" fontId="5" fillId="3" borderId="3" xfId="0" applyNumberFormat="1" applyFont="1" applyFill="1" applyBorder="1" applyAlignment="1">
      <alignment horizontal="right" vertical="center" shrinkToFit="1"/>
    </xf>
    <xf numFmtId="3" fontId="5" fillId="3" borderId="2" xfId="0" applyNumberFormat="1" applyFont="1" applyFill="1" applyBorder="1" applyAlignment="1">
      <alignment horizontal="right" vertical="center" shrinkToFit="1"/>
    </xf>
    <xf numFmtId="4" fontId="3" fillId="5" borderId="0" xfId="0" applyNumberFormat="1" applyFont="1" applyFill="1" applyBorder="1" applyAlignment="1">
      <alignment horizontal="center" vertical="center" shrinkToFit="1"/>
    </xf>
    <xf numFmtId="3" fontId="5" fillId="7" borderId="3" xfId="0" applyNumberFormat="1" applyFont="1" applyFill="1" applyBorder="1" applyAlignment="1">
      <alignment horizontal="right" vertical="center" shrinkToFit="1"/>
    </xf>
    <xf numFmtId="3" fontId="5" fillId="7" borderId="2" xfId="0" applyNumberFormat="1" applyFont="1" applyFill="1" applyBorder="1" applyAlignment="1">
      <alignment horizontal="right" vertical="center" shrinkToFit="1"/>
    </xf>
    <xf numFmtId="3" fontId="5" fillId="4" borderId="0" xfId="0" applyNumberFormat="1" applyFont="1" applyFill="1" applyBorder="1" applyAlignment="1">
      <alignment horizontal="right" vertical="center" shrinkToFit="1"/>
    </xf>
    <xf numFmtId="3" fontId="5" fillId="3" borderId="0" xfId="0" applyNumberFormat="1" applyFont="1" applyFill="1" applyBorder="1" applyAlignment="1">
      <alignment horizontal="right" vertical="center" shrinkToFit="1"/>
    </xf>
    <xf numFmtId="0" fontId="1" fillId="2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right" vertical="center" wrapText="1" indent="1"/>
    </xf>
    <xf numFmtId="0" fontId="1" fillId="2" borderId="0" xfId="0" applyFont="1" applyFill="1" applyBorder="1" applyAlignment="1">
      <alignment horizontal="right" vertical="center" wrapText="1" indent="1"/>
    </xf>
    <xf numFmtId="0" fontId="2" fillId="2" borderId="0" xfId="0" applyFont="1" applyFill="1" applyBorder="1" applyAlignment="1">
      <alignment horizontal="right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1" fillId="2" borderId="0" xfId="2" applyFont="1" applyFill="1" applyBorder="1" applyAlignment="1">
      <alignment horizontal="right" vertical="center" wrapText="1"/>
    </xf>
    <xf numFmtId="0" fontId="3" fillId="5" borderId="0" xfId="2" applyFont="1" applyFill="1" applyBorder="1" applyAlignment="1">
      <alignment horizontal="center" vertical="center"/>
    </xf>
    <xf numFmtId="0" fontId="1" fillId="3" borderId="0" xfId="2" applyFont="1" applyFill="1" applyBorder="1" applyAlignment="1">
      <alignment horizontal="left" vertical="center" wrapText="1"/>
    </xf>
    <xf numFmtId="0" fontId="1" fillId="4" borderId="0" xfId="2" applyFont="1" applyFill="1" applyBorder="1" applyAlignment="1">
      <alignment horizontal="left" vertical="center" wrapText="1"/>
    </xf>
  </cellXfs>
  <cellStyles count="3">
    <cellStyle name="Normal" xfId="0" builtinId="0"/>
    <cellStyle name="Normal 2" xfId="2"/>
    <cellStyle name="Pourcentage" xfId="1" builtinId="5"/>
  </cellStyles>
  <dxfs count="22"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FFFFED"/>
      <color rgb="FFDA0000"/>
      <color rgb="FFD3E1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baseline="0"/>
              <a:t>Réduction du budget alloué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15833333333333324"/>
                  <c:y val="-0.1018518518518518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3888888888888892"/>
                  <c:y val="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Récap!$A$10:$A$11</c:f>
              <c:strCache>
                <c:ptCount val="2"/>
                <c:pt idx="0">
                  <c:v>Réduction Réalisée</c:v>
                </c:pt>
                <c:pt idx="1">
                  <c:v>Ecart</c:v>
                </c:pt>
              </c:strCache>
            </c:strRef>
          </c:cat>
          <c:val>
            <c:numRef>
              <c:f>Récap!$B$10:$B$11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Récap!$A$9</c:f>
              <c:strCache>
                <c:ptCount val="1"/>
                <c:pt idx="0">
                  <c:v>Réduction Objectif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5.0925337632079971E-17"/>
                  <c:y val="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Récap!$B$9</c:f>
              <c:numCache>
                <c:formatCode>#,##0.00</c:formatCode>
                <c:ptCount val="1"/>
                <c:pt idx="0">
                  <c:v>1700000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cap="none" spc="10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Réduction du budget alloué par poste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1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Récap!$B$3</c:f>
              <c:strCache>
                <c:ptCount val="1"/>
                <c:pt idx="0">
                  <c:v>Budget alloué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4F81B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Récap!$A$4:$A$7</c:f>
              <c:strCache>
                <c:ptCount val="4"/>
                <c:pt idx="0">
                  <c:v>Total communication :</c:v>
                </c:pt>
                <c:pt idx="1">
                  <c:v>Total Direction Technique</c:v>
                </c:pt>
                <c:pt idx="2">
                  <c:v>#REF!</c:v>
                </c:pt>
                <c:pt idx="3">
                  <c:v>#REF!</c:v>
                </c:pt>
              </c:strCache>
            </c:strRef>
          </c:cat>
          <c:val>
            <c:numRef>
              <c:f>Récap!$B$4:$B$7</c:f>
              <c:numCache>
                <c:formatCode>#,##0.00</c:formatCode>
                <c:ptCount val="4"/>
                <c:pt idx="0">
                  <c:v>502000</c:v>
                </c:pt>
                <c:pt idx="1">
                  <c:v>28325800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Récap!$L$3</c:f>
              <c:strCache>
                <c:ptCount val="1"/>
                <c:pt idx="0">
                  <c:v>Réduction du budget alloué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0"/>
                  <c:y val="-8.33333333333334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0104011650641466E-2"/>
                  <c:y val="-8.79629629629630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rgbClr val="C0504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Récap!$A$4:$A$7</c:f>
              <c:strCache>
                <c:ptCount val="4"/>
                <c:pt idx="0">
                  <c:v>Total communication :</c:v>
                </c:pt>
                <c:pt idx="1">
                  <c:v>Total Direction Technique</c:v>
                </c:pt>
                <c:pt idx="2">
                  <c:v>#REF!</c:v>
                </c:pt>
                <c:pt idx="3">
                  <c:v>#REF!</c:v>
                </c:pt>
              </c:strCache>
            </c:strRef>
          </c:cat>
          <c:val>
            <c:numRef>
              <c:f>Récap!$L$4:$L$7</c:f>
              <c:numCache>
                <c:formatCode>#,##0.00</c:formatCode>
                <c:ptCount val="4"/>
                <c:pt idx="0">
                  <c:v>16000</c:v>
                </c:pt>
                <c:pt idx="1">
                  <c:v>997000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48061808"/>
        <c:axId val="248062368"/>
        <c:axId val="0"/>
      </c:bar3DChart>
      <c:catAx>
        <c:axId val="24806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8062368"/>
        <c:crosses val="autoZero"/>
        <c:auto val="1"/>
        <c:lblAlgn val="ctr"/>
        <c:lblOffset val="100"/>
        <c:noMultiLvlLbl val="0"/>
      </c:catAx>
      <c:valAx>
        <c:axId val="248062368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#,##0.00" sourceLinked="1"/>
        <c:majorTickMark val="out"/>
        <c:minorTickMark val="none"/>
        <c:tickLblPos val="nextTo"/>
        <c:crossAx val="24806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9525</xdr:rowOff>
        </xdr:from>
        <xdr:to>
          <xdr:col>16</xdr:col>
          <xdr:colOff>1057275</xdr:colOff>
          <xdr:row>0</xdr:row>
          <xdr:rowOff>257175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56030</xdr:colOff>
      <xdr:row>11</xdr:row>
      <xdr:rowOff>57149</xdr:rowOff>
    </xdr:from>
    <xdr:to>
      <xdr:col>3</xdr:col>
      <xdr:colOff>616324</xdr:colOff>
      <xdr:row>25</xdr:row>
      <xdr:rowOff>133349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67235</xdr:colOff>
      <xdr:row>11</xdr:row>
      <xdr:rowOff>57150</xdr:rowOff>
    </xdr:from>
    <xdr:to>
      <xdr:col>14</xdr:col>
      <xdr:colOff>1389530</xdr:colOff>
      <xdr:row>25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terim/Desktop/Analyse%20_Etat_Budget_Gene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Récap"/>
    </sheetNames>
    <sheetDataSet>
      <sheetData sheetId="0">
        <row r="12">
          <cell r="H12">
            <v>8.611111111111111E-2</v>
          </cell>
        </row>
      </sheetData>
      <sheetData sheetId="1"/>
      <sheetData sheetId="2">
        <row r="14">
          <cell r="G14">
            <v>1016000</v>
          </cell>
          <cell r="H14"/>
          <cell r="I14">
            <v>22476</v>
          </cell>
          <cell r="K14">
            <v>26544</v>
          </cell>
          <cell r="M14">
            <v>966980</v>
          </cell>
          <cell r="R14">
            <v>15000</v>
          </cell>
        </row>
        <row r="18">
          <cell r="G18">
            <v>130000</v>
          </cell>
          <cell r="H18"/>
          <cell r="I18">
            <v>7340</v>
          </cell>
          <cell r="K18">
            <v>0</v>
          </cell>
          <cell r="M18">
            <v>122660</v>
          </cell>
          <cell r="R18">
            <v>0</v>
          </cell>
        </row>
        <row r="25">
          <cell r="G25">
            <v>490000</v>
          </cell>
          <cell r="H25"/>
          <cell r="I25">
            <v>42767</v>
          </cell>
          <cell r="K25">
            <v>0</v>
          </cell>
          <cell r="M25">
            <v>447233</v>
          </cell>
          <cell r="R25">
            <v>30000</v>
          </cell>
        </row>
        <row r="32">
          <cell r="G32">
            <v>592000</v>
          </cell>
          <cell r="H32"/>
          <cell r="I32">
            <v>47381</v>
          </cell>
          <cell r="K32">
            <v>86</v>
          </cell>
          <cell r="M32">
            <v>544533</v>
          </cell>
          <cell r="R32">
            <v>32000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</sheetPr>
  <dimension ref="F8:I16"/>
  <sheetViews>
    <sheetView zoomScaleNormal="100" workbookViewId="0">
      <selection activeCell="H18" sqref="H18"/>
    </sheetView>
  </sheetViews>
  <sheetFormatPr baseColWidth="10" defaultRowHeight="13.5" x14ac:dyDescent="0.2"/>
  <cols>
    <col min="1" max="1" width="3.33203125" style="71" customWidth="1"/>
    <col min="2" max="4" width="18.5" style="71" customWidth="1"/>
    <col min="5" max="5" width="12" style="71"/>
    <col min="6" max="8" width="19.33203125" style="71" customWidth="1"/>
    <col min="9" max="9" width="12.1640625" style="71" customWidth="1"/>
    <col min="10" max="16384" width="12" style="71"/>
  </cols>
  <sheetData>
    <row r="8" spans="6:9" ht="14.25" thickBot="1" x14ac:dyDescent="0.25"/>
    <row r="9" spans="6:9" ht="15.75" thickBot="1" x14ac:dyDescent="0.25">
      <c r="F9" s="135" t="s">
        <v>26</v>
      </c>
      <c r="G9" s="136"/>
      <c r="H9" s="136"/>
      <c r="I9" s="137"/>
    </row>
    <row r="10" spans="6:9" ht="14.25" thickBot="1" x14ac:dyDescent="0.25"/>
    <row r="11" spans="6:9" ht="27.75" thickBot="1" x14ac:dyDescent="0.25">
      <c r="F11" s="75" t="s">
        <v>24</v>
      </c>
      <c r="G11" s="76" t="s">
        <v>25</v>
      </c>
      <c r="H11" s="76" t="s">
        <v>26</v>
      </c>
      <c r="I11" s="77"/>
    </row>
    <row r="12" spans="6:9" ht="14.25" thickBot="1" x14ac:dyDescent="0.25">
      <c r="F12" s="78">
        <v>0</v>
      </c>
      <c r="G12" s="79">
        <v>31</v>
      </c>
      <c r="H12" s="72">
        <v>8.611111111111111E-2</v>
      </c>
      <c r="I12" s="80"/>
    </row>
    <row r="15" spans="6:9" x14ac:dyDescent="0.2">
      <c r="F15" s="73"/>
    </row>
    <row r="16" spans="6:9" x14ac:dyDescent="0.2">
      <c r="F16" s="74" t="str">
        <f>MID(F15,1,2)</f>
        <v/>
      </c>
    </row>
  </sheetData>
  <mergeCells count="1">
    <mergeCell ref="F9:I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Pourcentage_de_reference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ED"/>
  </sheetPr>
  <dimension ref="A1:T14"/>
  <sheetViews>
    <sheetView tabSelected="1" zoomScale="85" zoomScaleNormal="85" workbookViewId="0">
      <selection activeCell="Q12" sqref="Q12"/>
    </sheetView>
  </sheetViews>
  <sheetFormatPr baseColWidth="10" defaultColWidth="9.33203125" defaultRowHeight="13.5" x14ac:dyDescent="0.2"/>
  <cols>
    <col min="1" max="1" width="15.6640625" style="4" bestFit="1" customWidth="1"/>
    <col min="2" max="2" width="4.6640625" style="4" customWidth="1"/>
    <col min="3" max="3" width="6.83203125" style="4" customWidth="1"/>
    <col min="4" max="4" width="40.33203125" style="4" customWidth="1"/>
    <col min="5" max="5" width="13.83203125" style="4" bestFit="1" customWidth="1"/>
    <col min="6" max="6" width="13" style="4" bestFit="1" customWidth="1"/>
    <col min="7" max="7" width="22" style="4" customWidth="1"/>
    <col min="8" max="8" width="10" style="4" bestFit="1" customWidth="1"/>
    <col min="9" max="9" width="7" style="4" bestFit="1" customWidth="1"/>
    <col min="10" max="10" width="11.33203125" style="4" bestFit="1" customWidth="1"/>
    <col min="11" max="11" width="7" style="4" bestFit="1" customWidth="1"/>
    <col min="12" max="12" width="1.1640625" style="4" customWidth="1"/>
    <col min="13" max="13" width="16.33203125" style="4" bestFit="1" customWidth="1"/>
    <col min="14" max="15" width="16" style="4" customWidth="1"/>
    <col min="16" max="16" width="6" style="4" bestFit="1" customWidth="1"/>
    <col min="17" max="17" width="19.6640625" style="4" customWidth="1"/>
    <col min="18" max="16384" width="9.33203125" style="4"/>
  </cols>
  <sheetData>
    <row r="1" spans="1:20" ht="21" x14ac:dyDescent="0.2">
      <c r="A1" s="138" t="s">
        <v>12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89"/>
      <c r="S1" s="90"/>
      <c r="T1" s="91"/>
    </row>
    <row r="2" spans="1:20" ht="11.45" customHeight="1" thickBot="1" x14ac:dyDescent="0.25">
      <c r="A2" s="1" t="s">
        <v>19</v>
      </c>
      <c r="R2" s="92"/>
      <c r="T2" s="93"/>
    </row>
    <row r="3" spans="1:20" s="9" customFormat="1" ht="27.75" thickBot="1" x14ac:dyDescent="0.25">
      <c r="A3" s="10" t="s">
        <v>1</v>
      </c>
      <c r="B3" s="139" t="s">
        <v>2</v>
      </c>
      <c r="C3" s="139"/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6</v>
      </c>
      <c r="J3" s="10" t="s">
        <v>8</v>
      </c>
      <c r="K3" s="10" t="s">
        <v>6</v>
      </c>
      <c r="L3" s="16"/>
      <c r="M3" s="12" t="s">
        <v>22</v>
      </c>
      <c r="N3" s="12" t="s">
        <v>23</v>
      </c>
      <c r="O3" s="12" t="s">
        <v>59</v>
      </c>
      <c r="P3" s="12" t="s">
        <v>6</v>
      </c>
      <c r="Q3" s="12" t="s">
        <v>11</v>
      </c>
      <c r="R3" s="143" t="s">
        <v>71</v>
      </c>
      <c r="S3" s="144"/>
      <c r="T3" s="145"/>
    </row>
    <row r="4" spans="1:20" ht="17.45" customHeight="1" x14ac:dyDescent="0.2">
      <c r="A4" s="23" t="s">
        <v>13</v>
      </c>
      <c r="B4" s="141" t="s">
        <v>14</v>
      </c>
      <c r="C4" s="141"/>
      <c r="D4" s="23" t="s">
        <v>15</v>
      </c>
      <c r="E4" s="56">
        <v>30000</v>
      </c>
      <c r="F4" s="56">
        <v>1104</v>
      </c>
      <c r="G4" s="40">
        <f>(F4/E4)</f>
        <v>3.6799999999999999E-2</v>
      </c>
      <c r="H4" s="55"/>
      <c r="I4" s="40">
        <f>H4/E4</f>
        <v>0</v>
      </c>
      <c r="J4" s="38">
        <f>E4-F4-H4</f>
        <v>28896</v>
      </c>
      <c r="K4" s="40">
        <f>J4/E4</f>
        <v>0.96319999999999995</v>
      </c>
      <c r="L4" s="25"/>
      <c r="M4" s="24">
        <f>Menu!$H$12-(G4+I4)</f>
        <v>4.9311111111111111E-2</v>
      </c>
      <c r="N4" s="42">
        <f>E4*M4</f>
        <v>1479.3333333333333</v>
      </c>
      <c r="O4" s="42"/>
      <c r="P4" s="40">
        <f>O4/E4</f>
        <v>0</v>
      </c>
      <c r="Q4" s="44"/>
      <c r="R4" s="146" t="s">
        <v>69</v>
      </c>
      <c r="S4" s="147"/>
      <c r="T4" s="148"/>
    </row>
    <row r="5" spans="1:20" ht="17.45" customHeight="1" x14ac:dyDescent="0.2">
      <c r="A5" s="26" t="s">
        <v>13</v>
      </c>
      <c r="B5" s="142" t="s">
        <v>16</v>
      </c>
      <c r="C5" s="142"/>
      <c r="D5" s="26" t="s">
        <v>17</v>
      </c>
      <c r="E5" s="32">
        <v>41000</v>
      </c>
      <c r="F5" s="37"/>
      <c r="G5" s="41">
        <f t="shared" ref="G5:G8" si="0">(F5/E5)</f>
        <v>0</v>
      </c>
      <c r="H5" s="32">
        <v>17072</v>
      </c>
      <c r="I5" s="41">
        <f t="shared" ref="I5:I8" si="1">H5/E5</f>
        <v>0.41639024390243901</v>
      </c>
      <c r="J5" s="39">
        <f t="shared" ref="J5:J6" si="2">E5-F5-H5</f>
        <v>23928</v>
      </c>
      <c r="K5" s="41">
        <f t="shared" ref="K5:K6" si="3">J5/E5</f>
        <v>0.58360975609756094</v>
      </c>
      <c r="L5" s="25"/>
      <c r="M5" s="27">
        <f>Menu!$H$12-(G5+I5)</f>
        <v>-0.33027913279132792</v>
      </c>
      <c r="N5" s="43">
        <f t="shared" ref="N5:N8" si="4">E5*M5</f>
        <v>-13541.444444444445</v>
      </c>
      <c r="O5" s="43"/>
      <c r="P5" s="41">
        <f t="shared" ref="P5" si="5">O5/E5</f>
        <v>0</v>
      </c>
      <c r="Q5" s="45"/>
      <c r="R5" s="154"/>
      <c r="S5" s="155"/>
      <c r="T5" s="156"/>
    </row>
    <row r="6" spans="1:20" ht="17.850000000000001" customHeight="1" thickBot="1" x14ac:dyDescent="0.25">
      <c r="A6" s="23" t="s">
        <v>13</v>
      </c>
      <c r="B6" s="141" t="s">
        <v>18</v>
      </c>
      <c r="C6" s="141"/>
      <c r="D6" s="23" t="s">
        <v>19</v>
      </c>
      <c r="E6" s="56">
        <v>431000</v>
      </c>
      <c r="F6" s="55"/>
      <c r="G6" s="40">
        <f t="shared" si="0"/>
        <v>0</v>
      </c>
      <c r="H6" s="56">
        <v>2510</v>
      </c>
      <c r="I6" s="40">
        <f t="shared" si="1"/>
        <v>5.8236658932714616E-3</v>
      </c>
      <c r="J6" s="38">
        <f t="shared" si="2"/>
        <v>428490</v>
      </c>
      <c r="K6" s="40">
        <f t="shared" si="3"/>
        <v>0.99417633410672857</v>
      </c>
      <c r="L6" s="25"/>
      <c r="M6" s="24">
        <f>Menu!$H$12-(G6+I6)</f>
        <v>8.0287445217839648E-2</v>
      </c>
      <c r="N6" s="42">
        <f t="shared" si="4"/>
        <v>34603.888888888891</v>
      </c>
      <c r="O6" s="42">
        <v>16000</v>
      </c>
      <c r="P6" s="40">
        <f>O6/E6</f>
        <v>3.7122969837587005E-2</v>
      </c>
      <c r="Q6" s="44"/>
      <c r="R6" s="149"/>
      <c r="S6" s="150"/>
      <c r="T6" s="151"/>
    </row>
    <row r="7" spans="1:20" s="9" customFormat="1" ht="13.5" customHeight="1" x14ac:dyDescent="0.2">
      <c r="A7" s="11"/>
      <c r="B7" s="140"/>
      <c r="C7" s="140"/>
      <c r="D7" s="52" t="s">
        <v>21</v>
      </c>
      <c r="E7" s="53">
        <f>SUM(E4:E6)</f>
        <v>502000</v>
      </c>
      <c r="F7" s="53">
        <f t="shared" ref="F7:J7" si="6">SUM(F4:F6)</f>
        <v>1104</v>
      </c>
      <c r="G7" s="2">
        <f t="shared" si="0"/>
        <v>2.1992031872509962E-3</v>
      </c>
      <c r="H7" s="53">
        <f>SUM(H4:H6)</f>
        <v>19582</v>
      </c>
      <c r="I7" s="2">
        <f t="shared" si="1"/>
        <v>3.9007968127490036E-2</v>
      </c>
      <c r="J7" s="53">
        <f t="shared" si="6"/>
        <v>481314</v>
      </c>
      <c r="K7" s="18">
        <f>J7/E7</f>
        <v>0.95879282868525895</v>
      </c>
      <c r="L7" s="30"/>
      <c r="M7" s="19">
        <f>Menu!$H$12-(G7+I7)</f>
        <v>4.4903939796370078E-2</v>
      </c>
      <c r="N7" s="20">
        <f t="shared" si="4"/>
        <v>22541.777777777777</v>
      </c>
      <c r="O7" s="54">
        <f>SUM(O4:O6)</f>
        <v>16000</v>
      </c>
      <c r="P7" s="22">
        <f t="shared" ref="P7:P8" si="7">O7/E7</f>
        <v>3.1872509960159362E-2</v>
      </c>
      <c r="Q7" s="10"/>
      <c r="R7" s="146" t="s">
        <v>72</v>
      </c>
      <c r="S7" s="147"/>
      <c r="T7" s="148"/>
    </row>
    <row r="8" spans="1:20" s="9" customFormat="1" ht="14.25" thickBot="1" x14ac:dyDescent="0.25">
      <c r="A8" s="11"/>
      <c r="B8" s="140"/>
      <c r="C8" s="140"/>
      <c r="D8" s="52" t="s">
        <v>20</v>
      </c>
      <c r="E8" s="53">
        <f>SUM(E4:E6)</f>
        <v>502000</v>
      </c>
      <c r="F8" s="53">
        <f t="shared" ref="F8:J8" si="8">SUM(F4:F6)</f>
        <v>1104</v>
      </c>
      <c r="G8" s="2">
        <f t="shared" si="0"/>
        <v>2.1992031872509962E-3</v>
      </c>
      <c r="H8" s="53">
        <f t="shared" si="8"/>
        <v>19582</v>
      </c>
      <c r="I8" s="2">
        <f t="shared" si="1"/>
        <v>3.9007968127490036E-2</v>
      </c>
      <c r="J8" s="53">
        <f t="shared" si="8"/>
        <v>481314</v>
      </c>
      <c r="K8" s="18">
        <f>J8/E8</f>
        <v>0.95879282868525895</v>
      </c>
      <c r="L8" s="30"/>
      <c r="M8" s="19">
        <f>Menu!$H$12-(G8+I8)</f>
        <v>4.4903939796370078E-2</v>
      </c>
      <c r="N8" s="20">
        <f t="shared" si="4"/>
        <v>22541.777777777777</v>
      </c>
      <c r="O8" s="54">
        <f>SUM(O4:O6)</f>
        <v>16000</v>
      </c>
      <c r="P8" s="22">
        <f t="shared" si="7"/>
        <v>3.1872509960159362E-2</v>
      </c>
      <c r="Q8" s="10"/>
      <c r="R8" s="149"/>
      <c r="S8" s="150"/>
      <c r="T8" s="151"/>
    </row>
    <row r="9" spans="1:20" x14ac:dyDescent="0.2">
      <c r="R9" s="92"/>
      <c r="T9" s="93"/>
    </row>
    <row r="10" spans="1:20" ht="14.25" thickBot="1" x14ac:dyDescent="0.25">
      <c r="K10" s="5"/>
      <c r="L10" s="5"/>
      <c r="R10" s="92"/>
      <c r="T10" s="93"/>
    </row>
    <row r="11" spans="1:20" ht="37.5" customHeight="1" thickBot="1" x14ac:dyDescent="0.25">
      <c r="A11" s="157" t="s">
        <v>74</v>
      </c>
      <c r="B11" s="158"/>
      <c r="C11" s="158"/>
      <c r="D11" s="158"/>
      <c r="E11" s="158"/>
      <c r="F11" s="159"/>
      <c r="G11" s="83"/>
      <c r="H11" s="82"/>
      <c r="I11" s="84"/>
      <c r="J11" s="85"/>
      <c r="K11" s="86"/>
      <c r="L11" s="152" t="s">
        <v>76</v>
      </c>
      <c r="M11" s="153"/>
      <c r="N11" s="153"/>
      <c r="O11" s="153"/>
      <c r="P11" s="153"/>
      <c r="Q11" s="153"/>
      <c r="R11" s="94"/>
      <c r="S11" s="95"/>
      <c r="T11" s="96"/>
    </row>
    <row r="12" spans="1:20" ht="54" x14ac:dyDescent="0.2">
      <c r="A12" s="59" t="s">
        <v>68</v>
      </c>
      <c r="E12" s="81"/>
      <c r="F12" s="81"/>
      <c r="G12" s="87" t="s">
        <v>70</v>
      </c>
      <c r="H12" s="81"/>
      <c r="I12" s="88"/>
      <c r="J12" s="88"/>
      <c r="K12" s="88"/>
      <c r="M12" s="4" t="s">
        <v>66</v>
      </c>
      <c r="N12" s="4" t="s">
        <v>66</v>
      </c>
    </row>
    <row r="13" spans="1:20" x14ac:dyDescent="0.2">
      <c r="A13" s="4" t="s">
        <v>73</v>
      </c>
      <c r="E13" s="7"/>
      <c r="F13" s="8"/>
      <c r="K13" s="6"/>
      <c r="L13" s="6"/>
      <c r="M13" s="4" t="s">
        <v>67</v>
      </c>
      <c r="N13" s="4" t="s">
        <v>67</v>
      </c>
    </row>
    <row r="14" spans="1:20" x14ac:dyDescent="0.2">
      <c r="A14" s="4" t="s">
        <v>75</v>
      </c>
    </row>
  </sheetData>
  <mergeCells count="12">
    <mergeCell ref="R3:T3"/>
    <mergeCell ref="R7:T8"/>
    <mergeCell ref="L11:Q11"/>
    <mergeCell ref="R4:T6"/>
    <mergeCell ref="A11:F11"/>
    <mergeCell ref="A1:Q1"/>
    <mergeCell ref="B3:C3"/>
    <mergeCell ref="B8:C8"/>
    <mergeCell ref="B7:C7"/>
    <mergeCell ref="B4:C4"/>
    <mergeCell ref="B5:C5"/>
    <mergeCell ref="B6:C6"/>
  </mergeCells>
  <conditionalFormatting sqref="M4:N8">
    <cfRule type="cellIs" dxfId="21" priority="1" operator="greaterThan">
      <formula>0</formula>
    </cfRule>
    <cfRule type="cellIs" dxfId="20" priority="2" operator="less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nouveau">
                <anchor moveWithCells="1" sizeWithCells="1">
                  <from>
                    <xdr:col>16</xdr:col>
                    <xdr:colOff>47625</xdr:colOff>
                    <xdr:row>0</xdr:row>
                    <xdr:rowOff>9525</xdr:rowOff>
                  </from>
                  <to>
                    <xdr:col>16</xdr:col>
                    <xdr:colOff>1057275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D3E1ED"/>
  </sheetPr>
  <dimension ref="A1:T32"/>
  <sheetViews>
    <sheetView zoomScale="85" zoomScaleNormal="85" workbookViewId="0">
      <selection activeCell="A27" sqref="A27"/>
    </sheetView>
  </sheetViews>
  <sheetFormatPr baseColWidth="10" defaultColWidth="9.33203125" defaultRowHeight="13.5" x14ac:dyDescent="0.2"/>
  <cols>
    <col min="1" max="1" width="9.33203125" style="4" customWidth="1"/>
    <col min="2" max="2" width="12.1640625" style="4" bestFit="1" customWidth="1"/>
    <col min="3" max="3" width="18.1640625" style="4" customWidth="1"/>
    <col min="4" max="4" width="10.5" style="4" customWidth="1"/>
    <col min="5" max="5" width="21.1640625" style="4" customWidth="1"/>
    <col min="6" max="6" width="1.83203125" style="4" customWidth="1"/>
    <col min="7" max="7" width="11.33203125" style="4" customWidth="1"/>
    <col min="8" max="8" width="3.33203125" style="4" customWidth="1"/>
    <col min="9" max="9" width="12.5" style="4" bestFit="1" customWidth="1"/>
    <col min="10" max="10" width="7" style="4" bestFit="1" customWidth="1"/>
    <col min="11" max="11" width="11.33203125" style="4" customWidth="1"/>
    <col min="12" max="12" width="9.33203125" style="4" customWidth="1"/>
    <col min="13" max="13" width="11.1640625" style="4" customWidth="1"/>
    <col min="14" max="14" width="8" style="4" bestFit="1" customWidth="1"/>
    <col min="15" max="15" width="1.1640625" style="4" customWidth="1"/>
    <col min="16" max="17" width="18.5" style="4" customWidth="1"/>
    <col min="18" max="18" width="16" style="4" customWidth="1"/>
    <col min="19" max="19" width="7" style="4" bestFit="1" customWidth="1"/>
    <col min="20" max="20" width="42.6640625" style="4" bestFit="1" customWidth="1"/>
    <col min="21" max="16384" width="9.33203125" style="4"/>
  </cols>
  <sheetData>
    <row r="1" spans="1:20" ht="21" x14ac:dyDescent="0.2">
      <c r="A1" s="138" t="s">
        <v>27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</row>
    <row r="2" spans="1:20" ht="11.45" customHeight="1" x14ac:dyDescent="0.2">
      <c r="A2" s="1" t="s">
        <v>58</v>
      </c>
    </row>
    <row r="3" spans="1:20" s="9" customFormat="1" ht="27" x14ac:dyDescent="0.2">
      <c r="A3" s="10" t="s">
        <v>1</v>
      </c>
      <c r="B3" s="10" t="s">
        <v>2</v>
      </c>
      <c r="C3" s="139" t="s">
        <v>3</v>
      </c>
      <c r="D3" s="139"/>
      <c r="E3" s="139"/>
      <c r="F3" s="139"/>
      <c r="G3" s="139" t="s">
        <v>28</v>
      </c>
      <c r="H3" s="139"/>
      <c r="I3" s="10" t="s">
        <v>5</v>
      </c>
      <c r="J3" s="10" t="s">
        <v>6</v>
      </c>
      <c r="K3" s="10" t="s">
        <v>7</v>
      </c>
      <c r="L3" s="10" t="s">
        <v>6</v>
      </c>
      <c r="M3" s="10" t="s">
        <v>8</v>
      </c>
      <c r="N3" s="10" t="s">
        <v>6</v>
      </c>
      <c r="O3" s="16"/>
      <c r="P3" s="12" t="s">
        <v>22</v>
      </c>
      <c r="Q3" s="12" t="s">
        <v>23</v>
      </c>
      <c r="R3" s="12" t="s">
        <v>59</v>
      </c>
      <c r="S3" s="12" t="s">
        <v>6</v>
      </c>
      <c r="T3" s="12" t="s">
        <v>11</v>
      </c>
    </row>
    <row r="4" spans="1:20" ht="17.45" customHeight="1" x14ac:dyDescent="0.2">
      <c r="A4" s="23" t="s">
        <v>29</v>
      </c>
      <c r="B4" s="23" t="s">
        <v>30</v>
      </c>
      <c r="C4" s="141" t="s">
        <v>31</v>
      </c>
      <c r="D4" s="141"/>
      <c r="E4" s="141"/>
      <c r="F4" s="141"/>
      <c r="G4" s="165">
        <v>555000</v>
      </c>
      <c r="H4" s="166"/>
      <c r="I4" s="31"/>
      <c r="J4" s="40">
        <f t="shared" ref="J4:J14" si="0">(I4/G4)</f>
        <v>0</v>
      </c>
      <c r="K4" s="35">
        <v>25582</v>
      </c>
      <c r="L4" s="40">
        <f t="shared" ref="L4:L14" si="1">K4/G4</f>
        <v>4.6093693693693691E-2</v>
      </c>
      <c r="M4" s="38">
        <f>G4-I4-K4</f>
        <v>529418</v>
      </c>
      <c r="N4" s="40">
        <f t="shared" ref="N4:N14" si="2">M4/G4</f>
        <v>0.95390630630630635</v>
      </c>
      <c r="O4" s="25"/>
      <c r="P4" s="24">
        <f>Menu!$H$12-(J4+L4)</f>
        <v>4.001741741741742E-2</v>
      </c>
      <c r="Q4" s="42">
        <f t="shared" ref="Q4:Q13" si="3">G4*P4</f>
        <v>22209.666666666668</v>
      </c>
      <c r="R4" s="42"/>
      <c r="S4" s="40">
        <f t="shared" ref="S4:S14" si="4">R4/G4</f>
        <v>0</v>
      </c>
      <c r="T4" s="44"/>
    </row>
    <row r="5" spans="1:20" ht="17.45" customHeight="1" x14ac:dyDescent="0.2">
      <c r="A5" s="26" t="s">
        <v>29</v>
      </c>
      <c r="B5" s="26" t="s">
        <v>32</v>
      </c>
      <c r="C5" s="142" t="s">
        <v>33</v>
      </c>
      <c r="D5" s="142"/>
      <c r="E5" s="142"/>
      <c r="F5" s="142"/>
      <c r="G5" s="163">
        <v>190000</v>
      </c>
      <c r="H5" s="164"/>
      <c r="I5" s="32">
        <v>9750</v>
      </c>
      <c r="J5" s="41">
        <f>(I5/G5)</f>
        <v>5.131578947368421E-2</v>
      </c>
      <c r="K5" s="36">
        <v>124</v>
      </c>
      <c r="L5" s="41">
        <f t="shared" si="1"/>
        <v>6.5263157894736843E-4</v>
      </c>
      <c r="M5" s="39">
        <f t="shared" ref="M5:M13" si="5">G5-I5-K5</f>
        <v>180126</v>
      </c>
      <c r="N5" s="41">
        <f t="shared" si="2"/>
        <v>0.94803157894736845</v>
      </c>
      <c r="O5" s="25"/>
      <c r="P5" s="27">
        <f>Menu!$H$12-(J5+L5)</f>
        <v>3.414269005847953E-2</v>
      </c>
      <c r="Q5" s="43">
        <f>G5*P5</f>
        <v>6487.1111111111104</v>
      </c>
      <c r="R5" s="43">
        <v>10000</v>
      </c>
      <c r="S5" s="41">
        <f t="shared" si="4"/>
        <v>5.2631578947368418E-2</v>
      </c>
      <c r="T5" s="45"/>
    </row>
    <row r="6" spans="1:20" ht="17.45" customHeight="1" x14ac:dyDescent="0.2">
      <c r="A6" s="23" t="s">
        <v>29</v>
      </c>
      <c r="B6" s="23" t="s">
        <v>14</v>
      </c>
      <c r="C6" s="141" t="s">
        <v>15</v>
      </c>
      <c r="D6" s="141"/>
      <c r="E6" s="141"/>
      <c r="F6" s="141"/>
      <c r="G6" s="165">
        <v>10000</v>
      </c>
      <c r="H6" s="166"/>
      <c r="I6" s="31"/>
      <c r="J6" s="40">
        <f t="shared" si="0"/>
        <v>0</v>
      </c>
      <c r="K6" s="31"/>
      <c r="L6" s="40">
        <f t="shared" si="1"/>
        <v>0</v>
      </c>
      <c r="M6" s="38">
        <f t="shared" si="5"/>
        <v>10000</v>
      </c>
      <c r="N6" s="40">
        <f t="shared" si="2"/>
        <v>1</v>
      </c>
      <c r="O6" s="25"/>
      <c r="P6" s="24">
        <f>Menu!$H$12-(J6+L6)</f>
        <v>8.611111111111111E-2</v>
      </c>
      <c r="Q6" s="42">
        <f t="shared" si="3"/>
        <v>861.11111111111109</v>
      </c>
      <c r="R6" s="42"/>
      <c r="S6" s="40">
        <f t="shared" si="4"/>
        <v>0</v>
      </c>
      <c r="T6" s="44"/>
    </row>
    <row r="7" spans="1:20" ht="17.45" customHeight="1" x14ac:dyDescent="0.2">
      <c r="A7" s="26" t="s">
        <v>29</v>
      </c>
      <c r="B7" s="26" t="s">
        <v>34</v>
      </c>
      <c r="C7" s="142" t="s">
        <v>35</v>
      </c>
      <c r="D7" s="142"/>
      <c r="E7" s="142"/>
      <c r="F7" s="142"/>
      <c r="G7" s="163">
        <v>26000</v>
      </c>
      <c r="H7" s="164"/>
      <c r="I7" s="33"/>
      <c r="J7" s="41">
        <f t="shared" si="0"/>
        <v>0</v>
      </c>
      <c r="K7" s="37"/>
      <c r="L7" s="41">
        <f t="shared" si="1"/>
        <v>0</v>
      </c>
      <c r="M7" s="39">
        <f t="shared" si="5"/>
        <v>26000</v>
      </c>
      <c r="N7" s="41">
        <f t="shared" si="2"/>
        <v>1</v>
      </c>
      <c r="O7" s="28"/>
      <c r="P7" s="27">
        <f>Menu!$H$12-(J7+L7)</f>
        <v>8.611111111111111E-2</v>
      </c>
      <c r="Q7" s="43">
        <f t="shared" si="3"/>
        <v>2238.8888888888887</v>
      </c>
      <c r="R7" s="43"/>
      <c r="S7" s="41">
        <f t="shared" si="4"/>
        <v>0</v>
      </c>
      <c r="T7" s="45"/>
    </row>
    <row r="8" spans="1:20" ht="17.45" customHeight="1" x14ac:dyDescent="0.2">
      <c r="A8" s="23" t="s">
        <v>29</v>
      </c>
      <c r="B8" s="23" t="s">
        <v>36</v>
      </c>
      <c r="C8" s="141" t="s">
        <v>37</v>
      </c>
      <c r="D8" s="141"/>
      <c r="E8" s="141"/>
      <c r="F8" s="141"/>
      <c r="G8" s="165">
        <v>5000</v>
      </c>
      <c r="H8" s="166"/>
      <c r="I8" s="31"/>
      <c r="J8" s="40">
        <f t="shared" si="0"/>
        <v>0</v>
      </c>
      <c r="K8" s="31"/>
      <c r="L8" s="40">
        <f t="shared" si="1"/>
        <v>0</v>
      </c>
      <c r="M8" s="38">
        <f t="shared" si="5"/>
        <v>5000</v>
      </c>
      <c r="N8" s="40">
        <f t="shared" si="2"/>
        <v>1</v>
      </c>
      <c r="O8" s="28"/>
      <c r="P8" s="24">
        <f>Menu!$H$12-(J8+L8)</f>
        <v>8.611111111111111E-2</v>
      </c>
      <c r="Q8" s="42">
        <f t="shared" si="3"/>
        <v>430.55555555555554</v>
      </c>
      <c r="R8" s="42"/>
      <c r="S8" s="40">
        <f t="shared" si="4"/>
        <v>0</v>
      </c>
      <c r="T8" s="44"/>
    </row>
    <row r="9" spans="1:20" ht="17.45" customHeight="1" x14ac:dyDescent="0.2">
      <c r="A9" s="26" t="s">
        <v>29</v>
      </c>
      <c r="B9" s="26" t="s">
        <v>38</v>
      </c>
      <c r="C9" s="142" t="s">
        <v>39</v>
      </c>
      <c r="D9" s="142"/>
      <c r="E9" s="142"/>
      <c r="F9" s="142"/>
      <c r="G9" s="163">
        <v>75000</v>
      </c>
      <c r="H9" s="164"/>
      <c r="I9" s="34">
        <v>12726</v>
      </c>
      <c r="J9" s="41">
        <f t="shared" si="0"/>
        <v>0.16968</v>
      </c>
      <c r="K9" s="36">
        <v>838</v>
      </c>
      <c r="L9" s="41">
        <f t="shared" si="1"/>
        <v>1.1173333333333334E-2</v>
      </c>
      <c r="M9" s="39">
        <f t="shared" si="5"/>
        <v>61436</v>
      </c>
      <c r="N9" s="41">
        <f t="shared" si="2"/>
        <v>0.81914666666666669</v>
      </c>
      <c r="O9" s="28"/>
      <c r="P9" s="27">
        <f>Menu!$H$12-(J9+L9)</f>
        <v>-9.4742222222222228E-2</v>
      </c>
      <c r="Q9" s="43">
        <f t="shared" si="3"/>
        <v>-7105.666666666667</v>
      </c>
      <c r="R9" s="43"/>
      <c r="S9" s="41">
        <f t="shared" si="4"/>
        <v>0</v>
      </c>
      <c r="T9" s="45"/>
    </row>
    <row r="10" spans="1:20" ht="17.45" customHeight="1" x14ac:dyDescent="0.2">
      <c r="A10" s="23" t="s">
        <v>29</v>
      </c>
      <c r="B10" s="23" t="s">
        <v>40</v>
      </c>
      <c r="C10" s="141" t="s">
        <v>40</v>
      </c>
      <c r="D10" s="141"/>
      <c r="E10" s="141"/>
      <c r="F10" s="141"/>
      <c r="G10" s="165">
        <v>13000</v>
      </c>
      <c r="H10" s="166"/>
      <c r="I10" s="31"/>
      <c r="J10" s="40">
        <f t="shared" si="0"/>
        <v>0</v>
      </c>
      <c r="K10" s="31"/>
      <c r="L10" s="40">
        <f t="shared" si="1"/>
        <v>0</v>
      </c>
      <c r="M10" s="38">
        <f t="shared" si="5"/>
        <v>13000</v>
      </c>
      <c r="N10" s="40">
        <f t="shared" si="2"/>
        <v>1</v>
      </c>
      <c r="O10" s="28"/>
      <c r="P10" s="24">
        <f>Menu!$H$12-(J10+L10)</f>
        <v>8.611111111111111E-2</v>
      </c>
      <c r="Q10" s="42">
        <f t="shared" si="3"/>
        <v>1119.4444444444443</v>
      </c>
      <c r="R10" s="42"/>
      <c r="S10" s="40">
        <f t="shared" si="4"/>
        <v>0</v>
      </c>
      <c r="T10" s="44"/>
    </row>
    <row r="11" spans="1:20" ht="17.45" customHeight="1" x14ac:dyDescent="0.2">
      <c r="A11" s="26" t="s">
        <v>29</v>
      </c>
      <c r="B11" s="26" t="s">
        <v>41</v>
      </c>
      <c r="C11" s="142" t="s">
        <v>42</v>
      </c>
      <c r="D11" s="142"/>
      <c r="E11" s="142"/>
      <c r="F11" s="142"/>
      <c r="G11" s="163">
        <v>20000</v>
      </c>
      <c r="H11" s="164"/>
      <c r="I11" s="33"/>
      <c r="J11" s="41">
        <f t="shared" si="0"/>
        <v>0</v>
      </c>
      <c r="K11" s="37"/>
      <c r="L11" s="41">
        <f t="shared" si="1"/>
        <v>0</v>
      </c>
      <c r="M11" s="39">
        <f t="shared" si="5"/>
        <v>20000</v>
      </c>
      <c r="N11" s="41">
        <f t="shared" si="2"/>
        <v>1</v>
      </c>
      <c r="O11" s="28"/>
      <c r="P11" s="27">
        <f>Menu!$H$12-(J11+L11)</f>
        <v>8.611111111111111E-2</v>
      </c>
      <c r="Q11" s="43">
        <f t="shared" si="3"/>
        <v>1722.2222222222222</v>
      </c>
      <c r="R11" s="43"/>
      <c r="S11" s="41">
        <f t="shared" si="4"/>
        <v>0</v>
      </c>
      <c r="T11" s="45"/>
    </row>
    <row r="12" spans="1:20" ht="17.45" customHeight="1" x14ac:dyDescent="0.2">
      <c r="A12" s="23" t="s">
        <v>29</v>
      </c>
      <c r="B12" s="23" t="s">
        <v>43</v>
      </c>
      <c r="C12" s="141" t="s">
        <v>44</v>
      </c>
      <c r="D12" s="141"/>
      <c r="E12" s="141"/>
      <c r="F12" s="141"/>
      <c r="G12" s="165">
        <v>80000</v>
      </c>
      <c r="H12" s="166"/>
      <c r="I12" s="31"/>
      <c r="J12" s="40">
        <f t="shared" si="0"/>
        <v>0</v>
      </c>
      <c r="K12" s="31"/>
      <c r="L12" s="40">
        <f t="shared" si="1"/>
        <v>0</v>
      </c>
      <c r="M12" s="38">
        <f t="shared" si="5"/>
        <v>80000</v>
      </c>
      <c r="N12" s="40">
        <f t="shared" si="2"/>
        <v>1</v>
      </c>
      <c r="O12" s="28"/>
      <c r="P12" s="24">
        <f>Menu!$H$12-(J12+L12)</f>
        <v>8.611111111111111E-2</v>
      </c>
      <c r="Q12" s="42">
        <f t="shared" si="3"/>
        <v>6888.8888888888887</v>
      </c>
      <c r="R12" s="42">
        <v>5000</v>
      </c>
      <c r="S12" s="40">
        <f t="shared" si="4"/>
        <v>6.25E-2</v>
      </c>
      <c r="T12" s="44"/>
    </row>
    <row r="13" spans="1:20" ht="17.850000000000001" customHeight="1" x14ac:dyDescent="0.2">
      <c r="A13" s="26" t="s">
        <v>29</v>
      </c>
      <c r="B13" s="26" t="s">
        <v>45</v>
      </c>
      <c r="C13" s="142" t="s">
        <v>45</v>
      </c>
      <c r="D13" s="142"/>
      <c r="E13" s="142"/>
      <c r="F13" s="142"/>
      <c r="G13" s="163">
        <v>42000</v>
      </c>
      <c r="H13" s="164"/>
      <c r="I13" s="33"/>
      <c r="J13" s="41">
        <f t="shared" si="0"/>
        <v>0</v>
      </c>
      <c r="K13" s="37"/>
      <c r="L13" s="41">
        <f t="shared" si="1"/>
        <v>0</v>
      </c>
      <c r="M13" s="39">
        <f t="shared" si="5"/>
        <v>42000</v>
      </c>
      <c r="N13" s="41">
        <f t="shared" si="2"/>
        <v>1</v>
      </c>
      <c r="O13" s="28"/>
      <c r="P13" s="27">
        <f>Menu!$H$12-(J13+L13)</f>
        <v>8.611111111111111E-2</v>
      </c>
      <c r="Q13" s="43">
        <f t="shared" si="3"/>
        <v>3616.6666666666665</v>
      </c>
      <c r="R13" s="43"/>
      <c r="S13" s="41">
        <f t="shared" si="4"/>
        <v>0</v>
      </c>
      <c r="T13" s="45"/>
    </row>
    <row r="14" spans="1:20" s="9" customFormat="1" ht="17.25" customHeight="1" x14ac:dyDescent="0.2">
      <c r="A14" s="11"/>
      <c r="B14" s="11"/>
      <c r="C14" s="172" t="s">
        <v>0</v>
      </c>
      <c r="D14" s="172"/>
      <c r="E14" s="172"/>
      <c r="F14" s="172"/>
      <c r="G14" s="162">
        <f>SUM(G4:H13)</f>
        <v>1016000</v>
      </c>
      <c r="H14" s="162"/>
      <c r="I14" s="17">
        <f>SUM(I4:I13)</f>
        <v>22476</v>
      </c>
      <c r="J14" s="2">
        <f t="shared" si="0"/>
        <v>2.2122047244094487E-2</v>
      </c>
      <c r="K14" s="29">
        <f>SUM(K4:K13)</f>
        <v>26544</v>
      </c>
      <c r="L14" s="2">
        <f t="shared" si="1"/>
        <v>2.6125984251968503E-2</v>
      </c>
      <c r="M14" s="29">
        <f>SUM(M4:M13)</f>
        <v>966980</v>
      </c>
      <c r="N14" s="2">
        <f t="shared" si="2"/>
        <v>0.95175196850393706</v>
      </c>
      <c r="O14" s="30"/>
      <c r="P14" s="19">
        <f>Menu!$H$12-(J14+L14)</f>
        <v>3.7863079615048117E-2</v>
      </c>
      <c r="Q14" s="20">
        <f t="shared" ref="Q14" si="6">G14*P14</f>
        <v>38468.888888888891</v>
      </c>
      <c r="R14" s="13">
        <f>SUM(R4:R13)</f>
        <v>15000</v>
      </c>
      <c r="S14" s="22">
        <f t="shared" si="4"/>
        <v>1.4763779527559055E-2</v>
      </c>
      <c r="T14" s="10"/>
    </row>
    <row r="15" spans="1:20" ht="11.45" customHeight="1" x14ac:dyDescent="0.2">
      <c r="A15" s="1" t="s">
        <v>58</v>
      </c>
    </row>
    <row r="16" spans="1:20" s="9" customFormat="1" ht="27" x14ac:dyDescent="0.2">
      <c r="A16" s="10" t="s">
        <v>1</v>
      </c>
      <c r="B16" s="10" t="s">
        <v>2</v>
      </c>
      <c r="C16" s="139" t="s">
        <v>3</v>
      </c>
      <c r="D16" s="139"/>
      <c r="E16" s="139"/>
      <c r="F16" s="139"/>
      <c r="G16" s="139" t="s">
        <v>28</v>
      </c>
      <c r="H16" s="139"/>
      <c r="I16" s="10" t="s">
        <v>5</v>
      </c>
      <c r="J16" s="10" t="s">
        <v>6</v>
      </c>
      <c r="K16" s="10" t="s">
        <v>7</v>
      </c>
      <c r="L16" s="10" t="s">
        <v>6</v>
      </c>
      <c r="M16" s="10" t="s">
        <v>8</v>
      </c>
      <c r="N16" s="10" t="s">
        <v>6</v>
      </c>
      <c r="O16" s="30"/>
      <c r="P16" s="10" t="s">
        <v>9</v>
      </c>
      <c r="Q16" s="10" t="s">
        <v>10</v>
      </c>
      <c r="R16" s="12" t="s">
        <v>59</v>
      </c>
      <c r="S16" s="12" t="s">
        <v>6</v>
      </c>
      <c r="T16" s="10" t="s">
        <v>11</v>
      </c>
    </row>
    <row r="17" spans="1:20" ht="17.45" customHeight="1" x14ac:dyDescent="0.2">
      <c r="A17" s="23" t="s">
        <v>29</v>
      </c>
      <c r="B17" s="23" t="s">
        <v>46</v>
      </c>
      <c r="C17" s="141" t="s">
        <v>47</v>
      </c>
      <c r="D17" s="141"/>
      <c r="E17" s="141"/>
      <c r="F17" s="141"/>
      <c r="G17" s="160">
        <v>130000</v>
      </c>
      <c r="H17" s="161"/>
      <c r="I17" s="46">
        <v>7340</v>
      </c>
      <c r="J17" s="47">
        <f>(I17/G17)</f>
        <v>5.6461538461538459E-2</v>
      </c>
      <c r="K17" s="48"/>
      <c r="L17" s="47">
        <f>K17/G17</f>
        <v>0</v>
      </c>
      <c r="M17" s="38">
        <f t="shared" ref="M17" si="7">G17-I17-K17</f>
        <v>122660</v>
      </c>
      <c r="N17" s="47">
        <f>M17/G17</f>
        <v>0.94353846153846155</v>
      </c>
      <c r="O17" s="28"/>
      <c r="P17" s="24">
        <f>Menu!$H$12-(J17+L17)</f>
        <v>2.9649572649572652E-2</v>
      </c>
      <c r="Q17" s="42">
        <f>G17*P17</f>
        <v>3854.4444444444448</v>
      </c>
      <c r="R17" s="42"/>
      <c r="S17" s="40">
        <f>R17/G17</f>
        <v>0</v>
      </c>
      <c r="T17" s="44"/>
    </row>
    <row r="18" spans="1:20" s="9" customFormat="1" ht="17.25" customHeight="1" x14ac:dyDescent="0.2">
      <c r="A18" s="11"/>
      <c r="B18" s="11"/>
      <c r="C18" s="172" t="s">
        <v>0</v>
      </c>
      <c r="D18" s="172"/>
      <c r="E18" s="172"/>
      <c r="F18" s="172"/>
      <c r="G18" s="162">
        <f>SUM(G17)</f>
        <v>130000</v>
      </c>
      <c r="H18" s="162"/>
      <c r="I18" s="17">
        <f>SUM(I17)</f>
        <v>7340</v>
      </c>
      <c r="J18" s="2">
        <f>(I18/G18)</f>
        <v>5.6461538461538459E-2</v>
      </c>
      <c r="K18" s="29">
        <f>SUM(K17)</f>
        <v>0</v>
      </c>
      <c r="L18" s="2">
        <f>K18/G18</f>
        <v>0</v>
      </c>
      <c r="M18" s="29">
        <f>SUM(M17)</f>
        <v>122660</v>
      </c>
      <c r="N18" s="2">
        <f>M18/G18</f>
        <v>0.94353846153846155</v>
      </c>
      <c r="O18" s="30"/>
      <c r="P18" s="19">
        <f>Menu!$H$12-(J18+L18)</f>
        <v>2.9649572649572652E-2</v>
      </c>
      <c r="Q18" s="20">
        <f>G18*P18</f>
        <v>3854.4444444444448</v>
      </c>
      <c r="R18" s="13">
        <f>SUM(R17)</f>
        <v>0</v>
      </c>
      <c r="S18" s="22">
        <f>R18/G18</f>
        <v>0</v>
      </c>
      <c r="T18" s="10"/>
    </row>
    <row r="19" spans="1:20" ht="11.45" customHeight="1" x14ac:dyDescent="0.2">
      <c r="A19" s="1" t="s">
        <v>79</v>
      </c>
    </row>
    <row r="20" spans="1:20" s="9" customFormat="1" ht="27" x14ac:dyDescent="0.2">
      <c r="A20" s="10" t="s">
        <v>1</v>
      </c>
      <c r="B20" s="10" t="s">
        <v>2</v>
      </c>
      <c r="C20" s="139" t="s">
        <v>3</v>
      </c>
      <c r="D20" s="139"/>
      <c r="E20" s="139"/>
      <c r="F20" s="139"/>
      <c r="G20" s="139" t="s">
        <v>28</v>
      </c>
      <c r="H20" s="139"/>
      <c r="I20" s="10" t="s">
        <v>5</v>
      </c>
      <c r="J20" s="10" t="s">
        <v>6</v>
      </c>
      <c r="K20" s="10" t="s">
        <v>7</v>
      </c>
      <c r="L20" s="10" t="s">
        <v>6</v>
      </c>
      <c r="M20" s="10" t="s">
        <v>8</v>
      </c>
      <c r="N20" s="10" t="s">
        <v>6</v>
      </c>
      <c r="O20" s="30"/>
      <c r="P20" s="10" t="s">
        <v>9</v>
      </c>
      <c r="Q20" s="10" t="s">
        <v>10</v>
      </c>
      <c r="R20" s="12" t="s">
        <v>59</v>
      </c>
      <c r="S20" s="12" t="s">
        <v>6</v>
      </c>
      <c r="T20" s="10" t="s">
        <v>11</v>
      </c>
    </row>
    <row r="21" spans="1:20" ht="17.45" customHeight="1" x14ac:dyDescent="0.2">
      <c r="A21" s="23" t="s">
        <v>48</v>
      </c>
      <c r="B21" s="23" t="s">
        <v>49</v>
      </c>
      <c r="C21" s="141" t="s">
        <v>50</v>
      </c>
      <c r="D21" s="141"/>
      <c r="E21" s="141"/>
      <c r="F21" s="141"/>
      <c r="G21" s="160">
        <v>80000</v>
      </c>
      <c r="H21" s="161"/>
      <c r="I21" s="46">
        <v>2088</v>
      </c>
      <c r="J21" s="47">
        <f>(I21/G21)</f>
        <v>2.6100000000000002E-2</v>
      </c>
      <c r="K21" s="48"/>
      <c r="L21" s="47">
        <f>K21/G21</f>
        <v>0</v>
      </c>
      <c r="M21" s="38">
        <f t="shared" ref="M21:M24" si="8">G21-I21-K21</f>
        <v>77912</v>
      </c>
      <c r="N21" s="47">
        <f>M21/G21</f>
        <v>0.97389999999999999</v>
      </c>
      <c r="O21" s="28"/>
      <c r="P21" s="24">
        <f>Menu!$H$12-(J21+L21)</f>
        <v>6.0011111111111112E-2</v>
      </c>
      <c r="Q21" s="42">
        <f>G21*P21</f>
        <v>4800.8888888888887</v>
      </c>
      <c r="R21" s="42">
        <v>10000</v>
      </c>
      <c r="S21" s="40">
        <f>R21/G21</f>
        <v>0.125</v>
      </c>
      <c r="T21" s="44"/>
    </row>
    <row r="22" spans="1:20" ht="17.45" customHeight="1" x14ac:dyDescent="0.2">
      <c r="A22" s="26" t="s">
        <v>48</v>
      </c>
      <c r="B22" s="26" t="s">
        <v>51</v>
      </c>
      <c r="C22" s="142" t="s">
        <v>52</v>
      </c>
      <c r="D22" s="142"/>
      <c r="E22" s="142"/>
      <c r="F22" s="142"/>
      <c r="G22" s="168">
        <v>180000</v>
      </c>
      <c r="H22" s="169"/>
      <c r="I22" s="32">
        <v>17052</v>
      </c>
      <c r="J22" s="49">
        <f>(I22/G22)</f>
        <v>9.4733333333333336E-2</v>
      </c>
      <c r="K22" s="37"/>
      <c r="L22" s="49">
        <f>K22/G22</f>
        <v>0</v>
      </c>
      <c r="M22" s="39">
        <f>G22-I22-K22</f>
        <v>162948</v>
      </c>
      <c r="N22" s="49">
        <f>M22/G22</f>
        <v>0.90526666666666666</v>
      </c>
      <c r="O22" s="28"/>
      <c r="P22" s="27">
        <f>Menu!$H$12-(J22+L22)</f>
        <v>-8.6222222222222256E-3</v>
      </c>
      <c r="Q22" s="43">
        <f>G22*P22</f>
        <v>-1552.0000000000007</v>
      </c>
      <c r="R22" s="43"/>
      <c r="S22" s="41">
        <f>R22/G22</f>
        <v>0</v>
      </c>
      <c r="T22" s="45"/>
    </row>
    <row r="23" spans="1:20" ht="17.45" customHeight="1" x14ac:dyDescent="0.2">
      <c r="A23" s="23" t="s">
        <v>48</v>
      </c>
      <c r="B23" s="23" t="s">
        <v>53</v>
      </c>
      <c r="C23" s="141" t="s">
        <v>54</v>
      </c>
      <c r="D23" s="141"/>
      <c r="E23" s="141"/>
      <c r="F23" s="141"/>
      <c r="G23" s="165">
        <v>190000</v>
      </c>
      <c r="H23" s="166"/>
      <c r="I23" s="35">
        <v>22923</v>
      </c>
      <c r="J23" s="47">
        <f>(I23/G23)</f>
        <v>0.12064736842105263</v>
      </c>
      <c r="K23" s="31"/>
      <c r="L23" s="47">
        <f>K23/G23</f>
        <v>0</v>
      </c>
      <c r="M23" s="38">
        <f t="shared" si="8"/>
        <v>167077</v>
      </c>
      <c r="N23" s="47">
        <f>M23/G23</f>
        <v>0.87935263157894739</v>
      </c>
      <c r="O23" s="28"/>
      <c r="P23" s="24">
        <f>Menu!$H$12-(J23+L23)</f>
        <v>-3.4536257309941518E-2</v>
      </c>
      <c r="Q23" s="42">
        <f>G23*P23</f>
        <v>-6561.8888888888887</v>
      </c>
      <c r="R23" s="42">
        <v>20000</v>
      </c>
      <c r="S23" s="40">
        <f>R23/G23</f>
        <v>0.10526315789473684</v>
      </c>
      <c r="T23" s="44"/>
    </row>
    <row r="24" spans="1:20" ht="17.850000000000001" customHeight="1" x14ac:dyDescent="0.2">
      <c r="A24" s="26" t="s">
        <v>48</v>
      </c>
      <c r="B24" s="26" t="s">
        <v>55</v>
      </c>
      <c r="C24" s="142" t="s">
        <v>56</v>
      </c>
      <c r="D24" s="142"/>
      <c r="E24" s="142"/>
      <c r="F24" s="142"/>
      <c r="G24" s="168">
        <v>40000</v>
      </c>
      <c r="H24" s="169"/>
      <c r="I24" s="36">
        <v>704</v>
      </c>
      <c r="J24" s="49">
        <f>(I24/G24)</f>
        <v>1.7600000000000001E-2</v>
      </c>
      <c r="K24" s="37"/>
      <c r="L24" s="49">
        <f>K24/G24</f>
        <v>0</v>
      </c>
      <c r="M24" s="39">
        <f t="shared" si="8"/>
        <v>39296</v>
      </c>
      <c r="N24" s="49">
        <f>M24/G24</f>
        <v>0.98240000000000005</v>
      </c>
      <c r="O24" s="28"/>
      <c r="P24" s="27">
        <f>Menu!$H$12-(J24+L24)</f>
        <v>6.8511111111111106E-2</v>
      </c>
      <c r="Q24" s="43">
        <f>G24*P24</f>
        <v>2740.4444444444443</v>
      </c>
      <c r="R24" s="43"/>
      <c r="S24" s="41">
        <f>R24/G24</f>
        <v>0</v>
      </c>
      <c r="T24" s="45"/>
    </row>
    <row r="25" spans="1:20" s="9" customFormat="1" ht="17.25" customHeight="1" x14ac:dyDescent="0.2">
      <c r="A25" s="11"/>
      <c r="B25" s="11"/>
      <c r="C25" s="11"/>
      <c r="D25" s="175" t="s">
        <v>77</v>
      </c>
      <c r="E25" s="172"/>
      <c r="F25" s="172"/>
      <c r="G25" s="167">
        <f>+SUM(G21:H24)</f>
        <v>490000</v>
      </c>
      <c r="H25" s="167"/>
      <c r="I25" s="17">
        <f>+SUM(I21:I24)</f>
        <v>42767</v>
      </c>
      <c r="J25" s="2">
        <f>(I25/G25)</f>
        <v>8.7279591836734699E-2</v>
      </c>
      <c r="K25" s="3">
        <f>SUM(K21:K24)</f>
        <v>0</v>
      </c>
      <c r="L25" s="2">
        <f>K25/G25</f>
        <v>0</v>
      </c>
      <c r="M25" s="29">
        <f>SUM(M21:M24)</f>
        <v>447233</v>
      </c>
      <c r="N25" s="2">
        <f>M25/G25</f>
        <v>0.91272040816326527</v>
      </c>
      <c r="O25" s="30"/>
      <c r="P25" s="19">
        <f>Menu!$H$12-(J25+L25)</f>
        <v>-1.1684807256235885E-3</v>
      </c>
      <c r="Q25" s="20">
        <f>G25*P25</f>
        <v>-572.55555555555839</v>
      </c>
      <c r="R25" s="13">
        <f>SUM(R21:R24)</f>
        <v>30000</v>
      </c>
      <c r="S25" s="22">
        <f>R25/G25</f>
        <v>6.1224489795918366E-2</v>
      </c>
      <c r="T25" s="10"/>
    </row>
    <row r="26" spans="1:20" ht="11.45" customHeight="1" x14ac:dyDescent="0.2">
      <c r="A26" s="1" t="s">
        <v>80</v>
      </c>
    </row>
    <row r="27" spans="1:20" s="9" customFormat="1" ht="27" x14ac:dyDescent="0.2">
      <c r="A27" s="10" t="s">
        <v>1</v>
      </c>
      <c r="B27" s="10" t="s">
        <v>2</v>
      </c>
      <c r="C27" s="139" t="s">
        <v>3</v>
      </c>
      <c r="D27" s="139"/>
      <c r="E27" s="139"/>
      <c r="F27" s="139"/>
      <c r="G27" s="139" t="s">
        <v>28</v>
      </c>
      <c r="H27" s="139"/>
      <c r="I27" s="10" t="s">
        <v>5</v>
      </c>
      <c r="J27" s="10" t="s">
        <v>6</v>
      </c>
      <c r="K27" s="10" t="s">
        <v>7</v>
      </c>
      <c r="L27" s="10" t="s">
        <v>6</v>
      </c>
      <c r="M27" s="10" t="s">
        <v>8</v>
      </c>
      <c r="N27" s="10" t="s">
        <v>6</v>
      </c>
      <c r="O27" s="30"/>
      <c r="P27" s="10" t="s">
        <v>9</v>
      </c>
      <c r="Q27" s="10" t="s">
        <v>10</v>
      </c>
      <c r="R27" s="12" t="s">
        <v>59</v>
      </c>
      <c r="S27" s="12" t="s">
        <v>6</v>
      </c>
      <c r="T27" s="10" t="s">
        <v>11</v>
      </c>
    </row>
    <row r="28" spans="1:20" ht="17.45" customHeight="1" x14ac:dyDescent="0.2">
      <c r="A28" s="23" t="s">
        <v>57</v>
      </c>
      <c r="B28" s="23" t="s">
        <v>51</v>
      </c>
      <c r="C28" s="141" t="s">
        <v>52</v>
      </c>
      <c r="D28" s="141"/>
      <c r="E28" s="141"/>
      <c r="F28" s="141"/>
      <c r="G28" s="165">
        <v>225000</v>
      </c>
      <c r="H28" s="171"/>
      <c r="I28" s="35">
        <v>16546</v>
      </c>
      <c r="J28" s="47">
        <f>(I28/G28)</f>
        <v>7.3537777777777771E-2</v>
      </c>
      <c r="K28" s="31"/>
      <c r="L28" s="47">
        <f>K28/G28</f>
        <v>0</v>
      </c>
      <c r="M28" s="38">
        <f t="shared" ref="M28:M31" si="9">G28-I28-K28</f>
        <v>208454</v>
      </c>
      <c r="N28" s="47">
        <f>M28/G28</f>
        <v>0.92646222222222219</v>
      </c>
      <c r="O28" s="28"/>
      <c r="P28" s="24">
        <f>Menu!$H$12-(J28+L28)</f>
        <v>1.2573333333333339E-2</v>
      </c>
      <c r="Q28" s="42">
        <f>G28*P28</f>
        <v>2829.0000000000014</v>
      </c>
      <c r="R28" s="42"/>
      <c r="S28" s="40">
        <f>R28/G28</f>
        <v>0</v>
      </c>
      <c r="T28" s="44"/>
    </row>
    <row r="29" spans="1:20" ht="17.45" customHeight="1" x14ac:dyDescent="0.2">
      <c r="A29" s="26" t="s">
        <v>57</v>
      </c>
      <c r="B29" s="26" t="s">
        <v>53</v>
      </c>
      <c r="C29" s="142" t="s">
        <v>54</v>
      </c>
      <c r="D29" s="142"/>
      <c r="E29" s="142"/>
      <c r="F29" s="142"/>
      <c r="G29" s="163">
        <v>187000</v>
      </c>
      <c r="H29" s="170"/>
      <c r="I29" s="32">
        <v>24016</v>
      </c>
      <c r="J29" s="49">
        <f>(I29/G29)</f>
        <v>0.12842780748663102</v>
      </c>
      <c r="K29" s="37"/>
      <c r="L29" s="49">
        <f>K29/G29</f>
        <v>0</v>
      </c>
      <c r="M29" s="39">
        <f t="shared" si="9"/>
        <v>162984</v>
      </c>
      <c r="N29" s="49">
        <f>M29/G29</f>
        <v>0.87157219251336904</v>
      </c>
      <c r="O29" s="28"/>
      <c r="P29" s="27">
        <f>Menu!$H$12-(J29+L29)</f>
        <v>-4.2316696375519908E-2</v>
      </c>
      <c r="Q29" s="43">
        <f>G29*P29</f>
        <v>-7913.2222222222226</v>
      </c>
      <c r="R29" s="43">
        <v>17000</v>
      </c>
      <c r="S29" s="41">
        <f>R29/G29</f>
        <v>9.0909090909090912E-2</v>
      </c>
      <c r="T29" s="51"/>
    </row>
    <row r="30" spans="1:20" ht="17.45" customHeight="1" x14ac:dyDescent="0.2">
      <c r="A30" s="23" t="s">
        <v>57</v>
      </c>
      <c r="B30" s="23" t="s">
        <v>55</v>
      </c>
      <c r="C30" s="141" t="s">
        <v>56</v>
      </c>
      <c r="D30" s="141"/>
      <c r="E30" s="141"/>
      <c r="F30" s="141"/>
      <c r="G30" s="165">
        <v>60000</v>
      </c>
      <c r="H30" s="171"/>
      <c r="I30" s="35">
        <v>2569</v>
      </c>
      <c r="J30" s="47">
        <f>(I30/G30)</f>
        <v>4.281666666666667E-2</v>
      </c>
      <c r="K30" s="50">
        <v>86</v>
      </c>
      <c r="L30" s="47">
        <f>K30/G30</f>
        <v>1.4333333333333333E-3</v>
      </c>
      <c r="M30" s="38">
        <f t="shared" si="9"/>
        <v>57345</v>
      </c>
      <c r="N30" s="47">
        <f>M30/G30</f>
        <v>0.95574999999999999</v>
      </c>
      <c r="O30" s="28"/>
      <c r="P30" s="24">
        <f>Menu!$H$12-(J30+L30)</f>
        <v>4.1861111111111106E-2</v>
      </c>
      <c r="Q30" s="42">
        <f>G30*P30</f>
        <v>2511.6666666666665</v>
      </c>
      <c r="R30" s="42">
        <v>5000</v>
      </c>
      <c r="S30" s="40">
        <f>R30/G30</f>
        <v>8.3333333333333329E-2</v>
      </c>
      <c r="T30" s="44"/>
    </row>
    <row r="31" spans="1:20" ht="17.850000000000001" customHeight="1" x14ac:dyDescent="0.2">
      <c r="A31" s="26" t="s">
        <v>57</v>
      </c>
      <c r="B31" s="26" t="s">
        <v>49</v>
      </c>
      <c r="C31" s="142" t="s">
        <v>50</v>
      </c>
      <c r="D31" s="142"/>
      <c r="E31" s="142"/>
      <c r="F31" s="142"/>
      <c r="G31" s="163">
        <v>120000</v>
      </c>
      <c r="H31" s="170"/>
      <c r="I31" s="34">
        <v>4250</v>
      </c>
      <c r="J31" s="49">
        <f>(I31/G31)</f>
        <v>3.5416666666666666E-2</v>
      </c>
      <c r="K31" s="37"/>
      <c r="L31" s="49">
        <f>K31/G31</f>
        <v>0</v>
      </c>
      <c r="M31" s="39">
        <f t="shared" si="9"/>
        <v>115750</v>
      </c>
      <c r="N31" s="49">
        <f>M31/G31</f>
        <v>0.96458333333333335</v>
      </c>
      <c r="O31" s="28"/>
      <c r="P31" s="27">
        <f>Menu!$H$12-(J31+L31)</f>
        <v>5.0694444444444445E-2</v>
      </c>
      <c r="Q31" s="43">
        <f>G31*P31</f>
        <v>6083.333333333333</v>
      </c>
      <c r="R31" s="43">
        <v>10000</v>
      </c>
      <c r="S31" s="41">
        <f>R31/G31</f>
        <v>8.3333333333333329E-2</v>
      </c>
      <c r="T31" s="51"/>
    </row>
    <row r="32" spans="1:20" s="9" customFormat="1" ht="17.25" customHeight="1" x14ac:dyDescent="0.2">
      <c r="A32" s="11"/>
      <c r="B32" s="11"/>
      <c r="C32" s="11"/>
      <c r="D32" s="173" t="s">
        <v>78</v>
      </c>
      <c r="E32" s="174"/>
      <c r="F32" s="174"/>
      <c r="G32" s="167">
        <f>+SUM(G28:H31)</f>
        <v>592000</v>
      </c>
      <c r="H32" s="167"/>
      <c r="I32" s="17">
        <f>+SUM(I28:I31)</f>
        <v>47381</v>
      </c>
      <c r="J32" s="2">
        <f>(I32/G32)</f>
        <v>8.0035472972972976E-2</v>
      </c>
      <c r="K32" s="3">
        <f>SUM(K28:K31)</f>
        <v>86</v>
      </c>
      <c r="L32" s="2">
        <f>K32/G32</f>
        <v>1.4527027027027027E-4</v>
      </c>
      <c r="M32" s="29">
        <f>SUM(M28:M31)</f>
        <v>544533</v>
      </c>
      <c r="N32" s="2">
        <f>M32/G32</f>
        <v>0.9198192567567568</v>
      </c>
      <c r="O32" s="30"/>
      <c r="P32" s="19">
        <f>Menu!$H$12-(J32+L32)</f>
        <v>5.9303678678678667E-3</v>
      </c>
      <c r="Q32" s="20">
        <f>G32*P32</f>
        <v>3510.7777777777769</v>
      </c>
      <c r="R32" s="13">
        <f>SUM(R28:R31)</f>
        <v>32000</v>
      </c>
      <c r="S32" s="22">
        <f>R32/G32</f>
        <v>5.4054054054054057E-2</v>
      </c>
      <c r="T32" s="10"/>
    </row>
  </sheetData>
  <mergeCells count="55">
    <mergeCell ref="A1:T1"/>
    <mergeCell ref="C3:F3"/>
    <mergeCell ref="G3:H3"/>
    <mergeCell ref="C10:F10"/>
    <mergeCell ref="G10:H10"/>
    <mergeCell ref="C4:F4"/>
    <mergeCell ref="G4:H4"/>
    <mergeCell ref="C5:F5"/>
    <mergeCell ref="G5:H5"/>
    <mergeCell ref="G8:H8"/>
    <mergeCell ref="G7:H7"/>
    <mergeCell ref="G6:H6"/>
    <mergeCell ref="C11:F11"/>
    <mergeCell ref="C8:F8"/>
    <mergeCell ref="C9:F9"/>
    <mergeCell ref="C6:F6"/>
    <mergeCell ref="C7:F7"/>
    <mergeCell ref="C14:F14"/>
    <mergeCell ref="C17:F17"/>
    <mergeCell ref="C16:F16"/>
    <mergeCell ref="C12:F12"/>
    <mergeCell ref="C13:F13"/>
    <mergeCell ref="C18:F18"/>
    <mergeCell ref="C31:F31"/>
    <mergeCell ref="D32:F32"/>
    <mergeCell ref="C29:F29"/>
    <mergeCell ref="C30:F30"/>
    <mergeCell ref="D25:F25"/>
    <mergeCell ref="C28:F28"/>
    <mergeCell ref="C27:F27"/>
    <mergeCell ref="C23:F23"/>
    <mergeCell ref="C24:F24"/>
    <mergeCell ref="C21:F21"/>
    <mergeCell ref="C22:F22"/>
    <mergeCell ref="C20:F20"/>
    <mergeCell ref="G32:H32"/>
    <mergeCell ref="G31:H31"/>
    <mergeCell ref="G30:H30"/>
    <mergeCell ref="G29:H29"/>
    <mergeCell ref="G28:H28"/>
    <mergeCell ref="G27:H27"/>
    <mergeCell ref="G25:H25"/>
    <mergeCell ref="G24:H24"/>
    <mergeCell ref="G23:H23"/>
    <mergeCell ref="G22:H22"/>
    <mergeCell ref="G21:H21"/>
    <mergeCell ref="G20:H20"/>
    <mergeCell ref="G17:H17"/>
    <mergeCell ref="G18:H18"/>
    <mergeCell ref="G9:H9"/>
    <mergeCell ref="G16:H16"/>
    <mergeCell ref="G14:H14"/>
    <mergeCell ref="G13:H13"/>
    <mergeCell ref="G12:H12"/>
    <mergeCell ref="G11:H11"/>
  </mergeCells>
  <conditionalFormatting sqref="P4:Q14">
    <cfRule type="cellIs" dxfId="19" priority="7" operator="greaterThan">
      <formula>0</formula>
    </cfRule>
    <cfRule type="cellIs" dxfId="18" priority="8" operator="lessThan">
      <formula>0</formula>
    </cfRule>
  </conditionalFormatting>
  <conditionalFormatting sqref="P17:Q18">
    <cfRule type="cellIs" dxfId="17" priority="5" operator="greaterThan">
      <formula>0</formula>
    </cfRule>
    <cfRule type="cellIs" dxfId="16" priority="6" operator="lessThan">
      <formula>0</formula>
    </cfRule>
  </conditionalFormatting>
  <conditionalFormatting sqref="P21:Q25">
    <cfRule type="cellIs" dxfId="15" priority="3" operator="greaterThan">
      <formula>0</formula>
    </cfRule>
    <cfRule type="cellIs" dxfId="14" priority="4" operator="lessThan">
      <formula>0</formula>
    </cfRule>
  </conditionalFormatting>
  <conditionalFormatting sqref="P28:Q32">
    <cfRule type="cellIs" dxfId="13" priority="1" operator="greaterThan">
      <formula>0</formula>
    </cfRule>
    <cfRule type="cellIs" dxfId="12" priority="2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D3E1ED"/>
  </sheetPr>
  <dimension ref="A1:S38"/>
  <sheetViews>
    <sheetView topLeftCell="A19" zoomScale="85" zoomScaleNormal="85" workbookViewId="0">
      <selection activeCell="F8" sqref="F8"/>
    </sheetView>
  </sheetViews>
  <sheetFormatPr baseColWidth="10" defaultColWidth="9.33203125" defaultRowHeight="13.5" x14ac:dyDescent="0.2"/>
  <cols>
    <col min="1" max="1" width="9.33203125" style="98" customWidth="1"/>
    <col min="2" max="2" width="2.5" style="98" customWidth="1"/>
    <col min="3" max="3" width="5.1640625" style="98" customWidth="1"/>
    <col min="4" max="4" width="3.83203125" style="98" customWidth="1"/>
    <col min="5" max="5" width="12.1640625" style="98" customWidth="1"/>
    <col min="6" max="6" width="37.83203125" style="98" customWidth="1"/>
    <col min="7" max="7" width="13.5" style="98" customWidth="1"/>
    <col min="8" max="8" width="13.1640625" style="98" customWidth="1"/>
    <col min="9" max="9" width="7" style="98" bestFit="1" customWidth="1"/>
    <col min="10" max="10" width="11.33203125" style="98" customWidth="1"/>
    <col min="11" max="11" width="6" style="98" bestFit="1" customWidth="1"/>
    <col min="12" max="12" width="16" style="98" customWidth="1"/>
    <col min="13" max="13" width="8" style="98" bestFit="1" customWidth="1"/>
    <col min="14" max="14" width="1.33203125" style="98" customWidth="1"/>
    <col min="15" max="17" width="18.83203125" style="98" customWidth="1"/>
    <col min="18" max="18" width="7" style="98" bestFit="1" customWidth="1"/>
    <col min="19" max="19" width="40.1640625" style="98" customWidth="1"/>
    <col min="20" max="16384" width="9.33203125" style="98"/>
  </cols>
  <sheetData>
    <row r="1" spans="1:19" ht="11.45" customHeight="1" x14ac:dyDescent="0.2">
      <c r="A1" s="97" t="s">
        <v>119</v>
      </c>
    </row>
    <row r="2" spans="1:19" s="102" customFormat="1" ht="27" x14ac:dyDescent="0.2">
      <c r="A2" s="99" t="s">
        <v>1</v>
      </c>
      <c r="B2" s="179" t="s">
        <v>2</v>
      </c>
      <c r="C2" s="179"/>
      <c r="D2" s="179"/>
      <c r="E2" s="179" t="s">
        <v>3</v>
      </c>
      <c r="F2" s="179"/>
      <c r="G2" s="99" t="s">
        <v>4</v>
      </c>
      <c r="H2" s="99" t="s">
        <v>5</v>
      </c>
      <c r="I2" s="99" t="s">
        <v>6</v>
      </c>
      <c r="J2" s="99" t="s">
        <v>7</v>
      </c>
      <c r="K2" s="99" t="s">
        <v>6</v>
      </c>
      <c r="L2" s="99" t="s">
        <v>8</v>
      </c>
      <c r="M2" s="99" t="s">
        <v>6</v>
      </c>
      <c r="N2" s="100"/>
      <c r="O2" s="101" t="s">
        <v>22</v>
      </c>
      <c r="P2" s="101" t="s">
        <v>23</v>
      </c>
      <c r="Q2" s="101" t="s">
        <v>59</v>
      </c>
      <c r="R2" s="101" t="s">
        <v>6</v>
      </c>
      <c r="S2" s="101" t="s">
        <v>11</v>
      </c>
    </row>
    <row r="3" spans="1:19" ht="17.45" customHeight="1" x14ac:dyDescent="0.2">
      <c r="A3" s="103" t="s">
        <v>81</v>
      </c>
      <c r="B3" s="180" t="s">
        <v>49</v>
      </c>
      <c r="C3" s="180"/>
      <c r="D3" s="180"/>
      <c r="E3" s="180" t="s">
        <v>50</v>
      </c>
      <c r="F3" s="180"/>
      <c r="G3" s="104">
        <v>120000</v>
      </c>
      <c r="H3" s="104">
        <v>23090</v>
      </c>
      <c r="I3" s="105">
        <f>(H3/G3)</f>
        <v>0.19241666666666668</v>
      </c>
      <c r="J3" s="106"/>
      <c r="K3" s="105">
        <f>J3/G3</f>
        <v>0</v>
      </c>
      <c r="L3" s="107">
        <f>G3-H3-J3</f>
        <v>96910</v>
      </c>
      <c r="M3" s="105">
        <f>L3/G3</f>
        <v>0.80758333333333332</v>
      </c>
      <c r="N3" s="108"/>
      <c r="O3" s="109">
        <f>[1]Menu!$H$12-(I3+K3)</f>
        <v>-0.10630555555555557</v>
      </c>
      <c r="P3" s="110">
        <f>G3*O3</f>
        <v>-12756.666666666668</v>
      </c>
      <c r="Q3" s="110">
        <v>15000</v>
      </c>
      <c r="R3" s="105">
        <f>Q3/G3</f>
        <v>0.125</v>
      </c>
      <c r="S3" s="111"/>
    </row>
    <row r="4" spans="1:19" ht="17.45" customHeight="1" x14ac:dyDescent="0.2">
      <c r="A4" s="112" t="s">
        <v>81</v>
      </c>
      <c r="B4" s="181" t="s">
        <v>53</v>
      </c>
      <c r="C4" s="181"/>
      <c r="D4" s="181"/>
      <c r="E4" s="181" t="s">
        <v>54</v>
      </c>
      <c r="F4" s="181"/>
      <c r="G4" s="113">
        <v>224000</v>
      </c>
      <c r="H4" s="113">
        <v>57537</v>
      </c>
      <c r="I4" s="114">
        <f t="shared" ref="I4:I6" si="0">(H4/G4)</f>
        <v>0.25686160714285716</v>
      </c>
      <c r="J4" s="115"/>
      <c r="K4" s="114">
        <f t="shared" ref="K4:K6" si="1">J4/G4</f>
        <v>0</v>
      </c>
      <c r="L4" s="116">
        <f t="shared" ref="L4:L6" si="2">G4-H4-J4</f>
        <v>166463</v>
      </c>
      <c r="M4" s="114">
        <f t="shared" ref="M4:M6" si="3">L4/G4</f>
        <v>0.74313839285714289</v>
      </c>
      <c r="N4" s="108"/>
      <c r="O4" s="117">
        <f>[1]Menu!$H$12-(I4+K4)</f>
        <v>-0.17075049603174605</v>
      </c>
      <c r="P4" s="118">
        <f t="shared" ref="P4:P7" si="4">G4*O4</f>
        <v>-38248.111111111117</v>
      </c>
      <c r="Q4" s="118">
        <v>34000</v>
      </c>
      <c r="R4" s="114">
        <f t="shared" ref="R4:R7" si="5">Q4/G4</f>
        <v>0.15178571428571427</v>
      </c>
      <c r="S4" s="119"/>
    </row>
    <row r="5" spans="1:19" ht="17.45" customHeight="1" x14ac:dyDescent="0.2">
      <c r="A5" s="103" t="s">
        <v>81</v>
      </c>
      <c r="B5" s="180" t="s">
        <v>51</v>
      </c>
      <c r="C5" s="180"/>
      <c r="D5" s="180"/>
      <c r="E5" s="180" t="s">
        <v>52</v>
      </c>
      <c r="F5" s="180"/>
      <c r="G5" s="120">
        <v>225000</v>
      </c>
      <c r="H5" s="120">
        <v>38585</v>
      </c>
      <c r="I5" s="105">
        <f t="shared" si="0"/>
        <v>0.17148888888888889</v>
      </c>
      <c r="J5" s="121"/>
      <c r="K5" s="105">
        <f t="shared" si="1"/>
        <v>0</v>
      </c>
      <c r="L5" s="107">
        <f t="shared" si="2"/>
        <v>186415</v>
      </c>
      <c r="M5" s="105">
        <f t="shared" si="3"/>
        <v>0.82851111111111109</v>
      </c>
      <c r="N5" s="108"/>
      <c r="O5" s="109">
        <f>[1]Menu!$H$12-(I5+K5)</f>
        <v>-8.5377777777777775E-2</v>
      </c>
      <c r="P5" s="110">
        <f t="shared" si="4"/>
        <v>-19210</v>
      </c>
      <c r="Q5" s="110"/>
      <c r="R5" s="105">
        <f t="shared" si="5"/>
        <v>0</v>
      </c>
      <c r="S5" s="111"/>
    </row>
    <row r="6" spans="1:19" ht="17.850000000000001" customHeight="1" x14ac:dyDescent="0.2">
      <c r="A6" s="112" t="s">
        <v>81</v>
      </c>
      <c r="B6" s="181" t="s">
        <v>55</v>
      </c>
      <c r="C6" s="181"/>
      <c r="D6" s="181"/>
      <c r="E6" s="181" t="s">
        <v>56</v>
      </c>
      <c r="F6" s="181"/>
      <c r="G6" s="113">
        <v>70000</v>
      </c>
      <c r="H6" s="113">
        <v>1544</v>
      </c>
      <c r="I6" s="114">
        <f t="shared" si="0"/>
        <v>2.2057142857142858E-2</v>
      </c>
      <c r="J6" s="115"/>
      <c r="K6" s="114">
        <f t="shared" si="1"/>
        <v>0</v>
      </c>
      <c r="L6" s="116">
        <f t="shared" si="2"/>
        <v>68456</v>
      </c>
      <c r="M6" s="114">
        <f t="shared" si="3"/>
        <v>0.97794285714285711</v>
      </c>
      <c r="N6" s="108"/>
      <c r="O6" s="117">
        <f>[1]Menu!$H$12-(I6+K6)</f>
        <v>6.4053968253968252E-2</v>
      </c>
      <c r="P6" s="118">
        <f t="shared" si="4"/>
        <v>4483.7777777777774</v>
      </c>
      <c r="Q6" s="118">
        <v>5000</v>
      </c>
      <c r="R6" s="114">
        <f t="shared" si="5"/>
        <v>7.1428571428571425E-2</v>
      </c>
      <c r="S6" s="119"/>
    </row>
    <row r="7" spans="1:19" s="102" customFormat="1" ht="17.25" customHeight="1" x14ac:dyDescent="0.2">
      <c r="A7" s="122"/>
      <c r="B7" s="176"/>
      <c r="C7" s="176"/>
      <c r="D7" s="176"/>
      <c r="E7" s="122"/>
      <c r="F7" s="133" t="s">
        <v>120</v>
      </c>
      <c r="G7" s="123">
        <f>SUM(G3:G6)</f>
        <v>639000</v>
      </c>
      <c r="H7" s="123">
        <f>SUM(H3:H6)</f>
        <v>120756</v>
      </c>
      <c r="I7" s="124">
        <f>(H7/G7)</f>
        <v>0.18897652582159624</v>
      </c>
      <c r="J7" s="125">
        <f>SUM(J3:J6)</f>
        <v>0</v>
      </c>
      <c r="K7" s="124">
        <f>J7/G7</f>
        <v>0</v>
      </c>
      <c r="L7" s="125">
        <f>SUM(L3:L6)</f>
        <v>518244</v>
      </c>
      <c r="M7" s="18">
        <f>L7/G7</f>
        <v>0.8110234741784037</v>
      </c>
      <c r="N7" s="30"/>
      <c r="O7" s="126">
        <f>[1]Menu!$H$12-(I7+K7)</f>
        <v>-0.10286541471048513</v>
      </c>
      <c r="P7" s="127">
        <f t="shared" si="4"/>
        <v>-65731</v>
      </c>
      <c r="Q7" s="123">
        <f>SUM(Q3:Q6)</f>
        <v>54000</v>
      </c>
      <c r="R7" s="128">
        <f t="shared" si="5"/>
        <v>8.4507042253521125E-2</v>
      </c>
      <c r="S7" s="99"/>
    </row>
    <row r="8" spans="1:19" ht="11.45" customHeight="1" x14ac:dyDescent="0.2">
      <c r="A8" s="97" t="s">
        <v>82</v>
      </c>
    </row>
    <row r="9" spans="1:19" s="102" customFormat="1" ht="27" x14ac:dyDescent="0.2">
      <c r="A9" s="99" t="s">
        <v>1</v>
      </c>
      <c r="B9" s="179" t="s">
        <v>2</v>
      </c>
      <c r="C9" s="179"/>
      <c r="D9" s="179"/>
      <c r="E9" s="179" t="s">
        <v>3</v>
      </c>
      <c r="F9" s="179"/>
      <c r="G9" s="99" t="s">
        <v>4</v>
      </c>
      <c r="H9" s="99" t="s">
        <v>5</v>
      </c>
      <c r="I9" s="99" t="s">
        <v>6</v>
      </c>
      <c r="J9" s="99" t="s">
        <v>7</v>
      </c>
      <c r="K9" s="99" t="s">
        <v>6</v>
      </c>
      <c r="L9" s="99" t="s">
        <v>8</v>
      </c>
      <c r="M9" s="99" t="s">
        <v>6</v>
      </c>
      <c r="N9" s="100"/>
      <c r="O9" s="101" t="s">
        <v>22</v>
      </c>
      <c r="P9" s="101" t="s">
        <v>23</v>
      </c>
      <c r="Q9" s="101" t="s">
        <v>59</v>
      </c>
      <c r="R9" s="101" t="s">
        <v>6</v>
      </c>
      <c r="S9" s="101" t="s">
        <v>11</v>
      </c>
    </row>
    <row r="10" spans="1:19" ht="17.45" customHeight="1" x14ac:dyDescent="0.2">
      <c r="A10" s="103" t="s">
        <v>83</v>
      </c>
      <c r="B10" s="180" t="s">
        <v>49</v>
      </c>
      <c r="C10" s="180"/>
      <c r="D10" s="180"/>
      <c r="E10" s="180" t="s">
        <v>50</v>
      </c>
      <c r="F10" s="180"/>
      <c r="G10" s="104">
        <v>50000</v>
      </c>
      <c r="H10" s="104">
        <v>2640</v>
      </c>
      <c r="I10" s="105">
        <f>(H10/G10)</f>
        <v>5.28E-2</v>
      </c>
      <c r="J10" s="106"/>
      <c r="K10" s="105">
        <f>J10/G10</f>
        <v>0</v>
      </c>
      <c r="L10" s="107">
        <f>G10-H10-J10</f>
        <v>47360</v>
      </c>
      <c r="M10" s="105">
        <f>L10/G10</f>
        <v>0.94720000000000004</v>
      </c>
      <c r="N10" s="108"/>
      <c r="O10" s="109">
        <f>[1]Menu!$H$12-(I10+K10)</f>
        <v>3.3311111111111111E-2</v>
      </c>
      <c r="P10" s="110">
        <f>G10*O10</f>
        <v>1665.5555555555554</v>
      </c>
      <c r="Q10" s="110">
        <v>5000</v>
      </c>
      <c r="R10" s="105">
        <f>Q10/G10</f>
        <v>0.1</v>
      </c>
      <c r="S10" s="111"/>
    </row>
    <row r="11" spans="1:19" ht="17.45" customHeight="1" x14ac:dyDescent="0.2">
      <c r="A11" s="112" t="s">
        <v>83</v>
      </c>
      <c r="B11" s="181" t="s">
        <v>84</v>
      </c>
      <c r="C11" s="181"/>
      <c r="D11" s="181"/>
      <c r="E11" s="181" t="s">
        <v>85</v>
      </c>
      <c r="F11" s="181"/>
      <c r="G11" s="129">
        <v>525000</v>
      </c>
      <c r="H11" s="113">
        <v>58832</v>
      </c>
      <c r="I11" s="114">
        <f t="shared" ref="I11:I30" si="6">(H11/G11)</f>
        <v>0.11206095238095239</v>
      </c>
      <c r="J11" s="113">
        <v>2584</v>
      </c>
      <c r="K11" s="114">
        <f t="shared" ref="K11:K30" si="7">J11/G11</f>
        <v>4.9219047619047619E-3</v>
      </c>
      <c r="L11" s="116">
        <f>G11-H11-J11</f>
        <v>463584</v>
      </c>
      <c r="M11" s="114">
        <f t="shared" ref="M11:M30" si="8">L11/G11</f>
        <v>0.88301714285714283</v>
      </c>
      <c r="N11" s="108"/>
      <c r="O11" s="117">
        <f>[1]Menu!$H$12-(I11+K11)</f>
        <v>-3.0871746031746042E-2</v>
      </c>
      <c r="P11" s="118">
        <f t="shared" ref="P11:P31" si="9">G11*O11</f>
        <v>-16207.666666666672</v>
      </c>
      <c r="Q11" s="118">
        <v>25000</v>
      </c>
      <c r="R11" s="114">
        <f t="shared" ref="R11:R31" si="10">Q11/G11</f>
        <v>4.7619047619047616E-2</v>
      </c>
      <c r="S11" s="119"/>
    </row>
    <row r="12" spans="1:19" ht="17.45" customHeight="1" x14ac:dyDescent="0.2">
      <c r="A12" s="103" t="s">
        <v>83</v>
      </c>
      <c r="B12" s="180" t="s">
        <v>55</v>
      </c>
      <c r="C12" s="180"/>
      <c r="D12" s="180"/>
      <c r="E12" s="180" t="s">
        <v>56</v>
      </c>
      <c r="F12" s="180"/>
      <c r="G12" s="120">
        <v>303000</v>
      </c>
      <c r="H12" s="121"/>
      <c r="I12" s="105">
        <f t="shared" si="6"/>
        <v>0</v>
      </c>
      <c r="J12" s="121"/>
      <c r="K12" s="105">
        <f t="shared" si="7"/>
        <v>0</v>
      </c>
      <c r="L12" s="107">
        <f t="shared" ref="L12:L30" si="11">G12-H12-J12</f>
        <v>303000</v>
      </c>
      <c r="M12" s="105">
        <f t="shared" si="8"/>
        <v>1</v>
      </c>
      <c r="N12" s="108"/>
      <c r="O12" s="109">
        <f>[1]Menu!$H$12-(I12+K12)</f>
        <v>8.611111111111111E-2</v>
      </c>
      <c r="P12" s="110">
        <f t="shared" si="9"/>
        <v>26091.666666666668</v>
      </c>
      <c r="Q12" s="110">
        <v>28000</v>
      </c>
      <c r="R12" s="105">
        <f t="shared" si="10"/>
        <v>9.2409240924092403E-2</v>
      </c>
      <c r="S12" s="111"/>
    </row>
    <row r="13" spans="1:19" ht="17.45" customHeight="1" x14ac:dyDescent="0.2">
      <c r="A13" s="112" t="s">
        <v>83</v>
      </c>
      <c r="B13" s="181" t="s">
        <v>51</v>
      </c>
      <c r="C13" s="181"/>
      <c r="D13" s="181"/>
      <c r="E13" s="181" t="s">
        <v>52</v>
      </c>
      <c r="F13" s="181"/>
      <c r="G13" s="129">
        <v>154500</v>
      </c>
      <c r="H13" s="113">
        <v>4301</v>
      </c>
      <c r="I13" s="114">
        <f t="shared" si="6"/>
        <v>2.7838187702265371E-2</v>
      </c>
      <c r="J13" s="115"/>
      <c r="K13" s="114">
        <f t="shared" si="7"/>
        <v>0</v>
      </c>
      <c r="L13" s="116">
        <f t="shared" si="11"/>
        <v>150199</v>
      </c>
      <c r="M13" s="114">
        <f t="shared" si="8"/>
        <v>0.97216181229773457</v>
      </c>
      <c r="N13" s="108"/>
      <c r="O13" s="117">
        <f>[1]Menu!$H$12-(I13+K13)</f>
        <v>5.8272923408845739E-2</v>
      </c>
      <c r="P13" s="118">
        <f t="shared" si="9"/>
        <v>9003.1666666666661</v>
      </c>
      <c r="Q13" s="118"/>
      <c r="R13" s="114">
        <f t="shared" si="10"/>
        <v>0</v>
      </c>
      <c r="S13" s="119"/>
    </row>
    <row r="14" spans="1:19" ht="17.45" customHeight="1" x14ac:dyDescent="0.2">
      <c r="A14" s="103" t="s">
        <v>83</v>
      </c>
      <c r="B14" s="180" t="s">
        <v>86</v>
      </c>
      <c r="C14" s="180"/>
      <c r="D14" s="180"/>
      <c r="E14" s="180" t="s">
        <v>87</v>
      </c>
      <c r="F14" s="180"/>
      <c r="G14" s="120">
        <v>33000</v>
      </c>
      <c r="H14" s="121"/>
      <c r="I14" s="105">
        <f t="shared" si="6"/>
        <v>0</v>
      </c>
      <c r="J14" s="121"/>
      <c r="K14" s="105">
        <f t="shared" si="7"/>
        <v>0</v>
      </c>
      <c r="L14" s="107">
        <f t="shared" si="11"/>
        <v>33000</v>
      </c>
      <c r="M14" s="105">
        <f t="shared" si="8"/>
        <v>1</v>
      </c>
      <c r="N14" s="108"/>
      <c r="O14" s="109">
        <f>[1]Menu!$H$12-(I14+K14)</f>
        <v>8.611111111111111E-2</v>
      </c>
      <c r="P14" s="110">
        <f t="shared" si="9"/>
        <v>2841.6666666666665</v>
      </c>
      <c r="Q14" s="110">
        <v>3000</v>
      </c>
      <c r="R14" s="105">
        <f t="shared" si="10"/>
        <v>9.0909090909090912E-2</v>
      </c>
      <c r="S14" s="111"/>
    </row>
    <row r="15" spans="1:19" ht="17.45" customHeight="1" x14ac:dyDescent="0.2">
      <c r="A15" s="112" t="s">
        <v>83</v>
      </c>
      <c r="B15" s="181" t="s">
        <v>53</v>
      </c>
      <c r="C15" s="181"/>
      <c r="D15" s="181"/>
      <c r="E15" s="181" t="s">
        <v>54</v>
      </c>
      <c r="F15" s="181"/>
      <c r="G15" s="129">
        <v>1640000</v>
      </c>
      <c r="H15" s="113">
        <v>24389</v>
      </c>
      <c r="I15" s="114">
        <f t="shared" si="6"/>
        <v>1.4871341463414635E-2</v>
      </c>
      <c r="J15" s="115"/>
      <c r="K15" s="114">
        <f t="shared" si="7"/>
        <v>0</v>
      </c>
      <c r="L15" s="116">
        <f t="shared" si="11"/>
        <v>1615611</v>
      </c>
      <c r="M15" s="114">
        <f t="shared" si="8"/>
        <v>0.98512865853658538</v>
      </c>
      <c r="N15" s="108"/>
      <c r="O15" s="117">
        <f>[1]Menu!$H$12-(I15+K15)</f>
        <v>7.1239769647696474E-2</v>
      </c>
      <c r="P15" s="118">
        <f t="shared" si="9"/>
        <v>116833.22222222222</v>
      </c>
      <c r="Q15" s="118">
        <v>240000</v>
      </c>
      <c r="R15" s="114">
        <f t="shared" si="10"/>
        <v>0.14634146341463414</v>
      </c>
      <c r="S15" s="119"/>
    </row>
    <row r="16" spans="1:19" ht="17.45" customHeight="1" x14ac:dyDescent="0.2">
      <c r="A16" s="103" t="s">
        <v>83</v>
      </c>
      <c r="B16" s="180" t="s">
        <v>88</v>
      </c>
      <c r="C16" s="180"/>
      <c r="D16" s="180"/>
      <c r="E16" s="180" t="s">
        <v>89</v>
      </c>
      <c r="F16" s="180"/>
      <c r="G16" s="120">
        <v>2000000</v>
      </c>
      <c r="H16" s="120">
        <v>287185</v>
      </c>
      <c r="I16" s="105">
        <f t="shared" si="6"/>
        <v>0.14359250000000001</v>
      </c>
      <c r="J16" s="121"/>
      <c r="K16" s="105">
        <f t="shared" si="7"/>
        <v>0</v>
      </c>
      <c r="L16" s="107">
        <f t="shared" si="11"/>
        <v>1712815</v>
      </c>
      <c r="M16" s="105">
        <f t="shared" si="8"/>
        <v>0.85640749999999999</v>
      </c>
      <c r="N16" s="108"/>
      <c r="O16" s="109">
        <f>[1]Menu!$H$12-(I16+K16)</f>
        <v>-5.7481388888888901E-2</v>
      </c>
      <c r="P16" s="110">
        <f t="shared" si="9"/>
        <v>-114962.7777777778</v>
      </c>
      <c r="Q16" s="110">
        <v>450000</v>
      </c>
      <c r="R16" s="105">
        <f t="shared" si="10"/>
        <v>0.22500000000000001</v>
      </c>
      <c r="S16" s="111"/>
    </row>
    <row r="17" spans="1:19" ht="17.45" customHeight="1" x14ac:dyDescent="0.2">
      <c r="A17" s="112" t="s">
        <v>83</v>
      </c>
      <c r="B17" s="181" t="s">
        <v>90</v>
      </c>
      <c r="C17" s="181"/>
      <c r="D17" s="181"/>
      <c r="E17" s="181" t="s">
        <v>91</v>
      </c>
      <c r="F17" s="181"/>
      <c r="G17" s="129">
        <v>620000</v>
      </c>
      <c r="H17" s="115"/>
      <c r="I17" s="114">
        <f t="shared" si="6"/>
        <v>0</v>
      </c>
      <c r="J17" s="115"/>
      <c r="K17" s="114">
        <f t="shared" si="7"/>
        <v>0</v>
      </c>
      <c r="L17" s="116">
        <f t="shared" si="11"/>
        <v>620000</v>
      </c>
      <c r="M17" s="114">
        <f t="shared" si="8"/>
        <v>1</v>
      </c>
      <c r="N17" s="108"/>
      <c r="O17" s="117">
        <f>[1]Menu!$H$12-(I17+K17)</f>
        <v>8.611111111111111E-2</v>
      </c>
      <c r="P17" s="118">
        <f t="shared" si="9"/>
        <v>53388.888888888891</v>
      </c>
      <c r="Q17" s="118">
        <v>70000</v>
      </c>
      <c r="R17" s="114">
        <f t="shared" si="10"/>
        <v>0.11290322580645161</v>
      </c>
      <c r="S17" s="119"/>
    </row>
    <row r="18" spans="1:19" ht="17.45" customHeight="1" x14ac:dyDescent="0.2">
      <c r="A18" s="103" t="s">
        <v>83</v>
      </c>
      <c r="B18" s="180" t="s">
        <v>14</v>
      </c>
      <c r="C18" s="180"/>
      <c r="D18" s="180"/>
      <c r="E18" s="180" t="s">
        <v>15</v>
      </c>
      <c r="F18" s="180"/>
      <c r="G18" s="120">
        <v>308000</v>
      </c>
      <c r="H18" s="120">
        <v>81476</v>
      </c>
      <c r="I18" s="105">
        <f t="shared" si="6"/>
        <v>0.26453246753246751</v>
      </c>
      <c r="J18" s="121"/>
      <c r="K18" s="105">
        <f t="shared" si="7"/>
        <v>0</v>
      </c>
      <c r="L18" s="107">
        <f t="shared" si="11"/>
        <v>226524</v>
      </c>
      <c r="M18" s="105">
        <f t="shared" si="8"/>
        <v>0.73546753246753249</v>
      </c>
      <c r="N18" s="108"/>
      <c r="O18" s="109">
        <f>[1]Menu!$H$12-(I18+K18)</f>
        <v>-0.1784213564213564</v>
      </c>
      <c r="P18" s="110">
        <f t="shared" si="9"/>
        <v>-54953.777777777774</v>
      </c>
      <c r="Q18" s="110"/>
      <c r="R18" s="105">
        <f t="shared" si="10"/>
        <v>0</v>
      </c>
      <c r="S18" s="111"/>
    </row>
    <row r="19" spans="1:19" ht="17.45" customHeight="1" x14ac:dyDescent="0.2">
      <c r="A19" s="112" t="s">
        <v>83</v>
      </c>
      <c r="B19" s="181" t="s">
        <v>32</v>
      </c>
      <c r="C19" s="181"/>
      <c r="D19" s="181"/>
      <c r="E19" s="181" t="s">
        <v>33</v>
      </c>
      <c r="F19" s="181"/>
      <c r="G19" s="129">
        <v>20000</v>
      </c>
      <c r="H19" s="113">
        <v>1617</v>
      </c>
      <c r="I19" s="114">
        <f t="shared" si="6"/>
        <v>8.0850000000000005E-2</v>
      </c>
      <c r="J19" s="115"/>
      <c r="K19" s="114">
        <f t="shared" si="7"/>
        <v>0</v>
      </c>
      <c r="L19" s="116">
        <f t="shared" si="11"/>
        <v>18383</v>
      </c>
      <c r="M19" s="114">
        <f t="shared" si="8"/>
        <v>0.91915000000000002</v>
      </c>
      <c r="N19" s="108"/>
      <c r="O19" s="117">
        <f>[1]Menu!$H$12-(I19+K19)</f>
        <v>5.2611111111111053E-3</v>
      </c>
      <c r="P19" s="118">
        <f>G19*O19</f>
        <v>105.2222222222221</v>
      </c>
      <c r="Q19" s="118"/>
      <c r="R19" s="114">
        <f t="shared" si="10"/>
        <v>0</v>
      </c>
      <c r="S19" s="119"/>
    </row>
    <row r="20" spans="1:19" ht="17.45" customHeight="1" x14ac:dyDescent="0.2">
      <c r="A20" s="103" t="s">
        <v>83</v>
      </c>
      <c r="B20" s="180" t="s">
        <v>92</v>
      </c>
      <c r="C20" s="180"/>
      <c r="D20" s="180"/>
      <c r="E20" s="180" t="s">
        <v>93</v>
      </c>
      <c r="F20" s="180"/>
      <c r="G20" s="120">
        <v>50000</v>
      </c>
      <c r="H20" s="120">
        <v>2123</v>
      </c>
      <c r="I20" s="105">
        <f t="shared" si="6"/>
        <v>4.2459999999999998E-2</v>
      </c>
      <c r="J20" s="121"/>
      <c r="K20" s="105">
        <f t="shared" si="7"/>
        <v>0</v>
      </c>
      <c r="L20" s="107">
        <f t="shared" si="11"/>
        <v>47877</v>
      </c>
      <c r="M20" s="105">
        <f t="shared" si="8"/>
        <v>0.95753999999999995</v>
      </c>
      <c r="N20" s="108"/>
      <c r="O20" s="109">
        <f>[1]Menu!$H$12-(I20+K20)</f>
        <v>4.3651111111111113E-2</v>
      </c>
      <c r="P20" s="110">
        <f t="shared" si="9"/>
        <v>2182.5555555555557</v>
      </c>
      <c r="Q20" s="110"/>
      <c r="R20" s="105">
        <f t="shared" si="10"/>
        <v>0</v>
      </c>
      <c r="S20" s="111"/>
    </row>
    <row r="21" spans="1:19" ht="17.45" customHeight="1" x14ac:dyDescent="0.2">
      <c r="A21" s="112" t="s">
        <v>83</v>
      </c>
      <c r="B21" s="181" t="s">
        <v>94</v>
      </c>
      <c r="C21" s="181"/>
      <c r="D21" s="181"/>
      <c r="E21" s="181" t="s">
        <v>95</v>
      </c>
      <c r="F21" s="181"/>
      <c r="G21" s="129">
        <v>420000</v>
      </c>
      <c r="H21" s="113">
        <v>35007</v>
      </c>
      <c r="I21" s="114">
        <f t="shared" si="6"/>
        <v>8.3349999999999994E-2</v>
      </c>
      <c r="J21" s="115"/>
      <c r="K21" s="114">
        <f t="shared" si="7"/>
        <v>0</v>
      </c>
      <c r="L21" s="116">
        <f t="shared" si="11"/>
        <v>384993</v>
      </c>
      <c r="M21" s="114">
        <f t="shared" si="8"/>
        <v>0.91664999999999996</v>
      </c>
      <c r="N21" s="108"/>
      <c r="O21" s="117">
        <f>[1]Menu!$H$12-(I21+K21)</f>
        <v>2.761111111111117E-3</v>
      </c>
      <c r="P21" s="118">
        <f t="shared" si="9"/>
        <v>1159.666666666669</v>
      </c>
      <c r="Q21" s="118"/>
      <c r="R21" s="114">
        <f t="shared" si="10"/>
        <v>0</v>
      </c>
      <c r="S21" s="119"/>
    </row>
    <row r="22" spans="1:19" ht="17.45" customHeight="1" x14ac:dyDescent="0.2">
      <c r="A22" s="103" t="s">
        <v>83</v>
      </c>
      <c r="B22" s="180" t="s">
        <v>96</v>
      </c>
      <c r="C22" s="180"/>
      <c r="D22" s="180"/>
      <c r="E22" s="180" t="s">
        <v>97</v>
      </c>
      <c r="F22" s="180"/>
      <c r="G22" s="120">
        <v>288000</v>
      </c>
      <c r="H22" s="121"/>
      <c r="I22" s="105">
        <f t="shared" si="6"/>
        <v>0</v>
      </c>
      <c r="J22" s="121"/>
      <c r="K22" s="105">
        <f t="shared" si="7"/>
        <v>0</v>
      </c>
      <c r="L22" s="107">
        <f t="shared" si="11"/>
        <v>288000</v>
      </c>
      <c r="M22" s="105">
        <f t="shared" si="8"/>
        <v>1</v>
      </c>
      <c r="N22" s="108"/>
      <c r="O22" s="109">
        <f>[1]Menu!$H$12-(I22+K22)</f>
        <v>8.611111111111111E-2</v>
      </c>
      <c r="P22" s="110">
        <f t="shared" si="9"/>
        <v>24800</v>
      </c>
      <c r="Q22" s="110">
        <v>23000</v>
      </c>
      <c r="R22" s="105">
        <f t="shared" si="10"/>
        <v>7.9861111111111105E-2</v>
      </c>
      <c r="S22" s="111"/>
    </row>
    <row r="23" spans="1:19" ht="17.45" customHeight="1" x14ac:dyDescent="0.2">
      <c r="A23" s="112" t="s">
        <v>83</v>
      </c>
      <c r="B23" s="181" t="s">
        <v>98</v>
      </c>
      <c r="C23" s="181"/>
      <c r="D23" s="181"/>
      <c r="E23" s="181" t="s">
        <v>99</v>
      </c>
      <c r="F23" s="181"/>
      <c r="G23" s="129">
        <v>162000</v>
      </c>
      <c r="H23" s="113">
        <v>9401</v>
      </c>
      <c r="I23" s="114">
        <f t="shared" si="6"/>
        <v>5.8030864197530861E-2</v>
      </c>
      <c r="J23" s="115"/>
      <c r="K23" s="114">
        <f t="shared" si="7"/>
        <v>0</v>
      </c>
      <c r="L23" s="116">
        <f t="shared" si="11"/>
        <v>152599</v>
      </c>
      <c r="M23" s="114">
        <f t="shared" si="8"/>
        <v>0.9419691358024691</v>
      </c>
      <c r="N23" s="108"/>
      <c r="O23" s="117">
        <f>[1]Menu!$H$12-(I23+K23)</f>
        <v>2.8080246913580249E-2</v>
      </c>
      <c r="P23" s="118">
        <f t="shared" si="9"/>
        <v>4549</v>
      </c>
      <c r="Q23" s="118"/>
      <c r="R23" s="114">
        <f t="shared" si="10"/>
        <v>0</v>
      </c>
      <c r="S23" s="119"/>
    </row>
    <row r="24" spans="1:19" ht="17.45" customHeight="1" x14ac:dyDescent="0.2">
      <c r="A24" s="103" t="s">
        <v>83</v>
      </c>
      <c r="B24" s="180" t="s">
        <v>100</v>
      </c>
      <c r="C24" s="180"/>
      <c r="D24" s="180"/>
      <c r="E24" s="180" t="s">
        <v>101</v>
      </c>
      <c r="F24" s="180"/>
      <c r="G24" s="120">
        <v>178000</v>
      </c>
      <c r="H24" s="120">
        <v>75347</v>
      </c>
      <c r="I24" s="105">
        <f>(H24/G24)</f>
        <v>0.42329775280898874</v>
      </c>
      <c r="J24" s="121"/>
      <c r="K24" s="105">
        <f t="shared" si="7"/>
        <v>0</v>
      </c>
      <c r="L24" s="107">
        <f t="shared" si="11"/>
        <v>102653</v>
      </c>
      <c r="M24" s="105">
        <f t="shared" si="8"/>
        <v>0.57670224719101126</v>
      </c>
      <c r="N24" s="108"/>
      <c r="O24" s="109">
        <f>[1]Menu!$H$12-(I24+K24)</f>
        <v>-0.3371866416978776</v>
      </c>
      <c r="P24" s="110">
        <f>G24*O24</f>
        <v>-60019.222222222212</v>
      </c>
      <c r="Q24" s="110"/>
      <c r="R24" s="105">
        <f t="shared" si="10"/>
        <v>0</v>
      </c>
      <c r="S24" s="111"/>
    </row>
    <row r="25" spans="1:19" ht="17.45" customHeight="1" x14ac:dyDescent="0.2">
      <c r="A25" s="112" t="s">
        <v>83</v>
      </c>
      <c r="B25" s="181" t="s">
        <v>43</v>
      </c>
      <c r="C25" s="181"/>
      <c r="D25" s="181"/>
      <c r="E25" s="181" t="s">
        <v>44</v>
      </c>
      <c r="F25" s="181"/>
      <c r="G25" s="129">
        <v>1117800</v>
      </c>
      <c r="H25" s="113">
        <v>521039</v>
      </c>
      <c r="I25" s="114">
        <f t="shared" si="6"/>
        <v>0.46612900339953478</v>
      </c>
      <c r="J25" s="113">
        <v>14689</v>
      </c>
      <c r="K25" s="114">
        <f t="shared" si="7"/>
        <v>1.3140991232778673E-2</v>
      </c>
      <c r="L25" s="116">
        <f t="shared" si="11"/>
        <v>582072</v>
      </c>
      <c r="M25" s="114">
        <f t="shared" si="8"/>
        <v>0.52073000536768654</v>
      </c>
      <c r="N25" s="108"/>
      <c r="O25" s="117">
        <f>[1]Menu!$H$12-(I25+K25)</f>
        <v>-0.39315888352120232</v>
      </c>
      <c r="P25" s="118">
        <f t="shared" si="9"/>
        <v>-439472.99999999994</v>
      </c>
      <c r="Q25" s="118"/>
      <c r="R25" s="114">
        <f t="shared" si="10"/>
        <v>0</v>
      </c>
      <c r="S25" s="119"/>
    </row>
    <row r="26" spans="1:19" ht="17.45" customHeight="1" x14ac:dyDescent="0.2">
      <c r="A26" s="103" t="s">
        <v>83</v>
      </c>
      <c r="B26" s="180" t="s">
        <v>102</v>
      </c>
      <c r="C26" s="180"/>
      <c r="D26" s="180"/>
      <c r="E26" s="180" t="s">
        <v>103</v>
      </c>
      <c r="F26" s="180"/>
      <c r="G26" s="120">
        <v>572000</v>
      </c>
      <c r="H26" s="121"/>
      <c r="I26" s="105">
        <f t="shared" si="6"/>
        <v>0</v>
      </c>
      <c r="J26" s="121"/>
      <c r="K26" s="105">
        <f t="shared" si="7"/>
        <v>0</v>
      </c>
      <c r="L26" s="107">
        <f t="shared" si="11"/>
        <v>572000</v>
      </c>
      <c r="M26" s="105">
        <f t="shared" si="8"/>
        <v>1</v>
      </c>
      <c r="N26" s="108"/>
      <c r="O26" s="109">
        <f>[1]Menu!$H$12-(I26+K26)</f>
        <v>8.611111111111111E-2</v>
      </c>
      <c r="P26" s="110">
        <f t="shared" si="9"/>
        <v>49255.555555555555</v>
      </c>
      <c r="Q26" s="110">
        <v>22000</v>
      </c>
      <c r="R26" s="105">
        <f t="shared" si="10"/>
        <v>3.8461538461538464E-2</v>
      </c>
      <c r="S26" s="111"/>
    </row>
    <row r="27" spans="1:19" ht="17.45" customHeight="1" x14ac:dyDescent="0.2">
      <c r="A27" s="112" t="s">
        <v>83</v>
      </c>
      <c r="B27" s="181" t="s">
        <v>104</v>
      </c>
      <c r="C27" s="181"/>
      <c r="D27" s="181"/>
      <c r="E27" s="181" t="s">
        <v>105</v>
      </c>
      <c r="F27" s="181"/>
      <c r="G27" s="129">
        <v>4600000</v>
      </c>
      <c r="H27" s="115"/>
      <c r="I27" s="114">
        <f t="shared" si="6"/>
        <v>0</v>
      </c>
      <c r="J27" s="115"/>
      <c r="K27" s="114">
        <f t="shared" si="7"/>
        <v>0</v>
      </c>
      <c r="L27" s="116">
        <f t="shared" si="11"/>
        <v>4600000</v>
      </c>
      <c r="M27" s="114">
        <f t="shared" si="8"/>
        <v>1</v>
      </c>
      <c r="N27" s="108"/>
      <c r="O27" s="117">
        <f>[1]Menu!$H$12-(I27+K27)</f>
        <v>8.611111111111111E-2</v>
      </c>
      <c r="P27" s="118">
        <f t="shared" si="9"/>
        <v>396111.11111111112</v>
      </c>
      <c r="Q27" s="118"/>
      <c r="R27" s="114">
        <f t="shared" si="10"/>
        <v>0</v>
      </c>
      <c r="S27" s="119"/>
    </row>
    <row r="28" spans="1:19" ht="17.45" customHeight="1" x14ac:dyDescent="0.2">
      <c r="A28" s="103" t="s">
        <v>83</v>
      </c>
      <c r="B28" s="180" t="s">
        <v>106</v>
      </c>
      <c r="C28" s="180"/>
      <c r="D28" s="180"/>
      <c r="E28" s="180" t="s">
        <v>107</v>
      </c>
      <c r="F28" s="180"/>
      <c r="G28" s="120">
        <v>60000</v>
      </c>
      <c r="H28" s="130">
        <v>752</v>
      </c>
      <c r="I28" s="105">
        <f t="shared" si="6"/>
        <v>1.2533333333333334E-2</v>
      </c>
      <c r="J28" s="121"/>
      <c r="K28" s="105">
        <f t="shared" si="7"/>
        <v>0</v>
      </c>
      <c r="L28" s="107">
        <f t="shared" si="11"/>
        <v>59248</v>
      </c>
      <c r="M28" s="105">
        <f t="shared" si="8"/>
        <v>0.98746666666666671</v>
      </c>
      <c r="N28" s="108"/>
      <c r="O28" s="109">
        <f>[1]Menu!$H$12-(I28+K28)</f>
        <v>7.357777777777777E-2</v>
      </c>
      <c r="P28" s="110">
        <f t="shared" si="9"/>
        <v>4414.6666666666661</v>
      </c>
      <c r="Q28" s="110"/>
      <c r="R28" s="105">
        <f t="shared" si="10"/>
        <v>0</v>
      </c>
      <c r="S28" s="111"/>
    </row>
    <row r="29" spans="1:19" ht="17.45" customHeight="1" x14ac:dyDescent="0.2">
      <c r="A29" s="112" t="s">
        <v>83</v>
      </c>
      <c r="B29" s="181" t="s">
        <v>108</v>
      </c>
      <c r="C29" s="181"/>
      <c r="D29" s="181"/>
      <c r="E29" s="181" t="s">
        <v>109</v>
      </c>
      <c r="F29" s="181"/>
      <c r="G29" s="129">
        <v>268000</v>
      </c>
      <c r="H29" s="115"/>
      <c r="I29" s="114">
        <f t="shared" si="6"/>
        <v>0</v>
      </c>
      <c r="J29" s="115"/>
      <c r="K29" s="114">
        <f t="shared" si="7"/>
        <v>0</v>
      </c>
      <c r="L29" s="116">
        <f t="shared" si="11"/>
        <v>268000</v>
      </c>
      <c r="M29" s="114">
        <f t="shared" si="8"/>
        <v>1</v>
      </c>
      <c r="N29" s="108"/>
      <c r="O29" s="117">
        <f>[1]Menu!$H$12-(I29+K29)</f>
        <v>8.611111111111111E-2</v>
      </c>
      <c r="P29" s="118">
        <f t="shared" si="9"/>
        <v>23077.777777777777</v>
      </c>
      <c r="Q29" s="118"/>
      <c r="R29" s="114">
        <f t="shared" si="10"/>
        <v>0</v>
      </c>
      <c r="S29" s="119"/>
    </row>
    <row r="30" spans="1:19" ht="17.850000000000001" customHeight="1" x14ac:dyDescent="0.2">
      <c r="A30" s="103" t="s">
        <v>83</v>
      </c>
      <c r="B30" s="180" t="s">
        <v>110</v>
      </c>
      <c r="C30" s="180"/>
      <c r="D30" s="180"/>
      <c r="E30" s="180" t="s">
        <v>111</v>
      </c>
      <c r="F30" s="180"/>
      <c r="G30" s="120">
        <v>137500</v>
      </c>
      <c r="H30" s="121"/>
      <c r="I30" s="105">
        <f t="shared" si="6"/>
        <v>0</v>
      </c>
      <c r="J30" s="121"/>
      <c r="K30" s="105">
        <f t="shared" si="7"/>
        <v>0</v>
      </c>
      <c r="L30" s="107">
        <f t="shared" si="11"/>
        <v>137500</v>
      </c>
      <c r="M30" s="105">
        <f t="shared" si="8"/>
        <v>1</v>
      </c>
      <c r="N30" s="108"/>
      <c r="O30" s="109">
        <f>[1]Menu!$H$12-(I30+K30)</f>
        <v>8.611111111111111E-2</v>
      </c>
      <c r="P30" s="110">
        <f t="shared" si="9"/>
        <v>11840.277777777777</v>
      </c>
      <c r="Q30" s="110"/>
      <c r="R30" s="105">
        <f t="shared" si="10"/>
        <v>0</v>
      </c>
      <c r="S30" s="111"/>
    </row>
    <row r="31" spans="1:19" s="102" customFormat="1" ht="17.25" customHeight="1" x14ac:dyDescent="0.2">
      <c r="A31" s="122"/>
      <c r="B31" s="176"/>
      <c r="C31" s="176"/>
      <c r="D31" s="176"/>
      <c r="E31" s="178" t="s">
        <v>112</v>
      </c>
      <c r="F31" s="178"/>
      <c r="G31" s="123">
        <f>SUM(G10:G30)</f>
        <v>13506800</v>
      </c>
      <c r="H31" s="123">
        <f>SUM(H10:H30)</f>
        <v>1104109</v>
      </c>
      <c r="I31" s="124">
        <f>(H31/G31)</f>
        <v>8.1744676755412082E-2</v>
      </c>
      <c r="J31" s="125">
        <f>SUM(J10:J30)</f>
        <v>17273</v>
      </c>
      <c r="K31" s="124">
        <f>J31/G31</f>
        <v>1.2788373263837474E-3</v>
      </c>
      <c r="L31" s="125">
        <f>SUM(L10:L30)</f>
        <v>12385418</v>
      </c>
      <c r="M31" s="18">
        <f>L31/G31</f>
        <v>0.91697648591820413</v>
      </c>
      <c r="N31" s="30"/>
      <c r="O31" s="126">
        <f>[1]Menu!$H$12-(I31+K31)</f>
        <v>3.0875970293152838E-3</v>
      </c>
      <c r="P31" s="127">
        <f t="shared" si="9"/>
        <v>41703.555555555678</v>
      </c>
      <c r="Q31" s="123">
        <f>SUM(Q10:Q30)</f>
        <v>866000</v>
      </c>
      <c r="R31" s="128">
        <f t="shared" si="10"/>
        <v>6.4115852755649003E-2</v>
      </c>
      <c r="S31" s="99"/>
    </row>
    <row r="32" spans="1:19" ht="11.45" customHeight="1" x14ac:dyDescent="0.2">
      <c r="A32" s="97" t="s">
        <v>113</v>
      </c>
    </row>
    <row r="33" spans="1:19" s="102" customFormat="1" ht="11.45" customHeight="1" x14ac:dyDescent="0.2">
      <c r="A33" s="99" t="s">
        <v>1</v>
      </c>
      <c r="B33" s="179" t="s">
        <v>2</v>
      </c>
      <c r="C33" s="179"/>
      <c r="D33" s="179"/>
      <c r="E33" s="179" t="s">
        <v>3</v>
      </c>
      <c r="F33" s="179"/>
      <c r="G33" s="99" t="s">
        <v>4</v>
      </c>
      <c r="H33" s="99" t="s">
        <v>5</v>
      </c>
      <c r="I33" s="99" t="s">
        <v>6</v>
      </c>
      <c r="J33" s="99" t="s">
        <v>7</v>
      </c>
      <c r="K33" s="99" t="s">
        <v>6</v>
      </c>
      <c r="L33" s="99" t="s">
        <v>8</v>
      </c>
      <c r="M33" s="99" t="s">
        <v>6</v>
      </c>
      <c r="N33" s="100"/>
      <c r="O33" s="101" t="s">
        <v>22</v>
      </c>
      <c r="P33" s="101" t="s">
        <v>23</v>
      </c>
      <c r="Q33" s="101" t="s">
        <v>59</v>
      </c>
      <c r="R33" s="101" t="s">
        <v>6</v>
      </c>
      <c r="S33" s="101" t="s">
        <v>11</v>
      </c>
    </row>
    <row r="34" spans="1:19" ht="17.45" customHeight="1" x14ac:dyDescent="0.2">
      <c r="A34" s="103" t="s">
        <v>114</v>
      </c>
      <c r="B34" s="180" t="s">
        <v>115</v>
      </c>
      <c r="C34" s="180"/>
      <c r="D34" s="180"/>
      <c r="E34" s="180" t="s">
        <v>116</v>
      </c>
      <c r="F34" s="180"/>
      <c r="G34" s="120">
        <v>11952000</v>
      </c>
      <c r="H34" s="121">
        <v>30044</v>
      </c>
      <c r="I34" s="105">
        <f t="shared" ref="I34" si="12">(H34/G34)</f>
        <v>2.5137215528781794E-3</v>
      </c>
      <c r="J34" s="121"/>
      <c r="K34" s="105">
        <f t="shared" ref="K34" si="13">J34/G34</f>
        <v>0</v>
      </c>
      <c r="L34" s="107">
        <f>G34-H34-J34</f>
        <v>11921956</v>
      </c>
      <c r="M34" s="105">
        <f t="shared" ref="M34" si="14">L34/G34</f>
        <v>0.99748627844712179</v>
      </c>
      <c r="N34" s="131"/>
      <c r="O34" s="109">
        <f>[1]Menu!$H$12-(I34+K34)</f>
        <v>8.3597389558232926E-2</v>
      </c>
      <c r="P34" s="110">
        <f t="shared" ref="P34:P36" si="15">G34*O34</f>
        <v>999155.99999999988</v>
      </c>
      <c r="Q34" s="110"/>
      <c r="R34" s="105">
        <f t="shared" ref="R34:R35" si="16">Q34/G34</f>
        <v>0</v>
      </c>
      <c r="S34" s="111"/>
    </row>
    <row r="35" spans="1:19" s="102" customFormat="1" x14ac:dyDescent="0.2">
      <c r="A35" s="122"/>
      <c r="B35" s="176"/>
      <c r="C35" s="176"/>
      <c r="D35" s="177" t="s">
        <v>117</v>
      </c>
      <c r="E35" s="177"/>
      <c r="F35" s="177"/>
      <c r="G35" s="123">
        <f>SUM(G34)</f>
        <v>11952000</v>
      </c>
      <c r="H35" s="123">
        <f>SUM(H34)</f>
        <v>30044</v>
      </c>
      <c r="I35" s="124">
        <f>(H35/G35)</f>
        <v>2.5137215528781794E-3</v>
      </c>
      <c r="J35" s="125">
        <f>SUM(J34)</f>
        <v>0</v>
      </c>
      <c r="K35" s="124">
        <f>J35/G35</f>
        <v>0</v>
      </c>
      <c r="L35" s="123">
        <f>SUM(L34)</f>
        <v>11921956</v>
      </c>
      <c r="M35" s="18">
        <f>L35/G35</f>
        <v>0.99748627844712179</v>
      </c>
      <c r="N35" s="100"/>
      <c r="O35" s="126">
        <f>[1]Menu!$H$12-(I35+K35)</f>
        <v>8.3597389558232926E-2</v>
      </c>
      <c r="P35" s="127">
        <f t="shared" si="15"/>
        <v>999155.99999999988</v>
      </c>
      <c r="Q35" s="123">
        <f>SUM(Q34)</f>
        <v>0</v>
      </c>
      <c r="R35" s="128">
        <f t="shared" si="16"/>
        <v>0</v>
      </c>
      <c r="S35" s="99"/>
    </row>
    <row r="36" spans="1:19" s="102" customFormat="1" ht="13.5" customHeight="1" x14ac:dyDescent="0.2">
      <c r="A36" s="122"/>
      <c r="B36" s="176"/>
      <c r="C36" s="176"/>
      <c r="D36" s="132"/>
      <c r="E36" s="132"/>
      <c r="F36" s="133" t="s">
        <v>118</v>
      </c>
      <c r="G36" s="123">
        <f>+G35+G31+G7+'[1]Table 2'!G14:H14+'[1]Table 2'!G18:H18+'[1]Table 2'!G25:H25+'[1]Table 2'!G32:H32</f>
        <v>28325800</v>
      </c>
      <c r="H36" s="123">
        <f>+H35+H31+H7+'[1]Table 2'!I32:I32+'[1]Table 2'!I25:I25+'[1]Table 2'!I18:I18+'[1]Table 2'!I14:I14</f>
        <v>1374873</v>
      </c>
      <c r="I36" s="124">
        <f>(H36/G36)</f>
        <v>4.8537834765478821E-2</v>
      </c>
      <c r="J36" s="125">
        <f>+J35+J31+J7+'[1]Table 2'!K14+'[1]Table 2'!K18+'[1]Table 2'!K25+'[1]Table 2'!K32</f>
        <v>43903</v>
      </c>
      <c r="K36" s="124">
        <f>J36/G36</f>
        <v>1.5499297460265906E-3</v>
      </c>
      <c r="L36" s="123">
        <f>+'Table 3'!L35+'Table 3'!L31+'Table 3'!L7+'[1]Table 2'!M32+'[1]Table 2'!M25+'[1]Table 2'!M18+'[1]Table 2'!M14</f>
        <v>26907024</v>
      </c>
      <c r="M36" s="18">
        <f>L36/G36</f>
        <v>0.94991223548849457</v>
      </c>
      <c r="N36" s="100"/>
      <c r="O36" s="126">
        <f>[1]Menu!$H$12-(I36+K36)</f>
        <v>3.6023346599605696E-2</v>
      </c>
      <c r="P36" s="127">
        <f t="shared" si="15"/>
        <v>1020390.111111111</v>
      </c>
      <c r="Q36" s="123">
        <f>+Q35+Q31+Q7+'[1]Table 2'!R32+'[1]Table 2'!R25+'[1]Table 2'!R18+'[1]Table 2'!R14</f>
        <v>997000</v>
      </c>
      <c r="R36" s="128">
        <f>Q36/G36</f>
        <v>3.5197593713151967E-2</v>
      </c>
      <c r="S36" s="99"/>
    </row>
    <row r="38" spans="1:19" x14ac:dyDescent="0.2">
      <c r="G38" s="134"/>
    </row>
  </sheetData>
  <mergeCells count="64">
    <mergeCell ref="B9:D9"/>
    <mergeCell ref="E9:F9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5:C35"/>
    <mergeCell ref="D35:F35"/>
    <mergeCell ref="B36:C36"/>
    <mergeCell ref="B31:D31"/>
    <mergeCell ref="E31:F31"/>
    <mergeCell ref="B33:D33"/>
    <mergeCell ref="E33:F33"/>
    <mergeCell ref="B34:D34"/>
    <mergeCell ref="E34:F34"/>
  </mergeCells>
  <conditionalFormatting sqref="O3:P7">
    <cfRule type="cellIs" dxfId="11" priority="5" operator="greaterThan">
      <formula>0</formula>
    </cfRule>
    <cfRule type="cellIs" dxfId="10" priority="6" operator="lessThan">
      <formula>0</formula>
    </cfRule>
  </conditionalFormatting>
  <conditionalFormatting sqref="O10:P31">
    <cfRule type="cellIs" dxfId="9" priority="3" operator="greaterThan">
      <formula>0</formula>
    </cfRule>
    <cfRule type="cellIs" dxfId="8" priority="4" operator="lessThan">
      <formula>0</formula>
    </cfRule>
  </conditionalFormatting>
  <conditionalFormatting sqref="O34:P36">
    <cfRule type="cellIs" dxfId="7" priority="1" operator="greaterThan">
      <formula>0</formula>
    </cfRule>
    <cfRule type="cellIs" dxfId="6" priority="2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ED"/>
  </sheetPr>
  <dimension ref="A1:P29"/>
  <sheetViews>
    <sheetView zoomScale="85" zoomScaleNormal="85" workbookViewId="0">
      <selection activeCell="H27" sqref="A24:H27"/>
    </sheetView>
  </sheetViews>
  <sheetFormatPr baseColWidth="10" defaultColWidth="0" defaultRowHeight="15" x14ac:dyDescent="0.2"/>
  <cols>
    <col min="1" max="1" width="41.1640625" style="14" bestFit="1" customWidth="1"/>
    <col min="2" max="2" width="15" style="14" bestFit="1" customWidth="1"/>
    <col min="3" max="3" width="18" style="14" customWidth="1"/>
    <col min="4" max="4" width="6" style="14" bestFit="1" customWidth="1"/>
    <col min="5" max="5" width="19.1640625" style="14" customWidth="1"/>
    <col min="6" max="6" width="6" style="14" bestFit="1" customWidth="1"/>
    <col min="7" max="7" width="19" style="14" customWidth="1"/>
    <col min="8" max="8" width="7" style="14" bestFit="1" customWidth="1"/>
    <col min="9" max="9" width="2" style="14" customWidth="1"/>
    <col min="10" max="11" width="16" style="14" customWidth="1"/>
    <col min="12" max="13" width="17.33203125" style="14" customWidth="1"/>
    <col min="14" max="14" width="6" style="14" bestFit="1" customWidth="1"/>
    <col min="15" max="15" width="26" style="14" customWidth="1"/>
    <col min="16" max="16" width="0" style="14" hidden="1" customWidth="1"/>
    <col min="17" max="16384" width="12" style="14" hidden="1"/>
  </cols>
  <sheetData>
    <row r="1" spans="1:15" ht="21" x14ac:dyDescent="0.2">
      <c r="A1" s="138" t="s">
        <v>12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</row>
    <row r="2" spans="1:15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27" x14ac:dyDescent="0.2">
      <c r="A3" s="57" t="s">
        <v>3</v>
      </c>
      <c r="B3" s="57" t="s">
        <v>4</v>
      </c>
      <c r="C3" s="57" t="s">
        <v>5</v>
      </c>
      <c r="D3" s="57" t="s">
        <v>6</v>
      </c>
      <c r="E3" s="57" t="s">
        <v>7</v>
      </c>
      <c r="F3" s="57" t="s">
        <v>6</v>
      </c>
      <c r="G3" s="57" t="s">
        <v>8</v>
      </c>
      <c r="H3" s="57" t="s">
        <v>6</v>
      </c>
      <c r="I3" s="16"/>
      <c r="J3" s="58" t="s">
        <v>22</v>
      </c>
      <c r="K3" s="58" t="s">
        <v>23</v>
      </c>
      <c r="L3" s="58" t="s">
        <v>59</v>
      </c>
      <c r="M3" s="58" t="s">
        <v>65</v>
      </c>
      <c r="N3" s="58" t="s">
        <v>6</v>
      </c>
      <c r="O3" s="58" t="s">
        <v>11</v>
      </c>
    </row>
    <row r="4" spans="1:15" x14ac:dyDescent="0.2">
      <c r="A4" s="60" t="str">
        <f>'Table 1'!D7</f>
        <v>Total communication :</v>
      </c>
      <c r="B4" s="42">
        <f>'Table 1'!E7</f>
        <v>502000</v>
      </c>
      <c r="C4" s="42">
        <f>'Table 1'!F7</f>
        <v>1104</v>
      </c>
      <c r="D4" s="68">
        <f>'Table 1'!G7</f>
        <v>2.1992031872509962E-3</v>
      </c>
      <c r="E4" s="42">
        <f>'Table 1'!H7</f>
        <v>19582</v>
      </c>
      <c r="F4" s="68">
        <f>'Table 1'!I7</f>
        <v>3.9007968127490036E-2</v>
      </c>
      <c r="G4" s="42">
        <f>'Table 1'!J7</f>
        <v>481314</v>
      </c>
      <c r="H4" s="68">
        <f>'Table 1'!K7</f>
        <v>0.95879282868525895</v>
      </c>
      <c r="I4" s="16"/>
      <c r="J4" s="24">
        <f>Menu!$H$12-(D4+F4)</f>
        <v>4.4903939796370078E-2</v>
      </c>
      <c r="K4" s="42">
        <f>B4*J4</f>
        <v>22541.777777777777</v>
      </c>
      <c r="L4" s="42">
        <f>'Table 1'!O7</f>
        <v>16000</v>
      </c>
      <c r="M4" s="42">
        <f>B4-L4</f>
        <v>486000</v>
      </c>
      <c r="N4" s="68">
        <f>'Table 1'!P7</f>
        <v>3.1872509960159362E-2</v>
      </c>
      <c r="O4" s="44"/>
    </row>
    <row r="5" spans="1:15" x14ac:dyDescent="0.2">
      <c r="A5" s="63" t="str">
        <f>'Table 3'!F36</f>
        <v>Total Direction Technique</v>
      </c>
      <c r="B5" s="43">
        <f>'Table 3'!G36</f>
        <v>28325800</v>
      </c>
      <c r="C5" s="43">
        <f>'Table 3'!H36</f>
        <v>1374873</v>
      </c>
      <c r="D5" s="69">
        <f>'Table 3'!I36</f>
        <v>4.8537834765478821E-2</v>
      </c>
      <c r="E5" s="43">
        <f>'Table 3'!J36</f>
        <v>43903</v>
      </c>
      <c r="F5" s="43">
        <f>'Table 3'!K36</f>
        <v>1.5499297460265906E-3</v>
      </c>
      <c r="G5" s="43">
        <f>'Table 3'!L36</f>
        <v>26907024</v>
      </c>
      <c r="H5" s="69">
        <f>'Table 3'!M36</f>
        <v>0.94991223548849457</v>
      </c>
      <c r="I5" s="16"/>
      <c r="J5" s="27">
        <f>Menu!$H$12-(D5+F5)</f>
        <v>3.6023346599605696E-2</v>
      </c>
      <c r="K5" s="43">
        <f>B5*J5</f>
        <v>1020390.111111111</v>
      </c>
      <c r="L5" s="43">
        <f>'Table 3'!Q36</f>
        <v>997000</v>
      </c>
      <c r="M5" s="43">
        <f>B5-L5</f>
        <v>27328800</v>
      </c>
      <c r="N5" s="69">
        <f>'Table 3'!R36</f>
        <v>3.5197593713151967E-2</v>
      </c>
      <c r="O5" s="45"/>
    </row>
    <row r="6" spans="1:15" x14ac:dyDescent="0.2">
      <c r="A6" s="60" t="e">
        <f>#REF!</f>
        <v>#REF!</v>
      </c>
      <c r="B6" s="42" t="e">
        <f>#REF!</f>
        <v>#REF!</v>
      </c>
      <c r="C6" s="42" t="e">
        <f>#REF!</f>
        <v>#REF!</v>
      </c>
      <c r="D6" s="68" t="e">
        <f>#REF!</f>
        <v>#REF!</v>
      </c>
      <c r="E6" s="42" t="e">
        <f>#REF!</f>
        <v>#REF!</v>
      </c>
      <c r="F6" s="68" t="e">
        <f>#REF!</f>
        <v>#REF!</v>
      </c>
      <c r="G6" s="42" t="e">
        <f>#REF!</f>
        <v>#REF!</v>
      </c>
      <c r="H6" s="68" t="e">
        <f>#REF!</f>
        <v>#REF!</v>
      </c>
      <c r="I6" s="16"/>
      <c r="J6" s="24" t="e">
        <f>Menu!$H$12-(D6+F6)</f>
        <v>#REF!</v>
      </c>
      <c r="K6" s="42" t="e">
        <f>B6*J6</f>
        <v>#REF!</v>
      </c>
      <c r="L6" s="42" t="e">
        <f>#REF!</f>
        <v>#REF!</v>
      </c>
      <c r="M6" s="42" t="e">
        <f t="shared" ref="M6:M7" si="0">B6-L6</f>
        <v>#REF!</v>
      </c>
      <c r="N6" s="68" t="e">
        <f>#REF!</f>
        <v>#REF!</v>
      </c>
      <c r="O6" s="44"/>
    </row>
    <row r="7" spans="1:15" x14ac:dyDescent="0.2">
      <c r="A7" s="63" t="e">
        <f>#REF!</f>
        <v>#REF!</v>
      </c>
      <c r="B7" s="43" t="e">
        <f>#REF!</f>
        <v>#REF!</v>
      </c>
      <c r="C7" s="43" t="e">
        <f>#REF!</f>
        <v>#REF!</v>
      </c>
      <c r="D7" s="69" t="e">
        <f>#REF!</f>
        <v>#REF!</v>
      </c>
      <c r="E7" s="43" t="e">
        <f>#REF!</f>
        <v>#REF!</v>
      </c>
      <c r="F7" s="69" t="e">
        <f>#REF!</f>
        <v>#REF!</v>
      </c>
      <c r="G7" s="43" t="e">
        <f>#REF!</f>
        <v>#REF!</v>
      </c>
      <c r="H7" s="69" t="e">
        <f>#REF!</f>
        <v>#REF!</v>
      </c>
      <c r="I7" s="16"/>
      <c r="J7" s="27" t="e">
        <f>Menu!$H$12-(D7+F7)</f>
        <v>#REF!</v>
      </c>
      <c r="K7" s="43" t="e">
        <f>B7*J7</f>
        <v>#REF!</v>
      </c>
      <c r="L7" s="43" t="e">
        <f>#REF!</f>
        <v>#REF!</v>
      </c>
      <c r="M7" s="43" t="e">
        <f t="shared" si="0"/>
        <v>#REF!</v>
      </c>
      <c r="N7" s="69" t="e">
        <f>#REF!</f>
        <v>#REF!</v>
      </c>
      <c r="O7" s="45"/>
    </row>
    <row r="8" spans="1:15" x14ac:dyDescent="0.2">
      <c r="A8" s="64" t="s">
        <v>60</v>
      </c>
      <c r="B8" s="65" t="e">
        <f>SUM(B4:B7)</f>
        <v>#REF!</v>
      </c>
      <c r="C8" s="65" t="e">
        <f>SUM(C4:C7)</f>
        <v>#REF!</v>
      </c>
      <c r="D8" s="2" t="e">
        <f>(C8/B8)</f>
        <v>#REF!</v>
      </c>
      <c r="E8" s="65" t="e">
        <f>SUM(E4:E7)</f>
        <v>#REF!</v>
      </c>
      <c r="F8" s="2" t="e">
        <f>E8/B8</f>
        <v>#REF!</v>
      </c>
      <c r="G8" s="65" t="e">
        <f>SUM(G4:G7)</f>
        <v>#REF!</v>
      </c>
      <c r="H8" s="18" t="e">
        <f>G8/B8</f>
        <v>#REF!</v>
      </c>
      <c r="I8" s="16"/>
      <c r="J8" s="19" t="e">
        <f>Menu!$H$12-(D8+F8)</f>
        <v>#REF!</v>
      </c>
      <c r="K8" s="20" t="e">
        <f>B8*J8</f>
        <v>#REF!</v>
      </c>
      <c r="L8" s="21" t="e">
        <f>SUM(L4:L7)</f>
        <v>#REF!</v>
      </c>
      <c r="M8" s="21"/>
      <c r="N8" s="22" t="e">
        <f>L8/B8</f>
        <v>#REF!</v>
      </c>
      <c r="O8" s="64"/>
    </row>
    <row r="9" spans="1:15" x14ac:dyDescent="0.2">
      <c r="A9" s="60" t="s">
        <v>61</v>
      </c>
      <c r="B9" s="42">
        <v>1700000</v>
      </c>
      <c r="C9" s="70"/>
      <c r="D9" s="66"/>
      <c r="E9" s="66"/>
      <c r="F9" s="66"/>
      <c r="G9" s="66"/>
      <c r="H9" s="66"/>
      <c r="I9" s="16"/>
      <c r="J9" s="66" t="s">
        <v>64</v>
      </c>
      <c r="K9" s="66"/>
      <c r="L9" s="61"/>
      <c r="M9" s="61"/>
      <c r="N9" s="62"/>
      <c r="O9" s="60"/>
    </row>
    <row r="10" spans="1:15" x14ac:dyDescent="0.2">
      <c r="A10" s="63" t="s">
        <v>62</v>
      </c>
      <c r="B10" s="43" t="e">
        <f>L8</f>
        <v>#REF!</v>
      </c>
      <c r="C10" s="45"/>
      <c r="D10" s="63"/>
      <c r="E10" s="63"/>
      <c r="F10" s="63"/>
      <c r="G10" s="63"/>
      <c r="H10" s="63"/>
      <c r="I10" s="16"/>
      <c r="J10" s="63"/>
      <c r="K10" s="63"/>
      <c r="L10" s="63"/>
      <c r="M10" s="63"/>
      <c r="N10" s="63"/>
      <c r="O10" s="63"/>
    </row>
    <row r="11" spans="1:15" x14ac:dyDescent="0.2">
      <c r="A11" s="60" t="s">
        <v>63</v>
      </c>
      <c r="B11" s="42" t="e">
        <f>B9-B10</f>
        <v>#REF!</v>
      </c>
      <c r="C11" s="44"/>
      <c r="D11" s="60"/>
      <c r="E11" s="60"/>
      <c r="F11" s="67"/>
      <c r="G11" s="60"/>
      <c r="H11" s="60"/>
      <c r="I11" s="16"/>
      <c r="J11" s="60"/>
      <c r="K11" s="60"/>
      <c r="L11" s="60"/>
      <c r="M11" s="60"/>
      <c r="N11" s="60"/>
      <c r="O11" s="60"/>
    </row>
    <row r="12" spans="1:15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5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x14ac:dyDescent="0.2">
      <c r="A29" s="15"/>
      <c r="B29" s="15"/>
      <c r="C29" s="15"/>
      <c r="D29" s="15"/>
      <c r="E29" s="15"/>
      <c r="F29" s="15"/>
      <c r="G29" s="15"/>
      <c r="I29" s="15"/>
      <c r="J29" s="15"/>
      <c r="K29" s="15"/>
      <c r="L29" s="15"/>
      <c r="M29" s="15"/>
      <c r="N29" s="15"/>
      <c r="O29" s="15"/>
    </row>
  </sheetData>
  <mergeCells count="1">
    <mergeCell ref="A1:O1"/>
  </mergeCells>
  <conditionalFormatting sqref="J8:K8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B11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J4:K7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Table 1</vt:lpstr>
      <vt:lpstr>Table 2</vt:lpstr>
      <vt:lpstr>Table 3</vt:lpstr>
      <vt:lpstr>Récap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</dc:creator>
  <cp:lastModifiedBy>interim</cp:lastModifiedBy>
  <dcterms:created xsi:type="dcterms:W3CDTF">2018-02-13T11:25:13Z</dcterms:created>
  <dcterms:modified xsi:type="dcterms:W3CDTF">2018-02-16T08:12:47Z</dcterms:modified>
</cp:coreProperties>
</file>