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C:\Users\nicolas.roussille\Downloads\"/>
    </mc:Choice>
  </mc:AlternateContent>
  <xr:revisionPtr revIDLastSave="0" documentId="13_ncr:1_{1618E2EA-AADD-456E-A153-3115762152AA}" xr6:coauthVersionLast="47" xr6:coauthVersionMax="47" xr10:uidLastSave="{00000000-0000-0000-0000-000000000000}"/>
  <bookViews>
    <workbookView xWindow="-120" yWindow="-120" windowWidth="29040" windowHeight="17790" tabRatio="739" activeTab="6" xr2:uid="{C4205B1E-466F-46EE-86C2-276A132FFE3A}"/>
  </bookViews>
  <sheets>
    <sheet name="modele" sheetId="8" r:id="rId1"/>
    <sheet name="Personnel" sheetId="78" r:id="rId2"/>
    <sheet name="Materiel" sheetId="7" r:id="rId3"/>
    <sheet name="Fourn" sheetId="76" r:id="rId4"/>
    <sheet name="Loc" sheetId="77" r:id="rId5"/>
    <sheet name="Coeff" sheetId="11" r:id="rId6"/>
    <sheet name="DE récap" sheetId="2" r:id="rId7"/>
    <sheet name="10B 11 702 00" sheetId="80" r:id="rId8"/>
    <sheet name="20C 11 400 00" sheetId="81" r:id="rId9"/>
    <sheet name="modele (3)" sheetId="116" r:id="rId10"/>
    <sheet name="COEX1det" sheetId="6" r:id="rId11"/>
  </sheets>
  <definedNames>
    <definedName name="EURO">6.55957</definedName>
    <definedName name="FOD" localSheetId="3">Fourn!#REF!</definedName>
    <definedName name="FOD" localSheetId="4">Loc!#REF!</definedName>
    <definedName name="FOD" localSheetId="1">Personnel!#REF!</definedName>
    <definedName name="FOD">Materiel!$I$3</definedName>
    <definedName name="FOD_2006">#REF!</definedName>
    <definedName name="GO" localSheetId="3">Fourn!#REF!</definedName>
    <definedName name="GO" localSheetId="4">Loc!#REF!</definedName>
    <definedName name="GO" localSheetId="1">Personnel!#REF!</definedName>
    <definedName name="GO">Materiel!$I$4</definedName>
    <definedName name="GO_2006">#REF!</definedName>
    <definedName name="_xlnm.Print_Titles" localSheetId="6">'DE récap'!$1:$3</definedName>
    <definedName name="ListeFournitures">Fourn!$B$17:$B$200</definedName>
    <definedName name="ListeLocations">Loc!$B$15:$B$100</definedName>
    <definedName name="ListeMachine" localSheetId="3">Fourn!$B$14:$B$200</definedName>
    <definedName name="ListeMachine" localSheetId="4">Loc!$B$14:$B$100</definedName>
    <definedName name="ListeMachine" localSheetId="1">Personnel!$B$14:$B$107</definedName>
    <definedName name="ListeMachine">Materiel!$B$14:$B$410</definedName>
    <definedName name="ListePersonnel">Personnel!$B$17:$B$107</definedName>
    <definedName name="TVA">0.196</definedName>
    <definedName name="_xlnm.Print_Area" localSheetId="7">'10B 11 702 00'!$A$1:$P$55</definedName>
    <definedName name="_xlnm.Print_Area" localSheetId="8">'20C 11 400 00'!$A$1:$P$55</definedName>
    <definedName name="_xlnm.Print_Area" localSheetId="0">modele!$A$1:$P$55</definedName>
    <definedName name="_xlnm.Print_Area" localSheetId="9">'modele (3)'!$A$1:$P$55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2" l="1"/>
  <c r="I18" i="2"/>
  <c r="I35" i="2"/>
  <c r="I40" i="2"/>
  <c r="H11" i="2"/>
  <c r="A11" i="2"/>
  <c r="D27" i="78"/>
  <c r="D20" i="7"/>
  <c r="D20" i="78"/>
  <c r="D23" i="78"/>
  <c r="P28" i="80"/>
  <c r="L28" i="80"/>
  <c r="C28" i="80"/>
  <c r="K51" i="116"/>
  <c r="K50" i="116"/>
  <c r="K49" i="116"/>
  <c r="P46" i="116"/>
  <c r="P42" i="116"/>
  <c r="L42" i="116"/>
  <c r="J42" i="116"/>
  <c r="F42" i="116"/>
  <c r="P41" i="116"/>
  <c r="L41" i="116"/>
  <c r="J41" i="116"/>
  <c r="F41" i="116"/>
  <c r="P40" i="116"/>
  <c r="L40" i="116"/>
  <c r="J40" i="116"/>
  <c r="F40" i="116"/>
  <c r="P39" i="116"/>
  <c r="L39" i="116"/>
  <c r="J39" i="116"/>
  <c r="F39" i="116"/>
  <c r="P38" i="116"/>
  <c r="K38" i="116"/>
  <c r="L38" i="116" s="1"/>
  <c r="J38" i="116"/>
  <c r="F38" i="116"/>
  <c r="C38" i="116"/>
  <c r="P37" i="116"/>
  <c r="K37" i="116"/>
  <c r="L37" i="116" s="1"/>
  <c r="J37" i="116"/>
  <c r="F37" i="116"/>
  <c r="C37" i="116"/>
  <c r="P36" i="116"/>
  <c r="K36" i="116"/>
  <c r="L36" i="116" s="1"/>
  <c r="J36" i="116"/>
  <c r="F36" i="116"/>
  <c r="C36" i="116"/>
  <c r="P35" i="116"/>
  <c r="K35" i="116"/>
  <c r="L35" i="116" s="1"/>
  <c r="J35" i="116"/>
  <c r="F35" i="116"/>
  <c r="C35" i="116"/>
  <c r="P34" i="116"/>
  <c r="L34" i="116"/>
  <c r="J34" i="116"/>
  <c r="F34" i="116"/>
  <c r="P33" i="116"/>
  <c r="K33" i="116"/>
  <c r="L33" i="116" s="1"/>
  <c r="J33" i="116"/>
  <c r="F33" i="116"/>
  <c r="C33" i="116"/>
  <c r="P32" i="116"/>
  <c r="K32" i="116"/>
  <c r="L32" i="116" s="1"/>
  <c r="J32" i="116"/>
  <c r="F32" i="116"/>
  <c r="C32" i="116"/>
  <c r="P31" i="116"/>
  <c r="K31" i="116"/>
  <c r="L31" i="116" s="1"/>
  <c r="J31" i="116"/>
  <c r="F31" i="116"/>
  <c r="C31" i="116"/>
  <c r="P30" i="116"/>
  <c r="L30" i="116"/>
  <c r="J30" i="116"/>
  <c r="F30" i="116"/>
  <c r="P29" i="116"/>
  <c r="L29" i="116"/>
  <c r="I29" i="116"/>
  <c r="J29" i="116" s="1"/>
  <c r="E29" i="116"/>
  <c r="F29" i="116" s="1"/>
  <c r="C29" i="116"/>
  <c r="P28" i="116"/>
  <c r="L28" i="116"/>
  <c r="I28" i="116"/>
  <c r="J28" i="116" s="1"/>
  <c r="E28" i="116"/>
  <c r="F28" i="116" s="1"/>
  <c r="C28" i="116"/>
  <c r="P27" i="116"/>
  <c r="L27" i="116"/>
  <c r="I27" i="116"/>
  <c r="J27" i="116" s="1"/>
  <c r="E27" i="116"/>
  <c r="F27" i="116" s="1"/>
  <c r="C27" i="116"/>
  <c r="P26" i="116"/>
  <c r="L26" i="116"/>
  <c r="I26" i="116"/>
  <c r="J26" i="116" s="1"/>
  <c r="E26" i="116"/>
  <c r="F26" i="116" s="1"/>
  <c r="C26" i="116"/>
  <c r="P25" i="116"/>
  <c r="L25" i="116"/>
  <c r="I25" i="116"/>
  <c r="J25" i="116" s="1"/>
  <c r="E25" i="116"/>
  <c r="F25" i="116" s="1"/>
  <c r="C25" i="116"/>
  <c r="P24" i="116"/>
  <c r="L24" i="116"/>
  <c r="J24" i="116"/>
  <c r="F24" i="116"/>
  <c r="P23" i="116"/>
  <c r="L23" i="116"/>
  <c r="I23" i="116"/>
  <c r="J23" i="116" s="1"/>
  <c r="F23" i="116"/>
  <c r="C23" i="116"/>
  <c r="P22" i="116"/>
  <c r="L22" i="116"/>
  <c r="I22" i="116"/>
  <c r="J22" i="116" s="1"/>
  <c r="F22" i="116"/>
  <c r="C22" i="116"/>
  <c r="P21" i="116"/>
  <c r="L21" i="116"/>
  <c r="I21" i="116"/>
  <c r="J21" i="116" s="1"/>
  <c r="F21" i="116"/>
  <c r="C21" i="116"/>
  <c r="C9" i="116"/>
  <c r="D19" i="116" s="1"/>
  <c r="P6" i="116"/>
  <c r="C6" i="116"/>
  <c r="K51" i="81"/>
  <c r="K50" i="81"/>
  <c r="K49" i="81"/>
  <c r="P46" i="81"/>
  <c r="P42" i="81"/>
  <c r="L42" i="81"/>
  <c r="J42" i="81"/>
  <c r="F42" i="81"/>
  <c r="P41" i="81"/>
  <c r="L41" i="81"/>
  <c r="J41" i="81"/>
  <c r="F41" i="81"/>
  <c r="P40" i="81"/>
  <c r="L40" i="81"/>
  <c r="J40" i="81"/>
  <c r="F40" i="81"/>
  <c r="P39" i="81"/>
  <c r="L39" i="81"/>
  <c r="J39" i="81"/>
  <c r="F39" i="81"/>
  <c r="P38" i="81"/>
  <c r="K38" i="81"/>
  <c r="L38" i="81" s="1"/>
  <c r="J38" i="81"/>
  <c r="F38" i="81"/>
  <c r="C38" i="81"/>
  <c r="P37" i="81"/>
  <c r="K37" i="81"/>
  <c r="L37" i="81" s="1"/>
  <c r="J37" i="81"/>
  <c r="F37" i="81"/>
  <c r="C37" i="81"/>
  <c r="P36" i="81"/>
  <c r="K36" i="81"/>
  <c r="L36" i="81" s="1"/>
  <c r="J36" i="81"/>
  <c r="F36" i="81"/>
  <c r="C36" i="81"/>
  <c r="P35" i="81"/>
  <c r="K35" i="81"/>
  <c r="L35" i="81" s="1"/>
  <c r="J35" i="81"/>
  <c r="F35" i="81"/>
  <c r="C35" i="81"/>
  <c r="P34" i="81"/>
  <c r="L34" i="81"/>
  <c r="J34" i="81"/>
  <c r="F34" i="81"/>
  <c r="P33" i="81"/>
  <c r="K33" i="81"/>
  <c r="L33" i="81" s="1"/>
  <c r="J33" i="81"/>
  <c r="F33" i="81"/>
  <c r="C33" i="81"/>
  <c r="P32" i="81"/>
  <c r="K32" i="81"/>
  <c r="L32" i="81" s="1"/>
  <c r="J32" i="81"/>
  <c r="F32" i="81"/>
  <c r="C32" i="81"/>
  <c r="P31" i="81"/>
  <c r="K31" i="81"/>
  <c r="L31" i="81" s="1"/>
  <c r="J31" i="81"/>
  <c r="F31" i="81"/>
  <c r="C31" i="81"/>
  <c r="P30" i="81"/>
  <c r="L30" i="81"/>
  <c r="J30" i="81"/>
  <c r="F30" i="81"/>
  <c r="P29" i="81"/>
  <c r="L29" i="81"/>
  <c r="I29" i="81"/>
  <c r="J29" i="81" s="1"/>
  <c r="E29" i="81"/>
  <c r="F29" i="81" s="1"/>
  <c r="C29" i="81"/>
  <c r="P28" i="81"/>
  <c r="L28" i="81"/>
  <c r="I28" i="81"/>
  <c r="J28" i="81" s="1"/>
  <c r="E28" i="81"/>
  <c r="F28" i="81" s="1"/>
  <c r="C28" i="81"/>
  <c r="P27" i="81"/>
  <c r="L27" i="81"/>
  <c r="I27" i="81"/>
  <c r="J27" i="81" s="1"/>
  <c r="E27" i="81"/>
  <c r="F27" i="81" s="1"/>
  <c r="C27" i="81"/>
  <c r="P26" i="81"/>
  <c r="L26" i="81"/>
  <c r="C26" i="81"/>
  <c r="P25" i="81"/>
  <c r="L25" i="81"/>
  <c r="C25" i="81"/>
  <c r="P24" i="81"/>
  <c r="L24" i="81"/>
  <c r="J24" i="81"/>
  <c r="F24" i="81"/>
  <c r="P23" i="81"/>
  <c r="L23" i="81"/>
  <c r="I23" i="81"/>
  <c r="J23" i="81" s="1"/>
  <c r="F23" i="81"/>
  <c r="C23" i="81"/>
  <c r="P22" i="81"/>
  <c r="L22" i="81"/>
  <c r="I22" i="81"/>
  <c r="J22" i="81" s="1"/>
  <c r="F22" i="81"/>
  <c r="C22" i="81"/>
  <c r="P21" i="81"/>
  <c r="L21" i="81"/>
  <c r="F21" i="81"/>
  <c r="C21" i="81"/>
  <c r="C9" i="81"/>
  <c r="C10" i="81" s="1"/>
  <c r="J6" i="81" s="1"/>
  <c r="P6" i="81"/>
  <c r="C6" i="81"/>
  <c r="K51" i="80"/>
  <c r="K50" i="80"/>
  <c r="K49" i="80"/>
  <c r="P46" i="80"/>
  <c r="P42" i="80"/>
  <c r="L42" i="80"/>
  <c r="J42" i="80"/>
  <c r="F42" i="80"/>
  <c r="P41" i="80"/>
  <c r="L41" i="80"/>
  <c r="J41" i="80"/>
  <c r="F41" i="80"/>
  <c r="P40" i="80"/>
  <c r="L40" i="80"/>
  <c r="J40" i="80"/>
  <c r="F40" i="80"/>
  <c r="P39" i="80"/>
  <c r="L39" i="80"/>
  <c r="J39" i="80"/>
  <c r="F39" i="80"/>
  <c r="P38" i="80"/>
  <c r="K38" i="80"/>
  <c r="L38" i="80" s="1"/>
  <c r="J38" i="80"/>
  <c r="F38" i="80"/>
  <c r="C38" i="80"/>
  <c r="P37" i="80"/>
  <c r="K37" i="80"/>
  <c r="L37" i="80" s="1"/>
  <c r="J37" i="80"/>
  <c r="F37" i="80"/>
  <c r="C37" i="80"/>
  <c r="P36" i="80"/>
  <c r="K36" i="80"/>
  <c r="L36" i="80" s="1"/>
  <c r="J36" i="80"/>
  <c r="F36" i="80"/>
  <c r="C36" i="80"/>
  <c r="P35" i="80"/>
  <c r="K35" i="80"/>
  <c r="L35" i="80" s="1"/>
  <c r="J35" i="80"/>
  <c r="F35" i="80"/>
  <c r="C35" i="80"/>
  <c r="P34" i="80"/>
  <c r="L34" i="80"/>
  <c r="J34" i="80"/>
  <c r="F34" i="80"/>
  <c r="P33" i="80"/>
  <c r="K33" i="80"/>
  <c r="L33" i="80" s="1"/>
  <c r="J33" i="80"/>
  <c r="F33" i="80"/>
  <c r="C33" i="80"/>
  <c r="P32" i="80"/>
  <c r="K32" i="80"/>
  <c r="L32" i="80" s="1"/>
  <c r="J32" i="80"/>
  <c r="F32" i="80"/>
  <c r="C32" i="80"/>
  <c r="P31" i="80"/>
  <c r="K31" i="80"/>
  <c r="L31" i="80" s="1"/>
  <c r="J31" i="80"/>
  <c r="F31" i="80"/>
  <c r="C31" i="80"/>
  <c r="P30" i="80"/>
  <c r="L30" i="80"/>
  <c r="J30" i="80"/>
  <c r="F30" i="80"/>
  <c r="P29" i="80"/>
  <c r="L29" i="80"/>
  <c r="I29" i="80"/>
  <c r="J29" i="80" s="1"/>
  <c r="E29" i="80"/>
  <c r="F29" i="80" s="1"/>
  <c r="C29" i="80"/>
  <c r="P27" i="80"/>
  <c r="L27" i="80"/>
  <c r="C27" i="80"/>
  <c r="P26" i="80"/>
  <c r="L26" i="80"/>
  <c r="C26" i="80"/>
  <c r="P25" i="80"/>
  <c r="L25" i="80"/>
  <c r="C25" i="80"/>
  <c r="P24" i="80"/>
  <c r="L24" i="80"/>
  <c r="J24" i="80"/>
  <c r="F24" i="80"/>
  <c r="P23" i="80"/>
  <c r="L23" i="80"/>
  <c r="I23" i="80"/>
  <c r="J23" i="80" s="1"/>
  <c r="F23" i="80"/>
  <c r="C23" i="80"/>
  <c r="P22" i="80"/>
  <c r="L22" i="80"/>
  <c r="I22" i="80"/>
  <c r="J22" i="80" s="1"/>
  <c r="F22" i="80"/>
  <c r="C22" i="80"/>
  <c r="P21" i="80"/>
  <c r="L21" i="80"/>
  <c r="F21" i="80"/>
  <c r="C21" i="80"/>
  <c r="C9" i="80"/>
  <c r="P6" i="80"/>
  <c r="C6" i="80"/>
  <c r="K29" i="7"/>
  <c r="K30" i="7"/>
  <c r="K31" i="7"/>
  <c r="K32" i="7"/>
  <c r="K33" i="7"/>
  <c r="K34" i="7"/>
  <c r="K35" i="7"/>
  <c r="K36" i="7"/>
  <c r="K37" i="7"/>
  <c r="K28" i="7"/>
  <c r="E37" i="7"/>
  <c r="D37" i="7"/>
  <c r="E36" i="7"/>
  <c r="V35" i="7"/>
  <c r="P35" i="7"/>
  <c r="T35" i="7" s="1"/>
  <c r="E35" i="7"/>
  <c r="I35" i="7" s="1"/>
  <c r="E34" i="7"/>
  <c r="E33" i="7"/>
  <c r="D33" i="7"/>
  <c r="E32" i="7"/>
  <c r="D32" i="7"/>
  <c r="V31" i="7"/>
  <c r="P31" i="7"/>
  <c r="T31" i="7" s="1"/>
  <c r="E31" i="7"/>
  <c r="E30" i="7"/>
  <c r="D30" i="7"/>
  <c r="E29" i="7"/>
  <c r="D29" i="7"/>
  <c r="E28" i="7"/>
  <c r="D28" i="7"/>
  <c r="V24" i="7"/>
  <c r="P24" i="7"/>
  <c r="T24" i="7" s="1"/>
  <c r="K24" i="7"/>
  <c r="E24" i="7"/>
  <c r="I24" i="7" s="1"/>
  <c r="D19" i="7"/>
  <c r="E20" i="7"/>
  <c r="V20" i="7"/>
  <c r="P20" i="7"/>
  <c r="T20" i="7" s="1"/>
  <c r="K20" i="7"/>
  <c r="K51" i="7"/>
  <c r="K44" i="7"/>
  <c r="K42" i="7"/>
  <c r="K41" i="7"/>
  <c r="K40" i="7"/>
  <c r="K26" i="7"/>
  <c r="K25" i="7"/>
  <c r="K23" i="7"/>
  <c r="K22" i="7"/>
  <c r="K21" i="7"/>
  <c r="K19" i="7"/>
  <c r="K18" i="7"/>
  <c r="K17" i="7"/>
  <c r="E50" i="7"/>
  <c r="D50" i="7"/>
  <c r="E44" i="7"/>
  <c r="D44" i="7"/>
  <c r="E43" i="7"/>
  <c r="D43" i="7"/>
  <c r="E42" i="7"/>
  <c r="D42" i="7"/>
  <c r="E41" i="7"/>
  <c r="D41" i="7"/>
  <c r="E40" i="7"/>
  <c r="D40" i="7"/>
  <c r="E26" i="7"/>
  <c r="D26" i="7"/>
  <c r="E25" i="7"/>
  <c r="E23" i="7"/>
  <c r="D23" i="7"/>
  <c r="E22" i="7"/>
  <c r="D22" i="7"/>
  <c r="E21" i="7"/>
  <c r="D21" i="7"/>
  <c r="E19" i="7"/>
  <c r="E18" i="7"/>
  <c r="D18" i="7"/>
  <c r="E17" i="7"/>
  <c r="D17" i="7"/>
  <c r="I21" i="81" l="1"/>
  <c r="J21" i="81" s="1"/>
  <c r="D22" i="78"/>
  <c r="I26" i="81"/>
  <c r="J26" i="81" s="1"/>
  <c r="I25" i="81"/>
  <c r="J25" i="81" s="1"/>
  <c r="I26" i="80"/>
  <c r="J26" i="80" s="1"/>
  <c r="I27" i="80"/>
  <c r="J27" i="80" s="1"/>
  <c r="I28" i="80"/>
  <c r="J28" i="80" s="1"/>
  <c r="I25" i="80"/>
  <c r="J25" i="80" s="1"/>
  <c r="C10" i="80"/>
  <c r="J6" i="80" s="1"/>
  <c r="M39" i="80"/>
  <c r="M41" i="116"/>
  <c r="M31" i="116"/>
  <c r="M35" i="116"/>
  <c r="I30" i="7"/>
  <c r="L30" i="7" s="1"/>
  <c r="M41" i="80"/>
  <c r="M31" i="80"/>
  <c r="M34" i="80"/>
  <c r="M34" i="116"/>
  <c r="M35" i="81"/>
  <c r="M37" i="116"/>
  <c r="M22" i="116"/>
  <c r="M22" i="80"/>
  <c r="M26" i="116"/>
  <c r="M27" i="116"/>
  <c r="M33" i="80"/>
  <c r="M21" i="116"/>
  <c r="M30" i="116"/>
  <c r="M28" i="116"/>
  <c r="M40" i="80"/>
  <c r="M23" i="81"/>
  <c r="M36" i="81"/>
  <c r="M24" i="80"/>
  <c r="M37" i="80"/>
  <c r="M30" i="81"/>
  <c r="M33" i="81"/>
  <c r="M40" i="81"/>
  <c r="C10" i="116"/>
  <c r="J6" i="116" s="1"/>
  <c r="P11" i="116"/>
  <c r="M23" i="116"/>
  <c r="K43" i="80"/>
  <c r="O43" i="80"/>
  <c r="P44" i="80" s="1"/>
  <c r="O49" i="80" s="1"/>
  <c r="E43" i="116"/>
  <c r="M38" i="116"/>
  <c r="M38" i="80"/>
  <c r="M24" i="81"/>
  <c r="M34" i="81"/>
  <c r="M41" i="81"/>
  <c r="M29" i="116"/>
  <c r="M24" i="116"/>
  <c r="M42" i="116"/>
  <c r="M32" i="80"/>
  <c r="O43" i="81"/>
  <c r="P44" i="81" s="1"/>
  <c r="O49" i="81" s="1"/>
  <c r="K43" i="81"/>
  <c r="M42" i="80"/>
  <c r="M38" i="81"/>
  <c r="O43" i="116"/>
  <c r="P44" i="116" s="1"/>
  <c r="O49" i="116" s="1"/>
  <c r="M36" i="116"/>
  <c r="M22" i="81"/>
  <c r="M33" i="116"/>
  <c r="I34" i="7"/>
  <c r="M32" i="81"/>
  <c r="M42" i="81"/>
  <c r="M39" i="116"/>
  <c r="M25" i="116"/>
  <c r="M23" i="80"/>
  <c r="M30" i="80"/>
  <c r="M39" i="81"/>
  <c r="M40" i="116"/>
  <c r="M32" i="116"/>
  <c r="K43" i="116"/>
  <c r="I43" i="116"/>
  <c r="P10" i="116"/>
  <c r="M28" i="81"/>
  <c r="I18" i="7"/>
  <c r="P10" i="81"/>
  <c r="M37" i="81"/>
  <c r="M31" i="81"/>
  <c r="M29" i="81"/>
  <c r="M21" i="81"/>
  <c r="M27" i="81"/>
  <c r="P11" i="81"/>
  <c r="I50" i="7"/>
  <c r="M35" i="80"/>
  <c r="M29" i="80"/>
  <c r="M36" i="80"/>
  <c r="I28" i="7"/>
  <c r="P11" i="80"/>
  <c r="P10" i="80"/>
  <c r="I33" i="7"/>
  <c r="L33" i="7" s="1"/>
  <c r="I32" i="7"/>
  <c r="I37" i="7"/>
  <c r="I31" i="7"/>
  <c r="W35" i="7"/>
  <c r="I36" i="7"/>
  <c r="I29" i="7"/>
  <c r="L29" i="7" s="1"/>
  <c r="L35" i="7"/>
  <c r="W31" i="7"/>
  <c r="L24" i="7"/>
  <c r="W24" i="7"/>
  <c r="I44" i="7"/>
  <c r="I43" i="7"/>
  <c r="I21" i="7"/>
  <c r="I41" i="7"/>
  <c r="L41" i="7" s="1"/>
  <c r="I22" i="7"/>
  <c r="L22" i="7" s="1"/>
  <c r="I20" i="7"/>
  <c r="L20" i="7" s="1"/>
  <c r="W20" i="7"/>
  <c r="I23" i="7"/>
  <c r="I25" i="7"/>
  <c r="I19" i="7"/>
  <c r="I42" i="7"/>
  <c r="I17" i="7"/>
  <c r="L17" i="7" s="1"/>
  <c r="I26" i="7"/>
  <c r="I40" i="7"/>
  <c r="L40" i="7" s="1"/>
  <c r="I43" i="81" l="1"/>
  <c r="L23" i="7"/>
  <c r="I21" i="80"/>
  <c r="J21" i="80" s="1"/>
  <c r="L26" i="7"/>
  <c r="L42" i="7"/>
  <c r="L19" i="7"/>
  <c r="E26" i="81"/>
  <c r="F26" i="81" s="1"/>
  <c r="M26" i="81" s="1"/>
  <c r="L25" i="7"/>
  <c r="L21" i="7"/>
  <c r="E25" i="81"/>
  <c r="F25" i="81" s="1"/>
  <c r="L43" i="7"/>
  <c r="L44" i="7"/>
  <c r="L36" i="7"/>
  <c r="L31" i="7"/>
  <c r="L37" i="7"/>
  <c r="L50" i="7"/>
  <c r="L18" i="7"/>
  <c r="L34" i="7"/>
  <c r="E27" i="80"/>
  <c r="F27" i="80" s="1"/>
  <c r="M27" i="80" s="1"/>
  <c r="L32" i="7"/>
  <c r="E28" i="80"/>
  <c r="F28" i="80" s="1"/>
  <c r="M28" i="80" s="1"/>
  <c r="E25" i="80"/>
  <c r="F25" i="80" s="1"/>
  <c r="L28" i="7"/>
  <c r="E26" i="80"/>
  <c r="F26" i="80" s="1"/>
  <c r="M26" i="80" s="1"/>
  <c r="M43" i="116"/>
  <c r="J46" i="116" s="1"/>
  <c r="L52" i="116" s="1"/>
  <c r="L54" i="116" s="1"/>
  <c r="O53" i="116" s="1"/>
  <c r="P46" i="8"/>
  <c r="K51" i="8"/>
  <c r="K50" i="8"/>
  <c r="K49" i="8"/>
  <c r="H21" i="2"/>
  <c r="H6" i="2"/>
  <c r="H7" i="2"/>
  <c r="H8" i="2"/>
  <c r="H9" i="2"/>
  <c r="H10" i="2"/>
  <c r="H12" i="2"/>
  <c r="H13" i="2"/>
  <c r="H14" i="2"/>
  <c r="H15" i="2"/>
  <c r="H16" i="2"/>
  <c r="H17" i="2"/>
  <c r="H18" i="2"/>
  <c r="H19" i="2"/>
  <c r="H20" i="2"/>
  <c r="H23" i="2"/>
  <c r="H27" i="2"/>
  <c r="H28" i="2"/>
  <c r="H29" i="2"/>
  <c r="H30" i="2"/>
  <c r="H31" i="2"/>
  <c r="H32" i="2"/>
  <c r="H33" i="2"/>
  <c r="H34"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C6" i="8"/>
  <c r="P22" i="8"/>
  <c r="P23" i="8"/>
  <c r="P24" i="8"/>
  <c r="P25" i="8"/>
  <c r="P26" i="8"/>
  <c r="P27" i="8"/>
  <c r="P28" i="8"/>
  <c r="P29" i="8"/>
  <c r="P30" i="8"/>
  <c r="P31" i="8"/>
  <c r="P32" i="8"/>
  <c r="P33" i="8"/>
  <c r="P34" i="8"/>
  <c r="P35" i="8"/>
  <c r="P36" i="8"/>
  <c r="P37" i="8"/>
  <c r="P38" i="8"/>
  <c r="P39" i="8"/>
  <c r="P40" i="8"/>
  <c r="P41" i="8"/>
  <c r="P42" i="8"/>
  <c r="P21" i="8"/>
  <c r="L42" i="8"/>
  <c r="L41" i="8"/>
  <c r="L40" i="8"/>
  <c r="L39" i="8"/>
  <c r="L34" i="8"/>
  <c r="L30" i="8"/>
  <c r="L29" i="8"/>
  <c r="L28" i="8"/>
  <c r="L27" i="8"/>
  <c r="L26" i="8"/>
  <c r="L25" i="8"/>
  <c r="L24" i="8"/>
  <c r="L23" i="8"/>
  <c r="L22" i="8"/>
  <c r="L21" i="8"/>
  <c r="J42" i="8"/>
  <c r="J41" i="8"/>
  <c r="J40" i="8"/>
  <c r="J39" i="8"/>
  <c r="J38" i="8"/>
  <c r="J37" i="8"/>
  <c r="J36" i="8"/>
  <c r="J35" i="8"/>
  <c r="J34" i="8"/>
  <c r="J33" i="8"/>
  <c r="J32" i="8"/>
  <c r="J31" i="8"/>
  <c r="J30" i="8"/>
  <c r="J24" i="8"/>
  <c r="F42" i="8"/>
  <c r="F41" i="8"/>
  <c r="F40" i="8"/>
  <c r="F39" i="8"/>
  <c r="F38" i="8"/>
  <c r="F37" i="8"/>
  <c r="F36" i="8"/>
  <c r="F35" i="8"/>
  <c r="F34" i="8"/>
  <c r="F33" i="8"/>
  <c r="F32" i="8"/>
  <c r="F31" i="8"/>
  <c r="F30" i="8"/>
  <c r="F24" i="8"/>
  <c r="F23" i="8"/>
  <c r="F22" i="8"/>
  <c r="F21" i="8"/>
  <c r="I22" i="8"/>
  <c r="J22" i="8" s="1"/>
  <c r="I23" i="8"/>
  <c r="J23" i="8" s="1"/>
  <c r="I25" i="8"/>
  <c r="J25" i="8" s="1"/>
  <c r="I21" i="8"/>
  <c r="J21" i="8" s="1"/>
  <c r="K33" i="8"/>
  <c r="L33" i="8" s="1"/>
  <c r="K31" i="8"/>
  <c r="L31" i="8" s="1"/>
  <c r="K32" i="8"/>
  <c r="L32" i="8" s="1"/>
  <c r="K36" i="8"/>
  <c r="L36" i="8" s="1"/>
  <c r="K37" i="8"/>
  <c r="L37" i="8" s="1"/>
  <c r="K38" i="8"/>
  <c r="L38" i="8" s="1"/>
  <c r="K35" i="8"/>
  <c r="L35" i="8" s="1"/>
  <c r="E27" i="8"/>
  <c r="F27" i="8" s="1"/>
  <c r="E28" i="8"/>
  <c r="F28" i="8" s="1"/>
  <c r="E29" i="8"/>
  <c r="F29" i="8" s="1"/>
  <c r="E25" i="8"/>
  <c r="F25" i="8" s="1"/>
  <c r="C25" i="8"/>
  <c r="C27" i="8"/>
  <c r="C28" i="8"/>
  <c r="C29" i="8"/>
  <c r="C26" i="8"/>
  <c r="I29" i="8"/>
  <c r="J29" i="8" s="1"/>
  <c r="I28" i="8"/>
  <c r="J28" i="8" s="1"/>
  <c r="I27" i="8"/>
  <c r="J27" i="8" s="1"/>
  <c r="I26" i="8"/>
  <c r="J26" i="8" s="1"/>
  <c r="C38" i="8"/>
  <c r="C37" i="8"/>
  <c r="C36" i="8"/>
  <c r="C35" i="8"/>
  <c r="C33" i="8"/>
  <c r="C32" i="8"/>
  <c r="C31" i="8"/>
  <c r="C23" i="8"/>
  <c r="C22" i="8"/>
  <c r="C21" i="8"/>
  <c r="C9" i="8"/>
  <c r="C10" i="8" s="1"/>
  <c r="J6" i="8" s="1"/>
  <c r="P6" i="8"/>
  <c r="T340" i="7"/>
  <c r="T338" i="7"/>
  <c r="T337" i="7"/>
  <c r="T336" i="7"/>
  <c r="T335" i="7"/>
  <c r="T334" i="7"/>
  <c r="T333" i="7"/>
  <c r="T332" i="7"/>
  <c r="T329" i="7"/>
  <c r="T328" i="7"/>
  <c r="T327" i="7"/>
  <c r="T326" i="7"/>
  <c r="T325" i="7"/>
  <c r="T324" i="7"/>
  <c r="T323" i="7"/>
  <c r="T322" i="7"/>
  <c r="T321" i="7"/>
  <c r="T320" i="7"/>
  <c r="T319" i="7"/>
  <c r="T318" i="7"/>
  <c r="T317" i="7"/>
  <c r="T316" i="7"/>
  <c r="T313" i="7"/>
  <c r="T312" i="7"/>
  <c r="T311" i="7"/>
  <c r="T309" i="7"/>
  <c r="T308" i="7"/>
  <c r="T307" i="7"/>
  <c r="T306" i="7"/>
  <c r="T305" i="7"/>
  <c r="T300" i="7"/>
  <c r="T298" i="7"/>
  <c r="T296" i="7"/>
  <c r="T295" i="7"/>
  <c r="P292" i="7"/>
  <c r="T292" i="7" s="1"/>
  <c r="P291" i="7"/>
  <c r="T291" i="7" s="1"/>
  <c r="P290" i="7"/>
  <c r="T290" i="7" s="1"/>
  <c r="P289" i="7"/>
  <c r="T289" i="7" s="1"/>
  <c r="P285" i="7"/>
  <c r="T285" i="7" s="1"/>
  <c r="T284" i="7"/>
  <c r="P282" i="7"/>
  <c r="T282" i="7" s="1"/>
  <c r="P281" i="7"/>
  <c r="T281" i="7" s="1"/>
  <c r="P280" i="7"/>
  <c r="T280" i="7" s="1"/>
  <c r="P279" i="7"/>
  <c r="T279" i="7" s="1"/>
  <c r="P275" i="7"/>
  <c r="T275" i="7" s="1"/>
  <c r="T273" i="7"/>
  <c r="T271" i="7"/>
  <c r="T270" i="7"/>
  <c r="P267" i="7"/>
  <c r="T267" i="7" s="1"/>
  <c r="T266" i="7"/>
  <c r="T265" i="7"/>
  <c r="T262" i="7"/>
  <c r="P260" i="7"/>
  <c r="T260" i="7" s="1"/>
  <c r="P259" i="7"/>
  <c r="T259" i="7" s="1"/>
  <c r="P258" i="7"/>
  <c r="T258" i="7" s="1"/>
  <c r="T256" i="7"/>
  <c r="T255" i="7"/>
  <c r="T252" i="7"/>
  <c r="P250" i="7"/>
  <c r="T250" i="7" s="1"/>
  <c r="P249" i="7"/>
  <c r="T249" i="7" s="1"/>
  <c r="P246" i="7"/>
  <c r="T246" i="7" s="1"/>
  <c r="P245" i="7"/>
  <c r="T245" i="7" s="1"/>
  <c r="P244" i="7"/>
  <c r="T244" i="7" s="1"/>
  <c r="P241" i="7"/>
  <c r="T241" i="7" s="1"/>
  <c r="P240" i="7"/>
  <c r="T240" i="7" s="1"/>
  <c r="P237" i="7"/>
  <c r="T237" i="7" s="1"/>
  <c r="P236" i="7"/>
  <c r="T236" i="7" s="1"/>
  <c r="P235" i="7"/>
  <c r="T235" i="7" s="1"/>
  <c r="P234" i="7"/>
  <c r="T234" i="7" s="1"/>
  <c r="P233" i="7"/>
  <c r="T233" i="7" s="1"/>
  <c r="P232" i="7"/>
  <c r="T232" i="7" s="1"/>
  <c r="P229" i="7"/>
  <c r="T229" i="7" s="1"/>
  <c r="P228" i="7"/>
  <c r="T228" i="7" s="1"/>
  <c r="P227" i="7"/>
  <c r="T227" i="7" s="1"/>
  <c r="P226" i="7"/>
  <c r="T226" i="7" s="1"/>
  <c r="P225" i="7"/>
  <c r="T225" i="7" s="1"/>
  <c r="P224" i="7"/>
  <c r="T224" i="7" s="1"/>
  <c r="P221" i="7"/>
  <c r="T221" i="7" s="1"/>
  <c r="P220" i="7"/>
  <c r="T220" i="7" s="1"/>
  <c r="P219" i="7"/>
  <c r="T219" i="7" s="1"/>
  <c r="P218" i="7"/>
  <c r="T218" i="7" s="1"/>
  <c r="P217" i="7"/>
  <c r="T217" i="7" s="1"/>
  <c r="P214" i="7"/>
  <c r="T214" i="7" s="1"/>
  <c r="P213" i="7"/>
  <c r="T213" i="7" s="1"/>
  <c r="P212" i="7"/>
  <c r="T212" i="7" s="1"/>
  <c r="P211" i="7"/>
  <c r="T211" i="7" s="1"/>
  <c r="P210" i="7"/>
  <c r="T210" i="7" s="1"/>
  <c r="P209" i="7"/>
  <c r="T209" i="7" s="1"/>
  <c r="P206" i="7"/>
  <c r="T206" i="7" s="1"/>
  <c r="P205" i="7"/>
  <c r="T205" i="7" s="1"/>
  <c r="P204" i="7"/>
  <c r="T204" i="7" s="1"/>
  <c r="P203" i="7"/>
  <c r="T203" i="7" s="1"/>
  <c r="P202" i="7"/>
  <c r="T202" i="7" s="1"/>
  <c r="P199" i="7"/>
  <c r="T199" i="7" s="1"/>
  <c r="P198" i="7"/>
  <c r="T198" i="7" s="1"/>
  <c r="P197" i="7"/>
  <c r="T197" i="7" s="1"/>
  <c r="P196" i="7"/>
  <c r="T196" i="7" s="1"/>
  <c r="P195" i="7"/>
  <c r="T195" i="7" s="1"/>
  <c r="P194" i="7"/>
  <c r="T194" i="7" s="1"/>
  <c r="P193" i="7"/>
  <c r="T193" i="7" s="1"/>
  <c r="P190" i="7"/>
  <c r="T190" i="7" s="1"/>
  <c r="P189" i="7"/>
  <c r="T189" i="7" s="1"/>
  <c r="P188" i="7"/>
  <c r="T188" i="7" s="1"/>
  <c r="P187" i="7"/>
  <c r="T187" i="7" s="1"/>
  <c r="P186" i="7"/>
  <c r="T186" i="7" s="1"/>
  <c r="P185" i="7"/>
  <c r="T185" i="7" s="1"/>
  <c r="P184" i="7"/>
  <c r="T184" i="7" s="1"/>
  <c r="P183" i="7"/>
  <c r="T183" i="7" s="1"/>
  <c r="P182" i="7"/>
  <c r="T182" i="7" s="1"/>
  <c r="P181" i="7"/>
  <c r="T181" i="7" s="1"/>
  <c r="P180" i="7"/>
  <c r="T180" i="7" s="1"/>
  <c r="P179" i="7"/>
  <c r="T179" i="7" s="1"/>
  <c r="P178" i="7"/>
  <c r="T178" i="7" s="1"/>
  <c r="P177" i="7"/>
  <c r="T177" i="7" s="1"/>
  <c r="P176" i="7"/>
  <c r="T176" i="7" s="1"/>
  <c r="P173" i="7"/>
  <c r="T173" i="7" s="1"/>
  <c r="P172" i="7"/>
  <c r="T172" i="7" s="1"/>
  <c r="P171" i="7"/>
  <c r="T171" i="7" s="1"/>
  <c r="P170" i="7"/>
  <c r="T170" i="7" s="1"/>
  <c r="P169" i="7"/>
  <c r="T169" i="7" s="1"/>
  <c r="P166" i="7"/>
  <c r="T166" i="7" s="1"/>
  <c r="P165" i="7"/>
  <c r="T165" i="7" s="1"/>
  <c r="P164" i="7"/>
  <c r="T164" i="7" s="1"/>
  <c r="P163" i="7"/>
  <c r="T163" i="7" s="1"/>
  <c r="P158" i="7"/>
  <c r="T158" i="7" s="1"/>
  <c r="P157" i="7"/>
  <c r="T157" i="7" s="1"/>
  <c r="P154" i="7"/>
  <c r="P153" i="7"/>
  <c r="T153" i="7" s="1"/>
  <c r="P152" i="7"/>
  <c r="T152" i="7" s="1"/>
  <c r="P149" i="7"/>
  <c r="T149" i="7" s="1"/>
  <c r="P148" i="7"/>
  <c r="P147" i="7"/>
  <c r="T147" i="7" s="1"/>
  <c r="P146" i="7"/>
  <c r="T146" i="7" s="1"/>
  <c r="P145" i="7"/>
  <c r="T145" i="7" s="1"/>
  <c r="P144" i="7"/>
  <c r="T144" i="7" s="1"/>
  <c r="P143" i="7"/>
  <c r="P142" i="7"/>
  <c r="T142" i="7" s="1"/>
  <c r="P141" i="7"/>
  <c r="T141" i="7" s="1"/>
  <c r="P140" i="7"/>
  <c r="T140" i="7" s="1"/>
  <c r="P139" i="7"/>
  <c r="T139" i="7" s="1"/>
  <c r="P136" i="7"/>
  <c r="T136" i="7" s="1"/>
  <c r="P135" i="7"/>
  <c r="T135" i="7" s="1"/>
  <c r="P132" i="7"/>
  <c r="T132" i="7" s="1"/>
  <c r="P131" i="7"/>
  <c r="T131" i="7" s="1"/>
  <c r="P130" i="7"/>
  <c r="T130" i="7" s="1"/>
  <c r="P127" i="7"/>
  <c r="T127" i="7" s="1"/>
  <c r="P125" i="7"/>
  <c r="T125" i="7" s="1"/>
  <c r="P124" i="7"/>
  <c r="T124" i="7" s="1"/>
  <c r="P123" i="7"/>
  <c r="T123" i="7" s="1"/>
  <c r="P120" i="7"/>
  <c r="T120" i="7" s="1"/>
  <c r="P118" i="7"/>
  <c r="T118" i="7" s="1"/>
  <c r="P117" i="7"/>
  <c r="T117" i="7" s="1"/>
  <c r="P116" i="7"/>
  <c r="T116" i="7" s="1"/>
  <c r="P115" i="7"/>
  <c r="T115" i="7" s="1"/>
  <c r="P114" i="7"/>
  <c r="T114" i="7" s="1"/>
  <c r="P113" i="7"/>
  <c r="T113" i="7" s="1"/>
  <c r="P112" i="7"/>
  <c r="T112" i="7" s="1"/>
  <c r="T109" i="7"/>
  <c r="P105" i="7"/>
  <c r="T105" i="7" s="1"/>
  <c r="P102" i="7"/>
  <c r="P101" i="7"/>
  <c r="T101" i="7" s="1"/>
  <c r="P100" i="7"/>
  <c r="T100" i="7" s="1"/>
  <c r="P99" i="7"/>
  <c r="T99" i="7" s="1"/>
  <c r="P98" i="7"/>
  <c r="T98" i="7" s="1"/>
  <c r="P97" i="7"/>
  <c r="T97" i="7" s="1"/>
  <c r="P96" i="7"/>
  <c r="T96" i="7" s="1"/>
  <c r="P93" i="7"/>
  <c r="T93" i="7" s="1"/>
  <c r="P92" i="7"/>
  <c r="T92" i="7" s="1"/>
  <c r="P91" i="7"/>
  <c r="T91" i="7" s="1"/>
  <c r="P88" i="7"/>
  <c r="T88" i="7" s="1"/>
  <c r="P84" i="7"/>
  <c r="T84" i="7" s="1"/>
  <c r="P83" i="7"/>
  <c r="T83" i="7" s="1"/>
  <c r="P80" i="7"/>
  <c r="T80" i="7" s="1"/>
  <c r="P79" i="7"/>
  <c r="T79" i="7" s="1"/>
  <c r="P78" i="7"/>
  <c r="T78" i="7" s="1"/>
  <c r="P77" i="7"/>
  <c r="T77" i="7" s="1"/>
  <c r="P75" i="7"/>
  <c r="T75" i="7" s="1"/>
  <c r="P74" i="7"/>
  <c r="T74" i="7" s="1"/>
  <c r="P73" i="7"/>
  <c r="T73" i="7" s="1"/>
  <c r="P72" i="7"/>
  <c r="T72" i="7" s="1"/>
  <c r="P71" i="7"/>
  <c r="T71" i="7" s="1"/>
  <c r="P70" i="7"/>
  <c r="T70" i="7" s="1"/>
  <c r="P69" i="7"/>
  <c r="T69" i="7" s="1"/>
  <c r="P68" i="7"/>
  <c r="T68" i="7" s="1"/>
  <c r="P64" i="7"/>
  <c r="T64" i="7" s="1"/>
  <c r="P63" i="7"/>
  <c r="T63" i="7" s="1"/>
  <c r="P62" i="7"/>
  <c r="T62" i="7" s="1"/>
  <c r="P61" i="7"/>
  <c r="T61" i="7" s="1"/>
  <c r="P58" i="7"/>
  <c r="T58" i="7" s="1"/>
  <c r="P57" i="7"/>
  <c r="T57" i="7" s="1"/>
  <c r="P55" i="7"/>
  <c r="T55" i="7" s="1"/>
  <c r="P54" i="7"/>
  <c r="T54" i="7" s="1"/>
  <c r="P53" i="7"/>
  <c r="T53" i="7" s="1"/>
  <c r="D29" i="78"/>
  <c r="D40" i="78"/>
  <c r="D41" i="78"/>
  <c r="D42" i="78"/>
  <c r="D43" i="78"/>
  <c r="D44" i="78"/>
  <c r="D45" i="78"/>
  <c r="D46" i="78"/>
  <c r="D17" i="78"/>
  <c r="H4" i="2"/>
  <c r="H5" i="2"/>
  <c r="E55" i="7"/>
  <c r="I55" i="7" s="1"/>
  <c r="A20" i="2"/>
  <c r="A19" i="2"/>
  <c r="A10" i="2"/>
  <c r="E203" i="7"/>
  <c r="I203" i="7" s="1"/>
  <c r="E166" i="7"/>
  <c r="I166" i="7" s="1"/>
  <c r="E127" i="7"/>
  <c r="I127" i="7" s="1"/>
  <c r="A26" i="2"/>
  <c r="A12" i="2"/>
  <c r="E58" i="7"/>
  <c r="I58" i="7" s="1"/>
  <c r="D32" i="76"/>
  <c r="D33" i="76"/>
  <c r="A4" i="2"/>
  <c r="A5" i="2" s="1"/>
  <c r="A6" i="2" s="1"/>
  <c r="A7" i="2" s="1"/>
  <c r="A8" i="2" s="1"/>
  <c r="A9" i="2"/>
  <c r="A13" i="2" s="1"/>
  <c r="A14" i="2" s="1"/>
  <c r="A23" i="2"/>
  <c r="A24" i="2" s="1"/>
  <c r="A25" i="2"/>
  <c r="I338" i="7"/>
  <c r="I337" i="7"/>
  <c r="I336" i="7"/>
  <c r="I335" i="7"/>
  <c r="I334" i="7"/>
  <c r="I333" i="7"/>
  <c r="I332" i="7"/>
  <c r="I329" i="7"/>
  <c r="I328" i="7"/>
  <c r="I327" i="7"/>
  <c r="I326" i="7"/>
  <c r="I325" i="7"/>
  <c r="I324" i="7"/>
  <c r="I323" i="7"/>
  <c r="I322" i="7"/>
  <c r="I321" i="7"/>
  <c r="I320" i="7"/>
  <c r="I319" i="7"/>
  <c r="I318" i="7"/>
  <c r="I317" i="7"/>
  <c r="I316" i="7"/>
  <c r="I313" i="7"/>
  <c r="I312" i="7"/>
  <c r="I311" i="7"/>
  <c r="I309" i="7"/>
  <c r="I308" i="7"/>
  <c r="I307" i="7"/>
  <c r="I306" i="7"/>
  <c r="I305" i="7"/>
  <c r="I300" i="7"/>
  <c r="I298" i="7"/>
  <c r="I296" i="7"/>
  <c r="I295" i="7"/>
  <c r="I284" i="7"/>
  <c r="I273" i="7"/>
  <c r="I271" i="7"/>
  <c r="I270" i="7"/>
  <c r="I266" i="7"/>
  <c r="I265" i="7"/>
  <c r="I262" i="7"/>
  <c r="I256" i="7"/>
  <c r="I255" i="7"/>
  <c r="I252" i="7"/>
  <c r="I109" i="7"/>
  <c r="A2" i="11"/>
  <c r="A3" i="11" s="1"/>
  <c r="A4" i="11" s="1"/>
  <c r="A5" i="11" s="1"/>
  <c r="A6" i="11" s="1"/>
  <c r="A32" i="11"/>
  <c r="A33" i="11" s="1"/>
  <c r="A34" i="11" s="1"/>
  <c r="A35" i="11" s="1"/>
  <c r="I340" i="7"/>
  <c r="D2" i="6"/>
  <c r="D4" i="6"/>
  <c r="D5" i="6"/>
  <c r="D6" i="6"/>
  <c r="D7" i="6"/>
  <c r="D8"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B2" i="6"/>
  <c r="C2" i="6"/>
  <c r="B3" i="6"/>
  <c r="C3" i="6"/>
  <c r="B4" i="6"/>
  <c r="C4" i="6"/>
  <c r="B5" i="6"/>
  <c r="C5" i="6"/>
  <c r="B6" i="6"/>
  <c r="C6" i="6"/>
  <c r="B7" i="6"/>
  <c r="C7" i="6"/>
  <c r="B8" i="6"/>
  <c r="C8" i="6"/>
  <c r="B9" i="6"/>
  <c r="C9" i="6"/>
  <c r="D9" i="6"/>
  <c r="B10" i="6"/>
  <c r="C10" i="6"/>
  <c r="B11" i="6"/>
  <c r="C11" i="6"/>
  <c r="B12" i="6"/>
  <c r="C12" i="6"/>
  <c r="B13" i="6"/>
  <c r="C13" i="6"/>
  <c r="B14" i="6"/>
  <c r="C14" i="6"/>
  <c r="B15" i="6"/>
  <c r="C15" i="6"/>
  <c r="B16" i="6"/>
  <c r="C16" i="6"/>
  <c r="B17" i="6"/>
  <c r="C17" i="6"/>
  <c r="B18" i="6"/>
  <c r="C18" i="6"/>
  <c r="B19" i="6"/>
  <c r="C19" i="6"/>
  <c r="B20" i="6"/>
  <c r="C20" i="6"/>
  <c r="B21" i="6"/>
  <c r="C21" i="6"/>
  <c r="B22" i="6"/>
  <c r="C22" i="6"/>
  <c r="B23" i="6"/>
  <c r="C23" i="6"/>
  <c r="B24" i="6"/>
  <c r="C24" i="6"/>
  <c r="B25" i="6"/>
  <c r="C25" i="6"/>
  <c r="B26" i="6"/>
  <c r="C26" i="6"/>
  <c r="B27" i="6"/>
  <c r="C27" i="6"/>
  <c r="B28" i="6"/>
  <c r="C28" i="6"/>
  <c r="B29" i="6"/>
  <c r="C29" i="6"/>
  <c r="B30" i="6"/>
  <c r="C30" i="6"/>
  <c r="B31" i="6"/>
  <c r="C31" i="6"/>
  <c r="B32" i="6"/>
  <c r="C32" i="6"/>
  <c r="B33" i="6"/>
  <c r="C33" i="6"/>
  <c r="B34" i="6"/>
  <c r="C34" i="6"/>
  <c r="B35" i="6"/>
  <c r="C35" i="6"/>
  <c r="B36" i="6"/>
  <c r="C36" i="6"/>
  <c r="B37" i="6"/>
  <c r="C37" i="6"/>
  <c r="B38" i="6"/>
  <c r="C38" i="6"/>
  <c r="B39" i="6"/>
  <c r="C39" i="6"/>
  <c r="B40" i="6"/>
  <c r="C40" i="6"/>
  <c r="B41" i="6"/>
  <c r="C41" i="6"/>
  <c r="B42" i="6"/>
  <c r="C42" i="6"/>
  <c r="B43" i="6"/>
  <c r="C43" i="6"/>
  <c r="B44" i="6"/>
  <c r="C44" i="6"/>
  <c r="B45" i="6"/>
  <c r="C45" i="6"/>
  <c r="B46" i="6"/>
  <c r="C46" i="6"/>
  <c r="B47" i="6"/>
  <c r="C47" i="6"/>
  <c r="B48" i="6"/>
  <c r="C48" i="6"/>
  <c r="B49" i="6"/>
  <c r="C49" i="6"/>
  <c r="B50" i="6"/>
  <c r="C50" i="6"/>
  <c r="B51" i="6"/>
  <c r="C51" i="6"/>
  <c r="B52" i="6"/>
  <c r="C52" i="6"/>
  <c r="B53" i="6"/>
  <c r="C53" i="6"/>
  <c r="B54" i="6"/>
  <c r="C54" i="6"/>
  <c r="B55" i="6"/>
  <c r="C55" i="6"/>
  <c r="B56" i="6"/>
  <c r="C56" i="6"/>
  <c r="B57" i="6"/>
  <c r="C57" i="6"/>
  <c r="B58" i="6"/>
  <c r="C58" i="6"/>
  <c r="B59" i="6"/>
  <c r="C59" i="6"/>
  <c r="B60" i="6"/>
  <c r="C60" i="6"/>
  <c r="B61" i="6"/>
  <c r="C61" i="6"/>
  <c r="B62" i="6"/>
  <c r="C62" i="6"/>
  <c r="B63" i="6"/>
  <c r="C63" i="6"/>
  <c r="B64" i="6"/>
  <c r="C64" i="6"/>
  <c r="B65" i="6"/>
  <c r="C65" i="6"/>
  <c r="B66" i="6"/>
  <c r="C66" i="6"/>
  <c r="B67" i="6"/>
  <c r="C67" i="6"/>
  <c r="B68" i="6"/>
  <c r="C68" i="6"/>
  <c r="B69" i="6"/>
  <c r="C69" i="6"/>
  <c r="B70" i="6"/>
  <c r="C70" i="6"/>
  <c r="B71" i="6"/>
  <c r="C71" i="6"/>
  <c r="B72" i="6"/>
  <c r="C72" i="6"/>
  <c r="B73" i="6"/>
  <c r="C73" i="6"/>
  <c r="B74" i="6"/>
  <c r="C74" i="6"/>
  <c r="B75" i="6"/>
  <c r="C75" i="6"/>
  <c r="B76" i="6"/>
  <c r="C76" i="6"/>
  <c r="B77" i="6"/>
  <c r="C77" i="6"/>
  <c r="B78" i="6"/>
  <c r="C78" i="6"/>
  <c r="B79" i="6"/>
  <c r="C79" i="6"/>
  <c r="B80" i="6"/>
  <c r="C80" i="6"/>
  <c r="B81" i="6"/>
  <c r="C81" i="6"/>
  <c r="B82" i="6"/>
  <c r="C82" i="6"/>
  <c r="B83" i="6"/>
  <c r="C83" i="6"/>
  <c r="B84" i="6"/>
  <c r="C84" i="6"/>
  <c r="B85" i="6"/>
  <c r="C85" i="6"/>
  <c r="B86" i="6"/>
  <c r="C86" i="6"/>
  <c r="B87" i="6"/>
  <c r="C87" i="6"/>
  <c r="B88" i="6"/>
  <c r="C88" i="6"/>
  <c r="B89" i="6"/>
  <c r="C89" i="6"/>
  <c r="B90" i="6"/>
  <c r="C90" i="6"/>
  <c r="B91" i="6"/>
  <c r="C91" i="6"/>
  <c r="B92" i="6"/>
  <c r="C92" i="6"/>
  <c r="B93" i="6"/>
  <c r="C93" i="6"/>
  <c r="B94" i="6"/>
  <c r="C94" i="6"/>
  <c r="B95" i="6"/>
  <c r="C95" i="6"/>
  <c r="B96" i="6"/>
  <c r="C96" i="6"/>
  <c r="B97" i="6"/>
  <c r="C97" i="6"/>
  <c r="B98" i="6"/>
  <c r="C98" i="6"/>
  <c r="B99" i="6"/>
  <c r="C99" i="6"/>
  <c r="B100" i="6"/>
  <c r="C100" i="6"/>
  <c r="B101" i="6"/>
  <c r="C101" i="6"/>
  <c r="B102" i="6"/>
  <c r="C102" i="6"/>
  <c r="B103" i="6"/>
  <c r="C103" i="6"/>
  <c r="B104" i="6"/>
  <c r="C104" i="6"/>
  <c r="B105" i="6"/>
  <c r="C105" i="6"/>
  <c r="B106" i="6"/>
  <c r="C106" i="6"/>
  <c r="B107" i="6"/>
  <c r="C107" i="6"/>
  <c r="B108" i="6"/>
  <c r="C108" i="6"/>
  <c r="B109" i="6"/>
  <c r="C109" i="6"/>
  <c r="B110" i="6"/>
  <c r="C110" i="6"/>
  <c r="B111" i="6"/>
  <c r="C111" i="6"/>
  <c r="B112" i="6"/>
  <c r="C112" i="6"/>
  <c r="B113" i="6"/>
  <c r="C113" i="6"/>
  <c r="B114" i="6"/>
  <c r="C114" i="6"/>
  <c r="B115" i="6"/>
  <c r="C115" i="6"/>
  <c r="B116" i="6"/>
  <c r="C116" i="6"/>
  <c r="B117" i="6"/>
  <c r="C117" i="6"/>
  <c r="B118" i="6"/>
  <c r="C118" i="6"/>
  <c r="B119" i="6"/>
  <c r="C119" i="6"/>
  <c r="B120" i="6"/>
  <c r="C120" i="6"/>
  <c r="D118" i="6"/>
  <c r="D3" i="6"/>
  <c r="D117" i="6"/>
  <c r="D119" i="6"/>
  <c r="E235" i="7"/>
  <c r="I235" i="7" s="1"/>
  <c r="E113" i="7"/>
  <c r="I113" i="7" s="1"/>
  <c r="E220" i="7"/>
  <c r="I220" i="7" s="1"/>
  <c r="E139" i="7"/>
  <c r="I139" i="7" s="1"/>
  <c r="E163" i="7"/>
  <c r="I163" i="7" s="1"/>
  <c r="E143" i="7"/>
  <c r="E157" i="7"/>
  <c r="I157" i="7" s="1"/>
  <c r="E63" i="7"/>
  <c r="I63" i="7" s="1"/>
  <c r="E182" i="7"/>
  <c r="I182" i="7" s="1"/>
  <c r="E71" i="7"/>
  <c r="I71" i="7" s="1"/>
  <c r="E123" i="7"/>
  <c r="I123" i="7" s="1"/>
  <c r="E53" i="7"/>
  <c r="I53" i="7" s="1"/>
  <c r="E61" i="7"/>
  <c r="I61" i="7" s="1"/>
  <c r="E115" i="7"/>
  <c r="I115" i="7" s="1"/>
  <c r="E118" i="7"/>
  <c r="I118" i="7" s="1"/>
  <c r="E187" i="7"/>
  <c r="I187" i="7" s="1"/>
  <c r="E285" i="7"/>
  <c r="I285" i="7" s="1"/>
  <c r="E78" i="7"/>
  <c r="I78" i="7" s="1"/>
  <c r="E99" i="7"/>
  <c r="I99" i="7" s="1"/>
  <c r="E228" i="7"/>
  <c r="I228" i="7" s="1"/>
  <c r="E64" i="7"/>
  <c r="I64" i="7" s="1"/>
  <c r="E88" i="7"/>
  <c r="I88" i="7" s="1"/>
  <c r="E114" i="7"/>
  <c r="I114" i="7" s="1"/>
  <c r="E120" i="7"/>
  <c r="I120" i="7" s="1"/>
  <c r="E158" i="7"/>
  <c r="I158" i="7" s="1"/>
  <c r="E164" i="7"/>
  <c r="I164" i="7" s="1"/>
  <c r="E196" i="7"/>
  <c r="I196" i="7" s="1"/>
  <c r="E291" i="7"/>
  <c r="I291" i="7" s="1"/>
  <c r="E69" i="7"/>
  <c r="I69" i="7" s="1"/>
  <c r="E75" i="7"/>
  <c r="I75" i="7" s="1"/>
  <c r="E80" i="7"/>
  <c r="I80" i="7" s="1"/>
  <c r="E91" i="7"/>
  <c r="I91" i="7" s="1"/>
  <c r="E93" i="7"/>
  <c r="I93" i="7" s="1"/>
  <c r="E101" i="7"/>
  <c r="I101" i="7" s="1"/>
  <c r="E135" i="7"/>
  <c r="I135" i="7" s="1"/>
  <c r="E141" i="7"/>
  <c r="I141" i="7" s="1"/>
  <c r="E144" i="7"/>
  <c r="I144" i="7" s="1"/>
  <c r="E146" i="7"/>
  <c r="I146" i="7" s="1"/>
  <c r="E148" i="7"/>
  <c r="E153" i="7"/>
  <c r="I153" i="7" s="1"/>
  <c r="E165" i="7"/>
  <c r="I165" i="7" s="1"/>
  <c r="E169" i="7"/>
  <c r="I169" i="7" s="1"/>
  <c r="E171" i="7"/>
  <c r="I171" i="7" s="1"/>
  <c r="E173" i="7"/>
  <c r="I173" i="7" s="1"/>
  <c r="E177" i="7"/>
  <c r="I177" i="7" s="1"/>
  <c r="E185" i="7"/>
  <c r="I185" i="7" s="1"/>
  <c r="E194" i="7"/>
  <c r="I194" i="7" s="1"/>
  <c r="E237" i="7"/>
  <c r="I237" i="7" s="1"/>
  <c r="E240" i="7"/>
  <c r="I240" i="7" s="1"/>
  <c r="E246" i="7"/>
  <c r="I246" i="7" s="1"/>
  <c r="E249" i="7"/>
  <c r="I249" i="7" s="1"/>
  <c r="E267" i="7"/>
  <c r="I267" i="7" s="1"/>
  <c r="E289" i="7"/>
  <c r="I289" i="7" s="1"/>
  <c r="E54" i="7"/>
  <c r="I54" i="7" s="1"/>
  <c r="E279" i="7"/>
  <c r="I279" i="7" s="1"/>
  <c r="E250" i="7"/>
  <c r="I250" i="7" s="1"/>
  <c r="E241" i="7"/>
  <c r="I241" i="7" s="1"/>
  <c r="E236" i="7"/>
  <c r="I236" i="7" s="1"/>
  <c r="E234" i="7"/>
  <c r="I234" i="7" s="1"/>
  <c r="E229" i="7"/>
  <c r="I229" i="7" s="1"/>
  <c r="E227" i="7"/>
  <c r="I227" i="7" s="1"/>
  <c r="E224" i="7"/>
  <c r="I224" i="7" s="1"/>
  <c r="E209" i="7"/>
  <c r="I209" i="7" s="1"/>
  <c r="E205" i="7"/>
  <c r="I205" i="7" s="1"/>
  <c r="E199" i="7"/>
  <c r="I199" i="7" s="1"/>
  <c r="E184" i="7"/>
  <c r="I184" i="7" s="1"/>
  <c r="E292" i="7"/>
  <c r="I292" i="7" s="1"/>
  <c r="E281" i="7"/>
  <c r="I281" i="7" s="1"/>
  <c r="E259" i="7"/>
  <c r="I259" i="7" s="1"/>
  <c r="E245" i="7"/>
  <c r="I245" i="7" s="1"/>
  <c r="E232" i="7"/>
  <c r="I232" i="7" s="1"/>
  <c r="E225" i="7"/>
  <c r="I225" i="7" s="1"/>
  <c r="E221" i="7"/>
  <c r="I221" i="7" s="1"/>
  <c r="E219" i="7"/>
  <c r="I219" i="7" s="1"/>
  <c r="E217" i="7"/>
  <c r="I217" i="7" s="1"/>
  <c r="E214" i="7"/>
  <c r="I214" i="7" s="1"/>
  <c r="E212" i="7"/>
  <c r="I212" i="7" s="1"/>
  <c r="E210" i="7"/>
  <c r="I210" i="7" s="1"/>
  <c r="E260" i="7"/>
  <c r="I260" i="7" s="1"/>
  <c r="E244" i="7"/>
  <c r="I244" i="7" s="1"/>
  <c r="E233" i="7"/>
  <c r="I233" i="7" s="1"/>
  <c r="E213" i="7"/>
  <c r="I213" i="7" s="1"/>
  <c r="E204" i="7"/>
  <c r="I204" i="7" s="1"/>
  <c r="E202" i="7"/>
  <c r="I202" i="7" s="1"/>
  <c r="E197" i="7"/>
  <c r="I197" i="7" s="1"/>
  <c r="E195" i="7"/>
  <c r="I195" i="7" s="1"/>
  <c r="E193" i="7"/>
  <c r="I193" i="7" s="1"/>
  <c r="E190" i="7"/>
  <c r="I190" i="7" s="1"/>
  <c r="E188" i="7"/>
  <c r="I188" i="7" s="1"/>
  <c r="E186" i="7"/>
  <c r="I186" i="7" s="1"/>
  <c r="E183" i="7"/>
  <c r="I183" i="7" s="1"/>
  <c r="E181" i="7"/>
  <c r="I181" i="7" s="1"/>
  <c r="E179" i="7"/>
  <c r="I179" i="7" s="1"/>
  <c r="E149" i="7"/>
  <c r="I149" i="7" s="1"/>
  <c r="E142" i="7"/>
  <c r="I142" i="7" s="1"/>
  <c r="E140" i="7"/>
  <c r="I140" i="7" s="1"/>
  <c r="E132" i="7"/>
  <c r="I132" i="7" s="1"/>
  <c r="E130" i="7"/>
  <c r="I130" i="7" s="1"/>
  <c r="E124" i="7"/>
  <c r="I124" i="7" s="1"/>
  <c r="E117" i="7"/>
  <c r="I117" i="7" s="1"/>
  <c r="E112" i="7"/>
  <c r="I112" i="7" s="1"/>
  <c r="E102" i="7"/>
  <c r="E100" i="7"/>
  <c r="I100" i="7" s="1"/>
  <c r="E98" i="7"/>
  <c r="I98" i="7" s="1"/>
  <c r="E96" i="7"/>
  <c r="I96" i="7" s="1"/>
  <c r="E84" i="7"/>
  <c r="I84" i="7" s="1"/>
  <c r="E79" i="7"/>
  <c r="I79" i="7" s="1"/>
  <c r="E72" i="7"/>
  <c r="I72" i="7" s="1"/>
  <c r="E70" i="7"/>
  <c r="I70" i="7" s="1"/>
  <c r="E68" i="7"/>
  <c r="I68" i="7" s="1"/>
  <c r="E62" i="7"/>
  <c r="I62" i="7" s="1"/>
  <c r="E57" i="7"/>
  <c r="I57" i="7" s="1"/>
  <c r="E74" i="7"/>
  <c r="I74" i="7" s="1"/>
  <c r="E77" i="7"/>
  <c r="I77" i="7" s="1"/>
  <c r="E92" i="7"/>
  <c r="I92" i="7" s="1"/>
  <c r="E97" i="7"/>
  <c r="I97" i="7" s="1"/>
  <c r="E105" i="7"/>
  <c r="I105" i="7" s="1"/>
  <c r="E116" i="7"/>
  <c r="I116" i="7" s="1"/>
  <c r="E125" i="7"/>
  <c r="I125" i="7" s="1"/>
  <c r="E131" i="7"/>
  <c r="I131" i="7" s="1"/>
  <c r="E136" i="7"/>
  <c r="I136" i="7" s="1"/>
  <c r="E145" i="7"/>
  <c r="I145" i="7" s="1"/>
  <c r="E147" i="7"/>
  <c r="I147" i="7" s="1"/>
  <c r="E152" i="7"/>
  <c r="I152" i="7" s="1"/>
  <c r="E154" i="7"/>
  <c r="E170" i="7"/>
  <c r="I170" i="7" s="1"/>
  <c r="E172" i="7"/>
  <c r="I172" i="7" s="1"/>
  <c r="E176" i="7"/>
  <c r="I176" i="7" s="1"/>
  <c r="E178" i="7"/>
  <c r="I178" i="7" s="1"/>
  <c r="E180" i="7"/>
  <c r="I180" i="7" s="1"/>
  <c r="E189" i="7"/>
  <c r="I189" i="7" s="1"/>
  <c r="E198" i="7"/>
  <c r="I198" i="7" s="1"/>
  <c r="E206" i="7"/>
  <c r="I206" i="7" s="1"/>
  <c r="E211" i="7"/>
  <c r="I211" i="7" s="1"/>
  <c r="E218" i="7"/>
  <c r="I218" i="7" s="1"/>
  <c r="E226" i="7"/>
  <c r="I226" i="7" s="1"/>
  <c r="E258" i="7"/>
  <c r="I258" i="7" s="1"/>
  <c r="E73" i="7"/>
  <c r="I73" i="7" s="1"/>
  <c r="E290" i="7"/>
  <c r="I290" i="7" s="1"/>
  <c r="E282" i="7"/>
  <c r="I282" i="7" s="1"/>
  <c r="E280" i="7"/>
  <c r="I280" i="7" s="1"/>
  <c r="E275" i="7"/>
  <c r="I275" i="7" s="1"/>
  <c r="E83" i="7"/>
  <c r="I83" i="7" s="1"/>
  <c r="A7" i="11"/>
  <c r="A8" i="11" s="1"/>
  <c r="A9" i="11" s="1"/>
  <c r="A10" i="11"/>
  <c r="A11" i="11" s="1"/>
  <c r="A12" i="11" s="1"/>
  <c r="A13" i="11" s="1"/>
  <c r="A14" i="11" s="1"/>
  <c r="A15" i="11" s="1"/>
  <c r="A16" i="11" s="1"/>
  <c r="A17" i="11" s="1"/>
  <c r="A18" i="11" s="1"/>
  <c r="A19" i="11"/>
  <c r="A20" i="11" s="1"/>
  <c r="A21" i="11" s="1"/>
  <c r="A22" i="11"/>
  <c r="A23" i="11"/>
  <c r="A24" i="11" s="1"/>
  <c r="A25" i="11"/>
  <c r="A26" i="11"/>
  <c r="A27" i="11"/>
  <c r="A28" i="11" s="1"/>
  <c r="A29" i="11" s="1"/>
  <c r="A30" i="11"/>
  <c r="A31" i="11" s="1"/>
  <c r="A1" i="11"/>
  <c r="A21" i="2"/>
  <c r="A22" i="2"/>
  <c r="C35" i="11"/>
  <c r="E26" i="8"/>
  <c r="F26" i="8" s="1"/>
  <c r="K219" i="7"/>
  <c r="K83" i="7"/>
  <c r="K273" i="7"/>
  <c r="L273" i="7" s="1"/>
  <c r="V120" i="7"/>
  <c r="V330" i="7"/>
  <c r="W330" i="7" s="1"/>
  <c r="V212" i="7"/>
  <c r="V176" i="7"/>
  <c r="V149" i="7"/>
  <c r="K282" i="7"/>
  <c r="K183" i="7"/>
  <c r="K262" i="7"/>
  <c r="V267" i="7"/>
  <c r="V333" i="7"/>
  <c r="K160" i="7"/>
  <c r="L160" i="7" s="1"/>
  <c r="V282" i="7"/>
  <c r="K214" i="7"/>
  <c r="K247" i="7"/>
  <c r="L247" i="7" s="1"/>
  <c r="V335" i="7"/>
  <c r="K162" i="7"/>
  <c r="L162" i="7" s="1"/>
  <c r="K303" i="7"/>
  <c r="L303" i="7" s="1"/>
  <c r="K127" i="7"/>
  <c r="V101" i="7"/>
  <c r="V184" i="7"/>
  <c r="K306" i="7"/>
  <c r="V197" i="7"/>
  <c r="K320" i="7"/>
  <c r="V286" i="7"/>
  <c r="W286" i="7" s="1"/>
  <c r="K100" i="7"/>
  <c r="K170" i="7"/>
  <c r="K169" i="7"/>
  <c r="K300" i="7"/>
  <c r="K274" i="7"/>
  <c r="L274" i="7" s="1"/>
  <c r="K209" i="7"/>
  <c r="V163" i="7"/>
  <c r="V310" i="7"/>
  <c r="W310" i="7" s="1"/>
  <c r="K158" i="7"/>
  <c r="K322" i="7"/>
  <c r="V205" i="7"/>
  <c r="V216" i="7"/>
  <c r="W216" i="7" s="1"/>
  <c r="K312" i="7"/>
  <c r="K260" i="7"/>
  <c r="V295" i="7"/>
  <c r="W295" i="7" s="1"/>
  <c r="V319" i="7"/>
  <c r="V257" i="7"/>
  <c r="W257" i="7" s="1"/>
  <c r="K115" i="7"/>
  <c r="K181" i="7"/>
  <c r="V334" i="7"/>
  <c r="V80" i="7"/>
  <c r="K64" i="7"/>
  <c r="V233" i="7"/>
  <c r="K68" i="7"/>
  <c r="V228" i="7"/>
  <c r="V116" i="7"/>
  <c r="K146" i="7"/>
  <c r="K290" i="7"/>
  <c r="V55" i="7"/>
  <c r="K292" i="7"/>
  <c r="K225" i="7"/>
  <c r="V303" i="7"/>
  <c r="W303" i="7" s="1"/>
  <c r="K75" i="7"/>
  <c r="V270" i="7"/>
  <c r="V180" i="7"/>
  <c r="K244" i="7"/>
  <c r="I26" i="2"/>
  <c r="I37" i="2"/>
  <c r="I25" i="2"/>
  <c r="I10" i="2"/>
  <c r="I24" i="2"/>
  <c r="I67" i="2"/>
  <c r="I94" i="2"/>
  <c r="I60" i="2"/>
  <c r="I56" i="2"/>
  <c r="I102" i="2"/>
  <c r="I106" i="2"/>
  <c r="I120" i="2"/>
  <c r="I101" i="2"/>
  <c r="I78" i="2"/>
  <c r="I53" i="2"/>
  <c r="I65" i="2"/>
  <c r="I96" i="2"/>
  <c r="I66" i="2"/>
  <c r="I89" i="2"/>
  <c r="I70" i="2"/>
  <c r="I115" i="2"/>
  <c r="I50" i="2"/>
  <c r="I68" i="2"/>
  <c r="I75" i="2"/>
  <c r="I59" i="2"/>
  <c r="I45" i="2"/>
  <c r="I114" i="2"/>
  <c r="I88" i="2"/>
  <c r="I72" i="2"/>
  <c r="I76" i="2"/>
  <c r="I64" i="2"/>
  <c r="I49" i="2"/>
  <c r="I81" i="2"/>
  <c r="I69" i="2"/>
  <c r="I51" i="2"/>
  <c r="I99" i="2"/>
  <c r="I100" i="2"/>
  <c r="I123" i="2"/>
  <c r="I41" i="2"/>
  <c r="I98" i="2"/>
  <c r="I108" i="2"/>
  <c r="I110" i="2"/>
  <c r="I71" i="2"/>
  <c r="I80" i="2"/>
  <c r="I117" i="2"/>
  <c r="I52" i="2"/>
  <c r="I86" i="2"/>
  <c r="I82" i="2"/>
  <c r="I97" i="2"/>
  <c r="I85" i="2"/>
  <c r="I73" i="2"/>
  <c r="I105" i="2"/>
  <c r="I47" i="2"/>
  <c r="I90" i="2"/>
  <c r="I83" i="2"/>
  <c r="I54" i="2"/>
  <c r="I92" i="2"/>
  <c r="I46" i="2"/>
  <c r="I87" i="2"/>
  <c r="I122" i="2"/>
  <c r="I79" i="2"/>
  <c r="I91" i="2"/>
  <c r="I48" i="2"/>
  <c r="I95" i="2"/>
  <c r="I109" i="2"/>
  <c r="I121" i="2"/>
  <c r="I77" i="2"/>
  <c r="I58" i="2"/>
  <c r="I111" i="2"/>
  <c r="I103" i="2"/>
  <c r="I55" i="2"/>
  <c r="I118" i="2"/>
  <c r="I104" i="2"/>
  <c r="I63" i="2"/>
  <c r="I93" i="2"/>
  <c r="I43" i="2"/>
  <c r="I44" i="2"/>
  <c r="I113" i="2"/>
  <c r="I74" i="2"/>
  <c r="I42" i="2"/>
  <c r="I62" i="2"/>
  <c r="I119" i="2"/>
  <c r="I61" i="2"/>
  <c r="I57" i="2"/>
  <c r="I84" i="2"/>
  <c r="I112" i="2"/>
  <c r="I107" i="2"/>
  <c r="I116" i="2"/>
  <c r="M41" i="8" l="1"/>
  <c r="M35" i="8"/>
  <c r="W319" i="7"/>
  <c r="H24" i="2"/>
  <c r="H26" i="2"/>
  <c r="H35" i="2"/>
  <c r="I43" i="80"/>
  <c r="M21" i="80"/>
  <c r="I15" i="2"/>
  <c r="M25" i="81"/>
  <c r="M43" i="81" s="1"/>
  <c r="J46" i="81" s="1"/>
  <c r="L52" i="81" s="1"/>
  <c r="L54" i="81" s="1"/>
  <c r="O53" i="81" s="1"/>
  <c r="E43" i="81"/>
  <c r="H22" i="2"/>
  <c r="H25" i="2"/>
  <c r="M25" i="80"/>
  <c r="E43" i="80"/>
  <c r="W197" i="7"/>
  <c r="W267" i="7"/>
  <c r="L312" i="7"/>
  <c r="L320" i="7"/>
  <c r="L306" i="7"/>
  <c r="W335" i="7"/>
  <c r="L83" i="7"/>
  <c r="W180" i="7"/>
  <c r="W334" i="7"/>
  <c r="L300" i="7"/>
  <c r="W233" i="7"/>
  <c r="W270" i="7"/>
  <c r="L262" i="7"/>
  <c r="W101" i="7"/>
  <c r="L322" i="7"/>
  <c r="M40" i="8"/>
  <c r="M42" i="8"/>
  <c r="M30" i="8"/>
  <c r="M24" i="8"/>
  <c r="L115" i="7"/>
  <c r="M34" i="8"/>
  <c r="M37" i="8"/>
  <c r="L214" i="7"/>
  <c r="M36" i="8"/>
  <c r="L64" i="7"/>
  <c r="M23" i="8"/>
  <c r="L181" i="7"/>
  <c r="L100" i="7"/>
  <c r="W333" i="7"/>
  <c r="M32" i="8"/>
  <c r="W80" i="7"/>
  <c r="M31" i="8"/>
  <c r="W176" i="7"/>
  <c r="L260" i="7"/>
  <c r="W205" i="7"/>
  <c r="W212" i="7"/>
  <c r="W228" i="7"/>
  <c r="M25" i="8"/>
  <c r="L282" i="7"/>
  <c r="L244" i="7"/>
  <c r="W120" i="7"/>
  <c r="L127" i="7"/>
  <c r="L292" i="7"/>
  <c r="W55" i="7"/>
  <c r="W282" i="7"/>
  <c r="M27" i="8"/>
  <c r="L225" i="7"/>
  <c r="M29" i="8"/>
  <c r="W163" i="7"/>
  <c r="A16" i="2"/>
  <c r="A15" i="2"/>
  <c r="A17" i="2" s="1"/>
  <c r="A18" i="2" s="1"/>
  <c r="K43" i="8"/>
  <c r="M38" i="8"/>
  <c r="M39" i="8"/>
  <c r="O43" i="8"/>
  <c r="P44" i="8" s="1"/>
  <c r="O49" i="8" s="1"/>
  <c r="L209" i="7"/>
  <c r="W149" i="7"/>
  <c r="L170" i="7"/>
  <c r="M22" i="8"/>
  <c r="L183" i="7"/>
  <c r="L290" i="7"/>
  <c r="L146" i="7"/>
  <c r="W116" i="7"/>
  <c r="L219" i="7"/>
  <c r="W184" i="7"/>
  <c r="L75" i="7"/>
  <c r="L68" i="7"/>
  <c r="L158" i="7"/>
  <c r="K268" i="7"/>
  <c r="L268" i="7" s="1"/>
  <c r="K218" i="7"/>
  <c r="L218" i="7" s="1"/>
  <c r="K293" i="7"/>
  <c r="L293" i="7" s="1"/>
  <c r="K215" i="7"/>
  <c r="L215" i="7" s="1"/>
  <c r="V140" i="7"/>
  <c r="W140" i="7" s="1"/>
  <c r="K227" i="7"/>
  <c r="L227" i="7" s="1"/>
  <c r="K323" i="7"/>
  <c r="L323" i="7" s="1"/>
  <c r="V75" i="7"/>
  <c r="W75" i="7" s="1"/>
  <c r="K78" i="7"/>
  <c r="L78" i="7" s="1"/>
  <c r="K250" i="7"/>
  <c r="L250" i="7" s="1"/>
  <c r="V242" i="7"/>
  <c r="W242" i="7" s="1"/>
  <c r="K337" i="7"/>
  <c r="L337" i="7" s="1"/>
  <c r="K198" i="7"/>
  <c r="L198" i="7" s="1"/>
  <c r="V302" i="7"/>
  <c r="W302" i="7" s="1"/>
  <c r="K84" i="7"/>
  <c r="L84" i="7" s="1"/>
  <c r="V161" i="7"/>
  <c r="W161" i="7" s="1"/>
  <c r="V265" i="7"/>
  <c r="W265" i="7" s="1"/>
  <c r="K112" i="7"/>
  <c r="L112" i="7" s="1"/>
  <c r="V189" i="7"/>
  <c r="W189" i="7" s="1"/>
  <c r="K141" i="7"/>
  <c r="L141" i="7" s="1"/>
  <c r="V297" i="7"/>
  <c r="W297" i="7" s="1"/>
  <c r="V283" i="7"/>
  <c r="W283" i="7" s="1"/>
  <c r="K199" i="7"/>
  <c r="L199" i="7" s="1"/>
  <c r="K294" i="7"/>
  <c r="L294" i="7" s="1"/>
  <c r="K297" i="7"/>
  <c r="L297" i="7" s="1"/>
  <c r="V225" i="7"/>
  <c r="W225" i="7" s="1"/>
  <c r="K233" i="7"/>
  <c r="L233" i="7" s="1"/>
  <c r="V315" i="7"/>
  <c r="W315" i="7" s="1"/>
  <c r="K275" i="7"/>
  <c r="L275" i="7" s="1"/>
  <c r="V317" i="7"/>
  <c r="W317" i="7" s="1"/>
  <c r="V239" i="7"/>
  <c r="W239" i="7" s="1"/>
  <c r="K176" i="7"/>
  <c r="L176" i="7" s="1"/>
  <c r="V194" i="7"/>
  <c r="W194" i="7" s="1"/>
  <c r="K308" i="7"/>
  <c r="L308" i="7" s="1"/>
  <c r="K197" i="7"/>
  <c r="L197" i="7" s="1"/>
  <c r="K70" i="7"/>
  <c r="L70" i="7" s="1"/>
  <c r="V290" i="7"/>
  <c r="W290" i="7" s="1"/>
  <c r="V311" i="7"/>
  <c r="W311" i="7" s="1"/>
  <c r="K279" i="7"/>
  <c r="L279" i="7" s="1"/>
  <c r="V169" i="7"/>
  <c r="W169" i="7" s="1"/>
  <c r="V221" i="7"/>
  <c r="W221" i="7" s="1"/>
  <c r="K187" i="7"/>
  <c r="L187" i="7" s="1"/>
  <c r="K228" i="7"/>
  <c r="L228" i="7" s="1"/>
  <c r="K266" i="7"/>
  <c r="L266" i="7" s="1"/>
  <c r="V296" i="7"/>
  <c r="W296" i="7" s="1"/>
  <c r="V63" i="7"/>
  <c r="W63" i="7" s="1"/>
  <c r="K165" i="7"/>
  <c r="L165" i="7" s="1"/>
  <c r="K99" i="7"/>
  <c r="L99" i="7" s="1"/>
  <c r="K216" i="7"/>
  <c r="L216" i="7" s="1"/>
  <c r="K328" i="7"/>
  <c r="L328" i="7" s="1"/>
  <c r="V255" i="7"/>
  <c r="W255" i="7" s="1"/>
  <c r="V100" i="7"/>
  <c r="W100" i="7" s="1"/>
  <c r="K136" i="7"/>
  <c r="L136" i="7" s="1"/>
  <c r="K257" i="7"/>
  <c r="L257" i="7" s="1"/>
  <c r="V226" i="7"/>
  <c r="W226" i="7" s="1"/>
  <c r="V74" i="7"/>
  <c r="W74" i="7" s="1"/>
  <c r="K74" i="7"/>
  <c r="L74" i="7" s="1"/>
  <c r="K159" i="7"/>
  <c r="L159" i="7" s="1"/>
  <c r="V244" i="7"/>
  <c r="W244" i="7" s="1"/>
  <c r="K54" i="7"/>
  <c r="L54" i="7" s="1"/>
  <c r="K280" i="7"/>
  <c r="L280" i="7" s="1"/>
  <c r="V245" i="7"/>
  <c r="W245" i="7" s="1"/>
  <c r="V69" i="7"/>
  <c r="W69" i="7" s="1"/>
  <c r="V318" i="7"/>
  <c r="W318" i="7" s="1"/>
  <c r="K271" i="7"/>
  <c r="L271" i="7" s="1"/>
  <c r="V306" i="7"/>
  <c r="W306" i="7" s="1"/>
  <c r="K276" i="7"/>
  <c r="L276" i="7" s="1"/>
  <c r="K130" i="7"/>
  <c r="L130" i="7" s="1"/>
  <c r="K202" i="7"/>
  <c r="L202" i="7" s="1"/>
  <c r="V204" i="7"/>
  <c r="W204" i="7" s="1"/>
  <c r="K114" i="7"/>
  <c r="L114" i="7" s="1"/>
  <c r="V152" i="7"/>
  <c r="W152" i="7" s="1"/>
  <c r="V276" i="7"/>
  <c r="W276" i="7" s="1"/>
  <c r="V167" i="7"/>
  <c r="W167" i="7" s="1"/>
  <c r="V271" i="7"/>
  <c r="W271" i="7" s="1"/>
  <c r="V241" i="7"/>
  <c r="W241" i="7" s="1"/>
  <c r="V281" i="7"/>
  <c r="W281" i="7" s="1"/>
  <c r="V235" i="7"/>
  <c r="W235" i="7" s="1"/>
  <c r="K248" i="7"/>
  <c r="L248" i="7" s="1"/>
  <c r="V185" i="7"/>
  <c r="W185" i="7" s="1"/>
  <c r="V70" i="7"/>
  <c r="W70" i="7" s="1"/>
  <c r="V191" i="7"/>
  <c r="W191" i="7" s="1"/>
  <c r="K229" i="7"/>
  <c r="L229" i="7" s="1"/>
  <c r="V145" i="7"/>
  <c r="W145" i="7" s="1"/>
  <c r="V135" i="7"/>
  <c r="W135" i="7" s="1"/>
  <c r="V254" i="7"/>
  <c r="W254" i="7" s="1"/>
  <c r="K258" i="7"/>
  <c r="L258" i="7" s="1"/>
  <c r="V238" i="7"/>
  <c r="W238" i="7" s="1"/>
  <c r="K118" i="7"/>
  <c r="L118" i="7" s="1"/>
  <c r="V105" i="7"/>
  <c r="W105" i="7" s="1"/>
  <c r="K79" i="7"/>
  <c r="L79" i="7" s="1"/>
  <c r="V218" i="7"/>
  <c r="W218" i="7" s="1"/>
  <c r="K281" i="7"/>
  <c r="L281" i="7" s="1"/>
  <c r="K178" i="7"/>
  <c r="L178" i="7" s="1"/>
  <c r="K310" i="7"/>
  <c r="L310" i="7" s="1"/>
  <c r="K144" i="7"/>
  <c r="L144" i="7" s="1"/>
  <c r="V206" i="7"/>
  <c r="W206" i="7" s="1"/>
  <c r="K210" i="7"/>
  <c r="L210" i="7" s="1"/>
  <c r="K224" i="7"/>
  <c r="L224" i="7" s="1"/>
  <c r="K287" i="7"/>
  <c r="L287" i="7" s="1"/>
  <c r="V325" i="7"/>
  <c r="W325" i="7" s="1"/>
  <c r="K331" i="7"/>
  <c r="L331" i="7" s="1"/>
  <c r="K53" i="7"/>
  <c r="L53" i="7" s="1"/>
  <c r="V158" i="7"/>
  <c r="W158" i="7" s="1"/>
  <c r="V249" i="7"/>
  <c r="W249" i="7" s="1"/>
  <c r="K313" i="7"/>
  <c r="L313" i="7" s="1"/>
  <c r="K249" i="7"/>
  <c r="L249" i="7" s="1"/>
  <c r="K201" i="7"/>
  <c r="L201" i="7" s="1"/>
  <c r="V322" i="7"/>
  <c r="W322" i="7" s="1"/>
  <c r="V292" i="7"/>
  <c r="W292" i="7" s="1"/>
  <c r="K245" i="7"/>
  <c r="L245" i="7" s="1"/>
  <c r="V280" i="7"/>
  <c r="W280" i="7" s="1"/>
  <c r="K145" i="7"/>
  <c r="L145" i="7" s="1"/>
  <c r="K135" i="7"/>
  <c r="L135" i="7" s="1"/>
  <c r="V77" i="7"/>
  <c r="W77" i="7" s="1"/>
  <c r="K254" i="7"/>
  <c r="L254" i="7" s="1"/>
  <c r="K309" i="7"/>
  <c r="L309" i="7" s="1"/>
  <c r="V84" i="7"/>
  <c r="W84" i="7" s="1"/>
  <c r="V164" i="7"/>
  <c r="W164" i="7" s="1"/>
  <c r="V294" i="7"/>
  <c r="W294" i="7" s="1"/>
  <c r="K208" i="7"/>
  <c r="L208" i="7" s="1"/>
  <c r="V291" i="7"/>
  <c r="W291" i="7" s="1"/>
  <c r="K190" i="7"/>
  <c r="L190" i="7" s="1"/>
  <c r="K317" i="7"/>
  <c r="L317" i="7" s="1"/>
  <c r="K263" i="7"/>
  <c r="L263" i="7" s="1"/>
  <c r="V331" i="7"/>
  <c r="W331" i="7" s="1"/>
  <c r="K243" i="7"/>
  <c r="L243" i="7" s="1"/>
  <c r="V299" i="7"/>
  <c r="W299" i="7" s="1"/>
  <c r="V277" i="7"/>
  <c r="W277" i="7" s="1"/>
  <c r="K238" i="7"/>
  <c r="L238" i="7" s="1"/>
  <c r="V219" i="7"/>
  <c r="W219" i="7" s="1"/>
  <c r="V210" i="7"/>
  <c r="W210" i="7" s="1"/>
  <c r="K307" i="7"/>
  <c r="L307" i="7" s="1"/>
  <c r="K192" i="7"/>
  <c r="L192" i="7" s="1"/>
  <c r="K220" i="7"/>
  <c r="L220" i="7" s="1"/>
  <c r="K131" i="7"/>
  <c r="L131" i="7" s="1"/>
  <c r="K316" i="7"/>
  <c r="L316" i="7" s="1"/>
  <c r="V58" i="7"/>
  <c r="W58" i="7" s="1"/>
  <c r="V300" i="7"/>
  <c r="W300" i="7" s="1"/>
  <c r="K168" i="7"/>
  <c r="L168" i="7" s="1"/>
  <c r="K212" i="7"/>
  <c r="L212" i="7" s="1"/>
  <c r="K63" i="7"/>
  <c r="L63" i="7" s="1"/>
  <c r="V214" i="7"/>
  <c r="W214" i="7" s="1"/>
  <c r="V183" i="7"/>
  <c r="W183" i="7" s="1"/>
  <c r="V256" i="7"/>
  <c r="W256" i="7" s="1"/>
  <c r="K174" i="7"/>
  <c r="L174" i="7" s="1"/>
  <c r="K321" i="7"/>
  <c r="L321" i="7" s="1"/>
  <c r="V98" i="7"/>
  <c r="W98" i="7" s="1"/>
  <c r="V323" i="7"/>
  <c r="W323" i="7" s="1"/>
  <c r="K167" i="7"/>
  <c r="L167" i="7" s="1"/>
  <c r="V328" i="7"/>
  <c r="W328" i="7" s="1"/>
  <c r="V250" i="7"/>
  <c r="W250" i="7" s="1"/>
  <c r="V139" i="7"/>
  <c r="W139" i="7" s="1"/>
  <c r="V316" i="7"/>
  <c r="W316" i="7" s="1"/>
  <c r="V293" i="7"/>
  <c r="W293" i="7" s="1"/>
  <c r="V298" i="7"/>
  <c r="W298" i="7" s="1"/>
  <c r="V211" i="7"/>
  <c r="W211" i="7" s="1"/>
  <c r="V278" i="7"/>
  <c r="W278" i="7" s="1"/>
  <c r="V198" i="7"/>
  <c r="W198" i="7" s="1"/>
  <c r="V188" i="7"/>
  <c r="W188" i="7" s="1"/>
  <c r="K195" i="7"/>
  <c r="L195" i="7" s="1"/>
  <c r="K286" i="7"/>
  <c r="L286" i="7" s="1"/>
  <c r="V275" i="7"/>
  <c r="W275" i="7" s="1"/>
  <c r="K97" i="7"/>
  <c r="L97" i="7" s="1"/>
  <c r="V332" i="7"/>
  <c r="W332" i="7" s="1"/>
  <c r="K55" i="7"/>
  <c r="L55" i="7" s="1"/>
  <c r="V320" i="7"/>
  <c r="W320" i="7" s="1"/>
  <c r="V234" i="7"/>
  <c r="W234" i="7" s="1"/>
  <c r="K324" i="7"/>
  <c r="L324" i="7" s="1"/>
  <c r="V236" i="7"/>
  <c r="W236" i="7" s="1"/>
  <c r="K267" i="7"/>
  <c r="L267" i="7" s="1"/>
  <c r="K295" i="7"/>
  <c r="L295" i="7" s="1"/>
  <c r="V83" i="7"/>
  <c r="W83" i="7" s="1"/>
  <c r="V146" i="7"/>
  <c r="W146" i="7" s="1"/>
  <c r="V144" i="7"/>
  <c r="W144" i="7" s="1"/>
  <c r="K325" i="7"/>
  <c r="L325" i="7" s="1"/>
  <c r="K152" i="7"/>
  <c r="L152" i="7" s="1"/>
  <c r="V229" i="7"/>
  <c r="W229" i="7" s="1"/>
  <c r="K296" i="7"/>
  <c r="L296" i="7" s="1"/>
  <c r="V288" i="7"/>
  <c r="W288" i="7" s="1"/>
  <c r="K237" i="7"/>
  <c r="L237" i="7" s="1"/>
  <c r="K330" i="7"/>
  <c r="L330" i="7" s="1"/>
  <c r="K256" i="7"/>
  <c r="L256" i="7" s="1"/>
  <c r="K302" i="7"/>
  <c r="L302" i="7" s="1"/>
  <c r="V260" i="7"/>
  <c r="W260" i="7" s="1"/>
  <c r="K73" i="7"/>
  <c r="L73" i="7" s="1"/>
  <c r="K223" i="7"/>
  <c r="L223" i="7" s="1"/>
  <c r="V200" i="7"/>
  <c r="W200" i="7" s="1"/>
  <c r="K205" i="7"/>
  <c r="L205" i="7" s="1"/>
  <c r="K327" i="7"/>
  <c r="L327" i="7" s="1"/>
  <c r="K301" i="7"/>
  <c r="L301" i="7" s="1"/>
  <c r="V203" i="7"/>
  <c r="W203" i="7" s="1"/>
  <c r="K185" i="7"/>
  <c r="L185" i="7" s="1"/>
  <c r="K204" i="7"/>
  <c r="L204" i="7" s="1"/>
  <c r="V273" i="7"/>
  <c r="W273" i="7" s="1"/>
  <c r="V91" i="7"/>
  <c r="W91" i="7" s="1"/>
  <c r="K91" i="7"/>
  <c r="L91" i="7" s="1"/>
  <c r="V268" i="7"/>
  <c r="W268" i="7" s="1"/>
  <c r="V190" i="7"/>
  <c r="W190" i="7" s="1"/>
  <c r="K77" i="7"/>
  <c r="L77" i="7" s="1"/>
  <c r="K71" i="7"/>
  <c r="L71" i="7" s="1"/>
  <c r="V289" i="7"/>
  <c r="W289" i="7" s="1"/>
  <c r="K270" i="7"/>
  <c r="L270" i="7" s="1"/>
  <c r="K189" i="7"/>
  <c r="L189" i="7" s="1"/>
  <c r="V62" i="7"/>
  <c r="W62" i="7" s="1"/>
  <c r="K139" i="7"/>
  <c r="L139" i="7" s="1"/>
  <c r="V313" i="7"/>
  <c r="W313" i="7" s="1"/>
  <c r="K242" i="7"/>
  <c r="L242" i="7" s="1"/>
  <c r="K182" i="7"/>
  <c r="L182" i="7" s="1"/>
  <c r="K336" i="7"/>
  <c r="L336" i="7" s="1"/>
  <c r="K315" i="7"/>
  <c r="L315" i="7" s="1"/>
  <c r="V78" i="7"/>
  <c r="W78" i="7" s="1"/>
  <c r="V231" i="7"/>
  <c r="W231" i="7" s="1"/>
  <c r="K255" i="7"/>
  <c r="L255" i="7" s="1"/>
  <c r="V274" i="7"/>
  <c r="W274" i="7" s="1"/>
  <c r="V259" i="7"/>
  <c r="W259" i="7" s="1"/>
  <c r="V252" i="7"/>
  <c r="W252" i="7" s="1"/>
  <c r="V321" i="7"/>
  <c r="W321" i="7" s="1"/>
  <c r="K265" i="7"/>
  <c r="L265" i="7" s="1"/>
  <c r="V246" i="7"/>
  <c r="W246" i="7" s="1"/>
  <c r="V171" i="7"/>
  <c r="W171" i="7" s="1"/>
  <c r="V174" i="7"/>
  <c r="W174" i="7" s="1"/>
  <c r="K164" i="7"/>
  <c r="L164" i="7" s="1"/>
  <c r="K289" i="7"/>
  <c r="L289" i="7" s="1"/>
  <c r="K163" i="7"/>
  <c r="L163" i="7" s="1"/>
  <c r="K338" i="7"/>
  <c r="L338" i="7" s="1"/>
  <c r="V304" i="7"/>
  <c r="W304" i="7" s="1"/>
  <c r="K234" i="7"/>
  <c r="L234" i="7" s="1"/>
  <c r="V165" i="7"/>
  <c r="W165" i="7" s="1"/>
  <c r="V131" i="7"/>
  <c r="W131" i="7" s="1"/>
  <c r="K221" i="7"/>
  <c r="L221" i="7" s="1"/>
  <c r="V159" i="7"/>
  <c r="W159" i="7" s="1"/>
  <c r="K200" i="7"/>
  <c r="L200" i="7" s="1"/>
  <c r="V175" i="7"/>
  <c r="W175" i="7" s="1"/>
  <c r="V285" i="7"/>
  <c r="W285" i="7" s="1"/>
  <c r="K203" i="7"/>
  <c r="L203" i="7" s="1"/>
  <c r="V136" i="7"/>
  <c r="W136" i="7" s="1"/>
  <c r="V64" i="7"/>
  <c r="W64" i="7" s="1"/>
  <c r="V179" i="7"/>
  <c r="W179" i="7" s="1"/>
  <c r="V232" i="7"/>
  <c r="W232" i="7" s="1"/>
  <c r="V130" i="7"/>
  <c r="W130" i="7" s="1"/>
  <c r="V308" i="7"/>
  <c r="W308" i="7" s="1"/>
  <c r="K278" i="7"/>
  <c r="L278" i="7" s="1"/>
  <c r="V61" i="7"/>
  <c r="W61" i="7" s="1"/>
  <c r="V222" i="7"/>
  <c r="W222" i="7" s="1"/>
  <c r="K196" i="7"/>
  <c r="L196" i="7" s="1"/>
  <c r="V173" i="7"/>
  <c r="W173" i="7" s="1"/>
  <c r="V207" i="7"/>
  <c r="W207" i="7" s="1"/>
  <c r="V247" i="7"/>
  <c r="W247" i="7" s="1"/>
  <c r="V227" i="7"/>
  <c r="W227" i="7" s="1"/>
  <c r="V117" i="7"/>
  <c r="W117" i="7" s="1"/>
  <c r="K61" i="7"/>
  <c r="L61" i="7" s="1"/>
  <c r="K58" i="7"/>
  <c r="L58" i="7" s="1"/>
  <c r="K193" i="7"/>
  <c r="L193" i="7" s="1"/>
  <c r="V168" i="7"/>
  <c r="W168" i="7" s="1"/>
  <c r="K335" i="7"/>
  <c r="L335" i="7" s="1"/>
  <c r="K72" i="7"/>
  <c r="L72" i="7" s="1"/>
  <c r="V187" i="7"/>
  <c r="W187" i="7" s="1"/>
  <c r="K116" i="7"/>
  <c r="L116" i="7" s="1"/>
  <c r="V118" i="7"/>
  <c r="W118" i="7" s="1"/>
  <c r="V329" i="7"/>
  <c r="W329" i="7" s="1"/>
  <c r="V213" i="7"/>
  <c r="W213" i="7" s="1"/>
  <c r="V113" i="7"/>
  <c r="W113" i="7" s="1"/>
  <c r="K239" i="7"/>
  <c r="L239" i="7" s="1"/>
  <c r="K177" i="7"/>
  <c r="L177" i="7" s="1"/>
  <c r="V166" i="7"/>
  <c r="W166" i="7" s="1"/>
  <c r="V186" i="7"/>
  <c r="W186" i="7" s="1"/>
  <c r="K179" i="7"/>
  <c r="L179" i="7" s="1"/>
  <c r="K252" i="7"/>
  <c r="L252" i="7" s="1"/>
  <c r="V96" i="7"/>
  <c r="W96" i="7" s="1"/>
  <c r="V153" i="7"/>
  <c r="W153" i="7" s="1"/>
  <c r="K207" i="7"/>
  <c r="L207" i="7" s="1"/>
  <c r="V201" i="7"/>
  <c r="W201" i="7" s="1"/>
  <c r="K253" i="7"/>
  <c r="L253" i="7" s="1"/>
  <c r="V263" i="7"/>
  <c r="W263" i="7" s="1"/>
  <c r="V53" i="7"/>
  <c r="W53" i="7" s="1"/>
  <c r="K319" i="7"/>
  <c r="L319" i="7" s="1"/>
  <c r="K120" i="7"/>
  <c r="L120" i="7" s="1"/>
  <c r="K318" i="7"/>
  <c r="L318" i="7" s="1"/>
  <c r="K171" i="7"/>
  <c r="L171" i="7" s="1"/>
  <c r="V237" i="7"/>
  <c r="W237" i="7" s="1"/>
  <c r="V314" i="7"/>
  <c r="W314" i="7" s="1"/>
  <c r="K326" i="7"/>
  <c r="L326" i="7" s="1"/>
  <c r="V215" i="7"/>
  <c r="W215" i="7" s="1"/>
  <c r="K269" i="7"/>
  <c r="L269" i="7" s="1"/>
  <c r="V258" i="7"/>
  <c r="W258" i="7" s="1"/>
  <c r="V253" i="7"/>
  <c r="W253" i="7" s="1"/>
  <c r="V223" i="7"/>
  <c r="W223" i="7" s="1"/>
  <c r="V170" i="7"/>
  <c r="W170" i="7" s="1"/>
  <c r="K149" i="7"/>
  <c r="L149" i="7" s="1"/>
  <c r="V73" i="7"/>
  <c r="W73" i="7" s="1"/>
  <c r="V337" i="7"/>
  <c r="W337" i="7" s="1"/>
  <c r="K314" i="7"/>
  <c r="L314" i="7" s="1"/>
  <c r="V264" i="7"/>
  <c r="W264" i="7" s="1"/>
  <c r="V99" i="7"/>
  <c r="W99" i="7" s="1"/>
  <c r="K101" i="7"/>
  <c r="L101" i="7" s="1"/>
  <c r="K333" i="7"/>
  <c r="L333" i="7" s="1"/>
  <c r="V115" i="7"/>
  <c r="W115" i="7" s="1"/>
  <c r="K175" i="7"/>
  <c r="L175" i="7" s="1"/>
  <c r="K285" i="7"/>
  <c r="L285" i="7" s="1"/>
  <c r="V88" i="7"/>
  <c r="W88" i="7" s="1"/>
  <c r="K332" i="7"/>
  <c r="L332" i="7" s="1"/>
  <c r="K334" i="7"/>
  <c r="L334" i="7" s="1"/>
  <c r="K226" i="7"/>
  <c r="L226" i="7" s="1"/>
  <c r="K259" i="7"/>
  <c r="L259" i="7" s="1"/>
  <c r="V147" i="7"/>
  <c r="W147" i="7" s="1"/>
  <c r="V57" i="7"/>
  <c r="W57" i="7" s="1"/>
  <c r="K147" i="7"/>
  <c r="L147" i="7" s="1"/>
  <c r="K57" i="7"/>
  <c r="L57" i="7" s="1"/>
  <c r="V307" i="7"/>
  <c r="W307" i="7" s="1"/>
  <c r="V262" i="7"/>
  <c r="W262" i="7" s="1"/>
  <c r="V172" i="7"/>
  <c r="W172" i="7" s="1"/>
  <c r="V305" i="7"/>
  <c r="W305" i="7" s="1"/>
  <c r="K240" i="7"/>
  <c r="L240" i="7" s="1"/>
  <c r="K311" i="7"/>
  <c r="L311" i="7" s="1"/>
  <c r="E43" i="8"/>
  <c r="M26" i="8"/>
  <c r="K206" i="7"/>
  <c r="L206" i="7" s="1"/>
  <c r="K172" i="7"/>
  <c r="L172" i="7" s="1"/>
  <c r="V326" i="7"/>
  <c r="W326" i="7" s="1"/>
  <c r="K80" i="7"/>
  <c r="L80" i="7" s="1"/>
  <c r="K272" i="7"/>
  <c r="L272" i="7" s="1"/>
  <c r="V208" i="7"/>
  <c r="W208" i="7" s="1"/>
  <c r="V220" i="7"/>
  <c r="W220" i="7" s="1"/>
  <c r="K305" i="7"/>
  <c r="L305" i="7" s="1"/>
  <c r="K153" i="7"/>
  <c r="L153" i="7" s="1"/>
  <c r="V193" i="7"/>
  <c r="W193" i="7" s="1"/>
  <c r="V72" i="7"/>
  <c r="W72" i="7" s="1"/>
  <c r="V142" i="7"/>
  <c r="W142" i="7" s="1"/>
  <c r="V279" i="7"/>
  <c r="W279" i="7" s="1"/>
  <c r="V177" i="7"/>
  <c r="W177" i="7" s="1"/>
  <c r="K236" i="7"/>
  <c r="L236" i="7" s="1"/>
  <c r="V97" i="7"/>
  <c r="W97" i="7" s="1"/>
  <c r="V284" i="7"/>
  <c r="W284" i="7" s="1"/>
  <c r="V181" i="7"/>
  <c r="W181" i="7" s="1"/>
  <c r="V309" i="7"/>
  <c r="W309" i="7" s="1"/>
  <c r="K157" i="7"/>
  <c r="L157" i="7" s="1"/>
  <c r="K235" i="7"/>
  <c r="L235" i="7" s="1"/>
  <c r="K186" i="7"/>
  <c r="L186" i="7" s="1"/>
  <c r="K329" i="7"/>
  <c r="L329" i="7" s="1"/>
  <c r="K166" i="7"/>
  <c r="L166" i="7" s="1"/>
  <c r="V71" i="7"/>
  <c r="W71" i="7" s="1"/>
  <c r="K222" i="7"/>
  <c r="L222" i="7" s="1"/>
  <c r="V162" i="7"/>
  <c r="W162" i="7" s="1"/>
  <c r="K88" i="7"/>
  <c r="L88" i="7" s="1"/>
  <c r="M33" i="8"/>
  <c r="V54" i="7"/>
  <c r="W54" i="7" s="1"/>
  <c r="K105" i="7"/>
  <c r="L105" i="7" s="1"/>
  <c r="V112" i="7"/>
  <c r="W112" i="7" s="1"/>
  <c r="V338" i="7"/>
  <c r="W338" i="7" s="1"/>
  <c r="V266" i="7"/>
  <c r="W266" i="7" s="1"/>
  <c r="V312" i="7"/>
  <c r="W312" i="7" s="1"/>
  <c r="V192" i="7"/>
  <c r="W192" i="7" s="1"/>
  <c r="K246" i="7"/>
  <c r="L246" i="7" s="1"/>
  <c r="V217" i="7"/>
  <c r="W217" i="7" s="1"/>
  <c r="K213" i="7"/>
  <c r="L213" i="7" s="1"/>
  <c r="V195" i="7"/>
  <c r="W195" i="7" s="1"/>
  <c r="V324" i="7"/>
  <c r="W324" i="7" s="1"/>
  <c r="V269" i="7"/>
  <c r="W269" i="7" s="1"/>
  <c r="K96" i="7"/>
  <c r="L96" i="7" s="1"/>
  <c r="K261" i="7"/>
  <c r="L261" i="7" s="1"/>
  <c r="K241" i="7"/>
  <c r="L241" i="7" s="1"/>
  <c r="K304" i="7"/>
  <c r="L304" i="7" s="1"/>
  <c r="V114" i="7"/>
  <c r="W114" i="7" s="1"/>
  <c r="V301" i="7"/>
  <c r="W301" i="7" s="1"/>
  <c r="V224" i="7"/>
  <c r="W224" i="7" s="1"/>
  <c r="L169" i="7"/>
  <c r="K299" i="7"/>
  <c r="L299" i="7" s="1"/>
  <c r="K69" i="7"/>
  <c r="L69" i="7" s="1"/>
  <c r="K211" i="7"/>
  <c r="L211" i="7" s="1"/>
  <c r="K117" i="7"/>
  <c r="L117" i="7" s="1"/>
  <c r="K277" i="7"/>
  <c r="L277" i="7" s="1"/>
  <c r="K180" i="7"/>
  <c r="L180" i="7" s="1"/>
  <c r="K284" i="7"/>
  <c r="L284" i="7" s="1"/>
  <c r="K194" i="7"/>
  <c r="L194" i="7" s="1"/>
  <c r="K251" i="7"/>
  <c r="L251" i="7" s="1"/>
  <c r="K142" i="7"/>
  <c r="L142" i="7" s="1"/>
  <c r="V327" i="7"/>
  <c r="W327" i="7" s="1"/>
  <c r="K191" i="7"/>
  <c r="L191" i="7" s="1"/>
  <c r="K161" i="7"/>
  <c r="L161" i="7" s="1"/>
  <c r="K98" i="7"/>
  <c r="L98" i="7" s="1"/>
  <c r="K140" i="7"/>
  <c r="L140" i="7" s="1"/>
  <c r="V261" i="7"/>
  <c r="W261" i="7" s="1"/>
  <c r="K231" i="7"/>
  <c r="L231" i="7" s="1"/>
  <c r="V178" i="7"/>
  <c r="W178" i="7" s="1"/>
  <c r="K291" i="7"/>
  <c r="L291" i="7" s="1"/>
  <c r="K62" i="7"/>
  <c r="L62" i="7" s="1"/>
  <c r="K264" i="7"/>
  <c r="L264" i="7" s="1"/>
  <c r="K232" i="7"/>
  <c r="L232" i="7" s="1"/>
  <c r="V240" i="7"/>
  <c r="W240" i="7" s="1"/>
  <c r="K188" i="7"/>
  <c r="L188" i="7" s="1"/>
  <c r="V209" i="7"/>
  <c r="W209" i="7" s="1"/>
  <c r="V272" i="7"/>
  <c r="W272" i="7" s="1"/>
  <c r="V160" i="7"/>
  <c r="W160" i="7" s="1"/>
  <c r="V141" i="7"/>
  <c r="W141" i="7" s="1"/>
  <c r="V157" i="7"/>
  <c r="W157" i="7" s="1"/>
  <c r="V196" i="7"/>
  <c r="W196" i="7" s="1"/>
  <c r="V199" i="7"/>
  <c r="W199" i="7" s="1"/>
  <c r="V79" i="7"/>
  <c r="W79" i="7" s="1"/>
  <c r="V243" i="7"/>
  <c r="W243" i="7" s="1"/>
  <c r="V248" i="7"/>
  <c r="W248" i="7" s="1"/>
  <c r="V251" i="7"/>
  <c r="W251" i="7" s="1"/>
  <c r="V336" i="7"/>
  <c r="W336" i="7" s="1"/>
  <c r="V287" i="7"/>
  <c r="W287" i="7" s="1"/>
  <c r="K113" i="7"/>
  <c r="L113" i="7" s="1"/>
  <c r="K173" i="7"/>
  <c r="L173" i="7" s="1"/>
  <c r="I43" i="8"/>
  <c r="K288" i="7"/>
  <c r="L288" i="7" s="1"/>
  <c r="V127" i="7"/>
  <c r="W127" i="7" s="1"/>
  <c r="V68" i="7"/>
  <c r="W68" i="7" s="1"/>
  <c r="K217" i="7"/>
  <c r="L217" i="7" s="1"/>
  <c r="K298" i="7"/>
  <c r="L298" i="7" s="1"/>
  <c r="V182" i="7"/>
  <c r="W182" i="7" s="1"/>
  <c r="K184" i="7"/>
  <c r="L184" i="7" s="1"/>
  <c r="V202" i="7"/>
  <c r="W202" i="7" s="1"/>
  <c r="K283" i="7"/>
  <c r="L283" i="7" s="1"/>
  <c r="M28" i="8"/>
  <c r="M21" i="8"/>
  <c r="P11" i="8"/>
  <c r="D19" i="8"/>
  <c r="P10" i="8"/>
  <c r="J61" i="2"/>
  <c r="J48" i="2"/>
  <c r="J51" i="2"/>
  <c r="J82" i="2"/>
  <c r="J96" i="2"/>
  <c r="J114" i="2"/>
  <c r="J102" i="2"/>
  <c r="J119" i="2"/>
  <c r="J86" i="2"/>
  <c r="J81" i="2"/>
  <c r="J35" i="2"/>
  <c r="J65" i="2"/>
  <c r="J107" i="2"/>
  <c r="J60" i="2"/>
  <c r="J90" i="2"/>
  <c r="J84" i="2"/>
  <c r="J120" i="2"/>
  <c r="J88" i="2"/>
  <c r="J42" i="2"/>
  <c r="J57" i="2"/>
  <c r="J115" i="2"/>
  <c r="J111" i="2"/>
  <c r="J55" i="2"/>
  <c r="J44" i="2"/>
  <c r="J109" i="2"/>
  <c r="J78" i="2"/>
  <c r="J110" i="2"/>
  <c r="J46" i="2"/>
  <c r="J108" i="2"/>
  <c r="J52" i="2"/>
  <c r="J41" i="2"/>
  <c r="J94" i="2"/>
  <c r="J74" i="2"/>
  <c r="J64" i="2"/>
  <c r="J101" i="2"/>
  <c r="J121" i="2"/>
  <c r="J68" i="2"/>
  <c r="J123" i="2"/>
  <c r="J63" i="2"/>
  <c r="J91" i="2"/>
  <c r="J122" i="2"/>
  <c r="J71" i="2"/>
  <c r="J56" i="2"/>
  <c r="J25" i="2"/>
  <c r="J100" i="2"/>
  <c r="J40" i="2"/>
  <c r="J97" i="2"/>
  <c r="J99" i="2"/>
  <c r="J58" i="2"/>
  <c r="J93" i="2"/>
  <c r="J24" i="2"/>
  <c r="J76" i="2"/>
  <c r="J80" i="2"/>
  <c r="J118" i="2"/>
  <c r="J98" i="2"/>
  <c r="J77" i="2"/>
  <c r="J105" i="2"/>
  <c r="J53" i="2"/>
  <c r="J89" i="2"/>
  <c r="J49" i="2"/>
  <c r="J95" i="2"/>
  <c r="J70" i="2"/>
  <c r="J75" i="2"/>
  <c r="J87" i="2"/>
  <c r="J92" i="2"/>
  <c r="J59" i="2"/>
  <c r="J37" i="2"/>
  <c r="J85" i="2"/>
  <c r="J106" i="2"/>
  <c r="J83" i="2"/>
  <c r="J103" i="2"/>
  <c r="J54" i="2"/>
  <c r="J104" i="2"/>
  <c r="J67" i="2"/>
  <c r="J113" i="2"/>
  <c r="J72" i="2"/>
  <c r="J116" i="2"/>
  <c r="J79" i="2"/>
  <c r="J66" i="2"/>
  <c r="J47" i="2"/>
  <c r="J117" i="2"/>
  <c r="J45" i="2"/>
  <c r="J73" i="2"/>
  <c r="J43" i="2"/>
  <c r="J50" i="2"/>
  <c r="J69" i="2"/>
  <c r="J62" i="2"/>
  <c r="J112" i="2"/>
  <c r="I5" i="2"/>
  <c r="I34" i="2"/>
  <c r="I7" i="2"/>
  <c r="I23" i="2"/>
  <c r="I9" i="2"/>
  <c r="I8" i="2"/>
  <c r="I20" i="2"/>
  <c r="I33" i="2"/>
  <c r="I11" i="2"/>
  <c r="I12" i="2"/>
  <c r="I30" i="2"/>
  <c r="I13" i="2"/>
  <c r="I27" i="2"/>
  <c r="I29" i="2"/>
  <c r="I19" i="2"/>
  <c r="I36" i="2"/>
  <c r="I31" i="2"/>
  <c r="I21" i="2"/>
  <c r="I6" i="2"/>
  <c r="I22" i="2"/>
  <c r="I28" i="2"/>
  <c r="I16" i="2"/>
  <c r="I30" i="76" l="1"/>
  <c r="I29" i="76"/>
  <c r="J11" i="2"/>
  <c r="I27" i="76"/>
  <c r="J15" i="2"/>
  <c r="M43" i="80"/>
  <c r="J46" i="80" s="1"/>
  <c r="L52" i="80" s="1"/>
  <c r="L54" i="80" s="1"/>
  <c r="O53" i="80" s="1"/>
  <c r="J28" i="2"/>
  <c r="J31" i="2"/>
  <c r="J33" i="2"/>
  <c r="J10" i="2"/>
  <c r="J29" i="2"/>
  <c r="J20" i="2"/>
  <c r="J19" i="2"/>
  <c r="J30" i="2"/>
  <c r="J13" i="2"/>
  <c r="J34" i="2"/>
  <c r="J36" i="2"/>
  <c r="J18" i="2"/>
  <c r="J16" i="2"/>
  <c r="J8" i="2"/>
  <c r="J5" i="2"/>
  <c r="J7" i="2"/>
  <c r="J23" i="2"/>
  <c r="J9" i="2"/>
  <c r="J6" i="2"/>
  <c r="J26" i="2"/>
  <c r="J22" i="2"/>
  <c r="J12" i="2"/>
  <c r="N31" i="7"/>
  <c r="M43" i="8"/>
  <c r="J46" i="8" s="1"/>
  <c r="L52" i="8" s="1"/>
  <c r="L54" i="8" s="1"/>
  <c r="O53" i="8" s="1"/>
  <c r="I4" i="2"/>
  <c r="I38" i="2"/>
  <c r="I32" i="2"/>
  <c r="I39" i="2"/>
  <c r="J17" i="2" l="1"/>
  <c r="J38" i="2"/>
  <c r="J39" i="2"/>
  <c r="J4" i="2"/>
  <c r="J32" i="2"/>
  <c r="I14" i="2"/>
  <c r="J27" i="2"/>
  <c r="J21" i="2"/>
  <c r="J1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kersley</author>
    <author>MoZarD</author>
  </authors>
  <commentList>
    <comment ref="A33" authorId="0" shapeId="0" xr:uid="{BE6AC808-AE6B-4094-AB3C-4238B7D56436}">
      <text>
        <r>
          <rPr>
            <sz val="8"/>
            <color indexed="81"/>
            <rFont val="Tahoma"/>
            <family val="2"/>
          </rPr>
          <t>4:118</t>
        </r>
      </text>
    </comment>
    <comment ref="B33" authorId="1" shapeId="0" xr:uid="{5264E926-9552-4611-B176-6C2398B92560}">
      <text>
        <r>
          <rPr>
            <sz val="8"/>
            <color indexed="81"/>
            <rFont val="Tahoma"/>
            <family val="2"/>
          </rPr>
          <t>HT01</t>
        </r>
      </text>
    </comment>
    <comment ref="A34" authorId="0" shapeId="0" xr:uid="{91B7254C-29D8-472D-B02C-5110566B07B3}">
      <text>
        <r>
          <rPr>
            <sz val="8"/>
            <color indexed="81"/>
            <rFont val="Tahoma"/>
            <family val="2"/>
          </rPr>
          <t>119*TVA</t>
        </r>
      </text>
    </comment>
    <comment ref="B34" authorId="1" shapeId="0" xr:uid="{5E315BFD-FBE3-4EF8-A2BA-3D6F26701F97}">
      <text>
        <r>
          <rPr>
            <sz val="8"/>
            <color indexed="81"/>
            <rFont val="Tahoma"/>
            <family val="2"/>
          </rPr>
          <t>TVA01</t>
        </r>
      </text>
    </comment>
    <comment ref="A35" authorId="0" shapeId="0" xr:uid="{0817321E-3E31-4F1D-9E91-7F826C174783}">
      <text>
        <r>
          <rPr>
            <sz val="8"/>
            <color indexed="81"/>
            <rFont val="Tahoma"/>
            <family val="2"/>
          </rPr>
          <t>119+120</t>
        </r>
      </text>
    </comment>
    <comment ref="B35" authorId="1" shapeId="0" xr:uid="{388A297F-2D31-4220-943D-B4CAA3D4EFF2}">
      <text>
        <r>
          <rPr>
            <sz val="8"/>
            <color indexed="81"/>
            <rFont val="Tahoma"/>
            <family val="2"/>
          </rPr>
          <t>TTC01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EDISYS</author>
  </authors>
  <commentList>
    <comment ref="D1" authorId="0" shapeId="0" xr:uid="{0707BA89-BDF7-4EEA-8755-74E512CFB0DA}">
      <text>
        <r>
          <rPr>
            <b/>
            <sz val="8"/>
            <color indexed="81"/>
            <rFont val="Tahoma"/>
            <family val="2"/>
          </rPr>
          <t>Numéro du dossier : 1525434</t>
        </r>
      </text>
    </comment>
  </commentList>
</comments>
</file>

<file path=xl/sharedStrings.xml><?xml version="1.0" encoding="utf-8"?>
<sst xmlns="http://schemas.openxmlformats.org/spreadsheetml/2006/main" count="1876" uniqueCount="641">
  <si>
    <t>PERSONNEL</t>
  </si>
  <si>
    <t>FOURNITURES</t>
  </si>
  <si>
    <t>Entretien</t>
  </si>
  <si>
    <t>T</t>
  </si>
  <si>
    <t>Personnel</t>
  </si>
  <si>
    <t>Matériel</t>
  </si>
  <si>
    <t>Location</t>
  </si>
  <si>
    <t>Fournitures</t>
  </si>
  <si>
    <t>Sous traitant</t>
  </si>
  <si>
    <t>Materiel</t>
  </si>
  <si>
    <t>ANNEXE 1 AU BORDEREAU DE PRIX</t>
  </si>
  <si>
    <t>CADRE TYPE DE SOUS-DETAIL DE PRIX DE BORDEREAU</t>
  </si>
  <si>
    <t>Nom de l'entreprise :</t>
  </si>
  <si>
    <t>CHARIER TP</t>
  </si>
  <si>
    <t xml:space="preserve">Désignation du chantier :                                                                                                           </t>
  </si>
  <si>
    <t>Désignation du prix :</t>
  </si>
  <si>
    <t>Date d'établissement :</t>
  </si>
  <si>
    <r>
      <t xml:space="preserve">N° de prix : </t>
    </r>
    <r>
      <rPr>
        <b/>
        <vertAlign val="superscript"/>
        <sz val="14"/>
        <rFont val="Times New Roman"/>
        <family val="1"/>
      </rPr>
      <t>(2)</t>
    </r>
  </si>
  <si>
    <t>Titre :</t>
  </si>
  <si>
    <t>Quantités au marché :</t>
  </si>
  <si>
    <t>Unité de mesure :</t>
  </si>
  <si>
    <t>Eléments de base du prix</t>
  </si>
  <si>
    <t>Décomposition du prix</t>
  </si>
  <si>
    <t>Quantités ou durées</t>
  </si>
  <si>
    <t>Matériel et matières</t>
  </si>
  <si>
    <t>Main-d’œuvre</t>
  </si>
  <si>
    <t>TOTAL 1</t>
  </si>
  <si>
    <r>
      <t xml:space="preserve">Sous-traitants </t>
    </r>
    <r>
      <rPr>
        <vertAlign val="superscript"/>
        <sz val="14"/>
        <rFont val="Times New Roman"/>
        <family val="1"/>
      </rPr>
      <t>(2) et (5)</t>
    </r>
  </si>
  <si>
    <t>fongibles</t>
  </si>
  <si>
    <t>(3 + 5 + 7)</t>
  </si>
  <si>
    <t>Désignation</t>
  </si>
  <si>
    <t>Unité
rdmt</t>
  </si>
  <si>
    <t>d'utilisation élémentaires</t>
  </si>
  <si>
    <t>Prix</t>
  </si>
  <si>
    <t>Total</t>
  </si>
  <si>
    <r>
      <t>TOTAL 4</t>
    </r>
    <r>
      <rPr>
        <sz val="14"/>
        <rFont val="Times New Roman"/>
        <family val="1"/>
      </rPr>
      <t xml:space="preserve"> (1 x 9)</t>
    </r>
  </si>
  <si>
    <t>unitaire</t>
  </si>
  <si>
    <t>(1 x 2)</t>
  </si>
  <si>
    <t>(1 x 4)</t>
  </si>
  <si>
    <t>(1 x 6)</t>
  </si>
  <si>
    <t>DEBOURSES</t>
  </si>
  <si>
    <t>TOTAL 4 : 
(T4)</t>
  </si>
  <si>
    <t xml:space="preserve">  (1) Tous les prix sont hors TVA.</t>
  </si>
  <si>
    <t xml:space="preserve">TOTAL 1 : (T1) </t>
  </si>
  <si>
    <t>K4 : frais de sous-traitance
de T4</t>
  </si>
  <si>
    <t xml:space="preserve">  (2) A compléter pour les prix de bordereau uniquement.</t>
  </si>
  <si>
    <t>TOTAL 5 : (T5) = T4 (1 + K4/100) :</t>
  </si>
  <si>
    <t>(3) Si les taux appliqués aux fournitures, aux travaux sous-traités ou aux travaux exécutés par l'entrepreneur sont différents, les faire apparaître distinctement.</t>
  </si>
  <si>
    <r>
      <t xml:space="preserve">K1 frais généraux de siège </t>
    </r>
    <r>
      <rPr>
        <vertAlign val="superscript"/>
        <sz val="14"/>
        <rFont val="Times New Roman"/>
        <family val="1"/>
      </rPr>
      <t>(3)</t>
    </r>
  </si>
  <si>
    <t>du Total 1</t>
  </si>
  <si>
    <t>(4) Si les frais généraux de chantier comprennent une part importante de matériel ou de frais d'installation de chantier, faire apparaître cette part distinctement et en donner la décomposition par nature de dépenses.</t>
  </si>
  <si>
    <r>
      <t xml:space="preserve">K2 frais généraux de chantier </t>
    </r>
    <r>
      <rPr>
        <vertAlign val="superscript"/>
        <sz val="14"/>
        <rFont val="Times New Roman"/>
        <family val="1"/>
      </rPr>
      <t>(4)</t>
    </r>
  </si>
  <si>
    <t>TOTAL GENERAL :</t>
  </si>
  <si>
    <t>K3 aléas et bénéfices</t>
  </si>
  <si>
    <t>du Total 2</t>
  </si>
  <si>
    <t>(T3 + T5)</t>
  </si>
  <si>
    <t>TOTAL 2 (T2) = T1 (1 + K1/100 + K2/100) :</t>
  </si>
  <si>
    <t>(5) L'entrepreneur fournit le sous-détail de prix du sous-traitant.</t>
  </si>
  <si>
    <t>TOTAL 3 (T3) = T2 (1 + K3/100) :</t>
  </si>
  <si>
    <t>TARIF INTERNE 2018</t>
  </si>
  <si>
    <t>AGENCE RE</t>
  </si>
  <si>
    <t>Coef SdP</t>
  </si>
  <si>
    <t>PU interne</t>
  </si>
  <si>
    <t>Responsable d'Exploitation</t>
  </si>
  <si>
    <t>j</t>
  </si>
  <si>
    <t>Jour</t>
  </si>
  <si>
    <t>Ingénieur projet</t>
  </si>
  <si>
    <t>Conducteur de travaux</t>
  </si>
  <si>
    <t>Chef de Chantier</t>
  </si>
  <si>
    <t>h</t>
  </si>
  <si>
    <t xml:space="preserve">Géometre </t>
  </si>
  <si>
    <t>OCP Chef de Chantier</t>
  </si>
  <si>
    <t xml:space="preserve">OCP Géometre </t>
  </si>
  <si>
    <t>QSE</t>
  </si>
  <si>
    <t>Technicien labo</t>
  </si>
  <si>
    <t>Primes de poste</t>
  </si>
  <si>
    <t>U</t>
  </si>
  <si>
    <t>OCP Technicien labo</t>
  </si>
  <si>
    <t>Ingénieur Labo</t>
  </si>
  <si>
    <t>J</t>
  </si>
  <si>
    <t>Conducteur d'engins</t>
  </si>
  <si>
    <t>heure</t>
  </si>
  <si>
    <t>Chef d'équipe</t>
  </si>
  <si>
    <t>Chauffeur routier</t>
  </si>
  <si>
    <t>Ouvrier à pied</t>
  </si>
  <si>
    <t>Mécanicien</t>
  </si>
  <si>
    <t>OCP Conducteur d'engins</t>
  </si>
  <si>
    <t>OCP Chef d'équipe</t>
  </si>
  <si>
    <t>OCP Chauffeur routier</t>
  </si>
  <si>
    <t>OCP Ouvrier à pied</t>
  </si>
  <si>
    <t>OCP Mécanicien</t>
  </si>
  <si>
    <t>travaux de nuit</t>
  </si>
  <si>
    <t>intérim clause sociale</t>
  </si>
  <si>
    <t>COUT FOD CONSIDERE en €/L</t>
  </si>
  <si>
    <t>COUT GO CONSIDERE en €/L</t>
  </si>
  <si>
    <t>LUB EN % DU CARBURANT</t>
  </si>
  <si>
    <t>Coef Frais Généraux</t>
  </si>
  <si>
    <t>MAIN D'ŒUVRE ( intégrant les intempéries et GD)</t>
  </si>
  <si>
    <t>MAIN D'ŒUVRE ( intégrant les intempéries )</t>
  </si>
  <si>
    <r>
      <t xml:space="preserve">TARIFS en €/h </t>
    </r>
    <r>
      <rPr>
        <b/>
        <u/>
        <sz val="11"/>
        <color indexed="10"/>
        <rFont val="Arial"/>
        <family val="2"/>
      </rPr>
      <t>hors OAS</t>
    </r>
  </si>
  <si>
    <t>Amort.</t>
  </si>
  <si>
    <t>Carburant</t>
  </si>
  <si>
    <t>Conso</t>
  </si>
  <si>
    <t>Assurances</t>
  </si>
  <si>
    <t>Main d'Œuvre</t>
  </si>
  <si>
    <t>Prix SEC SdP</t>
  </si>
  <si>
    <t>Prix SEC</t>
  </si>
  <si>
    <t>Technique</t>
  </si>
  <si>
    <t>et Lubrifiants</t>
  </si>
  <si>
    <t>(L/H)</t>
  </si>
  <si>
    <t>et Taxes</t>
  </si>
  <si>
    <t>Matériel RENNES</t>
  </si>
  <si>
    <t>Bull D6 GPS</t>
  </si>
  <si>
    <t>Niveleuse GPS</t>
  </si>
  <si>
    <t>Tombereau 30T</t>
  </si>
  <si>
    <t>Tombreau 40T</t>
  </si>
  <si>
    <t>Pelle 20T-25T GPS</t>
  </si>
  <si>
    <t>Pelle 27T-30T GPS</t>
  </si>
  <si>
    <t>Pelle 45T-50T déconstruction</t>
  </si>
  <si>
    <t>Minipelle 8T</t>
  </si>
  <si>
    <t xml:space="preserve">Compacteur </t>
  </si>
  <si>
    <t>Compacteur V5</t>
  </si>
  <si>
    <t>OCP Bull D6 GPS</t>
  </si>
  <si>
    <t>OCP Niveleuse GPS</t>
  </si>
  <si>
    <t>OCP Tombereau 30T</t>
  </si>
  <si>
    <t>OCP Tombereau 40T</t>
  </si>
  <si>
    <t>OCP Pelle 20T-25T GPS</t>
  </si>
  <si>
    <t>OCP Pelle 27T-30T GPS</t>
  </si>
  <si>
    <t>OCP Pelle 45T-50T GPS</t>
  </si>
  <si>
    <t>OCP Minipelle 8T</t>
  </si>
  <si>
    <t xml:space="preserve">OCP Compacteur </t>
  </si>
  <si>
    <t>OCP Compacteur V5</t>
  </si>
  <si>
    <t>Malaxeur de chaux</t>
  </si>
  <si>
    <t>Epandeur de chaux</t>
  </si>
  <si>
    <t>Porte engins</t>
  </si>
  <si>
    <t>Camion routier</t>
  </si>
  <si>
    <t>minitombereau</t>
  </si>
  <si>
    <t>Voiture pilote</t>
  </si>
  <si>
    <t>Décapeuses automotrices</t>
  </si>
  <si>
    <t>Scrap 621E-621F</t>
  </si>
  <si>
    <t>Scrap 631E-631G</t>
  </si>
  <si>
    <t>Scrap 623</t>
  </si>
  <si>
    <t>Niveleuses</t>
  </si>
  <si>
    <t>Niveleuse 120H-120M-F106-BG110TA</t>
  </si>
  <si>
    <t>Niveleuse 14G-14H</t>
  </si>
  <si>
    <t>Tombereaux</t>
  </si>
  <si>
    <t>Rigide 36T Terrassements (769C-769D-770)</t>
  </si>
  <si>
    <t>Articulés CU 25T (A25C-A25D-A25E)</t>
  </si>
  <si>
    <t>Articulés CU 30T Terrassements (730-A30D-A30E)</t>
  </si>
  <si>
    <t>Articulés CU 40T Terrassements (740-A40-A40D-A40E-A40F)</t>
  </si>
  <si>
    <t>Pelles sur chenilles</t>
  </si>
  <si>
    <t>Minipelle 1.0-2.5T (301.6C - ECR28 - K008-3 - U15-3)</t>
  </si>
  <si>
    <t>Minipelle 5T(ECR58 PLUS)</t>
  </si>
  <si>
    <t>Minipelle 8T (80 VX2)</t>
  </si>
  <si>
    <t>Pelles 12T-18T (312C-314D-318C-319D-EC140B-ECR145C)</t>
  </si>
  <si>
    <t>Pelles 25T (324D-EC240B-EX255-PC240/6-PC240/7-PC240/8)</t>
  </si>
  <si>
    <t>Pelles 35T 330C-330D-336D-EC360B-PC340/7-PC350-ZX350</t>
  </si>
  <si>
    <t>Pelles 65T-70T (365C-EC700C-R964C)</t>
  </si>
  <si>
    <t>Pelles 80T (R974B)</t>
  </si>
  <si>
    <t>Pelle 29 T Equipement terrassement</t>
  </si>
  <si>
    <t>Pelle 29 T Equipement grande hauteur</t>
  </si>
  <si>
    <t>Pelle 35 T Equipement terrassement</t>
  </si>
  <si>
    <t>Pelle 35 T Equipement grande hauteur</t>
  </si>
  <si>
    <t>Perforatrices</t>
  </si>
  <si>
    <t>Perforatrice Ranger 800</t>
  </si>
  <si>
    <t>Perforatrice Pantera 1500</t>
  </si>
  <si>
    <t>Hors Taillants et trains de tige</t>
  </si>
  <si>
    <t>Compacteurs à pneus</t>
  </si>
  <si>
    <t>Compacteur PS300-CCR14-21-C791 (3T/Roue)</t>
  </si>
  <si>
    <t>Petit matériel de compactage</t>
  </si>
  <si>
    <t>Compacteur Tandem &lt; 1m</t>
  </si>
  <si>
    <t>Pilonneuses</t>
  </si>
  <si>
    <t>Plaque vibrantes</t>
  </si>
  <si>
    <t>Compacteurs monobilles-mixtes-tandem</t>
  </si>
  <si>
    <t>Compacteur monobille type VM2</t>
  </si>
  <si>
    <t>Compacteur monobille type VM4</t>
  </si>
  <si>
    <t>Compacteurs Mixte VX2 CB525 - CB525B - CB535B</t>
  </si>
  <si>
    <t>Compacteurs 2 billes PV3</t>
  </si>
  <si>
    <t>Compacteurs 2 Billes VT0 BW138AD</t>
  </si>
  <si>
    <t>Compacteurs 2 Billes VT1 AV70-2 - AV95</t>
  </si>
  <si>
    <t>Compacteurs 2 Billes VT2 BW161AD4 - BW190AD4 - CB534C</t>
  </si>
  <si>
    <t>Compacteurs spéciaux</t>
  </si>
  <si>
    <t>Tamping WDH86/110</t>
  </si>
  <si>
    <t>Malaxeurs</t>
  </si>
  <si>
    <t>Charrues et malaxeurs Jonquet</t>
  </si>
  <si>
    <t>Broyeurs mobiles</t>
  </si>
  <si>
    <t>Lokotrac LT125</t>
  </si>
  <si>
    <t>Keestrack Apollo</t>
  </si>
  <si>
    <t>Lokotrac LT110</t>
  </si>
  <si>
    <t>Lokotrac LT100</t>
  </si>
  <si>
    <t>Ermac TRP1000</t>
  </si>
  <si>
    <t>Lokotrac LT300B (secondaire)</t>
  </si>
  <si>
    <t>Ermac TRS45 (secondaire)</t>
  </si>
  <si>
    <t>Broyeur à bois Hammel</t>
  </si>
  <si>
    <t>Cribles mobiles</t>
  </si>
  <si>
    <t>Metso Lokotrack ST272</t>
  </si>
  <si>
    <t>Scalpeur Extec E7</t>
  </si>
  <si>
    <t>Installation de recyclage de cable Guidetti Wire 415</t>
  </si>
  <si>
    <t>Tracteur agricole</t>
  </si>
  <si>
    <t>Arroseuses</t>
  </si>
  <si>
    <t>Arroseuse sur Volvo DR861-A30-A30C-A30D</t>
  </si>
  <si>
    <t>Arroseuse sur Volvo A35-A40D</t>
  </si>
  <si>
    <t>Arroseuse tractée</t>
  </si>
  <si>
    <t>Chargeuses sur chenilles</t>
  </si>
  <si>
    <t>Chargeuse 953C</t>
  </si>
  <si>
    <t>Chargeuse 963C-LR634</t>
  </si>
  <si>
    <t>Chargeuses sur pneus</t>
  </si>
  <si>
    <t>Minichargeuse Gehl SL1640</t>
  </si>
  <si>
    <t>Chargeuse 406-407B-409B-906H-TL70S</t>
  </si>
  <si>
    <t>Chargeuse 924G-L50E</t>
  </si>
  <si>
    <t>Chargeuse L90E-L90F</t>
  </si>
  <si>
    <t>Chargeuse 950F-950G-950H-L120E -L556</t>
  </si>
  <si>
    <t>Chargeuse 962G-962H</t>
  </si>
  <si>
    <t>Chargeuse 966G-966H-L150E-L564-L566-WA470/6</t>
  </si>
  <si>
    <t>Chargeuse L180E-L180F-WA480/6</t>
  </si>
  <si>
    <t>Chargeuse 980G-980H</t>
  </si>
  <si>
    <t>Chargeuse 988H</t>
  </si>
  <si>
    <t>Chargeuse 993K</t>
  </si>
  <si>
    <t>Pelles sur pneus</t>
  </si>
  <si>
    <t>Pelle 12MTX-12MXT-PW98</t>
  </si>
  <si>
    <t>Pelles 12T-16T (A312 - A314 - JS145W - M313C - M313D)</t>
  </si>
  <si>
    <t>Pelle 20T (1188 - A316 Industrie - M318C)</t>
  </si>
  <si>
    <t>Tracto Pelles</t>
  </si>
  <si>
    <t>Mini-Tracto-pelles (R420B)</t>
  </si>
  <si>
    <t>Tracto-Pelles</t>
  </si>
  <si>
    <t>Hors OAS</t>
  </si>
  <si>
    <t>Véhicules de Fonction</t>
  </si>
  <si>
    <t>3008-407-508-C5-Laguna-Passat</t>
  </si>
  <si>
    <t>307SW-308SW-C4 Picasso-Scenic-Touran</t>
  </si>
  <si>
    <t>308-C4-Megane</t>
  </si>
  <si>
    <t>C3-CLIO</t>
  </si>
  <si>
    <t>Véhicule Société et Utilitaires Légers</t>
  </si>
  <si>
    <t>205-206-207-C3-Clio-Polo Sté</t>
  </si>
  <si>
    <t>Berlingo-C15-Caddy-Combo Cargo-Express-Kangoo-Nemo-Partner</t>
  </si>
  <si>
    <t>306-307-308-C4-Mégane Sté</t>
  </si>
  <si>
    <t>Véhicules 4x4</t>
  </si>
  <si>
    <t>Fourgons simple cabine</t>
  </si>
  <si>
    <t>Camions bennes</t>
  </si>
  <si>
    <t>Camion benne 19T 4X2  (CU 10T)</t>
  </si>
  <si>
    <t>Camion benne 19T 4X2 + bras</t>
  </si>
  <si>
    <t>Camion benne 19T 4X2 + grue</t>
  </si>
  <si>
    <t>Camion benne 19T 4X4 + grue</t>
  </si>
  <si>
    <t>Camion benne 19T avec gravillonneur</t>
  </si>
  <si>
    <t>Camion benne 26T avec gravillonneur</t>
  </si>
  <si>
    <t>Camion benne 26T 6X2 + bras</t>
  </si>
  <si>
    <t>Camion benne 26T 6X2 + bras + grue</t>
  </si>
  <si>
    <t>Camion benne 26T 6X4  (CU 15T)</t>
  </si>
  <si>
    <t>Camion benne 26T 6X4 + bras</t>
  </si>
  <si>
    <t>Camion benne 26T 6X4 + grue</t>
  </si>
  <si>
    <t>Camion benne 26T 6X6  (CU 15T)</t>
  </si>
  <si>
    <t>Camion benne 32T 8x2/6 + Bras + Grue</t>
  </si>
  <si>
    <t>Camion benne 32T 8x4 (CU 17T)</t>
  </si>
  <si>
    <t>Camion benne 32T 8x4 bras</t>
  </si>
  <si>
    <t>Tracteurs routiers</t>
  </si>
  <si>
    <t>Tracteur 4X2</t>
  </si>
  <si>
    <t>Tracteur 4X2 Carrières</t>
  </si>
  <si>
    <t>Tracteur 4X2  s/rqe ponts moteurs</t>
  </si>
  <si>
    <t>Tracteur 4X4</t>
  </si>
  <si>
    <t>Tracteur 6X2/4</t>
  </si>
  <si>
    <t>Tracteur 6X4 courte distance</t>
  </si>
  <si>
    <t>Tracteur 6X4 longue distance</t>
  </si>
  <si>
    <t>Semi-remorques bennes</t>
  </si>
  <si>
    <t>SR 2 ET 3 essieux Benne acier</t>
  </si>
  <si>
    <t>SR 2 et 3 essieux Benne alu</t>
  </si>
  <si>
    <t xml:space="preserve">SR 2 essieux Bi-Benne </t>
  </si>
  <si>
    <t>SR 2 essieux Benne enrochement</t>
  </si>
  <si>
    <t>SR 2 essieux pont moteur</t>
  </si>
  <si>
    <t>Autres semi-remorques</t>
  </si>
  <si>
    <t>SR Citernes à eau</t>
  </si>
  <si>
    <t>SR Citernes à pulvérulent</t>
  </si>
  <si>
    <t>SR porte-engins 3 essieux</t>
  </si>
  <si>
    <t>SR porte-engins 4 essieux</t>
  </si>
  <si>
    <t>SR porte-engins 5 essieux</t>
  </si>
  <si>
    <t>Bissel pour SR 5 Essieux</t>
  </si>
  <si>
    <t>Remorques diverses</t>
  </si>
  <si>
    <t>Remorque plateau &lt; 3,5t</t>
  </si>
  <si>
    <t>Remorque plateau 2E 19T</t>
  </si>
  <si>
    <t>Remorque plateau 3E 24T</t>
  </si>
  <si>
    <t>Remorques porte-caissons</t>
  </si>
  <si>
    <t>Remorques porte-caissons bennante</t>
  </si>
  <si>
    <t>Véhicules spéciaux</t>
  </si>
  <si>
    <t>Fourgons Atelier</t>
  </si>
  <si>
    <t>Fourgons d'équipe 3,5T</t>
  </si>
  <si>
    <t>Fourgons d'équipe 614 et 616</t>
  </si>
  <si>
    <t>Ravitailleur 15T</t>
  </si>
  <si>
    <t>Camions citerne désimmatriculés</t>
  </si>
  <si>
    <t>Camions citerne immatriculés</t>
  </si>
  <si>
    <t>Equipements hors BRH</t>
  </si>
  <si>
    <r>
      <t xml:space="preserve">Cisaille Vibroram AS3500 DD, </t>
    </r>
    <r>
      <rPr>
        <u/>
        <sz val="11"/>
        <rFont val="Arial"/>
        <family val="2"/>
      </rPr>
      <t>Broyeur Béton</t>
    </r>
  </si>
  <si>
    <t>Pince de tri S600B-S802B</t>
  </si>
  <si>
    <t>Pince de tri S1100B-S1102B-S1201B</t>
  </si>
  <si>
    <t>Pince de tri S1702B-S2001B-S2301B</t>
  </si>
  <si>
    <t>Pince à container Kinshofer KM920</t>
  </si>
  <si>
    <t>Godet Grabjohn GJ600</t>
  </si>
  <si>
    <t>Brise-Roche-Hydrauliques</t>
  </si>
  <si>
    <t>BRH125-BRH250-BRH625-BRV32-F22-F35-FM501-FX55-HM720SC28-SC42-V1800-V2500</t>
  </si>
  <si>
    <t>H160DS</t>
  </si>
  <si>
    <t>Matériels de levage divers</t>
  </si>
  <si>
    <t>Chariots élévateurs à portée fixe</t>
  </si>
  <si>
    <t>Chariot télescopiques</t>
  </si>
  <si>
    <t>Pose-bordure Acodim</t>
  </si>
  <si>
    <t>Moto-basculeurs</t>
  </si>
  <si>
    <t>Moto-basculeur PS6000</t>
  </si>
  <si>
    <t>Autres moto-basculeurs</t>
  </si>
  <si>
    <t>Citerne à eau</t>
  </si>
  <si>
    <t>Caissons</t>
  </si>
  <si>
    <t>Caisson 5-20m3</t>
  </si>
  <si>
    <t>Caisson 23-35m3</t>
  </si>
  <si>
    <r>
      <t>Répandeuses</t>
    </r>
    <r>
      <rPr>
        <b/>
        <sz val="11"/>
        <rFont val="Arial"/>
        <family val="2"/>
      </rPr>
      <t xml:space="preserve"> 9T à 13T - P.A.T.A</t>
    </r>
  </si>
  <si>
    <t>Point-a-Temps</t>
  </si>
  <si>
    <t>Répandeuse tractée</t>
  </si>
  <si>
    <t>Gravillonneurs et sableuse</t>
  </si>
  <si>
    <t>Balayeuses</t>
  </si>
  <si>
    <t>Balayeuse d'atelier (KSM650-KSM900)</t>
  </si>
  <si>
    <t>Balayeuses non aspiratrices</t>
  </si>
  <si>
    <t>Balayeuse aspiratrice</t>
  </si>
  <si>
    <t>Nettoyeur divers</t>
  </si>
  <si>
    <t>Nettoyeur Haute Pression et autolaveuses</t>
  </si>
  <si>
    <t>Rotoluves et laveurs de roues</t>
  </si>
  <si>
    <t>Citernes à eau mobiles immatriculées</t>
  </si>
  <si>
    <t>Tondeuses</t>
  </si>
  <si>
    <t>Finisseurs</t>
  </si>
  <si>
    <t>Finisseur F2C</t>
  </si>
  <si>
    <t>Finisseur F5CS</t>
  </si>
  <si>
    <t>Finisseur F6-4W</t>
  </si>
  <si>
    <t xml:space="preserve">Finisseurs </t>
  </si>
  <si>
    <t>DF135C-323-325-326-423-6820-7820-F14C</t>
  </si>
  <si>
    <t>Table finisseur MB122</t>
  </si>
  <si>
    <t>Finisseur de bordues Powercurber 5700B</t>
  </si>
  <si>
    <t>Groupes électrogènes</t>
  </si>
  <si>
    <t>Groupe électrogène &lt; 10 kVA</t>
  </si>
  <si>
    <t>Groupe électrogène 11 kVA</t>
  </si>
  <si>
    <t>Groupe électrogène 40 kVA</t>
  </si>
  <si>
    <t>GE 12 kVA + Mâts d'éclairage</t>
  </si>
  <si>
    <t>Matériel de pesage</t>
  </si>
  <si>
    <t>Pése-essieux</t>
  </si>
  <si>
    <t>Pont-bascule</t>
  </si>
  <si>
    <t>Pompes immergées</t>
  </si>
  <si>
    <t>Compresseurs mobiles</t>
  </si>
  <si>
    <t>Outillage chantier et outillage d'atelier</t>
  </si>
  <si>
    <t>Compresseur à air autonome</t>
  </si>
  <si>
    <t>Compresseur Kaeser Mobilair 38</t>
  </si>
  <si>
    <t>Poste de soudure autonome</t>
  </si>
  <si>
    <t>Machines-Outils</t>
  </si>
  <si>
    <t>Compresseur électrique</t>
  </si>
  <si>
    <t>Poste de soudure électrique</t>
  </si>
  <si>
    <t xml:space="preserve">Carotteuses, découpeuses, tronconneuses, </t>
  </si>
  <si>
    <t xml:space="preserve">Scies à sol </t>
  </si>
  <si>
    <t>Feux tricolores</t>
  </si>
  <si>
    <t>Cisaille hydraulique portative</t>
  </si>
  <si>
    <t>Blindages de tranchées</t>
  </si>
  <si>
    <t>Matériel DAP</t>
  </si>
  <si>
    <t>Contrôleur de dépression</t>
  </si>
  <si>
    <t>Atelier Saturnic</t>
  </si>
  <si>
    <t>Centrale de filtration</t>
  </si>
  <si>
    <t>Unité chauffe-eau et filtration</t>
  </si>
  <si>
    <t>Unité de filtration d'eau</t>
  </si>
  <si>
    <t>Extracteur d'air 80m3/min (EV3200)</t>
  </si>
  <si>
    <t>Extracteur d'air 8m3/min V.Variable (B50)</t>
  </si>
  <si>
    <t>Extracteur d'air 60m3/min V.Variable (B400)</t>
  </si>
  <si>
    <t>Extracteur d'air 87m3/min 3 vitesses (B500)</t>
  </si>
  <si>
    <t>Sas de décontamination 3 compartiments</t>
  </si>
  <si>
    <t>Sas de décontamination 5 compartiments</t>
  </si>
  <si>
    <t>Aspirateur 9m3/min (Aspimax 16)</t>
  </si>
  <si>
    <t>Aspirateur 10m3/min (DM3)</t>
  </si>
  <si>
    <t>Pompe airless</t>
  </si>
  <si>
    <t>Baraques-Conteneurs et roulottes</t>
  </si>
  <si>
    <t>Conteneurs 8 pieds</t>
  </si>
  <si>
    <t>Conteneurs 10 pieds</t>
  </si>
  <si>
    <t>Conteneurs 20 pieds</t>
  </si>
  <si>
    <t>Bungalows et Roulottes</t>
  </si>
  <si>
    <t>Roulottes extramiante</t>
  </si>
  <si>
    <t>Batex B10</t>
  </si>
  <si>
    <t>Batex B12</t>
  </si>
  <si>
    <t>Barques</t>
  </si>
  <si>
    <t>Prix de VENTE</t>
  </si>
  <si>
    <t>écrit en orange = prix estimé</t>
  </si>
  <si>
    <t>écrit en rouge = consultation</t>
  </si>
  <si>
    <t>Remblai du site traité chaux</t>
  </si>
  <si>
    <t>m3</t>
  </si>
  <si>
    <t>GNT 0/80</t>
  </si>
  <si>
    <t>Matériaux Fiche 9</t>
  </si>
  <si>
    <t>GNTA 0/315</t>
  </si>
  <si>
    <t>Matériaux drainants fiche 11</t>
  </si>
  <si>
    <t>Matériaux drainants fiche 12</t>
  </si>
  <si>
    <t>Enrochements</t>
  </si>
  <si>
    <t>Transfert 1 ère cat</t>
  </si>
  <si>
    <t>Transfert 2 ème cat</t>
  </si>
  <si>
    <t>Transfert  3ème cat</t>
  </si>
  <si>
    <t>branchement</t>
  </si>
  <si>
    <t>frais de fonctionnement installation</t>
  </si>
  <si>
    <t>MOIS</t>
  </si>
  <si>
    <t>frais de fonctionnement installation carrefour à feux</t>
  </si>
  <si>
    <t>Grillage ht 1ml - orange</t>
  </si>
  <si>
    <t>ML</t>
  </si>
  <si>
    <t>Ouvrage de régulation avec caillibotis 1500x1500 avec cloison et clapet</t>
  </si>
  <si>
    <t>Garde corps</t>
  </si>
  <si>
    <t>Dégrilleur 500/600</t>
  </si>
  <si>
    <t>Ouvrage by-pass 1500x1500 avec vanne d1000</t>
  </si>
  <si>
    <t>Drains D140</t>
  </si>
  <si>
    <t>Drains D200</t>
  </si>
  <si>
    <t>Drains D250</t>
  </si>
  <si>
    <t>Géotextile sous base drainante</t>
  </si>
  <si>
    <t>M2</t>
  </si>
  <si>
    <t>Géotextile sur base drainante</t>
  </si>
  <si>
    <t>Géotextile Classe 7</t>
  </si>
  <si>
    <t>descente d'eau</t>
  </si>
  <si>
    <t>Canalisation DN 200, PEHD classe SN8</t>
  </si>
  <si>
    <t>Canalisation DN 300, PEHD classe SN8</t>
  </si>
  <si>
    <t>Canalisation DN 400, PEHD classe SN8</t>
  </si>
  <si>
    <t>Sortie de drain d140</t>
  </si>
  <si>
    <t>Tabouret regard de drain d 300 CR8</t>
  </si>
  <si>
    <t>Tube ass cr8 d 315</t>
  </si>
  <si>
    <t>Tampon plastique CR8 provisoire pour drain</t>
  </si>
  <si>
    <t>Tabouret regard de drain POUR D250</t>
  </si>
  <si>
    <t>Tube ass cr8 d 400</t>
  </si>
  <si>
    <t>Tampon plastique CR8 provisoire pour drain D250</t>
  </si>
  <si>
    <t>BOUCHE DE DRAINAGE</t>
  </si>
  <si>
    <t>GRILLE BOUCHE DE DRAIN</t>
  </si>
  <si>
    <t>Tampon fonte pour regard de drain d300</t>
  </si>
  <si>
    <t>Tampon fonte pour regard de visite d1000</t>
  </si>
  <si>
    <t>Tampon fonte grille pour regard de visite d1000 (d400)</t>
  </si>
  <si>
    <t>Tampon fonte grille pour regard de visite d1000 C250</t>
  </si>
  <si>
    <t>Tampon fonte grille + cadre 750x300</t>
  </si>
  <si>
    <t>cadre  1,50x1,75</t>
  </si>
  <si>
    <t>mur d'about AM</t>
  </si>
  <si>
    <t>mur d'about AV</t>
  </si>
  <si>
    <t>Tuyaux béton D300</t>
  </si>
  <si>
    <t>Tuyaux béton D400</t>
  </si>
  <si>
    <t>Tuyaux béton D500</t>
  </si>
  <si>
    <t>Tuyaux béton D600</t>
  </si>
  <si>
    <t>Tuyaux béton D800</t>
  </si>
  <si>
    <t>Tuyaux béton D1000</t>
  </si>
  <si>
    <t>Tête d'aqueduc ordinaire d300- 400</t>
  </si>
  <si>
    <t>Tête d'aqueduc ordinaire d600</t>
  </si>
  <si>
    <t>Tête d'aqueduc ordinaire d800</t>
  </si>
  <si>
    <t>Tête de pont HT 0,60 m</t>
  </si>
  <si>
    <t>Tête de pont HT 0,80 m</t>
  </si>
  <si>
    <t>Tête de pont HT 1,30 m</t>
  </si>
  <si>
    <t>Tête de pont HT 1,60 m</t>
  </si>
  <si>
    <t>Tête de sécurité d300</t>
  </si>
  <si>
    <t>Tête de sécurité d400</t>
  </si>
  <si>
    <t>Tête de sécurité d500</t>
  </si>
  <si>
    <t>Tête de sécurité d600</t>
  </si>
  <si>
    <t>Tête de sécurité d800</t>
  </si>
  <si>
    <t>El de fond BS D1000 plat ht utile=75 4 voiles a briser d300/500</t>
  </si>
  <si>
    <t>El de fond BS D1000 plat ht utile=90 4 voiles a briser d300/800</t>
  </si>
  <si>
    <t>E droit BS D1000 HU=30</t>
  </si>
  <si>
    <t>E droit BS D1000 HU=45</t>
  </si>
  <si>
    <t>E droit BS D1000 HU=60</t>
  </si>
  <si>
    <t>E droit BS D1000 HU=90</t>
  </si>
  <si>
    <t>Dalle réductrice BS D1000 HU=15</t>
  </si>
  <si>
    <t>Dalle réductrice BS D1000 HU=24</t>
  </si>
  <si>
    <t>Tête réductrice BS D1000 HU=40</t>
  </si>
  <si>
    <t>Tête réductrice BS D1000 HU=60 1 échelon</t>
  </si>
  <si>
    <t>Tête réductrice BS D1000 HU=70</t>
  </si>
  <si>
    <t>Tête réductrice BS D1000 HU=90 2 échelons</t>
  </si>
  <si>
    <t>Tête réductrice BS D1000 HU=105 3 échelons</t>
  </si>
  <si>
    <t>Ouvrage de régulation cote PBE=5,50 PHE=6,50</t>
  </si>
  <si>
    <t>Ouvrage de régulation cote PBE=5,60 PHE=6,20</t>
  </si>
  <si>
    <t>Ouvrage de régulation cote PBE=5,60 PHE=7,60</t>
  </si>
  <si>
    <t>OH P2H D=600mm Couédel - Installation du forage</t>
  </si>
  <si>
    <t>OH P2H D=600mm Couédel - Forage</t>
  </si>
  <si>
    <t>OH  D=600mm Soualais - Installation du forage</t>
  </si>
  <si>
    <t>OH  D=600mm Soualais - Forage</t>
  </si>
  <si>
    <t>vannes pour by pass d800</t>
  </si>
  <si>
    <t>vannes pour by pass d500</t>
  </si>
  <si>
    <t>bordures T2 coulées en place</t>
  </si>
  <si>
    <t>décharge béton</t>
  </si>
  <si>
    <t>décharge souches</t>
  </si>
  <si>
    <t>panneaux de signalisation</t>
  </si>
  <si>
    <t>bucheron</t>
  </si>
  <si>
    <t>LOCATIONS</t>
  </si>
  <si>
    <t>Locations</t>
  </si>
  <si>
    <t>unité</t>
  </si>
  <si>
    <t>fournisseur</t>
  </si>
  <si>
    <t>bungalow vestiaire</t>
  </si>
  <si>
    <t>mois</t>
  </si>
  <si>
    <t>par mois</t>
  </si>
  <si>
    <t>bungalow sanitaire</t>
  </si>
  <si>
    <t>bungalow bureau</t>
  </si>
  <si>
    <t>bungalow labo</t>
  </si>
  <si>
    <t>Eclairages</t>
  </si>
  <si>
    <t>par jour</t>
  </si>
  <si>
    <t>carrefour à feux</t>
  </si>
  <si>
    <t>Kangourou</t>
  </si>
  <si>
    <t>raboteuse W210</t>
  </si>
  <si>
    <t>la journée</t>
  </si>
  <si>
    <t>Brémat</t>
  </si>
  <si>
    <t>pompe surface 150m3/h</t>
  </si>
  <si>
    <t xml:space="preserve">par jour </t>
  </si>
  <si>
    <t>Loxam</t>
  </si>
  <si>
    <t>grue automotrice</t>
  </si>
  <si>
    <t>pelle et croque souche</t>
  </si>
  <si>
    <t>par heure</t>
  </si>
  <si>
    <t>gyro broyeur</t>
  </si>
  <si>
    <t>semi</t>
  </si>
  <si>
    <t>tracteur benne</t>
  </si>
  <si>
    <t>P</t>
  </si>
  <si>
    <t>COEFFICIENT</t>
  </si>
  <si>
    <t>Fourniture</t>
  </si>
  <si>
    <t>HT</t>
  </si>
  <si>
    <t>TVA</t>
  </si>
  <si>
    <t>TTC</t>
  </si>
  <si>
    <t>V</t>
  </si>
  <si>
    <t>Niveau</t>
  </si>
  <si>
    <t>Type</t>
  </si>
  <si>
    <t>N° Prix</t>
  </si>
  <si>
    <t>Unité</t>
  </si>
  <si>
    <t>Quantité</t>
  </si>
  <si>
    <t>PU</t>
  </si>
  <si>
    <t>Montant</t>
  </si>
  <si>
    <t>PU SDP</t>
  </si>
  <si>
    <t>écart</t>
  </si>
  <si>
    <t>10B 11 702 00</t>
  </si>
  <si>
    <t>Dégarnissage de la voie non mécanisé conduit jusqu'à une profondeur &gt; 0,15 m et ≤ 0,25 m</t>
  </si>
  <si>
    <t>m de voie</t>
  </si>
  <si>
    <t>20C 11 400 00</t>
  </si>
  <si>
    <t>Terre végétale : Reprise sur stock et amenée à pied d œuvre de terre végétale</t>
  </si>
  <si>
    <t>FIN</t>
  </si>
  <si>
    <t>Qté</t>
  </si>
  <si>
    <t>MT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</si>
  <si>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</si>
  <si>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</si>
  <si>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</si>
  <si>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</si>
  <si>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</si>
  <si>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</si>
  <si>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</si>
  <si>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</si>
  <si>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</si>
  <si>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</si>
  <si>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</si>
  <si>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</si>
  <si>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</si>
  <si>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</si>
  <si>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</si>
  <si>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</si>
  <si>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</si>
  <si>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</si>
  <si>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</si>
  <si>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</si>
  <si>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</si>
  <si>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</si>
  <si>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</si>
  <si>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</si>
  <si>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</si>
  <si>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</si>
  <si>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</si>
  <si>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</si>
  <si>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</si>
  <si>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</si>
  <si>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</si>
  <si>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</si>
  <si>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</si>
  <si>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</si>
  <si>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</si>
  <si>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</si>
  <si>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</si>
  <si>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</si>
  <si>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</si>
  <si>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</si>
  <si>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</si>
  <si>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</si>
  <si>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</si>
  <si>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</si>
  <si>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</si>
  <si>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</si>
  <si>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</si>
  <si>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</si>
  <si>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</si>
  <si>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</si>
  <si>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</si>
  <si>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</si>
  <si>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</si>
  <si>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</si>
  <si>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</si>
  <si>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</si>
  <si>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</si>
  <si>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</si>
  <si>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</si>
  <si>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</si>
  <si>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</si>
  <si>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</si>
  <si>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</si>
  <si>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</si>
  <si>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</si>
  <si>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</si>
  <si>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</si>
  <si>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</si>
  <si>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</si>
  <si>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</si>
  <si>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</si>
  <si>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</si>
  <si>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</si>
  <si>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</si>
  <si>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</si>
  <si>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</si>
  <si>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</si>
  <si>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</si>
  <si>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</si>
  <si>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</si>
  <si>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</si>
  <si>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</si>
  <si>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</si>
  <si>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</si>
  <si>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</si>
  <si>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</si>
  <si>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</si>
  <si>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</si>
  <si>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</si>
  <si>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</si>
  <si>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</si>
  <si>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</si>
  <si>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</si>
  <si>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</si>
  <si>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</si>
  <si>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</si>
  <si>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</si>
  <si>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</si>
  <si>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</si>
  <si>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</si>
  <si>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</si>
  <si>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</si>
  <si>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</si>
  <si>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</si>
  <si>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</si>
  <si>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</si>
  <si>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</si>
  <si>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</si>
  <si>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</si>
  <si>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</si>
  <si>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</si>
  <si>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</si>
  <si>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</si>
  <si>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</si>
  <si>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</si>
  <si>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HT01</t>
  </si>
  <si>
    <t>TVA01</t>
  </si>
  <si>
    <t>TTC01</t>
  </si>
  <si>
    <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</si>
</sst>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0.00\ &quot;€&quot;;[Red]\-#,##0.00\ &quot;€&quot;"/>
    <numFmt numFmtId="44" formatCode="_-* #,##0.00\ &quot;€&quot;_-;\-* #,##0.00\ &quot;€&quot;_-;_-* &quot;-&quot;??\ &quot;€&quot;_-;_-@_-"/>
    <numFmt numFmtId="43" formatCode="_-* #,##0.00_-;\-* #,##0.00_-;_-* &quot;-&quot;??_-;_-@_-"/>
    <numFmt numFmtId="164" formatCode="_-* #,##0.00\ _€_-;\-* #,##0.00\ _€_-;_-* &quot;-&quot;??\ _€_-;_-@_-"/>
    <numFmt numFmtId="165" formatCode="_-* #,##0.00\ _F_-;\-* #,##0.00\ _F_-;_-* &quot;-&quot;??\ _F_-;_-@_-"/>
    <numFmt numFmtId="166" formatCode="#\ ##0.00"/>
    <numFmt numFmtId="167" formatCode="#,##0.00\ [$€-1]"/>
    <numFmt numFmtId="168" formatCode="_-* #,##0.0\ _F_-;\-* #,##0.0\ _F_-;_-* &quot;-&quot;??\ _F_-;_-@_-"/>
    <numFmt numFmtId="169" formatCode="_-* #,##0\ _F_-;\-* #,##0\ _F_-;_-* &quot;-&quot;??\ _F_-;_-@_-"/>
    <numFmt numFmtId="170" formatCode="0.0%"/>
    <numFmt numFmtId="171" formatCode="_-* #,##0\ _€_-;\-* #,##0\ _€_-;_-* &quot;-&quot;??\ _€_-;_-@_-"/>
    <numFmt numFmtId="173" formatCode="_-* #,##0.000\ _€_-;\-* #,##0.000\ _€_-;_-* &quot;-&quot;??\ _€_-;_-@_-"/>
  </numFmts>
  <fonts count="50" x14ac:knownFonts="1">
    <font>
      <sz val="10"/>
      <name val="Arial"/>
    </font>
    <font>
      <sz val="10"/>
      <name val="Arial"/>
      <family val="2"/>
    </font>
    <font>
      <sz val="10"/>
      <name val="Arial"/>
      <family val="2"/>
    </font>
    <font>
      <sz val="10"/>
      <name val="Arial"/>
      <family val="2"/>
    </font>
    <font>
      <b/>
      <sz val="10"/>
      <name val="Arial"/>
      <family val="2"/>
    </font>
    <font>
      <sz val="8"/>
      <color indexed="81"/>
      <name val="Tahoma"/>
      <family val="2"/>
    </font>
    <font>
      <sz val="9"/>
      <name val="Arial"/>
      <family val="2"/>
    </font>
    <font>
      <b/>
      <sz val="9"/>
      <name val="Arial"/>
      <family val="2"/>
    </font>
    <font>
      <b/>
      <sz val="8"/>
      <color indexed="81"/>
      <name val="Tahoma"/>
      <family val="2"/>
    </font>
    <font>
      <sz val="11"/>
      <color indexed="8"/>
      <name val="Calibri"/>
      <family val="2"/>
    </font>
    <font>
      <b/>
      <sz val="11"/>
      <name val="Arial"/>
      <family val="2"/>
    </font>
    <font>
      <b/>
      <sz val="14"/>
      <name val="Arial"/>
      <family val="2"/>
    </font>
    <font>
      <sz val="11"/>
      <name val="Arial"/>
      <family val="2"/>
    </font>
    <font>
      <sz val="11"/>
      <color indexed="12"/>
      <name val="Arial"/>
      <family val="2"/>
    </font>
    <font>
      <b/>
      <sz val="14"/>
      <color indexed="10"/>
      <name val="Arial"/>
      <family val="2"/>
    </font>
    <font>
      <b/>
      <sz val="12"/>
      <color indexed="10"/>
      <name val="Arial"/>
      <family val="2"/>
    </font>
    <font>
      <sz val="11"/>
      <color indexed="10"/>
      <name val="Arial"/>
      <family val="2"/>
    </font>
    <font>
      <b/>
      <sz val="11"/>
      <color indexed="10"/>
      <name val="Arial"/>
      <family val="2"/>
    </font>
    <font>
      <b/>
      <u/>
      <sz val="11"/>
      <color indexed="10"/>
      <name val="Arial"/>
      <family val="2"/>
    </font>
    <font>
      <b/>
      <sz val="10"/>
      <color indexed="10"/>
      <name val="Arial"/>
      <family val="2"/>
    </font>
    <font>
      <b/>
      <sz val="11"/>
      <color indexed="12"/>
      <name val="Arial"/>
      <family val="2"/>
    </font>
    <font>
      <b/>
      <u/>
      <sz val="11"/>
      <name val="Arial"/>
      <family val="2"/>
    </font>
    <font>
      <strike/>
      <sz val="11"/>
      <name val="Arial"/>
      <family val="2"/>
    </font>
    <font>
      <u/>
      <sz val="11"/>
      <name val="Arial"/>
      <family val="2"/>
    </font>
    <font>
      <sz val="8"/>
      <name val="Arial"/>
      <family val="2"/>
    </font>
    <font>
      <b/>
      <i/>
      <sz val="11"/>
      <color indexed="10"/>
      <name val="Arial"/>
      <family val="2"/>
    </font>
    <font>
      <b/>
      <sz val="9"/>
      <color indexed="9"/>
      <name val="Arial"/>
      <family val="2"/>
    </font>
    <font>
      <sz val="10"/>
      <color indexed="8"/>
      <name val="Arial"/>
      <family val="2"/>
    </font>
    <font>
      <b/>
      <sz val="11"/>
      <color indexed="53"/>
      <name val="Arial"/>
      <family val="2"/>
    </font>
    <font>
      <b/>
      <i/>
      <sz val="11"/>
      <color indexed="52"/>
      <name val="Arial"/>
      <family val="2"/>
    </font>
    <font>
      <sz val="9"/>
      <name val="Trebuchet MS"/>
      <family val="2"/>
    </font>
    <font>
      <b/>
      <u/>
      <sz val="10"/>
      <name val="Arial"/>
      <family val="2"/>
    </font>
    <font>
      <sz val="14"/>
      <name val="Arial"/>
      <family val="2"/>
    </font>
    <font>
      <sz val="14"/>
      <name val="Times New Roman"/>
      <family val="1"/>
    </font>
    <font>
      <b/>
      <sz val="14"/>
      <name val="Times New Roman"/>
      <family val="1"/>
    </font>
    <font>
      <vertAlign val="superscript"/>
      <sz val="14"/>
      <name val="Times New Roman"/>
      <family val="1"/>
    </font>
    <font>
      <sz val="14"/>
      <name val="Tahoma"/>
      <family val="2"/>
    </font>
    <font>
      <sz val="11"/>
      <name val="Times New Roman"/>
      <family val="1"/>
    </font>
    <font>
      <b/>
      <sz val="16"/>
      <name val="Times New Roman"/>
      <family val="1"/>
    </font>
    <font>
      <b/>
      <vertAlign val="superscript"/>
      <sz val="14"/>
      <name val="Times New Roman"/>
      <family val="1"/>
    </font>
    <font>
      <sz val="10"/>
      <name val="Aptos Narrow"/>
      <family val="2"/>
    </font>
    <font>
      <b/>
      <sz val="11"/>
      <color rgb="FFFF0000"/>
      <name val="Arial"/>
      <family val="2"/>
    </font>
    <font>
      <sz val="11"/>
      <color rgb="FFFF0000"/>
      <name val="Arial"/>
      <family val="2"/>
    </font>
    <font>
      <b/>
      <i/>
      <sz val="11"/>
      <color rgb="FFFF0000"/>
      <name val="Arial"/>
      <family val="2"/>
    </font>
    <font>
      <sz val="10"/>
      <name val="Calibri"/>
      <family val="2"/>
    </font>
    <font>
      <sz val="11"/>
      <color rgb="FF0000FF"/>
      <name val="Arial"/>
      <family val="2"/>
    </font>
    <font>
      <sz val="9"/>
      <color rgb="FF242424"/>
      <name val="Aptos Narrow"/>
      <family val="2"/>
    </font>
    <font>
      <b/>
      <sz val="11"/>
      <color rgb="FF0000FF"/>
      <name val="Arial"/>
      <family val="2"/>
    </font>
    <font>
      <sz val="10"/>
      <color rgb="FFFF0000"/>
      <name val="Arial"/>
      <family val="2"/>
    </font>
    <font>
      <sz val="10"/>
      <color rgb="FF000000"/>
      <name val="Arial"/>
      <family val="2"/>
    </font>
  </fonts>
  <fills count="19">
    <fill>
      <patternFill patternType="none"/>
    </fill>
    <fill>
      <patternFill patternType="gray125"/>
    </fill>
    <fill>
      <patternFill patternType="solid">
        <fgColor indexed="13"/>
        <bgColor indexed="64"/>
      </patternFill>
    </fill>
    <fill>
      <patternFill patternType="solid">
        <fgColor indexed="52"/>
        <bgColor indexed="64"/>
      </patternFill>
    </fill>
    <fill>
      <patternFill patternType="solid">
        <fgColor indexed="40"/>
        <bgColor indexed="64"/>
      </patternFill>
    </fill>
    <fill>
      <patternFill patternType="solid">
        <fgColor indexed="60"/>
        <bgColor indexed="64"/>
      </patternFill>
    </fill>
    <fill>
      <patternFill patternType="solid">
        <fgColor indexed="46"/>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rgb="FF000000"/>
      </patternFill>
    </fill>
    <fill>
      <patternFill patternType="solid">
        <fgColor rgb="FFD9D9D9"/>
        <bgColor rgb="FF000000"/>
      </patternFill>
    </fill>
    <fill>
      <patternFill patternType="solid">
        <fgColor rgb="FFFFFFFF"/>
        <bgColor rgb="FF000000"/>
      </patternFill>
    </fill>
    <fill>
      <patternFill patternType="solid">
        <fgColor rgb="FFFF9900"/>
        <bgColor rgb="FF000000"/>
      </patternFill>
    </fill>
  </fills>
  <borders count="63">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style="thick">
        <color indexed="64"/>
      </left>
      <right style="dotted">
        <color indexed="64"/>
      </right>
      <top style="thick">
        <color indexed="64"/>
      </top>
      <bottom style="thick">
        <color indexed="64"/>
      </bottom>
      <diagonal/>
    </border>
    <border>
      <left style="dotted">
        <color indexed="64"/>
      </left>
      <right style="thick">
        <color indexed="64"/>
      </right>
      <top style="thick">
        <color indexed="64"/>
      </top>
      <bottom style="thick">
        <color indexed="64"/>
      </bottom>
      <diagonal/>
    </border>
    <border>
      <left style="thick">
        <color indexed="64"/>
      </left>
      <right style="dotted">
        <color indexed="64"/>
      </right>
      <top/>
      <bottom style="hair">
        <color indexed="64"/>
      </bottom>
      <diagonal/>
    </border>
    <border>
      <left style="dotted">
        <color indexed="64"/>
      </left>
      <right style="thick">
        <color indexed="64"/>
      </right>
      <top/>
      <bottom style="hair">
        <color indexed="64"/>
      </bottom>
      <diagonal/>
    </border>
    <border>
      <left style="thick">
        <color indexed="64"/>
      </left>
      <right style="dotted">
        <color indexed="64"/>
      </right>
      <top style="hair">
        <color indexed="64"/>
      </top>
      <bottom style="hair">
        <color indexed="64"/>
      </bottom>
      <diagonal/>
    </border>
    <border>
      <left style="dotted">
        <color indexed="64"/>
      </left>
      <right style="thick">
        <color indexed="64"/>
      </right>
      <top style="hair">
        <color indexed="64"/>
      </top>
      <bottom style="hair">
        <color indexed="64"/>
      </bottom>
      <diagonal/>
    </border>
    <border>
      <left style="thick">
        <color indexed="64"/>
      </left>
      <right style="thick">
        <color indexed="64"/>
      </right>
      <top style="thick">
        <color indexed="64"/>
      </top>
      <bottom style="thick">
        <color indexed="64"/>
      </bottom>
      <diagonal/>
    </border>
    <border>
      <left style="thin">
        <color indexed="8"/>
      </left>
      <right style="thin">
        <color indexed="8"/>
      </right>
      <top style="thin">
        <color indexed="8"/>
      </top>
      <bottom/>
      <diagonal/>
    </border>
    <border>
      <left/>
      <right style="medium">
        <color indexed="64"/>
      </right>
      <top style="medium">
        <color indexed="64"/>
      </top>
      <bottom style="medium">
        <color indexed="64"/>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style="medium">
        <color indexed="64"/>
      </right>
      <top/>
      <bottom style="dotted">
        <color indexed="64"/>
      </bottom>
      <diagonal/>
    </border>
    <border>
      <left/>
      <right/>
      <top/>
      <bottom style="dotted">
        <color indexed="64"/>
      </bottom>
      <diagonal/>
    </border>
    <border>
      <left style="thin">
        <color rgb="FF000000"/>
      </left>
      <right style="thin">
        <color rgb="FF000000"/>
      </right>
      <top style="thin">
        <color rgb="FF000000"/>
      </top>
      <bottom style="thin">
        <color rgb="FF000000"/>
      </bottom>
      <diagonal/>
    </border>
    <border>
      <left style="thin">
        <color rgb="FF00B050"/>
      </left>
      <right style="thin">
        <color rgb="FF00B050"/>
      </right>
      <top/>
      <bottom/>
      <diagonal/>
    </border>
  </borders>
  <cellStyleXfs count="14">
    <xf numFmtId="0" fontId="0" fillId="0" borderId="0" applyNumberFormat="0" applyFont="0" applyFill="0" applyBorder="0" applyAlignment="0" applyProtection="0">
      <alignment vertical="top"/>
    </xf>
    <xf numFmtId="44" fontId="1" fillId="0" borderId="0" applyFont="0" applyFill="0" applyBorder="0" applyAlignment="0" applyProtection="0"/>
    <xf numFmtId="164"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27" fillId="0" borderId="0" applyFont="0" applyFill="0" applyBorder="0" applyAlignment="0" applyProtection="0">
      <alignment vertical="top"/>
    </xf>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9" fontId="9" fillId="0" borderId="0" applyFont="0" applyFill="0" applyBorder="0" applyAlignment="0" applyProtection="0"/>
  </cellStyleXfs>
  <cellXfs count="467">
    <xf numFmtId="0" fontId="2" fillId="0" borderId="0" xfId="0" applyNumberFormat="1" applyFont="1" applyFill="1" applyBorder="1" applyAlignment="1" applyProtection="1">
      <alignment vertical="top"/>
    </xf>
    <xf numFmtId="0" fontId="3" fillId="0" borderId="0" xfId="0" applyNumberFormat="1" applyFont="1" applyFill="1" applyBorder="1" applyAlignment="1" applyProtection="1">
      <alignment horizontal="left" vertical="top" wrapText="1"/>
    </xf>
    <xf numFmtId="0" fontId="3" fillId="0" borderId="0" xfId="0" applyNumberFormat="1" applyFont="1" applyFill="1" applyBorder="1" applyAlignment="1" applyProtection="1">
      <alignment horizontal="left" vertical="top" wrapText="1" shrinkToFit="1"/>
    </xf>
    <xf numFmtId="0" fontId="10" fillId="0" borderId="0" xfId="7" applyFont="1"/>
    <xf numFmtId="0" fontId="12" fillId="0" borderId="0" xfId="7" applyFont="1"/>
    <xf numFmtId="167" fontId="12" fillId="0" borderId="0" xfId="7" applyNumberFormat="1" applyFont="1"/>
    <xf numFmtId="169" fontId="13" fillId="0" borderId="0" xfId="3" applyNumberFormat="1" applyFont="1" applyFill="1" applyAlignment="1">
      <alignment horizontal="center"/>
    </xf>
    <xf numFmtId="0" fontId="10" fillId="0" borderId="1" xfId="7" applyFont="1" applyBorder="1"/>
    <xf numFmtId="0" fontId="14" fillId="0" borderId="0" xfId="7" applyFont="1" applyAlignment="1">
      <alignment horizontal="center" vertical="center"/>
    </xf>
    <xf numFmtId="0" fontId="12" fillId="0" borderId="2" xfId="7" applyFont="1" applyBorder="1"/>
    <xf numFmtId="0" fontId="12" fillId="0" borderId="3" xfId="7" applyFont="1" applyBorder="1"/>
    <xf numFmtId="169" fontId="13" fillId="0" borderId="3" xfId="3" applyNumberFormat="1" applyFont="1" applyFill="1" applyBorder="1" applyAlignment="1">
      <alignment horizontal="center"/>
    </xf>
    <xf numFmtId="167" fontId="12" fillId="0" borderId="3" xfId="7" applyNumberFormat="1" applyFont="1" applyBorder="1"/>
    <xf numFmtId="165" fontId="15" fillId="2" borderId="4" xfId="3" applyFont="1" applyFill="1" applyBorder="1" applyAlignment="1">
      <alignment horizontal="center"/>
    </xf>
    <xf numFmtId="0" fontId="12" fillId="0" borderId="5" xfId="11" applyFont="1" applyFill="1" applyBorder="1"/>
    <xf numFmtId="169" fontId="13" fillId="0" borderId="0" xfId="3" applyNumberFormat="1" applyFont="1" applyFill="1" applyBorder="1" applyAlignment="1">
      <alignment horizontal="center"/>
    </xf>
    <xf numFmtId="0" fontId="10" fillId="0" borderId="0" xfId="7" applyFont="1" applyAlignment="1">
      <alignment horizontal="center"/>
    </xf>
    <xf numFmtId="167" fontId="12" fillId="0" borderId="6" xfId="7" applyNumberFormat="1" applyFont="1" applyBorder="1"/>
    <xf numFmtId="0" fontId="12" fillId="0" borderId="7" xfId="7" applyFont="1" applyBorder="1"/>
    <xf numFmtId="169" fontId="13" fillId="0" borderId="7" xfId="3" applyNumberFormat="1" applyFont="1" applyFill="1" applyBorder="1" applyAlignment="1">
      <alignment horizontal="center"/>
    </xf>
    <xf numFmtId="167" fontId="12" fillId="0" borderId="7" xfId="7" applyNumberFormat="1" applyFont="1" applyBorder="1"/>
    <xf numFmtId="9" fontId="10" fillId="0" borderId="8" xfId="13" applyFont="1" applyFill="1" applyBorder="1" applyAlignment="1">
      <alignment horizontal="center"/>
    </xf>
    <xf numFmtId="170" fontId="13" fillId="0" borderId="0" xfId="13" applyNumberFormat="1" applyFont="1" applyFill="1"/>
    <xf numFmtId="167" fontId="12" fillId="0" borderId="5" xfId="7" applyNumberFormat="1" applyFont="1" applyBorder="1"/>
    <xf numFmtId="9" fontId="10" fillId="0" borderId="9" xfId="13" applyFont="1" applyFill="1" applyBorder="1" applyAlignment="1">
      <alignment horizontal="center"/>
    </xf>
    <xf numFmtId="167" fontId="16" fillId="0" borderId="2" xfId="7" applyNumberFormat="1" applyFont="1" applyBorder="1"/>
    <xf numFmtId="0" fontId="16" fillId="0" borderId="3" xfId="7" applyFont="1" applyBorder="1"/>
    <xf numFmtId="169" fontId="16" fillId="0" borderId="3" xfId="3" applyNumberFormat="1" applyFont="1" applyFill="1" applyBorder="1" applyAlignment="1">
      <alignment horizontal="center"/>
    </xf>
    <xf numFmtId="167" fontId="16" fillId="0" borderId="3" xfId="7" applyNumberFormat="1" applyFont="1" applyBorder="1"/>
    <xf numFmtId="167" fontId="16" fillId="0" borderId="6" xfId="7" applyNumberFormat="1" applyFont="1" applyBorder="1"/>
    <xf numFmtId="0" fontId="16" fillId="0" borderId="7" xfId="7" applyFont="1" applyBorder="1"/>
    <xf numFmtId="169" fontId="16" fillId="0" borderId="7" xfId="3" applyNumberFormat="1" applyFont="1" applyFill="1" applyBorder="1" applyAlignment="1">
      <alignment horizontal="center"/>
    </xf>
    <xf numFmtId="167" fontId="16" fillId="0" borderId="7" xfId="7" applyNumberFormat="1" applyFont="1" applyBorder="1"/>
    <xf numFmtId="167" fontId="17" fillId="0" borderId="8" xfId="12" applyNumberFormat="1" applyFont="1" applyFill="1" applyBorder="1" applyAlignment="1">
      <alignment horizontal="center"/>
    </xf>
    <xf numFmtId="0" fontId="14" fillId="0" borderId="10" xfId="7" applyFont="1" applyBorder="1" applyAlignment="1">
      <alignment horizontal="center"/>
    </xf>
    <xf numFmtId="0" fontId="14" fillId="0" borderId="0" xfId="7" applyFont="1" applyAlignment="1">
      <alignment horizontal="center"/>
    </xf>
    <xf numFmtId="0" fontId="19" fillId="0" borderId="11" xfId="7" applyFont="1" applyBorder="1" applyAlignment="1">
      <alignment horizontal="center"/>
    </xf>
    <xf numFmtId="0" fontId="19" fillId="0" borderId="0" xfId="7" applyFont="1" applyAlignment="1">
      <alignment horizontal="center"/>
    </xf>
    <xf numFmtId="0" fontId="10" fillId="0" borderId="0" xfId="11" applyFont="1" applyFill="1"/>
    <xf numFmtId="167" fontId="12" fillId="0" borderId="12" xfId="11" applyNumberFormat="1" applyFont="1" applyFill="1" applyBorder="1" applyAlignment="1">
      <alignment horizontal="center"/>
    </xf>
    <xf numFmtId="167" fontId="12" fillId="0" borderId="13" xfId="7" applyNumberFormat="1" applyFont="1" applyBorder="1" applyAlignment="1">
      <alignment horizontal="center"/>
    </xf>
    <xf numFmtId="169" fontId="12" fillId="0" borderId="13" xfId="3" applyNumberFormat="1" applyFont="1" applyFill="1" applyBorder="1" applyAlignment="1">
      <alignment horizontal="center" vertical="center"/>
    </xf>
    <xf numFmtId="167" fontId="12" fillId="0" borderId="14" xfId="11" applyNumberFormat="1" applyFont="1" applyFill="1" applyBorder="1" applyAlignment="1">
      <alignment horizontal="center" vertical="center" wrapText="1"/>
    </xf>
    <xf numFmtId="167" fontId="10" fillId="0" borderId="0" xfId="11" applyNumberFormat="1" applyFont="1" applyFill="1" applyBorder="1" applyAlignment="1">
      <alignment horizontal="center" vertical="center" wrapText="1"/>
    </xf>
    <xf numFmtId="167" fontId="12" fillId="0" borderId="15" xfId="11" applyNumberFormat="1" applyFont="1" applyFill="1" applyBorder="1" applyAlignment="1">
      <alignment horizontal="center"/>
    </xf>
    <xf numFmtId="167" fontId="12" fillId="0" borderId="16" xfId="7" applyNumberFormat="1" applyFont="1" applyBorder="1" applyAlignment="1">
      <alignment horizontal="center"/>
    </xf>
    <xf numFmtId="169" fontId="12" fillId="0" borderId="16" xfId="3" applyNumberFormat="1" applyFont="1" applyFill="1" applyBorder="1" applyAlignment="1">
      <alignment horizontal="center" vertical="center"/>
    </xf>
    <xf numFmtId="167" fontId="12" fillId="0" borderId="17" xfId="11" applyNumberFormat="1" applyFont="1" applyFill="1" applyBorder="1" applyAlignment="1">
      <alignment horizontal="center" vertical="center" wrapText="1"/>
    </xf>
    <xf numFmtId="167" fontId="10" fillId="0" borderId="5" xfId="11" applyNumberFormat="1" applyFont="1" applyFill="1" applyBorder="1" applyAlignment="1">
      <alignment horizontal="center" vertical="center" wrapText="1"/>
    </xf>
    <xf numFmtId="0" fontId="10" fillId="0" borderId="12" xfId="7" applyFont="1" applyBorder="1"/>
    <xf numFmtId="0" fontId="12" fillId="0" borderId="14" xfId="11" applyFont="1" applyFill="1" applyBorder="1"/>
    <xf numFmtId="0" fontId="12" fillId="0" borderId="0" xfId="11" applyFont="1" applyFill="1" applyBorder="1"/>
    <xf numFmtId="167" fontId="12" fillId="0" borderId="18" xfId="12" applyNumberFormat="1" applyFont="1" applyFill="1" applyBorder="1"/>
    <xf numFmtId="167" fontId="12" fillId="0" borderId="19" xfId="12" applyNumberFormat="1" applyFont="1" applyFill="1" applyBorder="1"/>
    <xf numFmtId="167" fontId="12" fillId="0" borderId="20" xfId="12" applyNumberFormat="1" applyFont="1" applyFill="1" applyBorder="1"/>
    <xf numFmtId="167" fontId="12" fillId="0" borderId="9" xfId="12" applyNumberFormat="1" applyFont="1" applyFill="1" applyBorder="1"/>
    <xf numFmtId="167" fontId="12" fillId="0" borderId="21" xfId="12" applyNumberFormat="1" applyFont="1" applyFill="1" applyBorder="1"/>
    <xf numFmtId="170" fontId="13" fillId="0" borderId="22" xfId="13" applyNumberFormat="1" applyFont="1" applyFill="1" applyBorder="1"/>
    <xf numFmtId="170" fontId="20" fillId="0" borderId="22" xfId="13" applyNumberFormat="1" applyFont="1" applyFill="1" applyBorder="1" applyAlignment="1">
      <alignment horizontal="center"/>
    </xf>
    <xf numFmtId="170" fontId="20" fillId="0" borderId="0" xfId="13" applyNumberFormat="1" applyFont="1" applyFill="1" applyBorder="1" applyAlignment="1">
      <alignment horizontal="center"/>
    </xf>
    <xf numFmtId="0" fontId="10" fillId="0" borderId="23" xfId="7" applyFont="1" applyBorder="1"/>
    <xf numFmtId="0" fontId="10" fillId="0" borderId="24" xfId="12" applyFont="1" applyFill="1" applyBorder="1"/>
    <xf numFmtId="167" fontId="12" fillId="0" borderId="25" xfId="12" applyNumberFormat="1" applyFont="1" applyFill="1" applyBorder="1"/>
    <xf numFmtId="167" fontId="12" fillId="0" borderId="26" xfId="12" applyNumberFormat="1" applyFont="1" applyFill="1" applyBorder="1"/>
    <xf numFmtId="169" fontId="12" fillId="0" borderId="26" xfId="3" applyNumberFormat="1" applyFont="1" applyFill="1" applyBorder="1" applyAlignment="1">
      <alignment horizontal="center"/>
    </xf>
    <xf numFmtId="167" fontId="12" fillId="0" borderId="27" xfId="12" applyNumberFormat="1" applyFont="1" applyFill="1" applyBorder="1"/>
    <xf numFmtId="167" fontId="12" fillId="0" borderId="28" xfId="12" applyNumberFormat="1" applyFont="1" applyFill="1" applyBorder="1"/>
    <xf numFmtId="167" fontId="12" fillId="0" borderId="0" xfId="12" applyNumberFormat="1" applyFont="1" applyFill="1" applyBorder="1"/>
    <xf numFmtId="170" fontId="13" fillId="0" borderId="29" xfId="13" applyNumberFormat="1" applyFont="1" applyFill="1" applyBorder="1"/>
    <xf numFmtId="170" fontId="17" fillId="0" borderId="29" xfId="13" applyNumberFormat="1" applyFont="1" applyFill="1" applyBorder="1" applyAlignment="1">
      <alignment horizontal="center"/>
    </xf>
    <xf numFmtId="170" fontId="17" fillId="0" borderId="0" xfId="13" applyNumberFormat="1" applyFont="1" applyFill="1" applyBorder="1" applyAlignment="1">
      <alignment horizontal="center"/>
    </xf>
    <xf numFmtId="0" fontId="12" fillId="0" borderId="24" xfId="12" applyFont="1" applyFill="1" applyBorder="1"/>
    <xf numFmtId="0" fontId="12" fillId="0" borderId="0" xfId="12" applyFont="1" applyFill="1"/>
    <xf numFmtId="167" fontId="12" fillId="0" borderId="29" xfId="12" applyNumberFormat="1" applyFont="1" applyFill="1" applyBorder="1"/>
    <xf numFmtId="167" fontId="17" fillId="0" borderId="29" xfId="12" applyNumberFormat="1" applyFont="1" applyFill="1" applyBorder="1" applyAlignment="1">
      <alignment horizontal="center"/>
    </xf>
    <xf numFmtId="167" fontId="17" fillId="0" borderId="0" xfId="12" applyNumberFormat="1" applyFont="1" applyFill="1" applyBorder="1" applyAlignment="1">
      <alignment horizontal="center"/>
    </xf>
    <xf numFmtId="0" fontId="10" fillId="0" borderId="0" xfId="12" applyFont="1" applyFill="1" applyBorder="1"/>
    <xf numFmtId="0" fontId="10" fillId="0" borderId="0" xfId="12" applyFont="1" applyFill="1"/>
    <xf numFmtId="0" fontId="12" fillId="0" borderId="0" xfId="12" applyFont="1" applyFill="1" applyBorder="1"/>
    <xf numFmtId="167" fontId="12" fillId="0" borderId="30" xfId="12" applyNumberFormat="1" applyFont="1" applyFill="1" applyBorder="1"/>
    <xf numFmtId="167" fontId="10" fillId="0" borderId="28" xfId="12" applyNumberFormat="1" applyFont="1" applyFill="1" applyBorder="1"/>
    <xf numFmtId="167" fontId="12" fillId="0" borderId="25" xfId="12" applyNumberFormat="1" applyFont="1" applyFill="1" applyBorder="1" applyAlignment="1">
      <alignment horizontal="right"/>
    </xf>
    <xf numFmtId="169" fontId="12" fillId="0" borderId="26" xfId="3" applyNumberFormat="1" applyFont="1" applyFill="1" applyBorder="1" applyAlignment="1">
      <alignment horizontal="right"/>
    </xf>
    <xf numFmtId="170" fontId="20" fillId="0" borderId="29" xfId="13" applyNumberFormat="1" applyFont="1" applyFill="1" applyBorder="1" applyAlignment="1">
      <alignment horizontal="center"/>
    </xf>
    <xf numFmtId="170" fontId="13" fillId="0" borderId="31" xfId="13" applyNumberFormat="1" applyFont="1" applyFill="1" applyBorder="1"/>
    <xf numFmtId="170" fontId="20" fillId="0" borderId="31" xfId="13" applyNumberFormat="1" applyFont="1" applyFill="1" applyBorder="1" applyAlignment="1">
      <alignment horizontal="center"/>
    </xf>
    <xf numFmtId="0" fontId="20" fillId="0" borderId="0" xfId="12" applyFont="1" applyFill="1"/>
    <xf numFmtId="0" fontId="12" fillId="0" borderId="24" xfId="12" applyFont="1" applyFill="1" applyBorder="1" applyAlignment="1">
      <alignment horizontal="left" indent="1"/>
    </xf>
    <xf numFmtId="0" fontId="12" fillId="0" borderId="1" xfId="7" applyFont="1" applyBorder="1"/>
    <xf numFmtId="0" fontId="21" fillId="0" borderId="24" xfId="12" applyFont="1" applyFill="1" applyBorder="1"/>
    <xf numFmtId="167" fontId="10" fillId="0" borderId="25" xfId="12" applyNumberFormat="1" applyFont="1" applyFill="1" applyBorder="1" applyAlignment="1">
      <alignment horizontal="center"/>
    </xf>
    <xf numFmtId="169" fontId="12" fillId="0" borderId="26" xfId="3" applyNumberFormat="1" applyFont="1" applyFill="1" applyBorder="1"/>
    <xf numFmtId="170" fontId="13" fillId="0" borderId="0" xfId="13" applyNumberFormat="1" applyFont="1" applyFill="1" applyAlignment="1">
      <alignment horizontal="left"/>
    </xf>
    <xf numFmtId="2" fontId="13" fillId="0" borderId="0" xfId="13" applyNumberFormat="1" applyFont="1" applyFill="1" applyAlignment="1">
      <alignment horizontal="left"/>
    </xf>
    <xf numFmtId="0" fontId="10" fillId="0" borderId="24" xfId="11" applyFont="1" applyFill="1" applyBorder="1"/>
    <xf numFmtId="170" fontId="20" fillId="0" borderId="0" xfId="13" applyNumberFormat="1" applyFont="1" applyFill="1" applyAlignment="1">
      <alignment horizontal="center"/>
    </xf>
    <xf numFmtId="0" fontId="12" fillId="0" borderId="24" xfId="11" applyFont="1" applyFill="1" applyBorder="1" applyAlignment="1">
      <alignment horizontal="left" indent="1"/>
    </xf>
    <xf numFmtId="0" fontId="12" fillId="0" borderId="24" xfId="11" applyFont="1" applyFill="1" applyBorder="1"/>
    <xf numFmtId="0" fontId="22" fillId="0" borderId="0" xfId="12" applyFont="1" applyFill="1"/>
    <xf numFmtId="0" fontId="17" fillId="0" borderId="24" xfId="12" applyFont="1" applyFill="1" applyBorder="1"/>
    <xf numFmtId="167" fontId="12" fillId="0" borderId="26" xfId="12" applyNumberFormat="1" applyFont="1" applyFill="1" applyBorder="1" applyAlignment="1">
      <alignment horizontal="right"/>
    </xf>
    <xf numFmtId="170" fontId="13" fillId="0" borderId="0" xfId="13" applyNumberFormat="1" applyFont="1" applyFill="1" applyBorder="1"/>
    <xf numFmtId="167" fontId="10" fillId="0" borderId="0" xfId="12" applyNumberFormat="1" applyFont="1" applyFill="1" applyBorder="1" applyAlignment="1">
      <alignment horizontal="center"/>
    </xf>
    <xf numFmtId="49" fontId="12" fillId="0" borderId="24" xfId="12" applyNumberFormat="1" applyFont="1" applyFill="1" applyBorder="1"/>
    <xf numFmtId="165" fontId="12" fillId="0" borderId="27" xfId="3" applyFont="1" applyFill="1" applyBorder="1"/>
    <xf numFmtId="167" fontId="12" fillId="0" borderId="27" xfId="12" applyNumberFormat="1" applyFont="1" applyFill="1" applyBorder="1" applyAlignment="1">
      <alignment horizontal="right"/>
    </xf>
    <xf numFmtId="0" fontId="23" fillId="0" borderId="24" xfId="12" applyFont="1" applyFill="1" applyBorder="1"/>
    <xf numFmtId="0" fontId="10" fillId="0" borderId="15" xfId="7" applyFont="1" applyBorder="1"/>
    <xf numFmtId="0" fontId="10" fillId="0" borderId="17" xfId="12" applyFont="1" applyFill="1" applyBorder="1"/>
    <xf numFmtId="167" fontId="10" fillId="0" borderId="32" xfId="12" applyNumberFormat="1" applyFont="1" applyFill="1" applyBorder="1"/>
    <xf numFmtId="167" fontId="10" fillId="0" borderId="33" xfId="12" applyNumberFormat="1" applyFont="1" applyFill="1" applyBorder="1"/>
    <xf numFmtId="167" fontId="10" fillId="0" borderId="34" xfId="12" applyNumberFormat="1" applyFont="1" applyFill="1" applyBorder="1"/>
    <xf numFmtId="167" fontId="10" fillId="0" borderId="35" xfId="12" applyNumberFormat="1" applyFont="1" applyFill="1" applyBorder="1"/>
    <xf numFmtId="0" fontId="10" fillId="2" borderId="23" xfId="7" applyFont="1" applyFill="1" applyBorder="1"/>
    <xf numFmtId="0" fontId="10" fillId="0" borderId="24" xfId="7" applyFont="1" applyBorder="1"/>
    <xf numFmtId="0" fontId="10" fillId="0" borderId="26" xfId="7" applyFont="1" applyBorder="1"/>
    <xf numFmtId="14" fontId="12" fillId="0" borderId="0" xfId="7" applyNumberFormat="1" applyFont="1" applyAlignment="1">
      <alignment horizontal="left"/>
    </xf>
    <xf numFmtId="165" fontId="10" fillId="0" borderId="0" xfId="3" applyFont="1" applyFill="1"/>
    <xf numFmtId="170" fontId="12" fillId="0" borderId="36" xfId="13" applyNumberFormat="1" applyFont="1" applyFill="1" applyBorder="1" applyAlignment="1">
      <alignment horizontal="center"/>
    </xf>
    <xf numFmtId="4" fontId="7" fillId="2" borderId="2" xfId="0" applyNumberFormat="1" applyFont="1" applyFill="1" applyBorder="1" applyAlignment="1" applyProtection="1">
      <alignment horizontal="center" vertical="top" wrapText="1"/>
    </xf>
    <xf numFmtId="4" fontId="7" fillId="4" borderId="2" xfId="0" applyNumberFormat="1" applyFont="1" applyFill="1" applyBorder="1" applyAlignment="1" applyProtection="1">
      <alignment horizontal="center" vertical="top" wrapText="1"/>
    </xf>
    <xf numFmtId="4" fontId="26" fillId="5" borderId="36" xfId="0" applyNumberFormat="1" applyFont="1" applyFill="1" applyBorder="1" applyAlignment="1" applyProtection="1">
      <alignment horizontal="center" vertical="top" wrapText="1"/>
    </xf>
    <xf numFmtId="4" fontId="7" fillId="6" borderId="39" xfId="0" applyNumberFormat="1" applyFont="1" applyFill="1" applyBorder="1" applyAlignment="1" applyProtection="1">
      <alignment horizontal="center" vertical="top" wrapText="1"/>
    </xf>
    <xf numFmtId="0" fontId="12" fillId="0" borderId="26" xfId="12" applyFont="1" applyFill="1" applyBorder="1"/>
    <xf numFmtId="0" fontId="12" fillId="0" borderId="26" xfId="7" applyFont="1" applyBorder="1"/>
    <xf numFmtId="0" fontId="10" fillId="0" borderId="5" xfId="7" applyFont="1" applyBorder="1"/>
    <xf numFmtId="0" fontId="12" fillId="0" borderId="41" xfId="12" applyFont="1" applyFill="1" applyBorder="1"/>
    <xf numFmtId="0" fontId="12" fillId="0" borderId="42" xfId="7" applyFont="1" applyBorder="1"/>
    <xf numFmtId="0" fontId="12" fillId="0" borderId="25" xfId="12" applyFont="1" applyFill="1" applyBorder="1"/>
    <xf numFmtId="0" fontId="12" fillId="0" borderId="32" xfId="12" applyFont="1" applyFill="1" applyBorder="1"/>
    <xf numFmtId="0" fontId="12" fillId="0" borderId="33" xfId="7" applyFont="1" applyBorder="1"/>
    <xf numFmtId="167" fontId="25" fillId="0" borderId="34" xfId="12" applyNumberFormat="1" applyFont="1" applyFill="1" applyBorder="1"/>
    <xf numFmtId="0" fontId="10" fillId="0" borderId="2" xfId="7" applyFont="1" applyBorder="1"/>
    <xf numFmtId="0" fontId="10" fillId="0" borderId="26" xfId="12" applyFont="1" applyFill="1" applyBorder="1"/>
    <xf numFmtId="0" fontId="10" fillId="0" borderId="25" xfId="12" applyFont="1" applyFill="1" applyBorder="1"/>
    <xf numFmtId="170" fontId="17" fillId="0" borderId="27" xfId="13" applyNumberFormat="1" applyFont="1" applyFill="1" applyBorder="1" applyAlignment="1">
      <alignment horizontal="center"/>
    </xf>
    <xf numFmtId="167" fontId="17" fillId="0" borderId="27" xfId="12" applyNumberFormat="1" applyFont="1" applyFill="1" applyBorder="1" applyAlignment="1">
      <alignment horizontal="center"/>
    </xf>
    <xf numFmtId="0" fontId="12" fillId="0" borderId="10" xfId="11" applyFont="1" applyFill="1" applyBorder="1"/>
    <xf numFmtId="0" fontId="10" fillId="0" borderId="37" xfId="12" applyFont="1" applyFill="1" applyBorder="1"/>
    <xf numFmtId="0" fontId="12" fillId="0" borderId="11" xfId="12" applyFont="1" applyFill="1" applyBorder="1"/>
    <xf numFmtId="0" fontId="12" fillId="0" borderId="37" xfId="12" applyFont="1" applyFill="1" applyBorder="1"/>
    <xf numFmtId="0" fontId="10" fillId="0" borderId="6" xfId="7" applyFont="1" applyBorder="1"/>
    <xf numFmtId="0" fontId="12" fillId="0" borderId="42" xfId="12" applyFont="1" applyFill="1" applyBorder="1"/>
    <xf numFmtId="0" fontId="10" fillId="0" borderId="32" xfId="12" applyFont="1" applyFill="1" applyBorder="1"/>
    <xf numFmtId="0" fontId="10" fillId="0" borderId="33" xfId="7" applyFont="1" applyBorder="1"/>
    <xf numFmtId="167" fontId="17" fillId="0" borderId="43" xfId="12" applyNumberFormat="1" applyFont="1" applyFill="1" applyBorder="1" applyAlignment="1">
      <alignment horizontal="center"/>
    </xf>
    <xf numFmtId="167" fontId="17" fillId="0" borderId="44" xfId="12" applyNumberFormat="1" applyFont="1" applyFill="1" applyBorder="1" applyAlignment="1">
      <alignment horizontal="center"/>
    </xf>
    <xf numFmtId="170" fontId="20" fillId="0" borderId="45" xfId="13" applyNumberFormat="1" applyFont="1" applyFill="1" applyBorder="1" applyAlignment="1">
      <alignment horizontal="center"/>
    </xf>
    <xf numFmtId="170" fontId="20" fillId="0" borderId="44" xfId="13" applyNumberFormat="1" applyFont="1" applyFill="1" applyBorder="1" applyAlignment="1">
      <alignment horizontal="center"/>
    </xf>
    <xf numFmtId="0" fontId="12" fillId="0" borderId="23" xfId="12" applyFont="1" applyFill="1" applyBorder="1"/>
    <xf numFmtId="0" fontId="12" fillId="0" borderId="46" xfId="7" applyFont="1" applyBorder="1"/>
    <xf numFmtId="167" fontId="17" fillId="0" borderId="24" xfId="12" applyNumberFormat="1" applyFont="1" applyFill="1" applyBorder="1" applyAlignment="1">
      <alignment horizontal="center"/>
    </xf>
    <xf numFmtId="167" fontId="12" fillId="7" borderId="25" xfId="12" applyNumberFormat="1" applyFont="1" applyFill="1" applyBorder="1" applyAlignment="1">
      <alignment horizontal="right"/>
    </xf>
    <xf numFmtId="167" fontId="12" fillId="7" borderId="26" xfId="12" applyNumberFormat="1" applyFont="1" applyFill="1" applyBorder="1"/>
    <xf numFmtId="167" fontId="12" fillId="7" borderId="26" xfId="12" quotePrefix="1" applyNumberFormat="1" applyFont="1" applyFill="1" applyBorder="1" applyAlignment="1">
      <alignment horizontal="right"/>
    </xf>
    <xf numFmtId="167" fontId="12" fillId="7" borderId="27" xfId="12" applyNumberFormat="1" applyFont="1" applyFill="1" applyBorder="1"/>
    <xf numFmtId="169" fontId="12" fillId="7" borderId="26" xfId="2" applyNumberFormat="1" applyFont="1" applyFill="1" applyBorder="1" applyAlignment="1">
      <alignment horizontal="center"/>
    </xf>
    <xf numFmtId="167" fontId="12" fillId="7" borderId="26" xfId="12" applyNumberFormat="1" applyFont="1" applyFill="1" applyBorder="1" applyAlignment="1">
      <alignment horizontal="right"/>
    </xf>
    <xf numFmtId="168" fontId="12" fillId="7" borderId="26" xfId="2" applyNumberFormat="1" applyFont="1" applyFill="1" applyBorder="1" applyAlignment="1">
      <alignment horizontal="center"/>
    </xf>
    <xf numFmtId="169" fontId="12" fillId="7" borderId="26" xfId="4" applyNumberFormat="1" applyFont="1" applyFill="1" applyBorder="1" applyAlignment="1">
      <alignment horizontal="center"/>
    </xf>
    <xf numFmtId="169" fontId="12" fillId="7" borderId="26" xfId="4" applyNumberFormat="1" applyFont="1" applyFill="1" applyBorder="1"/>
    <xf numFmtId="0" fontId="10" fillId="0" borderId="23" xfId="9" applyFont="1" applyBorder="1"/>
    <xf numFmtId="2" fontId="10" fillId="0" borderId="24" xfId="12" applyNumberFormat="1" applyFont="1" applyFill="1" applyBorder="1"/>
    <xf numFmtId="169" fontId="12" fillId="7" borderId="26" xfId="4" applyNumberFormat="1" applyFont="1" applyFill="1" applyBorder="1" applyAlignment="1">
      <alignment horizontal="right"/>
    </xf>
    <xf numFmtId="167" fontId="28" fillId="0" borderId="27" xfId="12" applyNumberFormat="1" applyFont="1" applyFill="1" applyBorder="1" applyAlignment="1">
      <alignment horizontal="center"/>
    </xf>
    <xf numFmtId="0" fontId="12" fillId="0" borderId="0" xfId="7" applyFont="1" applyAlignment="1">
      <alignment horizontal="center"/>
    </xf>
    <xf numFmtId="170" fontId="13" fillId="0" borderId="0" xfId="13" applyNumberFormat="1" applyFont="1" applyFill="1" applyAlignment="1">
      <alignment horizontal="center"/>
    </xf>
    <xf numFmtId="167" fontId="29" fillId="0" borderId="27" xfId="12" applyNumberFormat="1" applyFont="1" applyFill="1" applyBorder="1" applyAlignment="1">
      <alignment horizontal="center"/>
    </xf>
    <xf numFmtId="167" fontId="41" fillId="0" borderId="27" xfId="12" applyNumberFormat="1" applyFont="1" applyFill="1" applyBorder="1" applyAlignment="1">
      <alignment horizontal="center"/>
    </xf>
    <xf numFmtId="167" fontId="12" fillId="10" borderId="25" xfId="12" applyNumberFormat="1" applyFont="1" applyFill="1" applyBorder="1" applyAlignment="1">
      <alignment horizontal="right"/>
    </xf>
    <xf numFmtId="167" fontId="12" fillId="10" borderId="26" xfId="12" applyNumberFormat="1" applyFont="1" applyFill="1" applyBorder="1"/>
    <xf numFmtId="167" fontId="12" fillId="10" borderId="26" xfId="12" quotePrefix="1" applyNumberFormat="1" applyFont="1" applyFill="1" applyBorder="1" applyAlignment="1">
      <alignment horizontal="right"/>
    </xf>
    <xf numFmtId="167" fontId="12" fillId="10" borderId="27" xfId="12" applyNumberFormat="1" applyFont="1" applyFill="1" applyBorder="1"/>
    <xf numFmtId="167" fontId="12" fillId="10" borderId="25" xfId="12" applyNumberFormat="1" applyFont="1" applyFill="1" applyBorder="1"/>
    <xf numFmtId="169" fontId="12" fillId="10" borderId="26" xfId="2" applyNumberFormat="1" applyFont="1" applyFill="1" applyBorder="1" applyAlignment="1">
      <alignment horizontal="center"/>
    </xf>
    <xf numFmtId="167" fontId="12" fillId="10" borderId="26" xfId="12" applyNumberFormat="1" applyFont="1" applyFill="1" applyBorder="1" applyAlignment="1">
      <alignment horizontal="right"/>
    </xf>
    <xf numFmtId="167" fontId="12" fillId="10" borderId="27" xfId="12" applyNumberFormat="1" applyFont="1" applyFill="1" applyBorder="1" applyAlignment="1">
      <alignment horizontal="right"/>
    </xf>
    <xf numFmtId="169" fontId="12" fillId="10" borderId="26" xfId="2" applyNumberFormat="1" applyFont="1" applyFill="1" applyBorder="1" applyAlignment="1">
      <alignment horizontal="right"/>
    </xf>
    <xf numFmtId="167" fontId="12" fillId="11" borderId="25" xfId="12" applyNumberFormat="1" applyFont="1" applyFill="1" applyBorder="1" applyAlignment="1">
      <alignment horizontal="right"/>
    </xf>
    <xf numFmtId="167" fontId="12" fillId="11" borderId="26" xfId="12" applyNumberFormat="1" applyFont="1" applyFill="1" applyBorder="1"/>
    <xf numFmtId="167" fontId="12" fillId="11" borderId="26" xfId="12" quotePrefix="1" applyNumberFormat="1" applyFont="1" applyFill="1" applyBorder="1" applyAlignment="1">
      <alignment horizontal="right"/>
    </xf>
    <xf numFmtId="167" fontId="12" fillId="11" borderId="27" xfId="12" applyNumberFormat="1" applyFont="1" applyFill="1" applyBorder="1"/>
    <xf numFmtId="167" fontId="12" fillId="11" borderId="28" xfId="12" applyNumberFormat="1" applyFont="1" applyFill="1" applyBorder="1"/>
    <xf numFmtId="169" fontId="12" fillId="10" borderId="26" xfId="4" applyNumberFormat="1" applyFont="1" applyFill="1" applyBorder="1" applyAlignment="1">
      <alignment horizontal="center"/>
    </xf>
    <xf numFmtId="169" fontId="12" fillId="10" borderId="26" xfId="4" applyNumberFormat="1" applyFont="1" applyFill="1" applyBorder="1"/>
    <xf numFmtId="167" fontId="12" fillId="10" borderId="28" xfId="12" applyNumberFormat="1" applyFont="1" applyFill="1" applyBorder="1"/>
    <xf numFmtId="169" fontId="12" fillId="10" borderId="26" xfId="4" applyNumberFormat="1" applyFont="1" applyFill="1" applyBorder="1" applyAlignment="1">
      <alignment horizontal="right"/>
    </xf>
    <xf numFmtId="167" fontId="12" fillId="10" borderId="25" xfId="9" applyNumberFormat="1" applyFont="1" applyFill="1" applyBorder="1" applyAlignment="1">
      <alignment horizontal="right"/>
    </xf>
    <xf numFmtId="0" fontId="42" fillId="0" borderId="25" xfId="12" applyFont="1" applyFill="1" applyBorder="1"/>
    <xf numFmtId="0" fontId="42" fillId="0" borderId="26" xfId="12" applyFont="1" applyFill="1" applyBorder="1"/>
    <xf numFmtId="167" fontId="29" fillId="0" borderId="47" xfId="12" applyNumberFormat="1" applyFont="1" applyFill="1" applyBorder="1" applyAlignment="1">
      <alignment horizontal="left"/>
    </xf>
    <xf numFmtId="170" fontId="17" fillId="0" borderId="0" xfId="13" applyNumberFormat="1" applyFont="1" applyFill="1" applyBorder="1" applyAlignment="1">
      <alignment horizontal="left"/>
    </xf>
    <xf numFmtId="167" fontId="43" fillId="0" borderId="27" xfId="12" applyNumberFormat="1" applyFont="1" applyFill="1" applyBorder="1" applyAlignment="1">
      <alignment horizontal="center"/>
    </xf>
    <xf numFmtId="9" fontId="17" fillId="11" borderId="4" xfId="13" applyFont="1" applyFill="1" applyBorder="1" applyAlignment="1">
      <alignment horizontal="center"/>
    </xf>
    <xf numFmtId="164" fontId="7" fillId="0" borderId="0" xfId="2" applyFont="1" applyFill="1" applyBorder="1" applyAlignment="1" applyProtection="1">
      <alignment horizontal="center" vertical="center" wrapText="1"/>
    </xf>
    <xf numFmtId="164" fontId="6" fillId="0" borderId="0" xfId="2" applyFont="1" applyFill="1" applyBorder="1" applyAlignment="1" applyProtection="1">
      <alignment horizontal="center" vertical="center" wrapText="1"/>
    </xf>
    <xf numFmtId="164" fontId="7" fillId="12" borderId="48" xfId="2" applyFont="1" applyFill="1" applyBorder="1" applyAlignment="1" applyProtection="1">
      <alignment horizontal="center" vertical="center" wrapText="1"/>
    </xf>
    <xf numFmtId="164" fontId="7" fillId="12" borderId="49" xfId="2" applyFont="1" applyFill="1" applyBorder="1" applyAlignment="1" applyProtection="1">
      <alignment horizontal="center" vertical="center" wrapText="1"/>
    </xf>
    <xf numFmtId="164" fontId="7" fillId="13" borderId="48" xfId="2" applyFont="1" applyFill="1" applyBorder="1" applyAlignment="1" applyProtection="1">
      <alignment horizontal="center" vertical="center" wrapText="1"/>
    </xf>
    <xf numFmtId="164" fontId="7" fillId="13" borderId="49" xfId="2" applyFont="1" applyFill="1" applyBorder="1" applyAlignment="1" applyProtection="1">
      <alignment horizontal="center" vertical="center" wrapText="1"/>
    </xf>
    <xf numFmtId="164" fontId="6" fillId="13" borderId="50" xfId="2" applyFont="1" applyFill="1" applyBorder="1" applyAlignment="1">
      <alignment horizontal="center" vertical="center" wrapText="1" shrinkToFit="1"/>
    </xf>
    <xf numFmtId="164" fontId="7" fillId="13" borderId="51" xfId="2" applyFont="1" applyFill="1" applyBorder="1" applyAlignment="1" applyProtection="1">
      <alignment horizontal="center" vertical="center" wrapText="1" shrinkToFit="1"/>
    </xf>
    <xf numFmtId="164" fontId="6" fillId="12" borderId="52" xfId="2" applyFont="1" applyFill="1" applyBorder="1" applyAlignment="1">
      <alignment horizontal="center" vertical="center" wrapText="1" shrinkToFit="1"/>
    </xf>
    <xf numFmtId="164" fontId="7" fillId="12" borderId="53" xfId="2" applyFont="1" applyFill="1" applyBorder="1" applyAlignment="1" applyProtection="1">
      <alignment horizontal="center" vertical="center" wrapText="1" shrinkToFit="1"/>
    </xf>
    <xf numFmtId="171" fontId="6" fillId="0" borderId="0" xfId="2" applyNumberFormat="1" applyFont="1" applyFill="1" applyBorder="1" applyAlignment="1" applyProtection="1">
      <alignment horizontal="center" vertical="center" wrapText="1"/>
    </xf>
    <xf numFmtId="4" fontId="41" fillId="9" borderId="0" xfId="0" applyNumberFormat="1" applyFont="1" applyFill="1" applyBorder="1" applyAlignment="1" applyProtection="1">
      <alignment horizontal="center" vertical="center" wrapText="1"/>
    </xf>
    <xf numFmtId="4" fontId="7" fillId="8" borderId="54" xfId="0" applyNumberFormat="1" applyFont="1" applyFill="1" applyBorder="1" applyAlignment="1" applyProtection="1">
      <alignment horizontal="center" vertical="center" wrapText="1"/>
    </xf>
    <xf numFmtId="164" fontId="7" fillId="8" borderId="54" xfId="2" applyFont="1" applyFill="1" applyBorder="1" applyAlignment="1" applyProtection="1">
      <alignment horizontal="center" vertical="center" wrapText="1"/>
    </xf>
    <xf numFmtId="171" fontId="7" fillId="8" borderId="54" xfId="2"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0" fillId="0" borderId="55" xfId="0" applyFont="1" applyBorder="1" applyAlignment="1">
      <alignment horizontal="center" vertical="center"/>
    </xf>
    <xf numFmtId="164" fontId="30" fillId="0" borderId="55" xfId="2" applyFont="1" applyBorder="1" applyAlignment="1">
      <alignment horizontal="center" vertical="center"/>
    </xf>
    <xf numFmtId="0" fontId="30" fillId="0" borderId="55" xfId="0" applyFont="1" applyFill="1" applyBorder="1" applyAlignment="1">
      <alignment horizontal="center" vertical="center"/>
    </xf>
    <xf numFmtId="0" fontId="4" fillId="0" borderId="0"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center" vertical="center" wrapText="1"/>
    </xf>
    <xf numFmtId="4" fontId="6" fillId="0" borderId="0" xfId="0" applyNumberFormat="1" applyFont="1" applyFill="1" applyBorder="1" applyAlignment="1" applyProtection="1">
      <alignment horizontal="center" vertical="center" wrapText="1"/>
    </xf>
    <xf numFmtId="49" fontId="7" fillId="8" borderId="5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shrinkToFit="1"/>
    </xf>
    <xf numFmtId="0" fontId="30" fillId="0" borderId="55" xfId="0" applyFont="1" applyBorder="1" applyAlignment="1">
      <alignment horizontal="center" vertical="center" wrapText="1"/>
    </xf>
    <xf numFmtId="171" fontId="30" fillId="0" borderId="55" xfId="2" applyNumberFormat="1" applyFont="1" applyBorder="1" applyAlignment="1">
      <alignment horizontal="center" vertical="center"/>
    </xf>
    <xf numFmtId="165" fontId="10" fillId="11" borderId="9" xfId="3" applyFont="1" applyFill="1" applyBorder="1" applyAlignment="1">
      <alignment horizontal="center"/>
    </xf>
    <xf numFmtId="0" fontId="12" fillId="0" borderId="5" xfId="12" applyFont="1" applyFill="1" applyBorder="1"/>
    <xf numFmtId="170" fontId="20" fillId="0" borderId="0" xfId="13" applyNumberFormat="1" applyFont="1" applyFill="1" applyBorder="1" applyAlignment="1">
      <alignment horizontal="center" vertical="center"/>
    </xf>
    <xf numFmtId="170" fontId="17" fillId="0" borderId="0" xfId="13" applyNumberFormat="1" applyFont="1" applyFill="1" applyBorder="1" applyAlignment="1">
      <alignment horizontal="center" vertical="center"/>
    </xf>
    <xf numFmtId="0" fontId="10" fillId="0" borderId="0" xfId="7" applyFont="1" applyAlignment="1">
      <alignment horizontal="center" vertical="center"/>
    </xf>
    <xf numFmtId="0" fontId="10" fillId="0" borderId="0" xfId="11" applyFont="1" applyFill="1" applyAlignment="1">
      <alignment horizontal="center" vertical="center"/>
    </xf>
    <xf numFmtId="170" fontId="20" fillId="0" borderId="0" xfId="13" applyNumberFormat="1" applyFont="1" applyFill="1" applyAlignment="1">
      <alignment horizontal="center" vertical="center"/>
    </xf>
    <xf numFmtId="170" fontId="13" fillId="0" borderId="0" xfId="13" applyNumberFormat="1" applyFont="1" applyFill="1" applyAlignment="1">
      <alignment horizontal="center" vertical="center"/>
    </xf>
    <xf numFmtId="0" fontId="12" fillId="0" borderId="42" xfId="7" applyFont="1" applyBorder="1" applyAlignment="1">
      <alignment horizontal="center" vertical="center"/>
    </xf>
    <xf numFmtId="0" fontId="12" fillId="0" borderId="26" xfId="7" applyFont="1" applyBorder="1" applyAlignment="1">
      <alignment horizontal="center" vertical="center"/>
    </xf>
    <xf numFmtId="0" fontId="12" fillId="0" borderId="26" xfId="12" applyFont="1" applyFill="1" applyBorder="1" applyAlignment="1">
      <alignment horizontal="center" vertical="center"/>
    </xf>
    <xf numFmtId="0" fontId="12" fillId="0" borderId="33" xfId="7" applyFont="1" applyBorder="1" applyAlignment="1">
      <alignment horizontal="center" vertical="center"/>
    </xf>
    <xf numFmtId="164" fontId="10" fillId="0" borderId="0" xfId="2" applyFont="1" applyFill="1" applyAlignment="1">
      <alignment horizontal="center" vertical="center"/>
    </xf>
    <xf numFmtId="164" fontId="17" fillId="11" borderId="4" xfId="2" applyFont="1" applyFill="1" applyBorder="1" applyAlignment="1">
      <alignment horizontal="center"/>
    </xf>
    <xf numFmtId="165" fontId="41" fillId="11" borderId="9" xfId="3" applyFont="1" applyFill="1" applyBorder="1" applyAlignment="1">
      <alignment horizontal="center"/>
    </xf>
    <xf numFmtId="164" fontId="41" fillId="11" borderId="0" xfId="2" applyFont="1" applyFill="1" applyBorder="1" applyAlignment="1">
      <alignment horizontal="center" vertical="center" wrapText="1"/>
    </xf>
    <xf numFmtId="14" fontId="7" fillId="0" borderId="0" xfId="2" applyNumberFormat="1" applyFont="1" applyFill="1" applyBorder="1" applyAlignment="1" applyProtection="1">
      <alignment horizontal="center" vertical="center" wrapText="1"/>
    </xf>
    <xf numFmtId="0" fontId="11" fillId="0" borderId="0" xfId="0" applyFont="1" applyBorder="1" applyAlignment="1">
      <alignment vertical="center"/>
    </xf>
    <xf numFmtId="0" fontId="32" fillId="0" borderId="0" xfId="0" applyFont="1" applyBorder="1" applyAlignment="1">
      <alignment vertical="center"/>
    </xf>
    <xf numFmtId="0" fontId="33" fillId="0" borderId="0" xfId="0" applyFont="1" applyAlignment="1">
      <alignment vertical="center"/>
    </xf>
    <xf numFmtId="0" fontId="32" fillId="0" borderId="0" xfId="0" applyFont="1" applyAlignment="1">
      <alignment vertical="center"/>
    </xf>
    <xf numFmtId="0" fontId="33" fillId="0" borderId="3" xfId="0" applyFont="1" applyBorder="1" applyAlignment="1">
      <alignment vertical="center" wrapText="1"/>
    </xf>
    <xf numFmtId="0" fontId="33" fillId="0" borderId="4" xfId="0" applyFont="1" applyBorder="1" applyAlignment="1">
      <alignment vertical="center" wrapText="1"/>
    </xf>
    <xf numFmtId="0" fontId="33" fillId="0" borderId="5" xfId="0" applyFont="1" applyBorder="1" applyAlignment="1">
      <alignment vertical="center" wrapText="1"/>
    </xf>
    <xf numFmtId="0" fontId="33" fillId="0" borderId="0" xfId="0" applyFont="1" applyBorder="1" applyAlignment="1">
      <alignment vertical="center" wrapText="1"/>
    </xf>
    <xf numFmtId="0" fontId="33" fillId="0" borderId="9" xfId="0" applyFont="1" applyBorder="1" applyAlignment="1">
      <alignment vertical="center" wrapText="1"/>
    </xf>
    <xf numFmtId="0" fontId="33" fillId="0" borderId="6" xfId="0" applyFont="1" applyBorder="1" applyAlignment="1">
      <alignment vertical="center" wrapText="1"/>
    </xf>
    <xf numFmtId="0" fontId="33" fillId="0" borderId="7" xfId="0" applyFont="1" applyBorder="1" applyAlignment="1">
      <alignment vertical="center" wrapText="1"/>
    </xf>
    <xf numFmtId="0" fontId="33" fillId="0" borderId="56"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37"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9" xfId="0" applyFont="1" applyBorder="1" applyAlignment="1">
      <alignment horizontal="center" vertical="center" wrapText="1"/>
    </xf>
    <xf numFmtId="0" fontId="33" fillId="0" borderId="0" xfId="0" applyFont="1" applyAlignment="1">
      <alignment horizontal="center" vertical="center" wrapText="1"/>
    </xf>
    <xf numFmtId="0" fontId="34"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37" xfId="0" applyFont="1" applyBorder="1" applyAlignment="1">
      <alignment vertical="center" wrapText="1"/>
    </xf>
    <xf numFmtId="0" fontId="32" fillId="0" borderId="0" xfId="0" applyFont="1" applyBorder="1" applyAlignment="1">
      <alignment horizontal="center" vertical="center"/>
    </xf>
    <xf numFmtId="0" fontId="33" fillId="0" borderId="0" xfId="0" applyFont="1" applyAlignment="1">
      <alignment vertical="center" wrapText="1"/>
    </xf>
    <xf numFmtId="0" fontId="34" fillId="0" borderId="5" xfId="0" applyFont="1" applyBorder="1" applyAlignment="1">
      <alignment vertical="center" wrapText="1"/>
    </xf>
    <xf numFmtId="0" fontId="32" fillId="0" borderId="5" xfId="0" applyFont="1" applyBorder="1" applyAlignment="1">
      <alignment vertical="center"/>
    </xf>
    <xf numFmtId="0" fontId="36" fillId="0" borderId="0" xfId="0" applyFont="1" applyAlignment="1">
      <alignment horizontal="center" vertical="center"/>
    </xf>
    <xf numFmtId="14" fontId="33" fillId="0" borderId="9" xfId="0" applyNumberFormat="1" applyFont="1" applyBorder="1" applyAlignment="1">
      <alignment horizontal="left" vertical="center" wrapText="1"/>
    </xf>
    <xf numFmtId="164" fontId="33" fillId="0" borderId="37" xfId="2" applyFont="1" applyBorder="1" applyAlignment="1">
      <alignment vertical="center" wrapText="1"/>
    </xf>
    <xf numFmtId="164" fontId="6" fillId="0" borderId="37" xfId="2" applyFont="1" applyBorder="1" applyAlignment="1">
      <alignment vertical="center" wrapText="1"/>
    </xf>
    <xf numFmtId="0" fontId="33" fillId="0" borderId="36" xfId="0" applyFont="1" applyBorder="1" applyAlignment="1">
      <alignment horizontal="center" vertical="center" wrapText="1"/>
    </xf>
    <xf numFmtId="164" fontId="6" fillId="0" borderId="59" xfId="2" applyFont="1" applyBorder="1" applyAlignment="1">
      <alignment vertical="center" wrapText="1"/>
    </xf>
    <xf numFmtId="0" fontId="33" fillId="0" borderId="59" xfId="0" applyFont="1" applyBorder="1" applyAlignment="1">
      <alignment vertical="center" wrapText="1"/>
    </xf>
    <xf numFmtId="0" fontId="33" fillId="14" borderId="9" xfId="0" applyFont="1" applyFill="1" applyBorder="1" applyAlignment="1">
      <alignment vertical="center" wrapText="1"/>
    </xf>
    <xf numFmtId="164" fontId="6" fillId="14" borderId="37" xfId="2" applyFont="1" applyFill="1" applyBorder="1" applyAlignment="1">
      <alignment vertical="center" wrapText="1"/>
    </xf>
    <xf numFmtId="0" fontId="33" fillId="14" borderId="37" xfId="0" applyFont="1" applyFill="1" applyBorder="1" applyAlignment="1">
      <alignment vertical="center" wrapText="1"/>
    </xf>
    <xf numFmtId="164" fontId="33" fillId="14" borderId="37" xfId="2" applyFont="1" applyFill="1" applyBorder="1" applyAlignment="1">
      <alignment vertical="center" wrapText="1"/>
    </xf>
    <xf numFmtId="164" fontId="33" fillId="14" borderId="5" xfId="2" applyFont="1" applyFill="1" applyBorder="1" applyAlignment="1">
      <alignment vertical="center" wrapText="1"/>
    </xf>
    <xf numFmtId="164" fontId="33" fillId="14" borderId="9" xfId="2" applyFont="1" applyFill="1" applyBorder="1" applyAlignment="1">
      <alignment vertical="center" wrapText="1"/>
    </xf>
    <xf numFmtId="4" fontId="31" fillId="14" borderId="5" xfId="10" applyNumberFormat="1" applyFont="1" applyFill="1" applyBorder="1" applyAlignment="1" applyProtection="1">
      <alignment vertical="center"/>
      <protection locked="0"/>
    </xf>
    <xf numFmtId="164" fontId="6" fillId="0" borderId="37" xfId="2" applyFont="1" applyFill="1" applyBorder="1" applyAlignment="1" applyProtection="1">
      <alignment horizontal="center" vertical="center" wrapText="1"/>
    </xf>
    <xf numFmtId="164" fontId="6" fillId="0" borderId="59" xfId="2" applyFont="1" applyFill="1" applyBorder="1" applyAlignment="1" applyProtection="1">
      <alignment horizontal="center" vertical="center" wrapText="1"/>
    </xf>
    <xf numFmtId="164" fontId="7" fillId="14" borderId="37" xfId="2" applyFont="1" applyFill="1" applyBorder="1" applyAlignment="1" applyProtection="1">
      <alignment horizontal="center" vertical="center" wrapText="1"/>
    </xf>
    <xf numFmtId="0" fontId="34" fillId="0" borderId="2" xfId="0" applyFont="1" applyBorder="1" applyAlignment="1">
      <alignment vertical="center" wrapText="1"/>
    </xf>
    <xf numFmtId="9" fontId="33" fillId="0" borderId="0" xfId="13" applyFont="1" applyBorder="1" applyAlignment="1">
      <alignment horizontal="right" vertical="center" wrapText="1"/>
    </xf>
    <xf numFmtId="0" fontId="33" fillId="0" borderId="9" xfId="0" applyFont="1" applyBorder="1" applyAlignment="1">
      <alignment horizontal="right" vertical="center" wrapText="1" indent="3"/>
    </xf>
    <xf numFmtId="0" fontId="33" fillId="0" borderId="8" xfId="0" applyFont="1" applyBorder="1" applyAlignment="1">
      <alignment horizontal="right" vertical="center" wrapText="1" indent="3"/>
    </xf>
    <xf numFmtId="0" fontId="34" fillId="0" borderId="0" xfId="0" applyFont="1" applyBorder="1" applyAlignment="1">
      <alignment horizontal="right" vertical="center"/>
    </xf>
    <xf numFmtId="0" fontId="34" fillId="0" borderId="7" xfId="0" applyFont="1" applyBorder="1" applyAlignment="1">
      <alignment horizontal="right" vertical="center"/>
    </xf>
    <xf numFmtId="0" fontId="40" fillId="0" borderId="61" xfId="0" applyNumberFormat="1" applyFont="1" applyFill="1" applyBorder="1" applyAlignment="1" applyProtection="1">
      <alignment horizontal="left" vertical="center"/>
    </xf>
    <xf numFmtId="0" fontId="40" fillId="0" borderId="61" xfId="0" applyNumberFormat="1" applyFont="1" applyFill="1" applyBorder="1" applyAlignment="1" applyProtection="1">
      <alignment horizontal="left" vertical="center" wrapText="1"/>
    </xf>
    <xf numFmtId="0" fontId="40" fillId="0" borderId="61" xfId="0" applyNumberFormat="1" applyFont="1" applyFill="1" applyBorder="1" applyAlignment="1" applyProtection="1">
      <alignment horizontal="right" vertical="center"/>
    </xf>
    <xf numFmtId="0" fontId="40" fillId="16" borderId="61" xfId="0" applyNumberFormat="1" applyFont="1" applyFill="1" applyBorder="1" applyAlignment="1" applyProtection="1">
      <alignment horizontal="left" vertical="center"/>
    </xf>
    <xf numFmtId="0" fontId="44" fillId="0" borderId="62" xfId="0" applyNumberFormat="1" applyFont="1" applyFill="1" applyBorder="1" applyAlignment="1" applyProtection="1">
      <alignment vertical="top"/>
    </xf>
    <xf numFmtId="4" fontId="44" fillId="0" borderId="62" xfId="0" applyNumberFormat="1" applyFont="1" applyFill="1" applyBorder="1" applyAlignment="1" applyProtection="1">
      <alignment vertical="top"/>
    </xf>
    <xf numFmtId="164" fontId="4" fillId="0" borderId="0" xfId="0" applyNumberFormat="1" applyFont="1" applyFill="1" applyBorder="1" applyAlignment="1" applyProtection="1">
      <alignment horizontal="center" vertical="center" wrapText="1"/>
    </xf>
    <xf numFmtId="171" fontId="4" fillId="0" borderId="0" xfId="2" applyNumberFormat="1" applyFont="1" applyFill="1" applyBorder="1" applyAlignment="1" applyProtection="1">
      <alignment horizontal="center" vertical="center" wrapText="1"/>
    </xf>
    <xf numFmtId="171" fontId="3" fillId="0" borderId="0" xfId="2" applyNumberFormat="1" applyFont="1" applyFill="1" applyBorder="1" applyAlignment="1" applyProtection="1">
      <alignment horizontal="center" vertical="center" wrapText="1"/>
    </xf>
    <xf numFmtId="0" fontId="10" fillId="15" borderId="23" xfId="0" applyNumberFormat="1" applyFont="1" applyFill="1" applyBorder="1" applyAlignment="1" applyProtection="1"/>
    <xf numFmtId="0" fontId="10" fillId="0" borderId="24" xfId="0" applyNumberFormat="1" applyFont="1" applyFill="1" applyBorder="1" applyAlignment="1" applyProtection="1"/>
    <xf numFmtId="0" fontId="12" fillId="0" borderId="0" xfId="0" applyNumberFormat="1" applyFont="1" applyFill="1" applyBorder="1" applyAlignment="1" applyProtection="1"/>
    <xf numFmtId="0" fontId="12" fillId="0" borderId="25" xfId="0" applyNumberFormat="1" applyFont="1" applyFill="1" applyBorder="1" applyAlignment="1" applyProtection="1"/>
    <xf numFmtId="0" fontId="12" fillId="0" borderId="26" xfId="0" applyNumberFormat="1" applyFont="1" applyFill="1" applyBorder="1" applyAlignment="1" applyProtection="1"/>
    <xf numFmtId="0" fontId="12" fillId="0" borderId="26" xfId="0" applyNumberFormat="1" applyFont="1" applyFill="1" applyBorder="1" applyAlignment="1" applyProtection="1">
      <alignment horizontal="center"/>
    </xf>
    <xf numFmtId="0" fontId="12" fillId="0" borderId="27" xfId="0" applyNumberFormat="1" applyFont="1" applyFill="1" applyBorder="1" applyAlignment="1" applyProtection="1"/>
    <xf numFmtId="0" fontId="12" fillId="0" borderId="28" xfId="0" applyNumberFormat="1" applyFont="1" applyFill="1" applyBorder="1" applyAlignment="1" applyProtection="1"/>
    <xf numFmtId="0" fontId="45" fillId="0" borderId="29" xfId="0" applyNumberFormat="1" applyFont="1" applyFill="1" applyBorder="1" applyAlignment="1" applyProtection="1"/>
    <xf numFmtId="0" fontId="41" fillId="0" borderId="29" xfId="0" applyNumberFormat="1" applyFont="1" applyFill="1" applyBorder="1" applyAlignment="1" applyProtection="1">
      <alignment horizontal="center"/>
    </xf>
    <xf numFmtId="0" fontId="41" fillId="0" borderId="0" xfId="0" applyNumberFormat="1" applyFont="1" applyFill="1" applyBorder="1" applyAlignment="1" applyProtection="1">
      <alignment horizontal="center"/>
    </xf>
    <xf numFmtId="0" fontId="12" fillId="0" borderId="25" xfId="0" applyNumberFormat="1" applyFont="1" applyFill="1" applyBorder="1" applyAlignment="1" applyProtection="1">
      <alignment horizontal="right"/>
    </xf>
    <xf numFmtId="0" fontId="12" fillId="0" borderId="24" xfId="0" applyNumberFormat="1" applyFont="1" applyFill="1" applyBorder="1" applyAlignment="1" applyProtection="1"/>
    <xf numFmtId="8" fontId="12" fillId="17" borderId="25" xfId="0" applyNumberFormat="1" applyFont="1" applyFill="1" applyBorder="1" applyAlignment="1" applyProtection="1">
      <alignment horizontal="right"/>
    </xf>
    <xf numFmtId="0" fontId="46" fillId="0" borderId="0" xfId="0" applyNumberFormat="1" applyFont="1" applyFill="1" applyBorder="1" applyAlignment="1" applyProtection="1">
      <alignment vertical="top"/>
    </xf>
    <xf numFmtId="8" fontId="12" fillId="17" borderId="26" xfId="0" applyNumberFormat="1" applyFont="1" applyFill="1" applyBorder="1" applyAlignment="1" applyProtection="1">
      <alignment horizontal="right"/>
    </xf>
    <xf numFmtId="8" fontId="12" fillId="17" borderId="27" xfId="0" applyNumberFormat="1" applyFont="1" applyFill="1" applyBorder="1" applyAlignment="1" applyProtection="1"/>
    <xf numFmtId="8" fontId="12" fillId="0" borderId="28" xfId="0" applyNumberFormat="1" applyFont="1" applyFill="1" applyBorder="1" applyAlignment="1" applyProtection="1"/>
    <xf numFmtId="8" fontId="12" fillId="0" borderId="29" xfId="0" applyNumberFormat="1" applyFont="1" applyFill="1" applyBorder="1" applyAlignment="1" applyProtection="1"/>
    <xf numFmtId="0" fontId="12" fillId="17" borderId="26" xfId="0" applyNumberFormat="1" applyFont="1" applyFill="1" applyBorder="1" applyAlignment="1" applyProtection="1"/>
    <xf numFmtId="0" fontId="12" fillId="17" borderId="26" xfId="0" applyNumberFormat="1" applyFont="1" applyFill="1" applyBorder="1" applyAlignment="1" applyProtection="1">
      <alignment horizontal="right"/>
    </xf>
    <xf numFmtId="0" fontId="12" fillId="17" borderId="27" xfId="0" applyNumberFormat="1" applyFont="1" applyFill="1" applyBorder="1" applyAlignment="1" applyProtection="1"/>
    <xf numFmtId="0" fontId="12" fillId="0" borderId="29" xfId="0" applyNumberFormat="1" applyFont="1" applyFill="1" applyBorder="1" applyAlignment="1" applyProtection="1"/>
    <xf numFmtId="0" fontId="41" fillId="18" borderId="29" xfId="0" applyNumberFormat="1" applyFont="1" applyFill="1" applyBorder="1" applyAlignment="1" applyProtection="1">
      <alignment horizontal="center"/>
    </xf>
    <xf numFmtId="0" fontId="10" fillId="0" borderId="0" xfId="0" applyNumberFormat="1" applyFont="1" applyFill="1" applyBorder="1" applyAlignment="1" applyProtection="1"/>
    <xf numFmtId="0" fontId="47" fillId="0" borderId="0" xfId="0" applyNumberFormat="1" applyFont="1" applyFill="1" applyBorder="1" applyAlignment="1" applyProtection="1">
      <alignment horizontal="center"/>
    </xf>
    <xf numFmtId="0" fontId="12" fillId="17" borderId="25" xfId="0" applyNumberFormat="1" applyFont="1" applyFill="1" applyBorder="1" applyAlignment="1" applyProtection="1">
      <alignment horizontal="right"/>
    </xf>
    <xf numFmtId="0" fontId="48" fillId="17" borderId="26" xfId="0" applyNumberFormat="1" applyFont="1" applyFill="1" applyBorder="1" applyAlignment="1" applyProtection="1"/>
    <xf numFmtId="173" fontId="6" fillId="0" borderId="37" xfId="2" applyNumberFormat="1" applyFont="1" applyBorder="1" applyAlignment="1">
      <alignment vertical="center" wrapText="1"/>
    </xf>
    <xf numFmtId="0" fontId="12" fillId="11" borderId="25" xfId="12" applyFont="1" applyFill="1" applyBorder="1"/>
    <xf numFmtId="0" fontId="12" fillId="11" borderId="26" xfId="7" applyFont="1" applyFill="1" applyBorder="1" applyAlignment="1">
      <alignment horizontal="center" vertical="center"/>
    </xf>
    <xf numFmtId="167" fontId="43" fillId="11" borderId="27" xfId="12" applyNumberFormat="1" applyFont="1" applyFill="1" applyBorder="1" applyAlignment="1">
      <alignment horizontal="center"/>
    </xf>
    <xf numFmtId="44" fontId="12" fillId="0" borderId="0" xfId="7" applyNumberFormat="1" applyFont="1"/>
    <xf numFmtId="4" fontId="1" fillId="0" borderId="5" xfId="10" applyNumberFormat="1" applyBorder="1" applyAlignment="1" applyProtection="1">
      <alignment vertical="center"/>
      <protection locked="0"/>
    </xf>
    <xf numFmtId="3" fontId="1" fillId="0" borderId="9" xfId="10" applyNumberFormat="1" applyBorder="1" applyAlignment="1" applyProtection="1">
      <alignment horizontal="center" vertical="center"/>
      <protection locked="0"/>
    </xf>
    <xf numFmtId="4" fontId="1" fillId="0" borderId="9" xfId="10" applyNumberFormat="1" applyBorder="1" applyAlignment="1" applyProtection="1">
      <alignment horizontal="center" vertical="center"/>
      <protection locked="0"/>
    </xf>
    <xf numFmtId="4" fontId="1" fillId="0" borderId="57" xfId="10" applyNumberFormat="1" applyBorder="1" applyAlignment="1" applyProtection="1">
      <alignment vertical="center"/>
      <protection locked="0"/>
    </xf>
    <xf numFmtId="4" fontId="1" fillId="0" borderId="58" xfId="10" applyNumberFormat="1" applyBorder="1" applyAlignment="1" applyProtection="1">
      <alignment horizontal="center" vertical="center"/>
      <protection locked="0"/>
    </xf>
    <xf numFmtId="4" fontId="4" fillId="14" borderId="9" xfId="10" applyNumberFormat="1" applyFont="1" applyFill="1" applyBorder="1" applyAlignment="1" applyProtection="1">
      <alignment horizontal="center" vertical="center"/>
      <protection locked="0"/>
    </xf>
    <xf numFmtId="0" fontId="1" fillId="17" borderId="26" xfId="0" applyNumberFormat="1" applyFont="1" applyFill="1" applyBorder="1" applyAlignment="1" applyProtection="1"/>
    <xf numFmtId="171" fontId="1" fillId="10" borderId="26" xfId="5" applyNumberFormat="1" applyFont="1" applyFill="1" applyBorder="1" applyAlignment="1"/>
    <xf numFmtId="171" fontId="1" fillId="7" borderId="26" xfId="0" applyNumberFormat="1" applyFont="1" applyFill="1" applyBorder="1" applyAlignment="1"/>
    <xf numFmtId="171" fontId="1" fillId="7" borderId="26" xfId="5" applyNumberFormat="1" applyFont="1" applyFill="1" applyBorder="1" applyAlignment="1"/>
    <xf numFmtId="171" fontId="1" fillId="11" borderId="26" xfId="5" applyNumberFormat="1" applyFont="1" applyFill="1" applyBorder="1" applyAlignment="1"/>
    <xf numFmtId="0" fontId="1" fillId="0" borderId="24" xfId="12" applyFill="1" applyBorder="1"/>
    <xf numFmtId="0" fontId="1" fillId="0" borderId="24" xfId="9" applyBorder="1"/>
    <xf numFmtId="0" fontId="1" fillId="0" borderId="0" xfId="0" applyNumberFormat="1" applyFont="1" applyFill="1" applyBorder="1" applyAlignment="1" applyProtection="1">
      <alignment horizontal="left" vertical="top" wrapText="1" shrinkToFit="1"/>
    </xf>
    <xf numFmtId="4" fontId="1" fillId="0" borderId="38" xfId="0" applyNumberFormat="1" applyFont="1" applyFill="1" applyBorder="1" applyAlignment="1" applyProtection="1">
      <alignment vertical="top"/>
    </xf>
    <xf numFmtId="0" fontId="1" fillId="0" borderId="39" xfId="0" applyNumberFormat="1" applyFont="1" applyFill="1" applyBorder="1" applyAlignment="1" applyProtection="1">
      <alignment horizontal="left" vertical="top" wrapText="1" shrinkToFit="1"/>
    </xf>
    <xf numFmtId="0" fontId="1" fillId="0" borderId="40" xfId="0" applyNumberFormat="1" applyFont="1" applyFill="1" applyBorder="1" applyAlignment="1" applyProtection="1">
      <alignment horizontal="left" vertical="top" wrapText="1" shrinkToFit="1"/>
    </xf>
    <xf numFmtId="0" fontId="1" fillId="0" borderId="0" xfId="0" applyNumberFormat="1" applyFont="1" applyFill="1" applyBorder="1" applyAlignment="1" applyProtection="1">
      <alignment horizontal="left" vertical="top" wrapText="1"/>
    </xf>
    <xf numFmtId="0" fontId="1" fillId="0" borderId="0" xfId="0" applyNumberFormat="1" applyFont="1" applyFill="1" applyBorder="1" applyAlignment="1" applyProtection="1">
      <alignment horizontal="center" vertical="center" wrapText="1"/>
    </xf>
    <xf numFmtId="171" fontId="1" fillId="0" borderId="0" xfId="2" applyNumberFormat="1" applyFont="1" applyFill="1" applyBorder="1" applyAlignment="1" applyProtection="1">
      <alignment horizontal="center" vertical="center" wrapText="1"/>
    </xf>
    <xf numFmtId="0" fontId="1" fillId="0" borderId="26" xfId="0" applyNumberFormat="1" applyFont="1" applyFill="1" applyBorder="1" applyAlignment="1" applyProtection="1">
      <alignment horizontal="center" vertical="center" wrapText="1"/>
    </xf>
    <xf numFmtId="0" fontId="1" fillId="0" borderId="44"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shrinkToFit="1"/>
    </xf>
    <xf numFmtId="171" fontId="1" fillId="0" borderId="0" xfId="2" applyNumberFormat="1" applyFont="1" applyFill="1" applyBorder="1" applyAlignment="1" applyProtection="1">
      <alignment horizontal="center" vertical="center" wrapText="1" shrinkToFit="1"/>
    </xf>
    <xf numFmtId="0"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166" fontId="1" fillId="0" borderId="0"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43" fontId="1" fillId="0" borderId="0" xfId="0" applyNumberFormat="1" applyFont="1" applyFill="1" applyBorder="1" applyAlignment="1" applyProtection="1">
      <alignment horizontal="center" vertical="center" wrapText="1" shrinkToFit="1"/>
    </xf>
    <xf numFmtId="0" fontId="33" fillId="0" borderId="2" xfId="0" applyFont="1" applyBorder="1" applyAlignment="1">
      <alignment vertical="center" wrapText="1"/>
    </xf>
    <xf numFmtId="0" fontId="33" fillId="0" borderId="3" xfId="0" applyFont="1" applyBorder="1" applyAlignment="1">
      <alignment vertical="center" wrapText="1"/>
    </xf>
    <xf numFmtId="0" fontId="33" fillId="0" borderId="4" xfId="0" applyFont="1" applyBorder="1" applyAlignment="1">
      <alignment vertical="center" wrapText="1"/>
    </xf>
    <xf numFmtId="0" fontId="37" fillId="0" borderId="5" xfId="0" applyFont="1" applyBorder="1" applyAlignment="1">
      <alignment vertical="center" wrapText="1"/>
    </xf>
    <xf numFmtId="0" fontId="37" fillId="0" borderId="0" xfId="0" applyFont="1" applyBorder="1" applyAlignment="1">
      <alignment vertical="center" wrapText="1"/>
    </xf>
    <xf numFmtId="0" fontId="37" fillId="0" borderId="9" xfId="0" applyFont="1" applyBorder="1" applyAlignment="1">
      <alignment vertical="center" wrapText="1"/>
    </xf>
    <xf numFmtId="0" fontId="37" fillId="0" borderId="5" xfId="0" applyFont="1" applyBorder="1" applyAlignment="1">
      <alignment horizontal="left" vertical="center" wrapText="1"/>
    </xf>
    <xf numFmtId="0" fontId="37" fillId="0" borderId="0" xfId="0" applyFont="1" applyBorder="1" applyAlignment="1">
      <alignment horizontal="left" vertical="center" wrapText="1"/>
    </xf>
    <xf numFmtId="0" fontId="37" fillId="0" borderId="9" xfId="0" applyFont="1" applyBorder="1" applyAlignment="1">
      <alignment horizontal="left" vertical="center" wrapText="1"/>
    </xf>
    <xf numFmtId="0" fontId="33" fillId="0" borderId="5" xfId="0" applyFont="1" applyBorder="1" applyAlignment="1">
      <alignment vertical="center" wrapText="1"/>
    </xf>
    <xf numFmtId="0" fontId="33" fillId="0" borderId="0" xfId="0" applyFont="1" applyBorder="1" applyAlignment="1">
      <alignment vertical="center" wrapText="1"/>
    </xf>
    <xf numFmtId="0" fontId="33" fillId="0" borderId="9" xfId="0" applyFont="1" applyBorder="1" applyAlignment="1">
      <alignment vertical="center" wrapText="1"/>
    </xf>
    <xf numFmtId="0" fontId="34" fillId="0" borderId="5" xfId="0" applyFont="1" applyBorder="1" applyAlignment="1">
      <alignment horizontal="center" vertical="center" wrapText="1"/>
    </xf>
    <xf numFmtId="0" fontId="34" fillId="0" borderId="0" xfId="0" applyFont="1" applyBorder="1" applyAlignment="1">
      <alignment horizontal="center" vertical="center" wrapText="1"/>
    </xf>
    <xf numFmtId="44" fontId="34" fillId="0" borderId="0" xfId="6" applyFont="1" applyBorder="1" applyAlignment="1">
      <alignment horizontal="center" vertical="center" wrapText="1"/>
    </xf>
    <xf numFmtId="44" fontId="34" fillId="0" borderId="9" xfId="6" applyFont="1" applyBorder="1" applyAlignment="1">
      <alignment horizontal="center" vertical="center" wrapText="1"/>
    </xf>
    <xf numFmtId="0" fontId="33" fillId="0" borderId="5" xfId="0" applyFont="1" applyBorder="1" applyAlignment="1">
      <alignment horizontal="left" vertical="center" wrapText="1"/>
    </xf>
    <xf numFmtId="0" fontId="33" fillId="0" borderId="0" xfId="0" applyFont="1" applyBorder="1" applyAlignment="1">
      <alignment horizontal="left" vertical="center" wrapText="1"/>
    </xf>
    <xf numFmtId="0" fontId="33" fillId="0" borderId="9" xfId="0" applyFont="1" applyBorder="1" applyAlignment="1">
      <alignment horizontal="left" vertical="center" wrapText="1"/>
    </xf>
    <xf numFmtId="0" fontId="33" fillId="0" borderId="6" xfId="0" applyFont="1" applyBorder="1" applyAlignment="1">
      <alignment horizontal="left" vertical="center" wrapText="1"/>
    </xf>
    <xf numFmtId="0" fontId="33" fillId="0" borderId="7" xfId="0" applyFont="1" applyBorder="1" applyAlignment="1">
      <alignment horizontal="left" vertical="center" wrapText="1"/>
    </xf>
    <xf numFmtId="0" fontId="33" fillId="0" borderId="8" xfId="0" applyFont="1" applyBorder="1" applyAlignment="1">
      <alignment horizontal="left" vertical="center" wrapText="1"/>
    </xf>
    <xf numFmtId="0" fontId="37" fillId="0" borderId="5" xfId="0" applyFont="1" applyBorder="1" applyAlignment="1">
      <alignment horizontal="left" wrapText="1"/>
    </xf>
    <xf numFmtId="0" fontId="37" fillId="0" borderId="0" xfId="0" applyFont="1" applyBorder="1" applyAlignment="1">
      <alignment horizontal="left" wrapText="1"/>
    </xf>
    <xf numFmtId="0" fontId="37" fillId="0" borderId="9" xfId="0" applyFont="1" applyBorder="1" applyAlignment="1">
      <alignment horizontal="left" wrapText="1"/>
    </xf>
    <xf numFmtId="0" fontId="34" fillId="0" borderId="5" xfId="0" applyFont="1" applyBorder="1" applyAlignment="1">
      <alignment horizontal="left" vertical="center" wrapText="1"/>
    </xf>
    <xf numFmtId="0" fontId="34" fillId="0" borderId="0" xfId="0" applyFont="1" applyBorder="1" applyAlignment="1">
      <alignment horizontal="left" vertical="center" wrapText="1"/>
    </xf>
    <xf numFmtId="0" fontId="34" fillId="0" borderId="6" xfId="0" applyFont="1" applyBorder="1" applyAlignment="1">
      <alignment horizontal="left" vertical="center" wrapText="1"/>
    </xf>
    <xf numFmtId="0" fontId="34" fillId="0" borderId="7" xfId="0" applyFont="1" applyBorder="1" applyAlignment="1">
      <alignment horizontal="left" vertical="center" wrapText="1"/>
    </xf>
    <xf numFmtId="0" fontId="33" fillId="0" borderId="0" xfId="0" applyFont="1" applyBorder="1" applyAlignment="1">
      <alignment horizontal="center" vertical="center" wrapText="1"/>
    </xf>
    <xf numFmtId="0" fontId="33" fillId="0" borderId="9" xfId="0" applyFont="1" applyBorder="1" applyAlignment="1">
      <alignment horizontal="center" vertical="center" wrapText="1"/>
    </xf>
    <xf numFmtId="44" fontId="34" fillId="0" borderId="7" xfId="6" applyFont="1" applyBorder="1" applyAlignment="1">
      <alignment horizontal="center" vertical="center" wrapText="1"/>
    </xf>
    <xf numFmtId="44" fontId="34" fillId="0" borderId="8" xfId="6" applyFont="1" applyBorder="1" applyAlignment="1">
      <alignment horizontal="center" vertical="center" wrapText="1"/>
    </xf>
    <xf numFmtId="164" fontId="1" fillId="0" borderId="39" xfId="2" applyFont="1" applyBorder="1" applyAlignment="1">
      <alignment horizontal="center" vertical="center" wrapText="1"/>
    </xf>
    <xf numFmtId="164" fontId="1" fillId="0" borderId="56" xfId="2" applyFont="1" applyBorder="1" applyAlignment="1">
      <alignment horizontal="center" vertical="center" wrapText="1"/>
    </xf>
    <xf numFmtId="0" fontId="34" fillId="0" borderId="9" xfId="0" applyFont="1" applyBorder="1" applyAlignment="1">
      <alignment horizontal="center" vertical="center" wrapText="1"/>
    </xf>
    <xf numFmtId="164" fontId="6" fillId="0" borderId="57" xfId="2" applyFont="1" applyBorder="1" applyAlignment="1">
      <alignment horizontal="center" vertical="center" wrapText="1"/>
    </xf>
    <xf numFmtId="164" fontId="6" fillId="0" borderId="58" xfId="2" applyFont="1" applyBorder="1" applyAlignment="1">
      <alignment horizontal="center" vertical="center" wrapText="1"/>
    </xf>
    <xf numFmtId="164" fontId="6" fillId="14" borderId="5" xfId="2" applyFont="1" applyFill="1" applyBorder="1" applyAlignment="1">
      <alignment horizontal="center" vertical="center" wrapText="1"/>
    </xf>
    <xf numFmtId="164" fontId="6" fillId="14" borderId="9" xfId="2" applyFont="1" applyFill="1" applyBorder="1" applyAlignment="1">
      <alignment horizontal="center" vertical="center" wrapText="1"/>
    </xf>
    <xf numFmtId="164" fontId="6" fillId="0" borderId="5" xfId="2" applyFont="1" applyBorder="1" applyAlignment="1">
      <alignment horizontal="center" vertical="center" wrapText="1"/>
    </xf>
    <xf numFmtId="164" fontId="6" fillId="0" borderId="9" xfId="2" applyFont="1" applyBorder="1" applyAlignment="1">
      <alignment horizontal="center" vertical="center" wrapText="1"/>
    </xf>
    <xf numFmtId="164" fontId="6" fillId="0" borderId="60" xfId="2" applyFont="1" applyBorder="1" applyAlignment="1">
      <alignment horizontal="center" vertical="center" wrapText="1"/>
    </xf>
    <xf numFmtId="164" fontId="6" fillId="14" borderId="0" xfId="2" applyFont="1" applyFill="1" applyBorder="1" applyAlignment="1">
      <alignment horizontal="center" vertical="center" wrapText="1"/>
    </xf>
    <xf numFmtId="164" fontId="6" fillId="0" borderId="0" xfId="2" applyFont="1" applyBorder="1" applyAlignment="1">
      <alignment horizontal="center" vertical="center" wrapText="1"/>
    </xf>
    <xf numFmtId="164" fontId="1" fillId="0" borderId="40" xfId="2" applyFont="1" applyBorder="1" applyAlignment="1">
      <alignment horizontal="center" vertical="center" wrapText="1"/>
    </xf>
    <xf numFmtId="0" fontId="33" fillId="0" borderId="40" xfId="0" applyFont="1" applyBorder="1" applyAlignment="1">
      <alignmen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37"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3"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0" xfId="0" applyFont="1" applyBorder="1" applyAlignment="1">
      <alignment horizontal="left" vertical="top" wrapText="1"/>
    </xf>
    <xf numFmtId="0" fontId="33" fillId="0" borderId="7" xfId="0" applyFont="1" applyBorder="1" applyAlignment="1">
      <alignment horizontal="left" vertical="top" wrapText="1"/>
    </xf>
    <xf numFmtId="0" fontId="33" fillId="0" borderId="6" xfId="0" applyFont="1" applyBorder="1" applyAlignment="1">
      <alignment horizontal="center" vertical="center" wrapText="1"/>
    </xf>
    <xf numFmtId="0" fontId="33" fillId="0" borderId="8" xfId="0" applyFont="1" applyBorder="1" applyAlignment="1">
      <alignment horizontal="center" vertical="center" wrapText="1"/>
    </xf>
    <xf numFmtId="0" fontId="34" fillId="0" borderId="0" xfId="0" applyFont="1" applyAlignment="1">
      <alignment horizontal="center" vertical="center"/>
    </xf>
    <xf numFmtId="4" fontId="33" fillId="0" borderId="0" xfId="0" applyNumberFormat="1" applyFont="1" applyBorder="1" applyAlignment="1">
      <alignment horizontal="left" vertical="top" wrapText="1"/>
    </xf>
    <xf numFmtId="0" fontId="33" fillId="0" borderId="39" xfId="0" applyFont="1" applyBorder="1" applyAlignment="1">
      <alignment horizontal="center" vertical="center" wrapText="1"/>
    </xf>
    <xf numFmtId="0" fontId="33" fillId="0" borderId="40" xfId="0" applyFont="1" applyBorder="1" applyAlignment="1">
      <alignment horizontal="center" vertical="center" wrapText="1"/>
    </xf>
    <xf numFmtId="0" fontId="33" fillId="0" borderId="56"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4"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3" xfId="0" applyFont="1" applyBorder="1" applyAlignment="1">
      <alignment horizontal="left" vertical="center" wrapText="1"/>
    </xf>
    <xf numFmtId="44" fontId="38" fillId="13" borderId="5" xfId="0" applyNumberFormat="1" applyFont="1" applyFill="1" applyBorder="1" applyAlignment="1">
      <alignment horizontal="center" vertical="center" wrapText="1"/>
    </xf>
    <xf numFmtId="0" fontId="38" fillId="13" borderId="9" xfId="0" applyFont="1" applyFill="1" applyBorder="1" applyAlignment="1">
      <alignment horizontal="center" vertical="center" wrapText="1"/>
    </xf>
    <xf numFmtId="0" fontId="38" fillId="13" borderId="5" xfId="0" applyFont="1" applyFill="1" applyBorder="1" applyAlignment="1">
      <alignment horizontal="center" vertical="center" wrapText="1"/>
    </xf>
    <xf numFmtId="9" fontId="33" fillId="0" borderId="9" xfId="13" applyFont="1" applyBorder="1" applyAlignment="1">
      <alignment horizontal="center" vertical="center" wrapText="1"/>
    </xf>
    <xf numFmtId="44" fontId="34" fillId="0" borderId="4" xfId="6" applyFont="1" applyBorder="1" applyAlignment="1">
      <alignment horizontal="center" vertical="center" wrapText="1"/>
    </xf>
    <xf numFmtId="44" fontId="34" fillId="0" borderId="6" xfId="6" applyFont="1" applyBorder="1" applyAlignment="1">
      <alignment vertical="center" wrapText="1"/>
    </xf>
    <xf numFmtId="44" fontId="34" fillId="0" borderId="8" xfId="6" applyFont="1" applyBorder="1" applyAlignment="1">
      <alignment vertical="center" wrapText="1"/>
    </xf>
    <xf numFmtId="0" fontId="32" fillId="0" borderId="6" xfId="0" applyFont="1" applyBorder="1" applyAlignment="1">
      <alignment vertical="center" wrapText="1"/>
    </xf>
    <xf numFmtId="0" fontId="32" fillId="0" borderId="8" xfId="0" applyFont="1" applyBorder="1" applyAlignment="1">
      <alignment vertical="center" wrapText="1"/>
    </xf>
    <xf numFmtId="0" fontId="34" fillId="0" borderId="5" xfId="0" applyFont="1" applyBorder="1" applyAlignment="1">
      <alignment vertical="center" wrapText="1"/>
    </xf>
    <xf numFmtId="0" fontId="34" fillId="0" borderId="9" xfId="0" applyFont="1" applyBorder="1" applyAlignment="1">
      <alignment vertical="center" wrapText="1"/>
    </xf>
    <xf numFmtId="0" fontId="1" fillId="0" borderId="25" xfId="8" applyBorder="1" applyAlignment="1">
      <alignment horizontal="center"/>
    </xf>
    <xf numFmtId="0" fontId="1" fillId="0" borderId="26" xfId="8" applyBorder="1" applyAlignment="1">
      <alignment horizontal="center"/>
    </xf>
    <xf numFmtId="0" fontId="1" fillId="0" borderId="27" xfId="8" applyBorder="1" applyAlignment="1">
      <alignment horizontal="center"/>
    </xf>
    <xf numFmtId="0" fontId="1" fillId="0" borderId="32" xfId="8" applyBorder="1" applyAlignment="1">
      <alignment horizontal="center"/>
    </xf>
    <xf numFmtId="0" fontId="1" fillId="0" borderId="33" xfId="8" applyBorder="1" applyAlignment="1">
      <alignment horizontal="center"/>
    </xf>
    <xf numFmtId="0" fontId="1" fillId="0" borderId="34" xfId="8" applyBorder="1" applyAlignment="1">
      <alignment horizontal="center"/>
    </xf>
    <xf numFmtId="0" fontId="1" fillId="0" borderId="41" xfId="8" applyBorder="1" applyAlignment="1">
      <alignment horizontal="center"/>
    </xf>
    <xf numFmtId="0" fontId="1" fillId="0" borderId="42" xfId="8" applyBorder="1" applyAlignment="1">
      <alignment horizontal="center"/>
    </xf>
    <xf numFmtId="0" fontId="1" fillId="0" borderId="38" xfId="8" applyBorder="1" applyAlignment="1">
      <alignment horizontal="center"/>
    </xf>
    <xf numFmtId="0" fontId="11" fillId="3" borderId="0" xfId="7" applyFont="1" applyFill="1" applyAlignment="1">
      <alignment horizontal="center" vertical="center"/>
    </xf>
    <xf numFmtId="0" fontId="14" fillId="0" borderId="0" xfId="7" applyFont="1" applyAlignment="1">
      <alignment horizontal="center" vertical="center"/>
    </xf>
    <xf numFmtId="167" fontId="12" fillId="0" borderId="39" xfId="7" applyNumberFormat="1" applyFont="1" applyBorder="1" applyAlignment="1">
      <alignment horizontal="center"/>
    </xf>
    <xf numFmtId="167" fontId="12" fillId="0" borderId="40" xfId="7" applyNumberFormat="1" applyFont="1" applyBorder="1" applyAlignment="1">
      <alignment horizontal="center"/>
    </xf>
    <xf numFmtId="167" fontId="12" fillId="0" borderId="56" xfId="7" applyNumberFormat="1" applyFont="1" applyBorder="1" applyAlignment="1">
      <alignment horizontal="center"/>
    </xf>
    <xf numFmtId="167" fontId="12" fillId="0" borderId="13" xfId="11" applyNumberFormat="1" applyFont="1" applyFill="1" applyBorder="1" applyAlignment="1">
      <alignment horizontal="center" vertical="center" wrapText="1"/>
    </xf>
    <xf numFmtId="167" fontId="12" fillId="0" borderId="16" xfId="11" applyNumberFormat="1" applyFont="1" applyFill="1" applyBorder="1" applyAlignment="1">
      <alignment horizontal="center" vertical="center" wrapText="1"/>
    </xf>
    <xf numFmtId="167" fontId="12" fillId="0" borderId="4" xfId="11" applyNumberFormat="1" applyFont="1" applyFill="1" applyBorder="1" applyAlignment="1">
      <alignment horizontal="center" vertical="center"/>
    </xf>
    <xf numFmtId="167" fontId="12" fillId="0" borderId="8" xfId="11" applyNumberFormat="1" applyFont="1" applyFill="1" applyBorder="1" applyAlignment="1">
      <alignment horizontal="center" vertical="center"/>
    </xf>
    <xf numFmtId="167" fontId="12" fillId="0" borderId="10" xfId="11" applyNumberFormat="1" applyFont="1" applyFill="1" applyBorder="1" applyAlignment="1">
      <alignment horizontal="center" vertical="center"/>
    </xf>
    <xf numFmtId="167" fontId="12" fillId="0" borderId="11" xfId="11" applyNumberFormat="1" applyFont="1" applyFill="1" applyBorder="1" applyAlignment="1">
      <alignment horizontal="center" vertical="center"/>
    </xf>
    <xf numFmtId="167" fontId="12" fillId="0" borderId="10" xfId="11" applyNumberFormat="1" applyFont="1" applyFill="1" applyBorder="1" applyAlignment="1">
      <alignment horizontal="center" vertical="center" wrapText="1"/>
    </xf>
    <xf numFmtId="167" fontId="12" fillId="0" borderId="11" xfId="11" applyNumberFormat="1" applyFont="1" applyFill="1" applyBorder="1" applyAlignment="1">
      <alignment horizontal="center" vertical="center" wrapText="1"/>
    </xf>
    <xf numFmtId="167" fontId="10" fillId="0" borderId="10" xfId="11" applyNumberFormat="1" applyFont="1" applyFill="1" applyBorder="1" applyAlignment="1">
      <alignment horizontal="center" vertical="center" wrapText="1"/>
    </xf>
    <xf numFmtId="167" fontId="10" fillId="0" borderId="11" xfId="11" applyNumberFormat="1" applyFont="1" applyFill="1" applyBorder="1" applyAlignment="1">
      <alignment horizontal="center" vertical="center" wrapText="1"/>
    </xf>
    <xf numFmtId="167" fontId="10" fillId="0" borderId="37" xfId="11" applyNumberFormat="1" applyFont="1" applyFill="1" applyBorder="1" applyAlignment="1">
      <alignment horizontal="center" vertical="center" wrapText="1"/>
    </xf>
    <xf numFmtId="0" fontId="4" fillId="0" borderId="39" xfId="0" applyNumberFormat="1" applyFont="1" applyFill="1" applyBorder="1" applyAlignment="1" applyProtection="1">
      <alignment horizontal="center" vertical="top"/>
    </xf>
    <xf numFmtId="0" fontId="4" fillId="0" borderId="56" xfId="0" applyNumberFormat="1" applyFont="1" applyFill="1" applyBorder="1" applyAlignment="1" applyProtection="1">
      <alignment horizontal="center" vertical="top"/>
    </xf>
  </cellXfs>
  <cellStyles count="14">
    <cellStyle name="Euro" xfId="1" xr:uid="{915269AC-5E2D-4AB0-94EC-B4DD1898214F}"/>
    <cellStyle name="Milliers" xfId="2" builtinId="3"/>
    <cellStyle name="Milliers_barême" xfId="3" xr:uid="{5E71B921-7587-44F9-87F1-5B2853CD3EFB}"/>
    <cellStyle name="Milliers_Barème matériel 2013" xfId="4" xr:uid="{062DA6C3-DD84-4A76-886B-3135F0EDD3F7}"/>
    <cellStyle name="Milliers_Tarifs 2013" xfId="5" xr:uid="{B35B8556-A718-4101-B67C-16A058F7ACBF}"/>
    <cellStyle name="Monétaire" xfId="6" builtinId="4"/>
    <cellStyle name="Normal" xfId="0" builtinId="0"/>
    <cellStyle name="Normal_barême" xfId="7" xr:uid="{F3A81C69-A043-4927-8578-D2AEA52290B1}"/>
    <cellStyle name="Normal_Barême 2011(diffusion YB GH YS DG BP)" xfId="8" xr:uid="{4C94DF11-143A-436B-9929-EF838C876E6B}"/>
    <cellStyle name="Normal_Barème matériel 2013" xfId="9" xr:uid="{9E3B280F-DD77-4ACF-83D2-B2A99FA9A17D}"/>
    <cellStyle name="Normal_sous détail étude" xfId="10" xr:uid="{C5A8CF89-BFDA-4525-9A18-39B1EE12E421}"/>
    <cellStyle name="normal_TARIF_MA" xfId="11" xr:uid="{B2BA679B-DDF6-4B4B-892F-D23F6426F940}"/>
    <cellStyle name="normal_tarif_mat2003" xfId="12" xr:uid="{17E956C0-0AE3-47F8-B385-AE51C8EB0544}"/>
    <cellStyle name="Pourcentage" xfId="1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0</xdr:colOff>
      <xdr:row>1</xdr:row>
      <xdr:rowOff>0</xdr:rowOff>
    </xdr:from>
    <xdr:to>
      <xdr:col>4</xdr:col>
      <xdr:colOff>0</xdr:colOff>
      <xdr:row>3</xdr:row>
      <xdr:rowOff>0</xdr:rowOff>
    </xdr:to>
    <xdr:sp macro="" textlink="">
      <xdr:nvSpPr>
        <xdr:cNvPr id="110366" name="Rectangle 1">
          <a:extLst>
            <a:ext uri="{FF2B5EF4-FFF2-40B4-BE49-F238E27FC236}">
              <a16:creationId xmlns:a16="http://schemas.microsoft.com/office/drawing/2014/main" id="{7B699BF3-605B-2E0B-E77F-4E87F8C992FE}"/>
            </a:ext>
          </a:extLst>
        </xdr:cNvPr>
        <xdr:cNvSpPr>
          <a:spLocks noChangeArrowheads="1"/>
        </xdr:cNvSpPr>
      </xdr:nvSpPr>
      <xdr:spPr bwMode="auto">
        <a:xfrm>
          <a:off x="4448175" y="171450"/>
          <a:ext cx="1438275" cy="4762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xdr:col>
      <xdr:colOff>0</xdr:colOff>
      <xdr:row>1</xdr:row>
      <xdr:rowOff>0</xdr:rowOff>
    </xdr:from>
    <xdr:to>
      <xdr:col>2</xdr:col>
      <xdr:colOff>0</xdr:colOff>
      <xdr:row>4</xdr:row>
      <xdr:rowOff>0</xdr:rowOff>
    </xdr:to>
    <xdr:sp macro="" textlink="">
      <xdr:nvSpPr>
        <xdr:cNvPr id="110367" name="Rectangle 2">
          <a:extLst>
            <a:ext uri="{FF2B5EF4-FFF2-40B4-BE49-F238E27FC236}">
              <a16:creationId xmlns:a16="http://schemas.microsoft.com/office/drawing/2014/main" id="{38F55115-F6F6-140F-0F07-7AC006FF3DB3}"/>
            </a:ext>
          </a:extLst>
        </xdr:cNvPr>
        <xdr:cNvSpPr>
          <a:spLocks noChangeArrowheads="1"/>
        </xdr:cNvSpPr>
      </xdr:nvSpPr>
      <xdr:spPr bwMode="auto">
        <a:xfrm>
          <a:off x="333375" y="171450"/>
          <a:ext cx="3933825" cy="6477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0</xdr:colOff>
      <xdr:row>1</xdr:row>
      <xdr:rowOff>0</xdr:rowOff>
    </xdr:from>
    <xdr:to>
      <xdr:col>13</xdr:col>
      <xdr:colOff>0</xdr:colOff>
      <xdr:row>3</xdr:row>
      <xdr:rowOff>0</xdr:rowOff>
    </xdr:to>
    <xdr:sp macro="" textlink="">
      <xdr:nvSpPr>
        <xdr:cNvPr id="610310" name="Rectangle 1">
          <a:extLst>
            <a:ext uri="{FF2B5EF4-FFF2-40B4-BE49-F238E27FC236}">
              <a16:creationId xmlns:a16="http://schemas.microsoft.com/office/drawing/2014/main" id="{D2C8DE32-5DA4-E084-4B4D-993ED98E82F5}"/>
            </a:ext>
          </a:extLst>
        </xdr:cNvPr>
        <xdr:cNvSpPr>
          <a:spLocks noChangeArrowheads="1"/>
        </xdr:cNvSpPr>
      </xdr:nvSpPr>
      <xdr:spPr bwMode="auto">
        <a:xfrm>
          <a:off x="12420600" y="171450"/>
          <a:ext cx="1438275" cy="4762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xdr:col>
      <xdr:colOff>0</xdr:colOff>
      <xdr:row>1</xdr:row>
      <xdr:rowOff>0</xdr:rowOff>
    </xdr:from>
    <xdr:to>
      <xdr:col>2</xdr:col>
      <xdr:colOff>0</xdr:colOff>
      <xdr:row>4</xdr:row>
      <xdr:rowOff>0</xdr:rowOff>
    </xdr:to>
    <xdr:sp macro="" textlink="">
      <xdr:nvSpPr>
        <xdr:cNvPr id="610311" name="Rectangle 2">
          <a:extLst>
            <a:ext uri="{FF2B5EF4-FFF2-40B4-BE49-F238E27FC236}">
              <a16:creationId xmlns:a16="http://schemas.microsoft.com/office/drawing/2014/main" id="{A060798E-9108-681F-CB74-D242528881AF}"/>
            </a:ext>
          </a:extLst>
        </xdr:cNvPr>
        <xdr:cNvSpPr>
          <a:spLocks noChangeArrowheads="1"/>
        </xdr:cNvSpPr>
      </xdr:nvSpPr>
      <xdr:spPr bwMode="auto">
        <a:xfrm>
          <a:off x="333375" y="171450"/>
          <a:ext cx="3933825" cy="6477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14</xdr:col>
      <xdr:colOff>0</xdr:colOff>
      <xdr:row>1</xdr:row>
      <xdr:rowOff>0</xdr:rowOff>
    </xdr:from>
    <xdr:to>
      <xdr:col>14</xdr:col>
      <xdr:colOff>0</xdr:colOff>
      <xdr:row>3</xdr:row>
      <xdr:rowOff>0</xdr:rowOff>
    </xdr:to>
    <xdr:sp macro="" textlink="">
      <xdr:nvSpPr>
        <xdr:cNvPr id="3075" name="Rectangle 3">
          <a:extLst>
            <a:ext uri="{FF2B5EF4-FFF2-40B4-BE49-F238E27FC236}">
              <a16:creationId xmlns:a16="http://schemas.microsoft.com/office/drawing/2014/main" id="{D5ABAF3A-7D7D-81BA-7286-C64523642CD9}"/>
            </a:ext>
          </a:extLst>
        </xdr:cNvPr>
        <xdr:cNvSpPr>
          <a:spLocks noChangeArrowheads="1"/>
        </xdr:cNvSpPr>
      </xdr:nvSpPr>
      <xdr:spPr bwMode="auto">
        <a:xfrm>
          <a:off x="15297150" y="171450"/>
          <a:ext cx="0" cy="476250"/>
        </a:xfrm>
        <a:prstGeom prst="rect">
          <a:avLst/>
        </a:prstGeom>
        <a:no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xdr:spPr>
      <xdr:txBody>
        <a:bodyPr vertOverflow="clip" wrap="square" lIns="36576" tIns="27432" rIns="36576" bIns="27432" anchor="ctr" upright="1"/>
        <a:lstStyle/>
        <a:p>
          <a:pPr algn="ctr" rtl="0">
            <a:defRPr sz="1000"/>
          </a:pPr>
          <a:r>
            <a:rPr lang="fr-FR" sz="1400" b="1" i="0" u="none" strike="noStrike" baseline="0">
              <a:solidFill>
                <a:srgbClr val="FF0000"/>
              </a:solidFill>
              <a:latin typeface="Arial"/>
              <a:cs typeface="Arial"/>
            </a:rPr>
            <a:t>SEMEN TP</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xdr:row>
      <xdr:rowOff>0</xdr:rowOff>
    </xdr:from>
    <xdr:to>
      <xdr:col>4</xdr:col>
      <xdr:colOff>0</xdr:colOff>
      <xdr:row>3</xdr:row>
      <xdr:rowOff>0</xdr:rowOff>
    </xdr:to>
    <xdr:sp macro="" textlink="">
      <xdr:nvSpPr>
        <xdr:cNvPr id="611334" name="Rectangle 1">
          <a:extLst>
            <a:ext uri="{FF2B5EF4-FFF2-40B4-BE49-F238E27FC236}">
              <a16:creationId xmlns:a16="http://schemas.microsoft.com/office/drawing/2014/main" id="{B2276C3B-5BCC-7D7E-9869-75CA623134E9}"/>
            </a:ext>
          </a:extLst>
        </xdr:cNvPr>
        <xdr:cNvSpPr>
          <a:spLocks noChangeArrowheads="1"/>
        </xdr:cNvSpPr>
      </xdr:nvSpPr>
      <xdr:spPr bwMode="auto">
        <a:xfrm>
          <a:off x="5305425" y="171450"/>
          <a:ext cx="1438275" cy="4762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xdr:col>
      <xdr:colOff>0</xdr:colOff>
      <xdr:row>1</xdr:row>
      <xdr:rowOff>0</xdr:rowOff>
    </xdr:from>
    <xdr:to>
      <xdr:col>2</xdr:col>
      <xdr:colOff>0</xdr:colOff>
      <xdr:row>4</xdr:row>
      <xdr:rowOff>0</xdr:rowOff>
    </xdr:to>
    <xdr:sp macro="" textlink="">
      <xdr:nvSpPr>
        <xdr:cNvPr id="611335" name="Rectangle 2">
          <a:extLst>
            <a:ext uri="{FF2B5EF4-FFF2-40B4-BE49-F238E27FC236}">
              <a16:creationId xmlns:a16="http://schemas.microsoft.com/office/drawing/2014/main" id="{FA31412D-E660-9402-2F93-E60681B807D7}"/>
            </a:ext>
          </a:extLst>
        </xdr:cNvPr>
        <xdr:cNvSpPr>
          <a:spLocks noChangeArrowheads="1"/>
        </xdr:cNvSpPr>
      </xdr:nvSpPr>
      <xdr:spPr bwMode="auto">
        <a:xfrm>
          <a:off x="333375" y="171450"/>
          <a:ext cx="4552950" cy="6477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5</xdr:col>
      <xdr:colOff>0</xdr:colOff>
      <xdr:row>1</xdr:row>
      <xdr:rowOff>0</xdr:rowOff>
    </xdr:from>
    <xdr:to>
      <xdr:col>5</xdr:col>
      <xdr:colOff>0</xdr:colOff>
      <xdr:row>3</xdr:row>
      <xdr:rowOff>0</xdr:rowOff>
    </xdr:to>
    <xdr:sp macro="" textlink="">
      <xdr:nvSpPr>
        <xdr:cNvPr id="107523" name="Rectangle 3">
          <a:extLst>
            <a:ext uri="{FF2B5EF4-FFF2-40B4-BE49-F238E27FC236}">
              <a16:creationId xmlns:a16="http://schemas.microsoft.com/office/drawing/2014/main" id="{448DE65D-B5AA-5F36-F487-F70DB5D1A146}"/>
            </a:ext>
          </a:extLst>
        </xdr:cNvPr>
        <xdr:cNvSpPr>
          <a:spLocks noChangeArrowheads="1"/>
        </xdr:cNvSpPr>
      </xdr:nvSpPr>
      <xdr:spPr bwMode="auto">
        <a:xfrm>
          <a:off x="7324725" y="171450"/>
          <a:ext cx="0" cy="476250"/>
        </a:xfrm>
        <a:prstGeom prst="rect">
          <a:avLst/>
        </a:prstGeom>
        <a:no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xdr:spPr>
      <xdr:txBody>
        <a:bodyPr vertOverflow="clip" wrap="square" lIns="36576" tIns="27432" rIns="36576" bIns="27432" anchor="ctr" upright="1"/>
        <a:lstStyle/>
        <a:p>
          <a:pPr algn="ctr" rtl="0">
            <a:defRPr sz="1000"/>
          </a:pPr>
          <a:r>
            <a:rPr lang="fr-FR" sz="1400" b="1" i="0" u="none" strike="noStrike" baseline="0">
              <a:solidFill>
                <a:srgbClr val="FF0000"/>
              </a:solidFill>
              <a:latin typeface="Arial"/>
              <a:cs typeface="Arial"/>
            </a:rPr>
            <a:t>SEMEN TP</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1</xdr:row>
      <xdr:rowOff>0</xdr:rowOff>
    </xdr:from>
    <xdr:to>
      <xdr:col>4</xdr:col>
      <xdr:colOff>0</xdr:colOff>
      <xdr:row>3</xdr:row>
      <xdr:rowOff>0</xdr:rowOff>
    </xdr:to>
    <xdr:sp macro="" textlink="">
      <xdr:nvSpPr>
        <xdr:cNvPr id="612358" name="Rectangle 1">
          <a:extLst>
            <a:ext uri="{FF2B5EF4-FFF2-40B4-BE49-F238E27FC236}">
              <a16:creationId xmlns:a16="http://schemas.microsoft.com/office/drawing/2014/main" id="{FB8483D6-0247-79AE-D11F-A820F4DF6375}"/>
            </a:ext>
          </a:extLst>
        </xdr:cNvPr>
        <xdr:cNvSpPr>
          <a:spLocks noChangeArrowheads="1"/>
        </xdr:cNvSpPr>
      </xdr:nvSpPr>
      <xdr:spPr bwMode="auto">
        <a:xfrm>
          <a:off x="4876800" y="171450"/>
          <a:ext cx="1438275" cy="4762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xdr:col>
      <xdr:colOff>0</xdr:colOff>
      <xdr:row>1</xdr:row>
      <xdr:rowOff>0</xdr:rowOff>
    </xdr:from>
    <xdr:to>
      <xdr:col>2</xdr:col>
      <xdr:colOff>0</xdr:colOff>
      <xdr:row>4</xdr:row>
      <xdr:rowOff>0</xdr:rowOff>
    </xdr:to>
    <xdr:sp macro="" textlink="">
      <xdr:nvSpPr>
        <xdr:cNvPr id="612359" name="Rectangle 2">
          <a:extLst>
            <a:ext uri="{FF2B5EF4-FFF2-40B4-BE49-F238E27FC236}">
              <a16:creationId xmlns:a16="http://schemas.microsoft.com/office/drawing/2014/main" id="{C0BE8A30-F6EB-367A-1C32-B75563101CA0}"/>
            </a:ext>
          </a:extLst>
        </xdr:cNvPr>
        <xdr:cNvSpPr>
          <a:spLocks noChangeArrowheads="1"/>
        </xdr:cNvSpPr>
      </xdr:nvSpPr>
      <xdr:spPr bwMode="auto">
        <a:xfrm>
          <a:off x="333375" y="171450"/>
          <a:ext cx="3933825" cy="6477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5</xdr:col>
      <xdr:colOff>0</xdr:colOff>
      <xdr:row>1</xdr:row>
      <xdr:rowOff>0</xdr:rowOff>
    </xdr:from>
    <xdr:to>
      <xdr:col>5</xdr:col>
      <xdr:colOff>0</xdr:colOff>
      <xdr:row>3</xdr:row>
      <xdr:rowOff>0</xdr:rowOff>
    </xdr:to>
    <xdr:sp macro="" textlink="">
      <xdr:nvSpPr>
        <xdr:cNvPr id="108547" name="Rectangle 3">
          <a:extLst>
            <a:ext uri="{FF2B5EF4-FFF2-40B4-BE49-F238E27FC236}">
              <a16:creationId xmlns:a16="http://schemas.microsoft.com/office/drawing/2014/main" id="{3BEA2EA7-9CB6-9F41-1ED7-156C6BB94077}"/>
            </a:ext>
          </a:extLst>
        </xdr:cNvPr>
        <xdr:cNvSpPr>
          <a:spLocks noChangeArrowheads="1"/>
        </xdr:cNvSpPr>
      </xdr:nvSpPr>
      <xdr:spPr bwMode="auto">
        <a:xfrm>
          <a:off x="7324725" y="171450"/>
          <a:ext cx="0" cy="476250"/>
        </a:xfrm>
        <a:prstGeom prst="rect">
          <a:avLst/>
        </a:prstGeom>
        <a:no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xdr:spPr>
      <xdr:txBody>
        <a:bodyPr vertOverflow="clip" wrap="square" lIns="36576" tIns="27432" rIns="36576" bIns="27432" anchor="ctr" upright="1"/>
        <a:lstStyle/>
        <a:p>
          <a:pPr algn="ctr" rtl="0">
            <a:defRPr sz="1000"/>
          </a:pPr>
          <a:r>
            <a:rPr lang="fr-FR" sz="1400" b="1" i="0" u="none" strike="noStrike" baseline="0">
              <a:solidFill>
                <a:srgbClr val="FF0000"/>
              </a:solidFill>
              <a:latin typeface="Arial"/>
              <a:cs typeface="Arial"/>
            </a:rPr>
            <a:t>SEMEN TP</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885825</xdr:colOff>
          <xdr:row>0</xdr:row>
          <xdr:rowOff>19050</xdr:rowOff>
        </xdr:from>
        <xdr:to>
          <xdr:col>8</xdr:col>
          <xdr:colOff>542925</xdr:colOff>
          <xdr:row>1</xdr:row>
          <xdr:rowOff>19050</xdr:rowOff>
        </xdr:to>
        <xdr:sp macro="" textlink="">
          <xdr:nvSpPr>
            <xdr:cNvPr id="2095" name="Button 47" hidden="1">
              <a:extLst>
                <a:ext uri="{63B3BB69-23CF-44E3-9099-C40C66FF867C}">
                  <a14:compatExt spid="_x0000_s2095"/>
                </a:ext>
                <a:ext uri="{FF2B5EF4-FFF2-40B4-BE49-F238E27FC236}">
                  <a16:creationId xmlns:a16="http://schemas.microsoft.com/office/drawing/2014/main" id="{00000000-0008-0000-0700-00002F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Créa onglets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7.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7A3B1-6BA4-49A5-BA92-D256787EE5DF}">
  <sheetPr codeName="Feuil46">
    <pageSetUpPr fitToPage="1"/>
  </sheetPr>
  <dimension ref="A1:P57"/>
  <sheetViews>
    <sheetView zoomScale="70" zoomScaleNormal="70" zoomScaleSheetLayoutView="85" workbookViewId="0">
      <selection activeCell="E25" sqref="E25"/>
    </sheetView>
  </sheetViews>
  <sheetFormatPr baseColWidth="10" defaultColWidth="11.42578125" defaultRowHeight="18" x14ac:dyDescent="0.2"/>
  <cols>
    <col min="1" max="1" width="34.28515625" style="239" customWidth="1"/>
    <col min="2" max="2" width="24.5703125" style="239" hidden="1" customWidth="1"/>
    <col min="3" max="3" width="12.85546875" style="239" customWidth="1"/>
    <col min="4" max="4" width="15.140625" style="239" customWidth="1"/>
    <col min="5" max="5" width="12.7109375" style="239" customWidth="1"/>
    <col min="6" max="6" width="7.28515625" style="239" customWidth="1"/>
    <col min="7" max="7" width="12.42578125" style="239" customWidth="1"/>
    <col min="8" max="8" width="11.85546875" style="239" customWidth="1"/>
    <col min="9" max="9" width="11.42578125" style="239"/>
    <col min="10" max="10" width="15.28515625" style="239" customWidth="1"/>
    <col min="11" max="11" width="11.42578125" style="239"/>
    <col min="12" max="12" width="16" style="239" customWidth="1"/>
    <col min="13" max="14" width="11.42578125" style="239"/>
    <col min="15" max="15" width="16.28515625" style="239" customWidth="1"/>
    <col min="16" max="16" width="25.85546875" style="239" customWidth="1"/>
    <col min="17" max="16384" width="11.42578125" style="239"/>
  </cols>
  <sheetData>
    <row r="1" spans="1:16" x14ac:dyDescent="0.2">
      <c r="A1" s="238"/>
      <c r="B1" s="238"/>
      <c r="M1" s="238" t="s">
        <v>10</v>
      </c>
    </row>
    <row r="2" spans="1:16" ht="5.45" customHeight="1" x14ac:dyDescent="0.2">
      <c r="A2" s="240"/>
      <c r="B2" s="240"/>
      <c r="C2" s="241"/>
      <c r="D2" s="241"/>
      <c r="E2" s="241"/>
      <c r="F2" s="241"/>
      <c r="G2" s="241"/>
      <c r="H2" s="241"/>
      <c r="I2" s="241"/>
      <c r="J2" s="241"/>
      <c r="K2" s="241"/>
      <c r="L2" s="241"/>
      <c r="M2" s="241"/>
      <c r="N2" s="241"/>
      <c r="O2" s="241"/>
      <c r="P2" s="241"/>
    </row>
    <row r="3" spans="1:16" ht="18.75" x14ac:dyDescent="0.2">
      <c r="A3" s="419" t="s">
        <v>11</v>
      </c>
      <c r="B3" s="419"/>
      <c r="C3" s="419"/>
      <c r="D3" s="419"/>
      <c r="E3" s="419"/>
      <c r="F3" s="419"/>
      <c r="G3" s="419"/>
      <c r="H3" s="419"/>
      <c r="I3" s="419"/>
      <c r="J3" s="419"/>
      <c r="K3" s="419"/>
      <c r="L3" s="419"/>
      <c r="M3" s="419"/>
      <c r="N3" s="419"/>
      <c r="O3" s="419"/>
      <c r="P3" s="419"/>
    </row>
    <row r="4" spans="1:16" ht="7.9" customHeight="1" thickBot="1" x14ac:dyDescent="0.25">
      <c r="C4" s="241"/>
      <c r="D4" s="241"/>
      <c r="E4" s="241"/>
      <c r="F4" s="241"/>
      <c r="G4" s="241"/>
      <c r="H4" s="241"/>
      <c r="I4" s="241"/>
      <c r="J4" s="241"/>
      <c r="K4" s="241"/>
      <c r="L4" s="241"/>
      <c r="M4" s="241"/>
      <c r="N4" s="241"/>
      <c r="O4" s="241"/>
      <c r="P4" s="241"/>
    </row>
    <row r="5" spans="1:16" ht="25.9" customHeight="1" x14ac:dyDescent="0.2">
      <c r="A5" s="282" t="s">
        <v>12</v>
      </c>
      <c r="B5" s="242"/>
      <c r="C5" s="428" t="s">
        <v>13</v>
      </c>
      <c r="D5" s="428"/>
      <c r="E5" s="428"/>
      <c r="F5" s="242"/>
      <c r="G5" s="242"/>
      <c r="H5" s="242"/>
      <c r="I5" s="242"/>
      <c r="J5" s="242"/>
      <c r="K5" s="242"/>
      <c r="L5" s="242"/>
      <c r="M5" s="242"/>
      <c r="N5" s="242"/>
      <c r="O5" s="242"/>
      <c r="P5" s="243"/>
    </row>
    <row r="6" spans="1:16" ht="18" customHeight="1" x14ac:dyDescent="0.2">
      <c r="A6" s="263" t="s">
        <v>14</v>
      </c>
      <c r="B6" s="245"/>
      <c r="C6" s="420">
        <f>'DE récap'!D1</f>
        <v>0</v>
      </c>
      <c r="D6" s="420"/>
      <c r="E6" s="420"/>
      <c r="F6" s="420"/>
      <c r="G6" s="420"/>
      <c r="I6" s="286" t="s">
        <v>15</v>
      </c>
      <c r="J6" s="415" t="e">
        <f ca="1">C10</f>
        <v>#N/A</v>
      </c>
      <c r="K6" s="415"/>
      <c r="L6" s="415"/>
      <c r="M6" s="415"/>
      <c r="O6" s="286" t="s">
        <v>16</v>
      </c>
      <c r="P6" s="266">
        <f>'DE récap'!F1</f>
        <v>0</v>
      </c>
    </row>
    <row r="7" spans="1:16" ht="18.75" x14ac:dyDescent="0.2">
      <c r="A7" s="244"/>
      <c r="B7" s="245"/>
      <c r="C7" s="420"/>
      <c r="D7" s="420"/>
      <c r="E7" s="420"/>
      <c r="F7" s="420"/>
      <c r="G7" s="420"/>
      <c r="H7" s="245"/>
      <c r="I7" s="245"/>
      <c r="J7" s="415"/>
      <c r="K7" s="415"/>
      <c r="L7" s="415"/>
      <c r="M7" s="415"/>
      <c r="N7" s="245"/>
      <c r="O7" s="245"/>
      <c r="P7" s="246"/>
    </row>
    <row r="8" spans="1:16" ht="22.5" customHeight="1" x14ac:dyDescent="0.2">
      <c r="A8" s="264"/>
      <c r="C8" s="420"/>
      <c r="D8" s="420"/>
      <c r="E8" s="420"/>
      <c r="F8" s="420"/>
      <c r="G8" s="420"/>
      <c r="H8" s="245"/>
      <c r="I8" s="245"/>
      <c r="J8" s="415"/>
      <c r="K8" s="415"/>
      <c r="L8" s="415"/>
      <c r="M8" s="415"/>
      <c r="N8" s="245"/>
      <c r="O8" s="245"/>
      <c r="P8" s="246"/>
    </row>
    <row r="9" spans="1:16" ht="21.75" x14ac:dyDescent="0.2">
      <c r="A9" s="263" t="s">
        <v>17</v>
      </c>
      <c r="B9" s="245"/>
      <c r="C9" s="376" t="str">
        <f ca="1">MID(CELL("nomfichier",C9),FIND("]",CELL("nomfichier",C9))+1,LEN(CELL("nomfichier",C9))-FIND("]",CELL("nomfichier",C9)))</f>
        <v>modele</v>
      </c>
      <c r="D9" s="376"/>
      <c r="E9" s="376"/>
      <c r="F9" s="376"/>
      <c r="G9" s="245"/>
      <c r="H9" s="245"/>
      <c r="I9" s="245"/>
      <c r="J9" s="245"/>
      <c r="K9" s="245"/>
      <c r="L9" s="245"/>
      <c r="M9" s="245"/>
      <c r="N9" s="245"/>
      <c r="O9" s="245"/>
      <c r="P9" s="246"/>
    </row>
    <row r="10" spans="1:16" ht="18.75" x14ac:dyDescent="0.2">
      <c r="A10" s="263" t="s">
        <v>18</v>
      </c>
      <c r="B10" s="245"/>
      <c r="C10" s="415" t="e">
        <f ca="1">IF($C$9&lt;&gt;"",VLOOKUP($C$9,'DE récap'!$C$4:$F$151,2,FALSE),"")</f>
        <v>#N/A</v>
      </c>
      <c r="D10" s="415"/>
      <c r="E10" s="415"/>
      <c r="F10" s="415"/>
      <c r="G10" s="415"/>
      <c r="H10" s="415"/>
      <c r="I10" s="415"/>
      <c r="J10" s="415"/>
      <c r="K10" s="415"/>
      <c r="L10" s="415"/>
      <c r="M10" s="245"/>
      <c r="N10" s="245"/>
      <c r="O10" s="286" t="s">
        <v>19</v>
      </c>
      <c r="P10" s="284" t="e">
        <f ca="1">IF($C$9&lt;&gt;"",VLOOKUP($C$9,'DE récap'!$C$4:$F$25,4,FALSE),"")</f>
        <v>#N/A</v>
      </c>
    </row>
    <row r="11" spans="1:16" ht="19.5" thickBot="1" x14ac:dyDescent="0.25">
      <c r="A11" s="247"/>
      <c r="B11" s="248"/>
      <c r="C11" s="416"/>
      <c r="D11" s="416"/>
      <c r="E11" s="416"/>
      <c r="F11" s="416"/>
      <c r="G11" s="416"/>
      <c r="H11" s="416"/>
      <c r="I11" s="416"/>
      <c r="J11" s="416"/>
      <c r="K11" s="416"/>
      <c r="L11" s="416"/>
      <c r="M11" s="248"/>
      <c r="N11" s="248"/>
      <c r="O11" s="287" t="s">
        <v>20</v>
      </c>
      <c r="P11" s="285" t="e">
        <f ca="1">IF($C$9&lt;&gt;"",VLOOKUP($C$9,'DE récap'!$C$4:$F$25,3,FALSE),"")</f>
        <v>#N/A</v>
      </c>
    </row>
    <row r="12" spans="1:16" ht="19.5" thickBot="1" x14ac:dyDescent="0.25">
      <c r="A12" s="421" t="s">
        <v>21</v>
      </c>
      <c r="B12" s="422"/>
      <c r="C12" s="422"/>
      <c r="D12" s="423"/>
      <c r="E12" s="421" t="s">
        <v>22</v>
      </c>
      <c r="F12" s="422"/>
      <c r="G12" s="422"/>
      <c r="H12" s="422"/>
      <c r="I12" s="422"/>
      <c r="J12" s="422"/>
      <c r="K12" s="422"/>
      <c r="L12" s="422"/>
      <c r="M12" s="422"/>
      <c r="N12" s="422"/>
      <c r="O12" s="422"/>
      <c r="P12" s="423"/>
    </row>
    <row r="13" spans="1:16" ht="18.75" x14ac:dyDescent="0.2">
      <c r="A13" s="409"/>
      <c r="B13" s="250"/>
      <c r="C13" s="409"/>
      <c r="D13" s="409" t="s">
        <v>23</v>
      </c>
      <c r="E13" s="411" t="s">
        <v>24</v>
      </c>
      <c r="F13" s="412"/>
      <c r="G13" s="412"/>
      <c r="H13" s="413"/>
      <c r="I13" s="411" t="s">
        <v>25</v>
      </c>
      <c r="J13" s="413"/>
      <c r="K13" s="411" t="s">
        <v>7</v>
      </c>
      <c r="L13" s="413"/>
      <c r="M13" s="424" t="s">
        <v>26</v>
      </c>
      <c r="N13" s="425"/>
      <c r="O13" s="411" t="s">
        <v>27</v>
      </c>
      <c r="P13" s="413"/>
    </row>
    <row r="14" spans="1:16" ht="19.5" thickBot="1" x14ac:dyDescent="0.25">
      <c r="A14" s="410"/>
      <c r="B14" s="251"/>
      <c r="C14" s="410"/>
      <c r="D14" s="410"/>
      <c r="E14" s="417" t="s">
        <v>28</v>
      </c>
      <c r="F14" s="426"/>
      <c r="G14" s="426"/>
      <c r="H14" s="418"/>
      <c r="I14" s="417"/>
      <c r="J14" s="418"/>
      <c r="K14" s="417"/>
      <c r="L14" s="418"/>
      <c r="M14" s="414" t="s">
        <v>29</v>
      </c>
      <c r="N14" s="389"/>
      <c r="O14" s="417"/>
      <c r="P14" s="418"/>
    </row>
    <row r="15" spans="1:16" ht="37.5" x14ac:dyDescent="0.2">
      <c r="A15" s="410" t="s">
        <v>30</v>
      </c>
      <c r="B15" s="251"/>
      <c r="C15" s="410" t="s">
        <v>31</v>
      </c>
      <c r="D15" s="256" t="s">
        <v>32</v>
      </c>
      <c r="E15" s="257" t="s">
        <v>33</v>
      </c>
      <c r="F15" s="411" t="s">
        <v>34</v>
      </c>
      <c r="G15" s="412"/>
      <c r="H15" s="413"/>
      <c r="I15" s="255" t="s">
        <v>33</v>
      </c>
      <c r="J15" s="255" t="s">
        <v>34</v>
      </c>
      <c r="K15" s="255" t="s">
        <v>33</v>
      </c>
      <c r="L15" s="255" t="s">
        <v>34</v>
      </c>
      <c r="M15" s="414"/>
      <c r="N15" s="389"/>
      <c r="O15" s="255" t="s">
        <v>33</v>
      </c>
      <c r="P15" s="258" t="s">
        <v>35</v>
      </c>
    </row>
    <row r="16" spans="1:16" ht="18.75" x14ac:dyDescent="0.2">
      <c r="A16" s="410"/>
      <c r="B16" s="251"/>
      <c r="C16" s="410"/>
      <c r="D16" s="256"/>
      <c r="E16" s="257" t="s">
        <v>36</v>
      </c>
      <c r="F16" s="414" t="s">
        <v>37</v>
      </c>
      <c r="G16" s="388"/>
      <c r="H16" s="389"/>
      <c r="I16" s="255" t="s">
        <v>36</v>
      </c>
      <c r="J16" s="255" t="s">
        <v>38</v>
      </c>
      <c r="K16" s="255" t="s">
        <v>36</v>
      </c>
      <c r="L16" s="255" t="s">
        <v>39</v>
      </c>
      <c r="M16" s="414"/>
      <c r="N16" s="389"/>
      <c r="O16" s="255" t="s">
        <v>36</v>
      </c>
      <c r="P16" s="251"/>
    </row>
    <row r="17" spans="1:16" ht="18.75" x14ac:dyDescent="0.2">
      <c r="A17" s="410"/>
      <c r="B17" s="251"/>
      <c r="C17" s="410"/>
      <c r="D17" s="256"/>
      <c r="E17" s="257"/>
      <c r="F17" s="414"/>
      <c r="G17" s="388"/>
      <c r="H17" s="389"/>
      <c r="I17" s="255"/>
      <c r="J17" s="255"/>
      <c r="K17" s="255"/>
      <c r="L17" s="255"/>
      <c r="M17" s="414"/>
      <c r="N17" s="389"/>
      <c r="O17" s="255"/>
      <c r="P17" s="251"/>
    </row>
    <row r="18" spans="1:16" ht="19.5" thickBot="1" x14ac:dyDescent="0.25">
      <c r="A18" s="427"/>
      <c r="B18" s="259"/>
      <c r="C18" s="427"/>
      <c r="D18" s="254">
        <v>1</v>
      </c>
      <c r="E18" s="253">
        <v>2</v>
      </c>
      <c r="F18" s="417">
        <v>3</v>
      </c>
      <c r="G18" s="426"/>
      <c r="H18" s="418"/>
      <c r="I18" s="252">
        <v>4</v>
      </c>
      <c r="J18" s="252">
        <v>5</v>
      </c>
      <c r="K18" s="252">
        <v>6</v>
      </c>
      <c r="L18" s="252">
        <v>7</v>
      </c>
      <c r="M18" s="417">
        <v>8</v>
      </c>
      <c r="N18" s="418"/>
      <c r="O18" s="252">
        <v>9</v>
      </c>
      <c r="P18" s="259">
        <v>10</v>
      </c>
    </row>
    <row r="19" spans="1:16" s="261" customFormat="1" ht="17.45" customHeight="1" x14ac:dyDescent="0.2">
      <c r="A19" s="330"/>
      <c r="B19" s="330"/>
      <c r="C19" s="331">
        <v>0</v>
      </c>
      <c r="D19" s="268" t="e">
        <f ca="1">IF($C$9&lt;&gt;"",VLOOKUP($C$9,'DE récap'!$C$4:$F$25,4,FALSE),"")</f>
        <v>#N/A</v>
      </c>
      <c r="E19" s="260"/>
      <c r="F19" s="406"/>
      <c r="G19" s="407"/>
      <c r="H19" s="408"/>
      <c r="I19" s="260"/>
      <c r="J19" s="260"/>
      <c r="K19" s="260"/>
      <c r="L19" s="260"/>
      <c r="M19" s="244"/>
      <c r="N19" s="246"/>
      <c r="O19" s="268"/>
      <c r="P19" s="267"/>
    </row>
    <row r="20" spans="1:16" ht="17.45" customHeight="1" x14ac:dyDescent="0.2">
      <c r="A20" s="278" t="s">
        <v>4</v>
      </c>
      <c r="B20" s="278"/>
      <c r="C20" s="272"/>
      <c r="D20" s="273"/>
      <c r="E20" s="274"/>
      <c r="F20" s="397"/>
      <c r="G20" s="402"/>
      <c r="H20" s="398"/>
      <c r="I20" s="274"/>
      <c r="J20" s="275"/>
      <c r="K20" s="274"/>
      <c r="L20" s="275"/>
      <c r="M20" s="276"/>
      <c r="N20" s="277"/>
      <c r="O20" s="273"/>
      <c r="P20" s="275"/>
    </row>
    <row r="21" spans="1:16" ht="17.45" customHeight="1" x14ac:dyDescent="0.2">
      <c r="A21" s="330"/>
      <c r="B21" s="330"/>
      <c r="C21" s="332" t="str">
        <f>IF(A21&lt;&gt;"",VLOOKUP(A21,Personnel!$B$17:$D$121,2,FALSE),"")</f>
        <v/>
      </c>
      <c r="D21" s="268"/>
      <c r="E21" s="279"/>
      <c r="F21" s="399">
        <f t="shared" ref="F21:F42" si="0">IF(E21="",0,E21*D21)</f>
        <v>0</v>
      </c>
      <c r="G21" s="403"/>
      <c r="H21" s="400"/>
      <c r="I21" s="279">
        <f>IF(A21&lt;&gt;"",VLOOKUP(A21,Personnel!$B$15:$L$107,3,FALSE),0)</f>
        <v>0</v>
      </c>
      <c r="J21" s="268">
        <f t="shared" ref="J21:J42" si="1">IF(I21="",0,I21*D21)</f>
        <v>0</v>
      </c>
      <c r="K21" s="260"/>
      <c r="L21" s="268">
        <f t="shared" ref="L21:L42" si="2">IF(K21="",0,K21*D21)</f>
        <v>0</v>
      </c>
      <c r="M21" s="399">
        <f>F21+J21+L21</f>
        <v>0</v>
      </c>
      <c r="N21" s="400"/>
      <c r="O21" s="268"/>
      <c r="P21" s="268">
        <f>IF(O21="",0,O21*D21)</f>
        <v>0</v>
      </c>
    </row>
    <row r="22" spans="1:16" s="261" customFormat="1" ht="17.45" customHeight="1" x14ac:dyDescent="0.2">
      <c r="A22" s="330"/>
      <c r="B22" s="330"/>
      <c r="C22" s="332" t="str">
        <f>IF(A22&lt;&gt;"",VLOOKUP(A22,Personnel!$B$17:$D$121,2,FALSE),"")</f>
        <v/>
      </c>
      <c r="D22" s="268"/>
      <c r="E22" s="279"/>
      <c r="F22" s="399">
        <f t="shared" si="0"/>
        <v>0</v>
      </c>
      <c r="G22" s="403"/>
      <c r="H22" s="400"/>
      <c r="I22" s="279" t="str">
        <f>IF(A22&lt;&gt;"",VLOOKUP(A22,Personnel!$B$15:$L$107,3,FALSE),"")</f>
        <v/>
      </c>
      <c r="J22" s="268">
        <f t="shared" si="1"/>
        <v>0</v>
      </c>
      <c r="K22" s="260"/>
      <c r="L22" s="268">
        <f t="shared" si="2"/>
        <v>0</v>
      </c>
      <c r="M22" s="399">
        <f t="shared" ref="M22:M42" si="3">IF(ISERR(F22+J22+L22),"",F22+J22+L22)</f>
        <v>0</v>
      </c>
      <c r="N22" s="400"/>
      <c r="O22" s="268"/>
      <c r="P22" s="268">
        <f t="shared" ref="P22:P42" si="4">IF(O22="",0,O22*D22)</f>
        <v>0</v>
      </c>
    </row>
    <row r="23" spans="1:16" ht="17.45" customHeight="1" x14ac:dyDescent="0.2">
      <c r="A23" s="333"/>
      <c r="B23" s="333"/>
      <c r="C23" s="334" t="str">
        <f>IF(A23&lt;&gt;"",VLOOKUP(A23,Personnel!$B$17:$D$121,2,FALSE),"")</f>
        <v/>
      </c>
      <c r="D23" s="270"/>
      <c r="E23" s="280"/>
      <c r="F23" s="395">
        <f t="shared" si="0"/>
        <v>0</v>
      </c>
      <c r="G23" s="401"/>
      <c r="H23" s="396"/>
      <c r="I23" s="280" t="str">
        <f>IF(A23&lt;&gt;"",VLOOKUP(A23,Personnel!$B$15:$L$107,3,FALSE),"")</f>
        <v/>
      </c>
      <c r="J23" s="270">
        <f t="shared" si="1"/>
        <v>0</v>
      </c>
      <c r="K23" s="271"/>
      <c r="L23" s="270">
        <f t="shared" si="2"/>
        <v>0</v>
      </c>
      <c r="M23" s="395">
        <f t="shared" si="3"/>
        <v>0</v>
      </c>
      <c r="N23" s="396"/>
      <c r="O23" s="270"/>
      <c r="P23" s="270">
        <f t="shared" si="4"/>
        <v>0</v>
      </c>
    </row>
    <row r="24" spans="1:16" ht="17.45" customHeight="1" x14ac:dyDescent="0.2">
      <c r="A24" s="278" t="s">
        <v>5</v>
      </c>
      <c r="B24" s="278"/>
      <c r="C24" s="335"/>
      <c r="D24" s="273"/>
      <c r="E24" s="281"/>
      <c r="F24" s="397">
        <f t="shared" si="0"/>
        <v>0</v>
      </c>
      <c r="G24" s="402"/>
      <c r="H24" s="398"/>
      <c r="I24" s="281"/>
      <c r="J24" s="273">
        <f t="shared" si="1"/>
        <v>0</v>
      </c>
      <c r="K24" s="274"/>
      <c r="L24" s="273">
        <f t="shared" si="2"/>
        <v>0</v>
      </c>
      <c r="M24" s="397">
        <f t="shared" si="3"/>
        <v>0</v>
      </c>
      <c r="N24" s="398"/>
      <c r="O24" s="273"/>
      <c r="P24" s="273">
        <f t="shared" si="4"/>
        <v>0</v>
      </c>
    </row>
    <row r="25" spans="1:16" ht="17.45" customHeight="1" x14ac:dyDescent="0.2">
      <c r="A25" s="330"/>
      <c r="B25" s="330"/>
      <c r="C25" s="332" t="str">
        <f>IF(A25&lt;&gt;"",VLOOKUP(A25,Materiel!$B$15:$J$124,9,FALSE),"")</f>
        <v/>
      </c>
      <c r="D25" s="268"/>
      <c r="E25" s="279" t="str">
        <f>IF(A25&lt;&gt;"",VLOOKUP(A25,Materiel!$B$14:$M$410,8,FALSE),"")</f>
        <v/>
      </c>
      <c r="F25" s="399">
        <f t="shared" si="0"/>
        <v>0</v>
      </c>
      <c r="G25" s="403"/>
      <c r="H25" s="400"/>
      <c r="I25" s="279" t="str">
        <f>IF(A25&lt;&gt;"",VLOOKUP(A25,Materiel!$B$15:$L$110,10,FALSE),"")</f>
        <v/>
      </c>
      <c r="J25" s="268">
        <f t="shared" si="1"/>
        <v>0</v>
      </c>
      <c r="K25" s="260"/>
      <c r="L25" s="268">
        <f t="shared" si="2"/>
        <v>0</v>
      </c>
      <c r="M25" s="399">
        <f t="shared" si="3"/>
        <v>0</v>
      </c>
      <c r="N25" s="400"/>
      <c r="O25" s="268"/>
      <c r="P25" s="268">
        <f t="shared" si="4"/>
        <v>0</v>
      </c>
    </row>
    <row r="26" spans="1:16" ht="17.45" customHeight="1" x14ac:dyDescent="0.2">
      <c r="A26" s="330"/>
      <c r="B26" s="330"/>
      <c r="C26" s="332" t="str">
        <f>IF(A26&lt;&gt;"",VLOOKUP(A26,Materiel!$B$15:$J$124,9,FALSE),"")</f>
        <v/>
      </c>
      <c r="D26" s="268"/>
      <c r="E26" s="279" t="str">
        <f>IF(A26&lt;&gt;"",VLOOKUP(A26,Materiel!$B$14:$M$410,8,FALSE),"")</f>
        <v/>
      </c>
      <c r="F26" s="399">
        <f t="shared" si="0"/>
        <v>0</v>
      </c>
      <c r="G26" s="403"/>
      <c r="H26" s="400"/>
      <c r="I26" s="279" t="str">
        <f>IF(A26&lt;&gt;"",VLOOKUP(A26,Materiel!$B$15:$L$110,10,FALSE),"")</f>
        <v/>
      </c>
      <c r="J26" s="268">
        <f t="shared" si="1"/>
        <v>0</v>
      </c>
      <c r="K26" s="260"/>
      <c r="L26" s="268">
        <f t="shared" si="2"/>
        <v>0</v>
      </c>
      <c r="M26" s="399">
        <f t="shared" si="3"/>
        <v>0</v>
      </c>
      <c r="N26" s="400"/>
      <c r="O26" s="268"/>
      <c r="P26" s="268">
        <f t="shared" si="4"/>
        <v>0</v>
      </c>
    </row>
    <row r="27" spans="1:16" ht="18" customHeight="1" x14ac:dyDescent="0.2">
      <c r="A27" s="330"/>
      <c r="B27" s="330"/>
      <c r="C27" s="332" t="str">
        <f>IF(A27&lt;&gt;"",VLOOKUP(A27,Materiel!$B$15:$J$124,9,FALSE),"")</f>
        <v/>
      </c>
      <c r="D27" s="268"/>
      <c r="E27" s="279" t="str">
        <f>IF(A27&lt;&gt;"",VLOOKUP(A27,Materiel!$B$14:$M$410,8,FALSE),"")</f>
        <v/>
      </c>
      <c r="F27" s="399">
        <f t="shared" si="0"/>
        <v>0</v>
      </c>
      <c r="G27" s="403"/>
      <c r="H27" s="400"/>
      <c r="I27" s="279" t="str">
        <f>IF(A27&lt;&gt;"",VLOOKUP(A27,Materiel!$B$15:$L$110,10,FALSE),"")</f>
        <v/>
      </c>
      <c r="J27" s="268">
        <f t="shared" si="1"/>
        <v>0</v>
      </c>
      <c r="K27" s="260"/>
      <c r="L27" s="268">
        <f t="shared" si="2"/>
        <v>0</v>
      </c>
      <c r="M27" s="399">
        <f t="shared" si="3"/>
        <v>0</v>
      </c>
      <c r="N27" s="400"/>
      <c r="O27" s="268"/>
      <c r="P27" s="268">
        <f t="shared" si="4"/>
        <v>0</v>
      </c>
    </row>
    <row r="28" spans="1:16" ht="17.45" customHeight="1" x14ac:dyDescent="0.2">
      <c r="A28" s="330"/>
      <c r="B28" s="330"/>
      <c r="C28" s="332" t="str">
        <f>IF(A28&lt;&gt;"",VLOOKUP(A28,Materiel!$B$15:$J$124,9,FALSE),"")</f>
        <v/>
      </c>
      <c r="D28" s="268"/>
      <c r="E28" s="279" t="str">
        <f>IF(A28&lt;&gt;"",VLOOKUP(A28,Materiel!$B$14:$M$410,8,FALSE),"")</f>
        <v/>
      </c>
      <c r="F28" s="399">
        <f t="shared" si="0"/>
        <v>0</v>
      </c>
      <c r="G28" s="403"/>
      <c r="H28" s="400"/>
      <c r="I28" s="279" t="str">
        <f>IF(A28&lt;&gt;"",VLOOKUP(A28,Materiel!$B$15:$L$110,10,FALSE),"")</f>
        <v/>
      </c>
      <c r="J28" s="268">
        <f t="shared" si="1"/>
        <v>0</v>
      </c>
      <c r="K28" s="260"/>
      <c r="L28" s="268">
        <f t="shared" si="2"/>
        <v>0</v>
      </c>
      <c r="M28" s="399">
        <f t="shared" si="3"/>
        <v>0</v>
      </c>
      <c r="N28" s="400"/>
      <c r="O28" s="268"/>
      <c r="P28" s="268">
        <f t="shared" si="4"/>
        <v>0</v>
      </c>
    </row>
    <row r="29" spans="1:16" ht="17.45" customHeight="1" x14ac:dyDescent="0.2">
      <c r="A29" s="333"/>
      <c r="B29" s="333"/>
      <c r="C29" s="334" t="str">
        <f>IF(A29&lt;&gt;"",VLOOKUP(A29,Materiel!$B$15:$J$124,9,FALSE),"")</f>
        <v/>
      </c>
      <c r="D29" s="270"/>
      <c r="E29" s="280" t="str">
        <f>IF(A29&lt;&gt;"",VLOOKUP(A29,Materiel!$B$14:$M$410,8,FALSE),"")</f>
        <v/>
      </c>
      <c r="F29" s="395">
        <f t="shared" si="0"/>
        <v>0</v>
      </c>
      <c r="G29" s="401"/>
      <c r="H29" s="396"/>
      <c r="I29" s="280" t="str">
        <f>IF(A29&lt;&gt;"",VLOOKUP(A29,Materiel!$B$15:$L$110,10,FALSE),"")</f>
        <v/>
      </c>
      <c r="J29" s="270">
        <f t="shared" si="1"/>
        <v>0</v>
      </c>
      <c r="K29" s="271"/>
      <c r="L29" s="270">
        <f t="shared" si="2"/>
        <v>0</v>
      </c>
      <c r="M29" s="395">
        <f t="shared" si="3"/>
        <v>0</v>
      </c>
      <c r="N29" s="396"/>
      <c r="O29" s="270"/>
      <c r="P29" s="270">
        <f t="shared" si="4"/>
        <v>0</v>
      </c>
    </row>
    <row r="30" spans="1:16" s="261" customFormat="1" ht="17.45" customHeight="1" x14ac:dyDescent="0.2">
      <c r="A30" s="278" t="s">
        <v>6</v>
      </c>
      <c r="B30" s="278"/>
      <c r="C30" s="335"/>
      <c r="D30" s="273"/>
      <c r="E30" s="281"/>
      <c r="F30" s="397">
        <f t="shared" si="0"/>
        <v>0</v>
      </c>
      <c r="G30" s="402"/>
      <c r="H30" s="398"/>
      <c r="I30" s="281"/>
      <c r="J30" s="273">
        <f t="shared" si="1"/>
        <v>0</v>
      </c>
      <c r="K30" s="274"/>
      <c r="L30" s="273">
        <f t="shared" si="2"/>
        <v>0</v>
      </c>
      <c r="M30" s="397">
        <f t="shared" si="3"/>
        <v>0</v>
      </c>
      <c r="N30" s="398"/>
      <c r="O30" s="273"/>
      <c r="P30" s="273">
        <f t="shared" si="4"/>
        <v>0</v>
      </c>
    </row>
    <row r="31" spans="1:16" ht="17.45" customHeight="1" x14ac:dyDescent="0.2">
      <c r="A31" s="330"/>
      <c r="B31" s="330"/>
      <c r="C31" s="332" t="str">
        <f>IF(A31&lt;&gt;"",VLOOKUP(A31,Loc!$B$17:$J$114,2,FALSE),"")</f>
        <v/>
      </c>
      <c r="D31" s="268"/>
      <c r="E31" s="279"/>
      <c r="F31" s="399">
        <f t="shared" si="0"/>
        <v>0</v>
      </c>
      <c r="G31" s="403"/>
      <c r="H31" s="400"/>
      <c r="I31" s="279"/>
      <c r="J31" s="268">
        <f t="shared" si="1"/>
        <v>0</v>
      </c>
      <c r="K31" s="279" t="str">
        <f>IF(A31&lt;&gt;"",VLOOKUP(A31,Loc!$B$15:$D$50,3,FALSE),"")</f>
        <v/>
      </c>
      <c r="L31" s="268">
        <f t="shared" si="2"/>
        <v>0</v>
      </c>
      <c r="M31" s="399">
        <f t="shared" si="3"/>
        <v>0</v>
      </c>
      <c r="N31" s="400"/>
      <c r="O31" s="268"/>
      <c r="P31" s="268">
        <f t="shared" si="4"/>
        <v>0</v>
      </c>
    </row>
    <row r="32" spans="1:16" ht="17.45" customHeight="1" x14ac:dyDescent="0.2">
      <c r="A32" s="330"/>
      <c r="B32" s="330"/>
      <c r="C32" s="332" t="str">
        <f>IF(A32&lt;&gt;"",VLOOKUP(A32,Loc!$B$17:$J$114,2,FALSE),"")</f>
        <v/>
      </c>
      <c r="D32" s="268"/>
      <c r="E32" s="279"/>
      <c r="F32" s="399">
        <f t="shared" si="0"/>
        <v>0</v>
      </c>
      <c r="G32" s="403"/>
      <c r="H32" s="400"/>
      <c r="I32" s="279"/>
      <c r="J32" s="268">
        <f t="shared" si="1"/>
        <v>0</v>
      </c>
      <c r="K32" s="260" t="str">
        <f>IF(A32&lt;&gt;"",VLOOKUP(A32,Loc!$B$15:$D$50,3,FALSE),"")</f>
        <v/>
      </c>
      <c r="L32" s="268">
        <f t="shared" si="2"/>
        <v>0</v>
      </c>
      <c r="M32" s="399">
        <f t="shared" si="3"/>
        <v>0</v>
      </c>
      <c r="N32" s="400"/>
      <c r="O32" s="268"/>
      <c r="P32" s="268">
        <f t="shared" si="4"/>
        <v>0</v>
      </c>
    </row>
    <row r="33" spans="1:16" ht="17.45" customHeight="1" x14ac:dyDescent="0.2">
      <c r="A33" s="333"/>
      <c r="B33" s="333"/>
      <c r="C33" s="334" t="str">
        <f>IF(A33&lt;&gt;"",VLOOKUP(A33,Loc!$B$17:$J$114,2,FALSE),"")</f>
        <v/>
      </c>
      <c r="D33" s="270"/>
      <c r="E33" s="280"/>
      <c r="F33" s="395">
        <f t="shared" si="0"/>
        <v>0</v>
      </c>
      <c r="G33" s="401"/>
      <c r="H33" s="396"/>
      <c r="I33" s="280"/>
      <c r="J33" s="270">
        <f t="shared" si="1"/>
        <v>0</v>
      </c>
      <c r="K33" s="271" t="str">
        <f>IF(A33&lt;&gt;"",VLOOKUP(A33,Loc!$B$15:$D$50,3,FALSE),"")</f>
        <v/>
      </c>
      <c r="L33" s="270">
        <f t="shared" si="2"/>
        <v>0</v>
      </c>
      <c r="M33" s="395">
        <f t="shared" si="3"/>
        <v>0</v>
      </c>
      <c r="N33" s="396"/>
      <c r="O33" s="270"/>
      <c r="P33" s="270">
        <f t="shared" si="4"/>
        <v>0</v>
      </c>
    </row>
    <row r="34" spans="1:16" ht="17.45" customHeight="1" x14ac:dyDescent="0.2">
      <c r="A34" s="278" t="s">
        <v>7</v>
      </c>
      <c r="B34" s="278"/>
      <c r="C34" s="335"/>
      <c r="D34" s="273"/>
      <c r="E34" s="281"/>
      <c r="F34" s="397">
        <f t="shared" si="0"/>
        <v>0</v>
      </c>
      <c r="G34" s="402"/>
      <c r="H34" s="398"/>
      <c r="I34" s="281"/>
      <c r="J34" s="273">
        <f t="shared" si="1"/>
        <v>0</v>
      </c>
      <c r="K34" s="274"/>
      <c r="L34" s="273">
        <f t="shared" si="2"/>
        <v>0</v>
      </c>
      <c r="M34" s="397">
        <f t="shared" si="3"/>
        <v>0</v>
      </c>
      <c r="N34" s="398"/>
      <c r="O34" s="273"/>
      <c r="P34" s="273">
        <f t="shared" si="4"/>
        <v>0</v>
      </c>
    </row>
    <row r="35" spans="1:16" ht="17.45" customHeight="1" x14ac:dyDescent="0.2">
      <c r="A35" s="330"/>
      <c r="B35" s="330"/>
      <c r="C35" s="332" t="str">
        <f>IF(A35&lt;&gt;"",VLOOKUP(A35,Fourn!$B$17:$D$114,2,FALSE),"")</f>
        <v/>
      </c>
      <c r="D35" s="268"/>
      <c r="E35" s="279"/>
      <c r="F35" s="399">
        <f t="shared" si="0"/>
        <v>0</v>
      </c>
      <c r="G35" s="403"/>
      <c r="H35" s="400"/>
      <c r="I35" s="279"/>
      <c r="J35" s="268">
        <f t="shared" si="1"/>
        <v>0</v>
      </c>
      <c r="K35" s="279" t="str">
        <f>IF(A35&lt;&gt;"",VLOOKUP(A35,Fourn!$B$17:$D$300,3,FALSE),"")</f>
        <v/>
      </c>
      <c r="L35" s="268">
        <f t="shared" si="2"/>
        <v>0</v>
      </c>
      <c r="M35" s="399">
        <f t="shared" si="3"/>
        <v>0</v>
      </c>
      <c r="N35" s="400"/>
      <c r="O35" s="268"/>
      <c r="P35" s="268">
        <f t="shared" si="4"/>
        <v>0</v>
      </c>
    </row>
    <row r="36" spans="1:16" ht="17.45" customHeight="1" x14ac:dyDescent="0.2">
      <c r="A36" s="330"/>
      <c r="B36" s="330"/>
      <c r="C36" s="332" t="str">
        <f>IF(A36&lt;&gt;"",VLOOKUP(A36,Fourn!$B$17:$D$114,2,FALSE),"")</f>
        <v/>
      </c>
      <c r="D36" s="268"/>
      <c r="E36" s="279"/>
      <c r="F36" s="399">
        <f t="shared" si="0"/>
        <v>0</v>
      </c>
      <c r="G36" s="403"/>
      <c r="H36" s="400"/>
      <c r="I36" s="279"/>
      <c r="J36" s="268">
        <f t="shared" si="1"/>
        <v>0</v>
      </c>
      <c r="K36" s="279" t="str">
        <f>IF(A36&lt;&gt;"",VLOOKUP(A36,Fourn!$B$17:$D$300,3,FALSE),"")</f>
        <v/>
      </c>
      <c r="L36" s="268">
        <f t="shared" si="2"/>
        <v>0</v>
      </c>
      <c r="M36" s="399">
        <f t="shared" si="3"/>
        <v>0</v>
      </c>
      <c r="N36" s="400"/>
      <c r="O36" s="268"/>
      <c r="P36" s="268">
        <f t="shared" si="4"/>
        <v>0</v>
      </c>
    </row>
    <row r="37" spans="1:16" ht="17.45" customHeight="1" x14ac:dyDescent="0.2">
      <c r="A37" s="330"/>
      <c r="B37" s="330"/>
      <c r="C37" s="332" t="str">
        <f>IF(A37&lt;&gt;"",VLOOKUP(A37,Fourn!$B$17:$D$114,2,FALSE),"")</f>
        <v/>
      </c>
      <c r="D37" s="268"/>
      <c r="E37" s="279"/>
      <c r="F37" s="399">
        <f t="shared" si="0"/>
        <v>0</v>
      </c>
      <c r="G37" s="403"/>
      <c r="H37" s="400"/>
      <c r="I37" s="279"/>
      <c r="J37" s="268">
        <f t="shared" si="1"/>
        <v>0</v>
      </c>
      <c r="K37" s="260" t="str">
        <f>IF(A37&lt;&gt;"",VLOOKUP(A37,Fourn!$B$17:$D$300,3,FALSE),"")</f>
        <v/>
      </c>
      <c r="L37" s="268">
        <f t="shared" si="2"/>
        <v>0</v>
      </c>
      <c r="M37" s="399">
        <f t="shared" si="3"/>
        <v>0</v>
      </c>
      <c r="N37" s="400"/>
      <c r="O37" s="268"/>
      <c r="P37" s="268">
        <f t="shared" si="4"/>
        <v>0</v>
      </c>
    </row>
    <row r="38" spans="1:16" ht="17.45" customHeight="1" x14ac:dyDescent="0.2">
      <c r="A38" s="333"/>
      <c r="B38" s="333"/>
      <c r="C38" s="334" t="str">
        <f>IF(A38&lt;&gt;"",VLOOKUP(A38,Fourn!$B$17:$D$114,2,FALSE),"")</f>
        <v/>
      </c>
      <c r="D38" s="270"/>
      <c r="E38" s="280"/>
      <c r="F38" s="395">
        <f t="shared" si="0"/>
        <v>0</v>
      </c>
      <c r="G38" s="401"/>
      <c r="H38" s="396"/>
      <c r="I38" s="280"/>
      <c r="J38" s="270">
        <f t="shared" si="1"/>
        <v>0</v>
      </c>
      <c r="K38" s="271" t="str">
        <f>IF(A38&lt;&gt;"",VLOOKUP(A38,Fourn!$B$17:$D$300,3,FALSE),"")</f>
        <v/>
      </c>
      <c r="L38" s="270">
        <f t="shared" si="2"/>
        <v>0</v>
      </c>
      <c r="M38" s="395">
        <f t="shared" si="3"/>
        <v>0</v>
      </c>
      <c r="N38" s="396"/>
      <c r="O38" s="270"/>
      <c r="P38" s="270">
        <f t="shared" si="4"/>
        <v>0</v>
      </c>
    </row>
    <row r="39" spans="1:16" ht="17.45" customHeight="1" x14ac:dyDescent="0.2">
      <c r="A39" s="278" t="s">
        <v>8</v>
      </c>
      <c r="B39" s="278"/>
      <c r="C39" s="335"/>
      <c r="D39" s="273"/>
      <c r="E39" s="281"/>
      <c r="F39" s="397">
        <f t="shared" si="0"/>
        <v>0</v>
      </c>
      <c r="G39" s="402"/>
      <c r="H39" s="398"/>
      <c r="I39" s="281"/>
      <c r="J39" s="273">
        <f t="shared" si="1"/>
        <v>0</v>
      </c>
      <c r="K39" s="274"/>
      <c r="L39" s="273">
        <f t="shared" si="2"/>
        <v>0</v>
      </c>
      <c r="M39" s="397">
        <f t="shared" si="3"/>
        <v>0</v>
      </c>
      <c r="N39" s="398"/>
      <c r="O39" s="273"/>
      <c r="P39" s="273">
        <f t="shared" si="4"/>
        <v>0</v>
      </c>
    </row>
    <row r="40" spans="1:16" ht="17.45" customHeight="1" x14ac:dyDescent="0.2">
      <c r="A40" s="330"/>
      <c r="B40" s="330"/>
      <c r="C40" s="332"/>
      <c r="D40" s="268"/>
      <c r="E40" s="279"/>
      <c r="F40" s="399">
        <f t="shared" si="0"/>
        <v>0</v>
      </c>
      <c r="G40" s="403"/>
      <c r="H40" s="400"/>
      <c r="I40" s="279"/>
      <c r="J40" s="268">
        <f t="shared" si="1"/>
        <v>0</v>
      </c>
      <c r="K40" s="260"/>
      <c r="L40" s="268">
        <f t="shared" si="2"/>
        <v>0</v>
      </c>
      <c r="M40" s="399">
        <f t="shared" si="3"/>
        <v>0</v>
      </c>
      <c r="N40" s="400"/>
      <c r="O40" s="268"/>
      <c r="P40" s="268">
        <f t="shared" si="4"/>
        <v>0</v>
      </c>
    </row>
    <row r="41" spans="1:16" ht="17.45" customHeight="1" x14ac:dyDescent="0.2">
      <c r="A41" s="330"/>
      <c r="B41" s="330"/>
      <c r="C41" s="332"/>
      <c r="D41" s="268"/>
      <c r="E41" s="279"/>
      <c r="F41" s="399">
        <f t="shared" si="0"/>
        <v>0</v>
      </c>
      <c r="G41" s="403"/>
      <c r="H41" s="400"/>
      <c r="I41" s="279"/>
      <c r="J41" s="268">
        <f t="shared" si="1"/>
        <v>0</v>
      </c>
      <c r="K41" s="260"/>
      <c r="L41" s="268">
        <f t="shared" si="2"/>
        <v>0</v>
      </c>
      <c r="M41" s="399">
        <f t="shared" si="3"/>
        <v>0</v>
      </c>
      <c r="N41" s="400"/>
      <c r="O41" s="268"/>
      <c r="P41" s="268">
        <f t="shared" si="4"/>
        <v>0</v>
      </c>
    </row>
    <row r="42" spans="1:16" ht="17.45" customHeight="1" thickBot="1" x14ac:dyDescent="0.25">
      <c r="A42" s="330"/>
      <c r="B42" s="330"/>
      <c r="C42" s="332"/>
      <c r="D42" s="268"/>
      <c r="E42" s="260"/>
      <c r="F42" s="399">
        <f t="shared" si="0"/>
        <v>0</v>
      </c>
      <c r="G42" s="403"/>
      <c r="H42" s="400"/>
      <c r="I42" s="260"/>
      <c r="J42" s="268">
        <f t="shared" si="1"/>
        <v>0</v>
      </c>
      <c r="K42" s="260"/>
      <c r="L42" s="268">
        <f t="shared" si="2"/>
        <v>0</v>
      </c>
      <c r="M42" s="399">
        <f t="shared" si="3"/>
        <v>0</v>
      </c>
      <c r="N42" s="400"/>
      <c r="O42" s="268"/>
      <c r="P42" s="268">
        <f t="shared" si="4"/>
        <v>0</v>
      </c>
    </row>
    <row r="43" spans="1:16" ht="21.6" customHeight="1" thickBot="1" x14ac:dyDescent="0.25">
      <c r="A43" s="269" t="s">
        <v>40</v>
      </c>
      <c r="B43" s="249"/>
      <c r="C43" s="249"/>
      <c r="D43" s="249"/>
      <c r="E43" s="392">
        <f>SUM(F19:H42)</f>
        <v>0</v>
      </c>
      <c r="F43" s="404"/>
      <c r="G43" s="404"/>
      <c r="H43" s="393"/>
      <c r="I43" s="392">
        <f>SUM(J19:J42)</f>
        <v>0</v>
      </c>
      <c r="J43" s="393"/>
      <c r="K43" s="392">
        <f>SUM(L19:L42)</f>
        <v>0</v>
      </c>
      <c r="L43" s="393"/>
      <c r="M43" s="392">
        <f>SUM(M19:N42)</f>
        <v>0</v>
      </c>
      <c r="N43" s="393"/>
      <c r="O43" s="392">
        <f>SUM(P19:P42)</f>
        <v>0</v>
      </c>
      <c r="P43" s="393"/>
    </row>
    <row r="44" spans="1:16" ht="18.600000000000001" customHeight="1" thickBot="1" x14ac:dyDescent="0.25">
      <c r="A44" s="405"/>
      <c r="B44" s="405"/>
      <c r="C44" s="405"/>
      <c r="D44" s="405"/>
      <c r="E44" s="405"/>
      <c r="F44" s="405"/>
      <c r="G44" s="262"/>
      <c r="H44" s="405"/>
      <c r="I44" s="405"/>
      <c r="J44" s="405"/>
      <c r="K44" s="405"/>
      <c r="L44" s="405"/>
      <c r="M44" s="405"/>
      <c r="N44" s="262"/>
      <c r="O44" s="424" t="s">
        <v>41</v>
      </c>
      <c r="P44" s="433">
        <f>O43</f>
        <v>0</v>
      </c>
    </row>
    <row r="45" spans="1:16" ht="18.75" x14ac:dyDescent="0.2">
      <c r="A45" s="359"/>
      <c r="B45" s="360"/>
      <c r="C45" s="360"/>
      <c r="D45" s="360"/>
      <c r="E45" s="360"/>
      <c r="F45" s="361"/>
      <c r="G45" s="368"/>
      <c r="H45" s="359"/>
      <c r="I45" s="360"/>
      <c r="J45" s="360"/>
      <c r="K45" s="360"/>
      <c r="L45" s="360"/>
      <c r="M45" s="361"/>
      <c r="N45" s="370"/>
      <c r="O45" s="371"/>
      <c r="P45" s="374"/>
    </row>
    <row r="46" spans="1:16" ht="32.450000000000003" customHeight="1" x14ac:dyDescent="0.2">
      <c r="A46" s="365" t="s">
        <v>42</v>
      </c>
      <c r="B46" s="366"/>
      <c r="C46" s="366"/>
      <c r="D46" s="366"/>
      <c r="E46" s="366"/>
      <c r="F46" s="367"/>
      <c r="G46" s="368"/>
      <c r="H46" s="371" t="s">
        <v>43</v>
      </c>
      <c r="I46" s="372"/>
      <c r="J46" s="373">
        <f>M43</f>
        <v>0</v>
      </c>
      <c r="K46" s="373"/>
      <c r="L46" s="373"/>
      <c r="M46" s="374"/>
      <c r="N46" s="370"/>
      <c r="O46" s="414" t="s">
        <v>44</v>
      </c>
      <c r="P46" s="432">
        <f>Coeff!H5</f>
        <v>0.18</v>
      </c>
    </row>
    <row r="47" spans="1:16" ht="24" customHeight="1" x14ac:dyDescent="0.2">
      <c r="A47" s="362" t="s">
        <v>45</v>
      </c>
      <c r="B47" s="363"/>
      <c r="C47" s="363"/>
      <c r="D47" s="363"/>
      <c r="E47" s="363"/>
      <c r="F47" s="364"/>
      <c r="G47" s="368"/>
      <c r="H47" s="368"/>
      <c r="I47" s="369"/>
      <c r="J47" s="369"/>
      <c r="K47" s="369"/>
      <c r="L47" s="369"/>
      <c r="M47" s="370"/>
      <c r="N47" s="370"/>
      <c r="O47" s="414"/>
      <c r="P47" s="432"/>
    </row>
    <row r="48" spans="1:16" ht="18.600000000000001" customHeight="1" x14ac:dyDescent="0.2">
      <c r="A48" s="362"/>
      <c r="B48" s="363"/>
      <c r="C48" s="363"/>
      <c r="D48" s="363"/>
      <c r="E48" s="363"/>
      <c r="F48" s="364"/>
      <c r="G48" s="368"/>
      <c r="H48" s="368"/>
      <c r="I48" s="369"/>
      <c r="J48" s="369"/>
      <c r="K48" s="369"/>
      <c r="L48" s="369"/>
      <c r="M48" s="370"/>
      <c r="N48" s="370"/>
      <c r="O48" s="371" t="s">
        <v>46</v>
      </c>
      <c r="P48" s="394"/>
    </row>
    <row r="49" spans="1:16" ht="34.9" customHeight="1" thickBot="1" x14ac:dyDescent="0.25">
      <c r="A49" s="365" t="s">
        <v>47</v>
      </c>
      <c r="B49" s="366"/>
      <c r="C49" s="366"/>
      <c r="D49" s="366"/>
      <c r="E49" s="366"/>
      <c r="F49" s="367"/>
      <c r="G49" s="368"/>
      <c r="H49" s="375" t="s">
        <v>48</v>
      </c>
      <c r="I49" s="376"/>
      <c r="J49" s="376"/>
      <c r="K49" s="283">
        <f>Coeff!J2</f>
        <v>0.18</v>
      </c>
      <c r="L49" s="388" t="s">
        <v>49</v>
      </c>
      <c r="M49" s="389"/>
      <c r="N49" s="370"/>
      <c r="O49" s="434">
        <f>P44*(1+P46)</f>
        <v>0</v>
      </c>
      <c r="P49" s="435"/>
    </row>
    <row r="50" spans="1:16" ht="34.9" customHeight="1" x14ac:dyDescent="0.2">
      <c r="A50" s="381" t="s">
        <v>50</v>
      </c>
      <c r="B50" s="382"/>
      <c r="C50" s="382"/>
      <c r="D50" s="382"/>
      <c r="E50" s="382"/>
      <c r="F50" s="383"/>
      <c r="G50" s="368"/>
      <c r="H50" s="375" t="s">
        <v>51</v>
      </c>
      <c r="I50" s="376"/>
      <c r="J50" s="376"/>
      <c r="K50" s="283">
        <f>Coeff!J3</f>
        <v>0.08</v>
      </c>
      <c r="L50" s="388" t="s">
        <v>49</v>
      </c>
      <c r="M50" s="389"/>
      <c r="N50" s="369"/>
      <c r="O50" s="424" t="s">
        <v>52</v>
      </c>
      <c r="P50" s="425"/>
    </row>
    <row r="51" spans="1:16" ht="34.9" customHeight="1" x14ac:dyDescent="0.2">
      <c r="A51" s="381"/>
      <c r="B51" s="382"/>
      <c r="C51" s="382"/>
      <c r="D51" s="382"/>
      <c r="E51" s="382"/>
      <c r="F51" s="383"/>
      <c r="G51" s="368"/>
      <c r="H51" s="375" t="s">
        <v>53</v>
      </c>
      <c r="I51" s="376"/>
      <c r="J51" s="376"/>
      <c r="K51" s="283">
        <f>Coeff!J4</f>
        <v>0.05</v>
      </c>
      <c r="L51" s="388" t="s">
        <v>54</v>
      </c>
      <c r="M51" s="389"/>
      <c r="N51" s="369"/>
      <c r="O51" s="371" t="s">
        <v>55</v>
      </c>
      <c r="P51" s="394"/>
    </row>
    <row r="52" spans="1:16" ht="17.45" customHeight="1" x14ac:dyDescent="0.2">
      <c r="A52" s="365"/>
      <c r="B52" s="366"/>
      <c r="C52" s="366"/>
      <c r="D52" s="366"/>
      <c r="E52" s="366"/>
      <c r="F52" s="367"/>
      <c r="G52" s="368"/>
      <c r="H52" s="384" t="s">
        <v>56</v>
      </c>
      <c r="I52" s="385"/>
      <c r="J52" s="385"/>
      <c r="K52" s="385"/>
      <c r="L52" s="373">
        <f>J46*(1+K49+K50)</f>
        <v>0</v>
      </c>
      <c r="M52" s="374"/>
      <c r="N52" s="369"/>
      <c r="O52" s="438"/>
      <c r="P52" s="439"/>
    </row>
    <row r="53" spans="1:16" ht="21" customHeight="1" x14ac:dyDescent="0.2">
      <c r="A53" s="365" t="s">
        <v>57</v>
      </c>
      <c r="B53" s="366"/>
      <c r="C53" s="366"/>
      <c r="D53" s="366"/>
      <c r="E53" s="366"/>
      <c r="F53" s="367"/>
      <c r="G53" s="368"/>
      <c r="H53" s="384"/>
      <c r="I53" s="385"/>
      <c r="J53" s="385"/>
      <c r="K53" s="385"/>
      <c r="L53" s="373"/>
      <c r="M53" s="374"/>
      <c r="N53" s="369"/>
      <c r="O53" s="429">
        <f>O49+L54</f>
        <v>0</v>
      </c>
      <c r="P53" s="430"/>
    </row>
    <row r="54" spans="1:16" ht="18" customHeight="1" x14ac:dyDescent="0.2">
      <c r="A54" s="375"/>
      <c r="B54" s="376"/>
      <c r="C54" s="376"/>
      <c r="D54" s="376"/>
      <c r="E54" s="376"/>
      <c r="F54" s="377"/>
      <c r="G54" s="368"/>
      <c r="H54" s="384" t="s">
        <v>58</v>
      </c>
      <c r="I54" s="385"/>
      <c r="J54" s="385"/>
      <c r="K54" s="385"/>
      <c r="L54" s="373">
        <f>L52*(1+K51)</f>
        <v>0</v>
      </c>
      <c r="M54" s="374"/>
      <c r="N54" s="369"/>
      <c r="O54" s="431"/>
      <c r="P54" s="430"/>
    </row>
    <row r="55" spans="1:16" ht="19.5" thickBot="1" x14ac:dyDescent="0.25">
      <c r="A55" s="378"/>
      <c r="B55" s="379"/>
      <c r="C55" s="379"/>
      <c r="D55" s="379"/>
      <c r="E55" s="379"/>
      <c r="F55" s="380"/>
      <c r="G55" s="368"/>
      <c r="H55" s="386"/>
      <c r="I55" s="387"/>
      <c r="J55" s="387"/>
      <c r="K55" s="387"/>
      <c r="L55" s="390"/>
      <c r="M55" s="391"/>
      <c r="N55" s="369"/>
      <c r="O55" s="436"/>
      <c r="P55" s="437"/>
    </row>
    <row r="56" spans="1:16" ht="18.75" x14ac:dyDescent="0.2">
      <c r="A56" s="262"/>
      <c r="B56" s="262"/>
      <c r="C56" s="262"/>
      <c r="D56" s="262"/>
      <c r="E56" s="262"/>
      <c r="F56" s="262"/>
      <c r="G56" s="262"/>
      <c r="H56" s="262"/>
      <c r="I56" s="262"/>
      <c r="J56" s="262"/>
      <c r="K56" s="262"/>
      <c r="L56" s="262"/>
      <c r="M56" s="262"/>
      <c r="N56" s="262"/>
      <c r="O56" s="262"/>
      <c r="P56" s="262"/>
    </row>
    <row r="57" spans="1:16" x14ac:dyDescent="0.2">
      <c r="A57" s="265"/>
      <c r="B57" s="265"/>
      <c r="C57" s="241"/>
      <c r="D57" s="241"/>
      <c r="E57" s="241"/>
      <c r="F57" s="241"/>
      <c r="G57" s="241"/>
      <c r="H57" s="241"/>
      <c r="I57" s="241"/>
      <c r="J57" s="241"/>
      <c r="K57" s="241"/>
      <c r="L57" s="241"/>
      <c r="M57" s="241"/>
      <c r="N57" s="241"/>
      <c r="O57" s="241"/>
      <c r="P57" s="241"/>
    </row>
  </sheetData>
  <mergeCells count="121">
    <mergeCell ref="O53:P54"/>
    <mergeCell ref="O46:O47"/>
    <mergeCell ref="P46:P47"/>
    <mergeCell ref="O44:O45"/>
    <mergeCell ref="P44:P45"/>
    <mergeCell ref="H44:M44"/>
    <mergeCell ref="H50:J50"/>
    <mergeCell ref="L50:M50"/>
    <mergeCell ref="N50:N55"/>
    <mergeCell ref="H51:J51"/>
    <mergeCell ref="O49:P49"/>
    <mergeCell ref="O55:P55"/>
    <mergeCell ref="O51:P51"/>
    <mergeCell ref="O52:P52"/>
    <mergeCell ref="O50:P50"/>
    <mergeCell ref="F24:H24"/>
    <mergeCell ref="F25:H25"/>
    <mergeCell ref="F26:H26"/>
    <mergeCell ref="M21:N21"/>
    <mergeCell ref="M22:N22"/>
    <mergeCell ref="M23:N23"/>
    <mergeCell ref="M24:N24"/>
    <mergeCell ref="F27:H27"/>
    <mergeCell ref="F28:H28"/>
    <mergeCell ref="A3:P3"/>
    <mergeCell ref="F20:H20"/>
    <mergeCell ref="F21:H21"/>
    <mergeCell ref="F22:H22"/>
    <mergeCell ref="F23:H23"/>
    <mergeCell ref="C6:G8"/>
    <mergeCell ref="J6:M8"/>
    <mergeCell ref="A12:D12"/>
    <mergeCell ref="E12:P12"/>
    <mergeCell ref="A13:A14"/>
    <mergeCell ref="M13:N13"/>
    <mergeCell ref="O13:P14"/>
    <mergeCell ref="E14:H14"/>
    <mergeCell ref="M14:N14"/>
    <mergeCell ref="A15:A18"/>
    <mergeCell ref="C15:C18"/>
    <mergeCell ref="F15:H15"/>
    <mergeCell ref="M15:N15"/>
    <mergeCell ref="F16:H16"/>
    <mergeCell ref="M16:N16"/>
    <mergeCell ref="M17:N17"/>
    <mergeCell ref="F18:H18"/>
    <mergeCell ref="M18:N18"/>
    <mergeCell ref="C5:E5"/>
    <mergeCell ref="C9:F9"/>
    <mergeCell ref="F19:H19"/>
    <mergeCell ref="C13:C14"/>
    <mergeCell ref="D13:D14"/>
    <mergeCell ref="E13:H13"/>
    <mergeCell ref="F17:H17"/>
    <mergeCell ref="C10:L11"/>
    <mergeCell ref="I13:J14"/>
    <mergeCell ref="K13:L14"/>
    <mergeCell ref="M35:N35"/>
    <mergeCell ref="M25:N25"/>
    <mergeCell ref="F32:H32"/>
    <mergeCell ref="F33:H33"/>
    <mergeCell ref="F34:H34"/>
    <mergeCell ref="M36:N36"/>
    <mergeCell ref="F35:H35"/>
    <mergeCell ref="F36:H36"/>
    <mergeCell ref="M37:N37"/>
    <mergeCell ref="M26:N26"/>
    <mergeCell ref="M27:N27"/>
    <mergeCell ref="M28:N28"/>
    <mergeCell ref="M29:N29"/>
    <mergeCell ref="M30:N30"/>
    <mergeCell ref="M31:N31"/>
    <mergeCell ref="M32:N32"/>
    <mergeCell ref="M33:N33"/>
    <mergeCell ref="M34:N34"/>
    <mergeCell ref="F29:H29"/>
    <mergeCell ref="F30:H30"/>
    <mergeCell ref="F31:H31"/>
    <mergeCell ref="F37:H37"/>
    <mergeCell ref="O43:P43"/>
    <mergeCell ref="O48:P48"/>
    <mergeCell ref="H45:M45"/>
    <mergeCell ref="N45:N49"/>
    <mergeCell ref="L49:M49"/>
    <mergeCell ref="H49:J49"/>
    <mergeCell ref="M38:N38"/>
    <mergeCell ref="M39:N39"/>
    <mergeCell ref="M40:N40"/>
    <mergeCell ref="F38:H38"/>
    <mergeCell ref="F39:H39"/>
    <mergeCell ref="F40:H40"/>
    <mergeCell ref="E43:H43"/>
    <mergeCell ref="F41:H41"/>
    <mergeCell ref="F42:H42"/>
    <mergeCell ref="M41:N41"/>
    <mergeCell ref="M42:N42"/>
    <mergeCell ref="I43:J43"/>
    <mergeCell ref="K43:L43"/>
    <mergeCell ref="M43:N43"/>
    <mergeCell ref="G45:G49"/>
    <mergeCell ref="A49:F49"/>
    <mergeCell ref="A44:F44"/>
    <mergeCell ref="H48:M48"/>
    <mergeCell ref="A45:F45"/>
    <mergeCell ref="A48:F48"/>
    <mergeCell ref="A46:F46"/>
    <mergeCell ref="A47:F47"/>
    <mergeCell ref="H47:M47"/>
    <mergeCell ref="H46:I46"/>
    <mergeCell ref="J46:M46"/>
    <mergeCell ref="G50:G55"/>
    <mergeCell ref="A54:F54"/>
    <mergeCell ref="A55:F55"/>
    <mergeCell ref="A52:F52"/>
    <mergeCell ref="A53:F53"/>
    <mergeCell ref="A50:F51"/>
    <mergeCell ref="H52:K53"/>
    <mergeCell ref="H54:K55"/>
    <mergeCell ref="L51:M51"/>
    <mergeCell ref="L52:M53"/>
    <mergeCell ref="L54:M55"/>
  </mergeCells>
  <phoneticPr fontId="24" type="noConversion"/>
  <dataValidations count="4">
    <dataValidation type="list" allowBlank="1" showInputMessage="1" showErrorMessage="1" sqref="C59:C63 C43:C47 C58 C74:C75 A25:B29 B40:B42" xr:uid="{68279585-BC62-43AF-BA3F-FBE1939E197D}">
      <formula1>ListeMachine</formula1>
    </dataValidation>
    <dataValidation type="list" allowBlank="1" showInputMessage="1" showErrorMessage="1" sqref="C53:C56 C69:C72 A35:B38" xr:uid="{741EC884-7C66-4BA2-B892-5A8B97CD3C71}">
      <formula1>ListeFournitures</formula1>
    </dataValidation>
    <dataValidation type="list" allowBlank="1" showInputMessage="1" showErrorMessage="1" sqref="A31:B33 C65:C67 C49" xr:uid="{7B6C7888-05BE-40F5-9603-8D7F5EC97490}">
      <formula1>ListeLocations</formula1>
    </dataValidation>
    <dataValidation type="list" allowBlank="1" showInputMessage="1" showErrorMessage="1" sqref="A21:B23 A19:B19" xr:uid="{9EF20309-0DB7-43E6-B27E-6590AC544826}">
      <formula1>ListePersonnel</formula1>
    </dataValidation>
  </dataValidations>
  <printOptions horizontalCentered="1" verticalCentered="1"/>
  <pageMargins left="0.23622047244094491" right="0.23622047244094491" top="0.19685039370078741" bottom="0.15748031496062992" header="0" footer="0"/>
  <pageSetup paperSize="9" scale="5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A650A-D5FE-4472-A977-EA201570C0F5}">
  <sheetPr codeName="Feuil28">
    <tabColor indexed="52"/>
    <pageSetUpPr fitToPage="1"/>
  </sheetPr>
  <dimension ref="A2:I310"/>
  <sheetViews>
    <sheetView showZeros="0" zoomScale="85" zoomScaleNormal="100" workbookViewId="0">
      <pane xSplit="3" ySplit="12" topLeftCell="D13" activePane="bottomRight" state="frozen"/>
      <selection pane="topRight" activeCell="D1" sqref="D1"/>
      <selection pane="bottomLeft" activeCell="A13" sqref="A13"/>
      <selection pane="bottomRight" activeCell="D19" sqref="D19"/>
    </sheetView>
  </sheetViews>
  <sheetFormatPr baseColWidth="10" defaultColWidth="11.42578125" defaultRowHeight="13.5" customHeight="1" x14ac:dyDescent="0.25"/>
  <cols>
    <col min="1" max="1" width="5" style="3" customWidth="1"/>
    <col min="2" max="2" width="59" style="4" customWidth="1"/>
    <col min="3" max="3" width="2.7109375" style="4" customWidth="1"/>
    <col min="4" max="5" width="21.5703125" style="16" customWidth="1"/>
    <col min="6" max="16384" width="11.42578125" style="4"/>
  </cols>
  <sheetData>
    <row r="2" spans="1:9" ht="24" customHeight="1" x14ac:dyDescent="0.25">
      <c r="B2" s="449" t="s">
        <v>59</v>
      </c>
      <c r="D2" s="450" t="s">
        <v>60</v>
      </c>
    </row>
    <row r="3" spans="1:9" ht="13.5" customHeight="1" x14ac:dyDescent="0.25">
      <c r="B3" s="449"/>
      <c r="D3" s="450"/>
    </row>
    <row r="4" spans="1:9" ht="13.5" customHeight="1" x14ac:dyDescent="0.25">
      <c r="B4" s="449"/>
    </row>
    <row r="5" spans="1:9" ht="15.75" customHeight="1" x14ac:dyDescent="0.25">
      <c r="D5" s="4"/>
    </row>
    <row r="6" spans="1:9" ht="15.75" hidden="1" customHeight="1" x14ac:dyDescent="0.25">
      <c r="D6" s="4"/>
    </row>
    <row r="7" spans="1:9" ht="15.75" hidden="1" customHeight="1" x14ac:dyDescent="0.25">
      <c r="D7" s="4"/>
    </row>
    <row r="8" spans="1:9" ht="15.75" hidden="1" customHeight="1" x14ac:dyDescent="0.25">
      <c r="D8" s="4"/>
    </row>
    <row r="9" spans="1:9" ht="23.25" hidden="1" customHeight="1" x14ac:dyDescent="0.25">
      <c r="D9" s="4"/>
      <c r="E9" s="35"/>
    </row>
    <row r="10" spans="1:9" ht="19.5" hidden="1" customHeight="1" x14ac:dyDescent="0.25">
      <c r="D10" s="4"/>
      <c r="E10" s="37"/>
    </row>
    <row r="11" spans="1:9" ht="26.25" customHeight="1" x14ac:dyDescent="0.25">
      <c r="A11" s="38"/>
      <c r="C11" s="38"/>
      <c r="D11" s="233" t="s">
        <v>61</v>
      </c>
      <c r="E11" s="236">
        <v>1</v>
      </c>
    </row>
    <row r="12" spans="1:9" ht="20.25" customHeight="1" thickBot="1" x14ac:dyDescent="0.3">
      <c r="A12" s="38"/>
      <c r="C12" s="38"/>
      <c r="D12" s="4"/>
      <c r="E12" s="48"/>
    </row>
    <row r="13" spans="1:9" ht="18" customHeight="1" x14ac:dyDescent="0.25">
      <c r="A13" s="49"/>
      <c r="B13" s="137"/>
      <c r="C13" s="59"/>
      <c r="D13" s="4"/>
      <c r="E13" s="59"/>
    </row>
    <row r="14" spans="1:9" ht="18" customHeight="1" x14ac:dyDescent="0.25">
      <c r="A14" s="60"/>
      <c r="B14" s="138" t="s">
        <v>0</v>
      </c>
      <c r="C14" s="70"/>
      <c r="D14" s="4"/>
      <c r="E14" s="70"/>
    </row>
    <row r="15" spans="1:9" ht="18" customHeight="1" x14ac:dyDescent="0.25">
      <c r="A15" s="60"/>
      <c r="B15" s="140"/>
      <c r="C15" s="92"/>
      <c r="D15" s="4"/>
      <c r="E15" s="70"/>
    </row>
    <row r="16" spans="1:9" ht="18" customHeight="1" thickBot="1" x14ac:dyDescent="0.3">
      <c r="A16" s="125"/>
      <c r="B16" s="222"/>
      <c r="C16" s="92"/>
      <c r="D16" s="4"/>
      <c r="E16" s="70"/>
      <c r="I16" s="4" t="s">
        <v>62</v>
      </c>
    </row>
    <row r="17" spans="1:9" ht="18" customHeight="1" x14ac:dyDescent="0.25">
      <c r="A17" s="125"/>
      <c r="B17" s="126" t="s">
        <v>63</v>
      </c>
      <c r="C17" s="142" t="s">
        <v>64</v>
      </c>
      <c r="D17" s="145">
        <f>I17*$E$11</f>
        <v>650</v>
      </c>
      <c r="E17" s="446" t="s">
        <v>65</v>
      </c>
      <c r="F17" s="447"/>
      <c r="G17" s="448"/>
      <c r="I17" s="145">
        <v>650</v>
      </c>
    </row>
    <row r="18" spans="1:9" ht="18" customHeight="1" x14ac:dyDescent="0.25">
      <c r="A18" s="125"/>
      <c r="B18" s="128" t="s">
        <v>66</v>
      </c>
      <c r="C18" s="123" t="s">
        <v>64</v>
      </c>
      <c r="D18" s="146">
        <v>800</v>
      </c>
      <c r="E18" s="440"/>
      <c r="F18" s="441"/>
      <c r="G18" s="442"/>
      <c r="I18" s="146"/>
    </row>
    <row r="19" spans="1:9" ht="18" customHeight="1" x14ac:dyDescent="0.25">
      <c r="A19" s="125"/>
      <c r="B19" s="128" t="s">
        <v>67</v>
      </c>
      <c r="C19" s="123" t="s">
        <v>64</v>
      </c>
      <c r="D19" s="146">
        <v>700</v>
      </c>
      <c r="E19" s="440" t="s">
        <v>65</v>
      </c>
      <c r="F19" s="441"/>
      <c r="G19" s="442"/>
      <c r="I19" s="146">
        <v>600</v>
      </c>
    </row>
    <row r="20" spans="1:9" ht="18" customHeight="1" x14ac:dyDescent="0.25">
      <c r="A20" s="125"/>
      <c r="B20" s="128" t="s">
        <v>68</v>
      </c>
      <c r="C20" s="124" t="s">
        <v>69</v>
      </c>
      <c r="D20" s="146">
        <f>600/8</f>
        <v>75</v>
      </c>
      <c r="E20" s="440" t="s">
        <v>65</v>
      </c>
      <c r="F20" s="441"/>
      <c r="G20" s="442"/>
      <c r="I20" s="146">
        <v>400</v>
      </c>
    </row>
    <row r="21" spans="1:9" ht="18" customHeight="1" x14ac:dyDescent="0.25">
      <c r="A21" s="125"/>
      <c r="B21" s="128" t="s">
        <v>70</v>
      </c>
      <c r="C21" s="124" t="s">
        <v>64</v>
      </c>
      <c r="D21" s="146">
        <v>450</v>
      </c>
      <c r="E21" s="440" t="s">
        <v>65</v>
      </c>
      <c r="F21" s="441"/>
      <c r="G21" s="442"/>
      <c r="I21" s="146">
        <v>400</v>
      </c>
    </row>
    <row r="22" spans="1:9" ht="18" customHeight="1" x14ac:dyDescent="0.25">
      <c r="A22" s="125"/>
      <c r="B22" s="128" t="s">
        <v>71</v>
      </c>
      <c r="C22" s="124" t="s">
        <v>69</v>
      </c>
      <c r="D22" s="146">
        <f>D20*2/8</f>
        <v>18.75</v>
      </c>
      <c r="E22" s="440" t="s">
        <v>65</v>
      </c>
      <c r="F22" s="441"/>
      <c r="G22" s="442"/>
      <c r="I22" s="146">
        <v>400</v>
      </c>
    </row>
    <row r="23" spans="1:9" ht="18" customHeight="1" x14ac:dyDescent="0.25">
      <c r="A23" s="125"/>
      <c r="B23" s="128" t="s">
        <v>72</v>
      </c>
      <c r="C23" s="124" t="s">
        <v>64</v>
      </c>
      <c r="D23" s="146">
        <f>+D21*2/8</f>
        <v>112.5</v>
      </c>
      <c r="E23" s="440" t="s">
        <v>65</v>
      </c>
      <c r="F23" s="441"/>
      <c r="G23" s="442"/>
      <c r="I23" s="146">
        <v>400</v>
      </c>
    </row>
    <row r="24" spans="1:9" ht="18" customHeight="1" x14ac:dyDescent="0.25">
      <c r="A24" s="125"/>
      <c r="B24" s="128" t="s">
        <v>73</v>
      </c>
      <c r="C24" s="124" t="s">
        <v>64</v>
      </c>
      <c r="D24" s="146">
        <v>500</v>
      </c>
      <c r="E24" s="440" t="s">
        <v>65</v>
      </c>
      <c r="F24" s="441"/>
      <c r="G24" s="442"/>
      <c r="I24" s="146">
        <v>400</v>
      </c>
    </row>
    <row r="25" spans="1:9" ht="18" customHeight="1" x14ac:dyDescent="0.25">
      <c r="A25" s="125"/>
      <c r="B25" s="128" t="s">
        <v>74</v>
      </c>
      <c r="C25" s="124" t="s">
        <v>64</v>
      </c>
      <c r="D25" s="146">
        <v>900</v>
      </c>
      <c r="E25" s="440" t="s">
        <v>65</v>
      </c>
      <c r="F25" s="441"/>
      <c r="G25" s="442"/>
      <c r="I25" s="146">
        <v>450</v>
      </c>
    </row>
    <row r="26" spans="1:9" ht="18" customHeight="1" x14ac:dyDescent="0.25">
      <c r="A26" s="125"/>
      <c r="B26" s="128" t="s">
        <v>75</v>
      </c>
      <c r="C26" s="124" t="s">
        <v>76</v>
      </c>
      <c r="D26" s="146">
        <v>55</v>
      </c>
      <c r="E26" s="440"/>
      <c r="F26" s="441"/>
      <c r="G26" s="442"/>
      <c r="I26" s="146"/>
    </row>
    <row r="27" spans="1:9" ht="18" customHeight="1" x14ac:dyDescent="0.25">
      <c r="A27" s="125"/>
      <c r="B27" s="128" t="s">
        <v>77</v>
      </c>
      <c r="C27" s="124" t="s">
        <v>69</v>
      </c>
      <c r="D27" s="146">
        <f>D25*2/8</f>
        <v>225</v>
      </c>
      <c r="E27" s="440" t="s">
        <v>65</v>
      </c>
      <c r="F27" s="441"/>
      <c r="G27" s="442"/>
      <c r="I27" s="146">
        <v>450</v>
      </c>
    </row>
    <row r="28" spans="1:9" ht="15" x14ac:dyDescent="0.25">
      <c r="A28" s="141"/>
      <c r="B28" s="143" t="s">
        <v>78</v>
      </c>
      <c r="C28" s="144" t="s">
        <v>79</v>
      </c>
      <c r="D28" s="146">
        <v>1500</v>
      </c>
      <c r="E28" s="440" t="s">
        <v>65</v>
      </c>
      <c r="F28" s="441"/>
      <c r="G28" s="442"/>
      <c r="I28" s="147"/>
    </row>
    <row r="29" spans="1:9" ht="18" customHeight="1" x14ac:dyDescent="0.25">
      <c r="A29" s="125"/>
      <c r="B29" s="149"/>
      <c r="C29" s="150"/>
      <c r="D29" s="151">
        <f t="shared" ref="D29:D46" si="0">I29*$E$11</f>
        <v>0</v>
      </c>
      <c r="E29" s="22"/>
      <c r="I29" s="151"/>
    </row>
    <row r="30" spans="1:9" ht="18" customHeight="1" x14ac:dyDescent="0.25">
      <c r="A30" s="125"/>
      <c r="B30" s="126" t="s">
        <v>80</v>
      </c>
      <c r="C30" s="127" t="s">
        <v>69</v>
      </c>
      <c r="D30" s="145">
        <v>53</v>
      </c>
      <c r="E30" s="446" t="s">
        <v>81</v>
      </c>
      <c r="F30" s="447"/>
      <c r="G30" s="448"/>
      <c r="I30" s="145">
        <v>40</v>
      </c>
    </row>
    <row r="31" spans="1:9" ht="18" customHeight="1" x14ac:dyDescent="0.25">
      <c r="A31" s="125"/>
      <c r="B31" s="128" t="s">
        <v>82</v>
      </c>
      <c r="C31" s="124" t="s">
        <v>69</v>
      </c>
      <c r="D31" s="146">
        <v>60</v>
      </c>
      <c r="E31" s="440" t="s">
        <v>81</v>
      </c>
      <c r="F31" s="441"/>
      <c r="G31" s="442"/>
      <c r="I31" s="146">
        <v>47.5</v>
      </c>
    </row>
    <row r="32" spans="1:9" ht="18" customHeight="1" x14ac:dyDescent="0.25">
      <c r="A32" s="125"/>
      <c r="B32" s="128" t="s">
        <v>83</v>
      </c>
      <c r="C32" s="124" t="s">
        <v>69</v>
      </c>
      <c r="D32" s="146">
        <v>45</v>
      </c>
      <c r="E32" s="440" t="s">
        <v>81</v>
      </c>
      <c r="F32" s="441"/>
      <c r="G32" s="442"/>
      <c r="I32" s="146">
        <v>48</v>
      </c>
    </row>
    <row r="33" spans="1:9" ht="15" x14ac:dyDescent="0.25">
      <c r="A33" s="125"/>
      <c r="B33" s="128" t="s">
        <v>84</v>
      </c>
      <c r="C33" s="124" t="s">
        <v>69</v>
      </c>
      <c r="D33" s="146">
        <v>53</v>
      </c>
      <c r="E33" s="440" t="s">
        <v>81</v>
      </c>
      <c r="F33" s="441"/>
      <c r="G33" s="442"/>
      <c r="I33" s="146">
        <v>34</v>
      </c>
    </row>
    <row r="34" spans="1:9" ht="15.75" thickBot="1" x14ac:dyDescent="0.3">
      <c r="A34" s="125"/>
      <c r="B34" s="128" t="s">
        <v>85</v>
      </c>
      <c r="C34" s="115" t="s">
        <v>69</v>
      </c>
      <c r="D34" s="146">
        <v>60</v>
      </c>
      <c r="E34" s="440" t="s">
        <v>81</v>
      </c>
      <c r="F34" s="441"/>
      <c r="G34" s="442"/>
      <c r="I34" s="146">
        <v>55.5</v>
      </c>
    </row>
    <row r="35" spans="1:9" ht="18" customHeight="1" x14ac:dyDescent="0.25">
      <c r="A35" s="125"/>
      <c r="B35" s="126" t="s">
        <v>86</v>
      </c>
      <c r="C35" s="127" t="s">
        <v>69</v>
      </c>
      <c r="D35" s="145">
        <v>53</v>
      </c>
      <c r="E35" s="446" t="s">
        <v>81</v>
      </c>
      <c r="F35" s="447"/>
      <c r="G35" s="448"/>
      <c r="I35" s="145">
        <v>40</v>
      </c>
    </row>
    <row r="36" spans="1:9" ht="18" customHeight="1" x14ac:dyDescent="0.25">
      <c r="A36" s="125"/>
      <c r="B36" s="128" t="s">
        <v>87</v>
      </c>
      <c r="C36" s="124" t="s">
        <v>69</v>
      </c>
      <c r="D36" s="146">
        <v>60</v>
      </c>
      <c r="E36" s="440" t="s">
        <v>81</v>
      </c>
      <c r="F36" s="441"/>
      <c r="G36" s="442"/>
      <c r="I36" s="146">
        <v>47.5</v>
      </c>
    </row>
    <row r="37" spans="1:9" ht="18" customHeight="1" x14ac:dyDescent="0.25">
      <c r="A37" s="125"/>
      <c r="B37" s="128" t="s">
        <v>88</v>
      </c>
      <c r="C37" s="124" t="s">
        <v>69</v>
      </c>
      <c r="D37" s="146">
        <v>45</v>
      </c>
      <c r="E37" s="440" t="s">
        <v>81</v>
      </c>
      <c r="F37" s="441"/>
      <c r="G37" s="442"/>
      <c r="I37" s="146">
        <v>48</v>
      </c>
    </row>
    <row r="38" spans="1:9" ht="15" x14ac:dyDescent="0.25">
      <c r="A38" s="125"/>
      <c r="B38" s="128" t="s">
        <v>89</v>
      </c>
      <c r="C38" s="124" t="s">
        <v>69</v>
      </c>
      <c r="D38" s="146">
        <v>53</v>
      </c>
      <c r="E38" s="440" t="s">
        <v>81</v>
      </c>
      <c r="F38" s="441"/>
      <c r="G38" s="442"/>
      <c r="I38" s="146">
        <v>34</v>
      </c>
    </row>
    <row r="39" spans="1:9" ht="15" x14ac:dyDescent="0.25">
      <c r="A39" s="125"/>
      <c r="B39" s="128" t="s">
        <v>90</v>
      </c>
      <c r="C39" s="115" t="s">
        <v>69</v>
      </c>
      <c r="D39" s="146">
        <v>60</v>
      </c>
      <c r="E39" s="440" t="s">
        <v>81</v>
      </c>
      <c r="F39" s="441"/>
      <c r="G39" s="442"/>
      <c r="I39" s="146">
        <v>55.5</v>
      </c>
    </row>
    <row r="40" spans="1:9" ht="15" x14ac:dyDescent="0.25">
      <c r="A40" s="125"/>
      <c r="B40" s="134"/>
      <c r="C40" s="115"/>
      <c r="D40" s="148">
        <f t="shared" si="0"/>
        <v>0</v>
      </c>
      <c r="E40" s="440"/>
      <c r="F40" s="441"/>
      <c r="G40" s="442"/>
      <c r="I40" s="148"/>
    </row>
    <row r="41" spans="1:9" ht="15" x14ac:dyDescent="0.25">
      <c r="A41" s="125"/>
      <c r="B41" s="128" t="s">
        <v>91</v>
      </c>
      <c r="C41" s="115" t="s">
        <v>69</v>
      </c>
      <c r="D41" s="146">
        <f t="shared" si="0"/>
        <v>34</v>
      </c>
      <c r="E41" s="440" t="s">
        <v>81</v>
      </c>
      <c r="F41" s="441"/>
      <c r="G41" s="442"/>
      <c r="I41" s="146">
        <v>34</v>
      </c>
    </row>
    <row r="42" spans="1:9" ht="15" x14ac:dyDescent="0.25">
      <c r="A42" s="125"/>
      <c r="B42" s="128" t="s">
        <v>92</v>
      </c>
      <c r="C42" s="115" t="s">
        <v>69</v>
      </c>
      <c r="D42" s="146">
        <f t="shared" si="0"/>
        <v>22</v>
      </c>
      <c r="E42" s="440" t="s">
        <v>81</v>
      </c>
      <c r="F42" s="441"/>
      <c r="G42" s="442"/>
      <c r="I42" s="146">
        <v>22</v>
      </c>
    </row>
    <row r="43" spans="1:9" ht="15" x14ac:dyDescent="0.25">
      <c r="A43" s="125"/>
      <c r="B43" s="134"/>
      <c r="C43" s="115"/>
      <c r="D43" s="148">
        <f t="shared" si="0"/>
        <v>0</v>
      </c>
      <c r="E43" s="440"/>
      <c r="F43" s="441"/>
      <c r="G43" s="442"/>
      <c r="I43" s="148"/>
    </row>
    <row r="44" spans="1:9" ht="15" x14ac:dyDescent="0.25">
      <c r="A44" s="125"/>
      <c r="B44" s="134"/>
      <c r="C44" s="115"/>
      <c r="D44" s="148">
        <f t="shared" si="0"/>
        <v>0</v>
      </c>
      <c r="E44" s="440"/>
      <c r="F44" s="441"/>
      <c r="G44" s="442"/>
      <c r="I44" s="148"/>
    </row>
    <row r="45" spans="1:9" ht="15" x14ac:dyDescent="0.25">
      <c r="A45" s="125"/>
      <c r="B45" s="134"/>
      <c r="C45" s="115"/>
      <c r="D45" s="148">
        <f t="shared" si="0"/>
        <v>0</v>
      </c>
      <c r="E45" s="440"/>
      <c r="F45" s="441"/>
      <c r="G45" s="442"/>
      <c r="I45" s="148"/>
    </row>
    <row r="46" spans="1:9" ht="15.75" thickBot="1" x14ac:dyDescent="0.3">
      <c r="A46" s="125"/>
      <c r="B46" s="143"/>
      <c r="C46" s="144"/>
      <c r="D46" s="147">
        <f t="shared" si="0"/>
        <v>0</v>
      </c>
      <c r="E46" s="443"/>
      <c r="F46" s="444"/>
      <c r="G46" s="445"/>
      <c r="I46" s="147"/>
    </row>
    <row r="47" spans="1:9" ht="13.5" customHeight="1" x14ac:dyDescent="0.25">
      <c r="A47" s="125"/>
      <c r="D47" s="95"/>
      <c r="E47" s="95"/>
    </row>
    <row r="48" spans="1:9" ht="13.5" customHeight="1" x14ac:dyDescent="0.25">
      <c r="A48" s="125"/>
      <c r="D48" s="95"/>
      <c r="E48" s="95"/>
    </row>
    <row r="49" spans="4:5" ht="13.5" customHeight="1" x14ac:dyDescent="0.25">
      <c r="D49" s="95"/>
      <c r="E49" s="95"/>
    </row>
    <row r="50" spans="4:5" ht="13.5" customHeight="1" x14ac:dyDescent="0.25">
      <c r="D50" s="95"/>
      <c r="E50" s="95"/>
    </row>
    <row r="51" spans="4:5" ht="13.5" customHeight="1" x14ac:dyDescent="0.25">
      <c r="D51" s="95"/>
      <c r="E51" s="95"/>
    </row>
    <row r="52" spans="4:5" ht="13.5" customHeight="1" x14ac:dyDescent="0.25">
      <c r="D52" s="95"/>
      <c r="E52" s="95"/>
    </row>
    <row r="53" spans="4:5" ht="13.5" customHeight="1" x14ac:dyDescent="0.25">
      <c r="D53" s="95"/>
      <c r="E53" s="95"/>
    </row>
    <row r="54" spans="4:5" ht="13.5" customHeight="1" x14ac:dyDescent="0.25">
      <c r="D54" s="95"/>
      <c r="E54" s="95"/>
    </row>
    <row r="55" spans="4:5" ht="13.5" customHeight="1" x14ac:dyDescent="0.25">
      <c r="D55" s="95"/>
      <c r="E55" s="95"/>
    </row>
    <row r="56" spans="4:5" ht="13.5" customHeight="1" x14ac:dyDescent="0.25">
      <c r="D56" s="95"/>
      <c r="E56" s="95"/>
    </row>
    <row r="57" spans="4:5" ht="13.5" customHeight="1" x14ac:dyDescent="0.25">
      <c r="D57" s="95"/>
      <c r="E57" s="95"/>
    </row>
    <row r="58" spans="4:5" ht="13.5" customHeight="1" x14ac:dyDescent="0.25">
      <c r="D58" s="95"/>
      <c r="E58" s="95"/>
    </row>
    <row r="59" spans="4:5" ht="13.5" customHeight="1" x14ac:dyDescent="0.25">
      <c r="D59" s="95"/>
      <c r="E59" s="95"/>
    </row>
    <row r="60" spans="4:5" ht="13.5" customHeight="1" x14ac:dyDescent="0.25">
      <c r="D60" s="95"/>
      <c r="E60" s="95"/>
    </row>
    <row r="61" spans="4:5" ht="13.5" customHeight="1" x14ac:dyDescent="0.25">
      <c r="D61" s="95"/>
      <c r="E61" s="95"/>
    </row>
    <row r="62" spans="4:5" ht="13.5" customHeight="1" x14ac:dyDescent="0.25">
      <c r="D62" s="95"/>
      <c r="E62" s="95"/>
    </row>
    <row r="63" spans="4:5" ht="13.5" customHeight="1" x14ac:dyDescent="0.25">
      <c r="D63" s="95"/>
      <c r="E63" s="95"/>
    </row>
    <row r="64" spans="4:5" ht="13.5" customHeight="1" x14ac:dyDescent="0.25">
      <c r="D64" s="95"/>
      <c r="E64" s="95"/>
    </row>
    <row r="65" spans="4:5" ht="13.5" customHeight="1" x14ac:dyDescent="0.25">
      <c r="D65" s="95"/>
      <c r="E65" s="95"/>
    </row>
    <row r="66" spans="4:5" ht="13.5" customHeight="1" x14ac:dyDescent="0.25">
      <c r="D66" s="95"/>
      <c r="E66" s="95"/>
    </row>
    <row r="67" spans="4:5" ht="13.5" customHeight="1" x14ac:dyDescent="0.25">
      <c r="D67" s="95"/>
      <c r="E67" s="95"/>
    </row>
    <row r="68" spans="4:5" ht="13.5" customHeight="1" x14ac:dyDescent="0.25">
      <c r="D68" s="95"/>
      <c r="E68" s="95"/>
    </row>
    <row r="69" spans="4:5" ht="13.5" customHeight="1" x14ac:dyDescent="0.25">
      <c r="D69" s="95"/>
      <c r="E69" s="95"/>
    </row>
    <row r="70" spans="4:5" ht="13.5" customHeight="1" x14ac:dyDescent="0.25">
      <c r="D70" s="95"/>
      <c r="E70" s="95"/>
    </row>
    <row r="71" spans="4:5" ht="13.5" customHeight="1" x14ac:dyDescent="0.25">
      <c r="D71" s="95"/>
      <c r="E71" s="95"/>
    </row>
    <row r="72" spans="4:5" ht="13.5" customHeight="1" x14ac:dyDescent="0.25">
      <c r="D72" s="95"/>
      <c r="E72" s="95"/>
    </row>
    <row r="73" spans="4:5" ht="13.5" customHeight="1" x14ac:dyDescent="0.25">
      <c r="D73" s="95"/>
      <c r="E73" s="95"/>
    </row>
    <row r="74" spans="4:5" ht="13.5" customHeight="1" x14ac:dyDescent="0.25">
      <c r="D74" s="95"/>
      <c r="E74" s="95"/>
    </row>
    <row r="75" spans="4:5" ht="13.5" customHeight="1" x14ac:dyDescent="0.25">
      <c r="D75" s="95"/>
      <c r="E75" s="95"/>
    </row>
    <row r="76" spans="4:5" ht="13.5" customHeight="1" x14ac:dyDescent="0.25">
      <c r="D76" s="95"/>
      <c r="E76" s="95"/>
    </row>
    <row r="77" spans="4:5" ht="13.5" customHeight="1" x14ac:dyDescent="0.25">
      <c r="D77" s="95"/>
      <c r="E77" s="95"/>
    </row>
    <row r="78" spans="4:5" ht="13.5" customHeight="1" x14ac:dyDescent="0.25">
      <c r="D78" s="95"/>
      <c r="E78" s="95"/>
    </row>
    <row r="79" spans="4:5" ht="13.5" customHeight="1" x14ac:dyDescent="0.25">
      <c r="D79" s="95"/>
      <c r="E79" s="95"/>
    </row>
    <row r="80" spans="4:5" ht="13.5" customHeight="1" x14ac:dyDescent="0.25">
      <c r="D80" s="95"/>
      <c r="E80" s="95"/>
    </row>
    <row r="81" spans="4:5" ht="13.5" customHeight="1" x14ac:dyDescent="0.25">
      <c r="D81" s="95"/>
      <c r="E81" s="95"/>
    </row>
    <row r="82" spans="4:5" ht="13.5" customHeight="1" x14ac:dyDescent="0.25">
      <c r="D82" s="95"/>
      <c r="E82" s="95"/>
    </row>
    <row r="83" spans="4:5" ht="13.5" customHeight="1" x14ac:dyDescent="0.25">
      <c r="D83" s="95"/>
      <c r="E83" s="95"/>
    </row>
    <row r="84" spans="4:5" ht="13.5" customHeight="1" x14ac:dyDescent="0.25">
      <c r="D84" s="95"/>
      <c r="E84" s="95"/>
    </row>
    <row r="85" spans="4:5" ht="13.5" customHeight="1" x14ac:dyDescent="0.25">
      <c r="D85" s="95"/>
      <c r="E85" s="95"/>
    </row>
    <row r="86" spans="4:5" ht="13.5" customHeight="1" x14ac:dyDescent="0.25">
      <c r="D86" s="95"/>
      <c r="E86" s="95"/>
    </row>
    <row r="87" spans="4:5" ht="13.5" customHeight="1" x14ac:dyDescent="0.25">
      <c r="D87" s="95"/>
      <c r="E87" s="95"/>
    </row>
    <row r="88" spans="4:5" ht="13.5" customHeight="1" x14ac:dyDescent="0.25">
      <c r="D88" s="95"/>
      <c r="E88" s="95"/>
    </row>
    <row r="89" spans="4:5" ht="13.5" customHeight="1" x14ac:dyDescent="0.25">
      <c r="D89" s="95"/>
      <c r="E89" s="95"/>
    </row>
    <row r="90" spans="4:5" ht="13.5" customHeight="1" x14ac:dyDescent="0.25">
      <c r="D90" s="95"/>
      <c r="E90" s="95"/>
    </row>
    <row r="91" spans="4:5" ht="13.5" customHeight="1" x14ac:dyDescent="0.25">
      <c r="D91" s="95"/>
      <c r="E91" s="95"/>
    </row>
    <row r="92" spans="4:5" ht="13.5" customHeight="1" x14ac:dyDescent="0.25">
      <c r="D92" s="95"/>
      <c r="E92" s="95"/>
    </row>
    <row r="93" spans="4:5" ht="13.5" customHeight="1" x14ac:dyDescent="0.25">
      <c r="D93" s="95"/>
      <c r="E93" s="95"/>
    </row>
    <row r="94" spans="4:5" ht="13.5" customHeight="1" x14ac:dyDescent="0.25">
      <c r="D94" s="95"/>
      <c r="E94" s="95"/>
    </row>
    <row r="95" spans="4:5" ht="13.5" customHeight="1" x14ac:dyDescent="0.25">
      <c r="D95" s="95"/>
      <c r="E95" s="95"/>
    </row>
    <row r="96" spans="4:5" ht="13.5" customHeight="1" x14ac:dyDescent="0.25">
      <c r="D96" s="95"/>
      <c r="E96" s="95"/>
    </row>
    <row r="97" spans="4:5" ht="13.5" customHeight="1" x14ac:dyDescent="0.25">
      <c r="D97" s="95"/>
      <c r="E97" s="95"/>
    </row>
    <row r="98" spans="4:5" ht="13.5" customHeight="1" x14ac:dyDescent="0.25">
      <c r="D98" s="95"/>
      <c r="E98" s="95"/>
    </row>
    <row r="99" spans="4:5" ht="13.5" customHeight="1" x14ac:dyDescent="0.25">
      <c r="D99" s="95"/>
      <c r="E99" s="95"/>
    </row>
    <row r="100" spans="4:5" ht="13.5" customHeight="1" x14ac:dyDescent="0.25">
      <c r="D100" s="95"/>
      <c r="E100" s="95"/>
    </row>
    <row r="101" spans="4:5" ht="13.5" customHeight="1" x14ac:dyDescent="0.25">
      <c r="D101" s="95"/>
      <c r="E101" s="95"/>
    </row>
    <row r="102" spans="4:5" ht="13.5" customHeight="1" x14ac:dyDescent="0.25">
      <c r="D102" s="95"/>
      <c r="E102" s="95"/>
    </row>
    <row r="103" spans="4:5" ht="13.5" customHeight="1" x14ac:dyDescent="0.25">
      <c r="D103" s="95"/>
      <c r="E103" s="95"/>
    </row>
    <row r="104" spans="4:5" ht="13.5" customHeight="1" x14ac:dyDescent="0.25">
      <c r="D104" s="95"/>
      <c r="E104" s="95"/>
    </row>
    <row r="105" spans="4:5" ht="13.5" customHeight="1" x14ac:dyDescent="0.25">
      <c r="D105" s="95"/>
      <c r="E105" s="95"/>
    </row>
    <row r="106" spans="4:5" ht="13.5" customHeight="1" x14ac:dyDescent="0.25">
      <c r="D106" s="95"/>
      <c r="E106" s="95"/>
    </row>
    <row r="107" spans="4:5" ht="13.5" customHeight="1" x14ac:dyDescent="0.25">
      <c r="D107" s="95"/>
      <c r="E107" s="95"/>
    </row>
    <row r="108" spans="4:5" ht="13.5" customHeight="1" x14ac:dyDescent="0.25">
      <c r="D108" s="95"/>
      <c r="E108" s="95"/>
    </row>
    <row r="109" spans="4:5" ht="13.5" customHeight="1" x14ac:dyDescent="0.25">
      <c r="D109" s="95"/>
      <c r="E109" s="95"/>
    </row>
    <row r="110" spans="4:5" ht="13.5" customHeight="1" x14ac:dyDescent="0.25">
      <c r="D110" s="95"/>
      <c r="E110" s="95"/>
    </row>
    <row r="111" spans="4:5" ht="13.5" customHeight="1" x14ac:dyDescent="0.25">
      <c r="D111" s="95"/>
      <c r="E111" s="95"/>
    </row>
    <row r="112" spans="4:5" ht="13.5" customHeight="1" x14ac:dyDescent="0.25">
      <c r="D112" s="95"/>
      <c r="E112" s="95"/>
    </row>
    <row r="113" spans="4:5" ht="13.5" customHeight="1" x14ac:dyDescent="0.25">
      <c r="D113" s="95"/>
      <c r="E113" s="95"/>
    </row>
    <row r="114" spans="4:5" ht="13.5" customHeight="1" x14ac:dyDescent="0.25">
      <c r="D114" s="95"/>
      <c r="E114" s="95"/>
    </row>
    <row r="115" spans="4:5" ht="13.5" customHeight="1" x14ac:dyDescent="0.25">
      <c r="D115" s="95"/>
      <c r="E115" s="95"/>
    </row>
    <row r="116" spans="4:5" ht="13.5" customHeight="1" x14ac:dyDescent="0.25">
      <c r="D116" s="95"/>
      <c r="E116" s="95"/>
    </row>
    <row r="117" spans="4:5" ht="13.5" customHeight="1" x14ac:dyDescent="0.25">
      <c r="D117" s="95"/>
      <c r="E117" s="95"/>
    </row>
    <row r="118" spans="4:5" ht="13.5" customHeight="1" x14ac:dyDescent="0.25">
      <c r="D118" s="95"/>
      <c r="E118" s="95"/>
    </row>
    <row r="119" spans="4:5" ht="13.5" customHeight="1" x14ac:dyDescent="0.25">
      <c r="D119" s="95"/>
      <c r="E119" s="95"/>
    </row>
    <row r="120" spans="4:5" ht="13.5" customHeight="1" x14ac:dyDescent="0.25">
      <c r="D120" s="95"/>
      <c r="E120" s="95"/>
    </row>
    <row r="121" spans="4:5" ht="13.5" customHeight="1" x14ac:dyDescent="0.25">
      <c r="D121" s="95"/>
      <c r="E121" s="95"/>
    </row>
    <row r="122" spans="4:5" ht="13.5" customHeight="1" x14ac:dyDescent="0.25">
      <c r="D122" s="95"/>
      <c r="E122" s="95"/>
    </row>
    <row r="123" spans="4:5" ht="13.5" customHeight="1" x14ac:dyDescent="0.25">
      <c r="D123" s="95"/>
      <c r="E123" s="95"/>
    </row>
    <row r="124" spans="4:5" ht="13.5" customHeight="1" x14ac:dyDescent="0.25">
      <c r="D124" s="95"/>
      <c r="E124" s="95"/>
    </row>
    <row r="125" spans="4:5" ht="13.5" customHeight="1" x14ac:dyDescent="0.25">
      <c r="D125" s="95"/>
      <c r="E125" s="95"/>
    </row>
    <row r="126" spans="4:5" ht="13.5" customHeight="1" x14ac:dyDescent="0.25">
      <c r="D126" s="95"/>
      <c r="E126" s="95"/>
    </row>
    <row r="127" spans="4:5" ht="13.5" customHeight="1" x14ac:dyDescent="0.25">
      <c r="D127" s="95"/>
      <c r="E127" s="95"/>
    </row>
    <row r="128" spans="4:5" ht="13.5" customHeight="1" x14ac:dyDescent="0.25">
      <c r="D128" s="95"/>
      <c r="E128" s="95"/>
    </row>
    <row r="129" spans="4:5" ht="13.5" customHeight="1" x14ac:dyDescent="0.25">
      <c r="D129" s="95"/>
      <c r="E129" s="95"/>
    </row>
    <row r="130" spans="4:5" ht="13.5" customHeight="1" x14ac:dyDescent="0.25">
      <c r="D130" s="95"/>
      <c r="E130" s="95"/>
    </row>
    <row r="131" spans="4:5" ht="13.5" customHeight="1" x14ac:dyDescent="0.25">
      <c r="D131" s="95"/>
      <c r="E131" s="95"/>
    </row>
    <row r="132" spans="4:5" ht="13.5" customHeight="1" x14ac:dyDescent="0.25">
      <c r="D132" s="95"/>
      <c r="E132" s="95"/>
    </row>
    <row r="133" spans="4:5" ht="13.5" customHeight="1" x14ac:dyDescent="0.25">
      <c r="D133" s="95"/>
      <c r="E133" s="95"/>
    </row>
    <row r="134" spans="4:5" ht="13.5" customHeight="1" x14ac:dyDescent="0.25">
      <c r="D134" s="95"/>
      <c r="E134" s="95"/>
    </row>
    <row r="135" spans="4:5" ht="13.5" customHeight="1" x14ac:dyDescent="0.25">
      <c r="D135" s="95"/>
      <c r="E135" s="95"/>
    </row>
    <row r="136" spans="4:5" ht="13.5" customHeight="1" x14ac:dyDescent="0.25">
      <c r="D136" s="95"/>
      <c r="E136" s="95"/>
    </row>
    <row r="137" spans="4:5" ht="13.5" customHeight="1" x14ac:dyDescent="0.25">
      <c r="D137" s="95"/>
      <c r="E137" s="95"/>
    </row>
    <row r="138" spans="4:5" ht="13.5" customHeight="1" x14ac:dyDescent="0.25">
      <c r="D138" s="95"/>
      <c r="E138" s="95"/>
    </row>
    <row r="139" spans="4:5" ht="13.5" customHeight="1" x14ac:dyDescent="0.25">
      <c r="D139" s="95"/>
      <c r="E139" s="95"/>
    </row>
    <row r="140" spans="4:5" ht="13.5" customHeight="1" x14ac:dyDescent="0.25">
      <c r="D140" s="95"/>
      <c r="E140" s="95"/>
    </row>
    <row r="141" spans="4:5" ht="13.5" customHeight="1" x14ac:dyDescent="0.25">
      <c r="D141" s="95"/>
      <c r="E141" s="95"/>
    </row>
    <row r="142" spans="4:5" ht="13.5" customHeight="1" x14ac:dyDescent="0.25">
      <c r="D142" s="95"/>
      <c r="E142" s="95"/>
    </row>
    <row r="143" spans="4:5" ht="13.5" customHeight="1" x14ac:dyDescent="0.25">
      <c r="D143" s="95"/>
      <c r="E143" s="95"/>
    </row>
    <row r="144" spans="4:5" ht="13.5" customHeight="1" x14ac:dyDescent="0.25">
      <c r="D144" s="95"/>
      <c r="E144" s="95"/>
    </row>
    <row r="145" spans="4:5" ht="13.5" customHeight="1" x14ac:dyDescent="0.25">
      <c r="D145" s="95"/>
      <c r="E145" s="95"/>
    </row>
    <row r="146" spans="4:5" ht="13.5" customHeight="1" x14ac:dyDescent="0.25">
      <c r="D146" s="95"/>
      <c r="E146" s="95"/>
    </row>
    <row r="147" spans="4:5" ht="13.5" customHeight="1" x14ac:dyDescent="0.25">
      <c r="D147" s="95"/>
      <c r="E147" s="95"/>
    </row>
    <row r="148" spans="4:5" ht="13.5" customHeight="1" x14ac:dyDescent="0.25">
      <c r="D148" s="95"/>
      <c r="E148" s="95"/>
    </row>
    <row r="149" spans="4:5" ht="13.5" customHeight="1" x14ac:dyDescent="0.25">
      <c r="D149" s="95"/>
      <c r="E149" s="95"/>
    </row>
    <row r="150" spans="4:5" ht="13.5" customHeight="1" x14ac:dyDescent="0.25">
      <c r="D150" s="95"/>
      <c r="E150" s="95"/>
    </row>
    <row r="151" spans="4:5" ht="13.5" customHeight="1" x14ac:dyDescent="0.25">
      <c r="D151" s="95"/>
      <c r="E151" s="95"/>
    </row>
    <row r="152" spans="4:5" ht="13.5" customHeight="1" x14ac:dyDescent="0.25">
      <c r="D152" s="95"/>
      <c r="E152" s="95"/>
    </row>
    <row r="153" spans="4:5" ht="13.5" customHeight="1" x14ac:dyDescent="0.25">
      <c r="D153" s="95"/>
      <c r="E153" s="95"/>
    </row>
    <row r="154" spans="4:5" ht="13.5" customHeight="1" x14ac:dyDescent="0.25">
      <c r="D154" s="95"/>
      <c r="E154" s="95"/>
    </row>
    <row r="155" spans="4:5" ht="13.5" customHeight="1" x14ac:dyDescent="0.25">
      <c r="D155" s="95"/>
      <c r="E155" s="95"/>
    </row>
    <row r="156" spans="4:5" ht="13.5" customHeight="1" x14ac:dyDescent="0.25">
      <c r="D156" s="95"/>
      <c r="E156" s="95"/>
    </row>
    <row r="157" spans="4:5" ht="13.5" customHeight="1" x14ac:dyDescent="0.25">
      <c r="D157" s="95"/>
      <c r="E157" s="95"/>
    </row>
    <row r="158" spans="4:5" ht="13.5" customHeight="1" x14ac:dyDescent="0.25">
      <c r="D158" s="95"/>
      <c r="E158" s="95"/>
    </row>
    <row r="159" spans="4:5" ht="13.5" customHeight="1" x14ac:dyDescent="0.25">
      <c r="D159" s="95"/>
      <c r="E159" s="95"/>
    </row>
    <row r="160" spans="4:5" ht="13.5" customHeight="1" x14ac:dyDescent="0.25">
      <c r="D160" s="95"/>
      <c r="E160" s="95"/>
    </row>
    <row r="161" spans="4:5" ht="13.5" customHeight="1" x14ac:dyDescent="0.25">
      <c r="D161" s="95"/>
      <c r="E161" s="95"/>
    </row>
    <row r="162" spans="4:5" ht="13.5" customHeight="1" x14ac:dyDescent="0.25">
      <c r="D162" s="95"/>
      <c r="E162" s="95"/>
    </row>
    <row r="163" spans="4:5" ht="13.5" customHeight="1" x14ac:dyDescent="0.25">
      <c r="D163" s="95"/>
      <c r="E163" s="95"/>
    </row>
    <row r="164" spans="4:5" ht="13.5" customHeight="1" x14ac:dyDescent="0.25">
      <c r="D164" s="95"/>
      <c r="E164" s="95"/>
    </row>
    <row r="165" spans="4:5" ht="13.5" customHeight="1" x14ac:dyDescent="0.25">
      <c r="D165" s="95"/>
      <c r="E165" s="95"/>
    </row>
    <row r="166" spans="4:5" ht="13.5" customHeight="1" x14ac:dyDescent="0.25">
      <c r="D166" s="95"/>
      <c r="E166" s="95"/>
    </row>
    <row r="167" spans="4:5" ht="13.5" customHeight="1" x14ac:dyDescent="0.25">
      <c r="D167" s="95"/>
      <c r="E167" s="95"/>
    </row>
    <row r="168" spans="4:5" ht="13.5" customHeight="1" x14ac:dyDescent="0.25">
      <c r="D168" s="95"/>
      <c r="E168" s="95"/>
    </row>
    <row r="169" spans="4:5" ht="13.5" customHeight="1" x14ac:dyDescent="0.25">
      <c r="D169" s="95"/>
      <c r="E169" s="95"/>
    </row>
    <row r="170" spans="4:5" ht="13.5" customHeight="1" x14ac:dyDescent="0.25">
      <c r="D170" s="95"/>
      <c r="E170" s="95"/>
    </row>
    <row r="171" spans="4:5" ht="13.5" customHeight="1" x14ac:dyDescent="0.25">
      <c r="D171" s="95"/>
      <c r="E171" s="95"/>
    </row>
    <row r="172" spans="4:5" ht="13.5" customHeight="1" x14ac:dyDescent="0.25">
      <c r="D172" s="95"/>
      <c r="E172" s="95"/>
    </row>
    <row r="173" spans="4:5" ht="13.5" customHeight="1" x14ac:dyDescent="0.25">
      <c r="D173" s="95"/>
      <c r="E173" s="95"/>
    </row>
    <row r="174" spans="4:5" ht="13.5" customHeight="1" x14ac:dyDescent="0.25">
      <c r="D174" s="95"/>
      <c r="E174" s="95"/>
    </row>
    <row r="175" spans="4:5" ht="13.5" customHeight="1" x14ac:dyDescent="0.25">
      <c r="D175" s="95"/>
      <c r="E175" s="95"/>
    </row>
    <row r="176" spans="4:5" ht="13.5" customHeight="1" x14ac:dyDescent="0.25">
      <c r="D176" s="95"/>
      <c r="E176" s="95"/>
    </row>
    <row r="177" spans="4:5" ht="13.5" customHeight="1" x14ac:dyDescent="0.25">
      <c r="D177" s="95"/>
      <c r="E177" s="95"/>
    </row>
    <row r="178" spans="4:5" ht="13.5" customHeight="1" x14ac:dyDescent="0.25">
      <c r="D178" s="95"/>
      <c r="E178" s="95"/>
    </row>
    <row r="179" spans="4:5" ht="13.5" customHeight="1" x14ac:dyDescent="0.25">
      <c r="D179" s="95"/>
      <c r="E179" s="95"/>
    </row>
    <row r="180" spans="4:5" ht="13.5" customHeight="1" x14ac:dyDescent="0.25">
      <c r="D180" s="95"/>
      <c r="E180" s="95"/>
    </row>
    <row r="181" spans="4:5" ht="13.5" customHeight="1" x14ac:dyDescent="0.25">
      <c r="D181" s="95"/>
      <c r="E181" s="95"/>
    </row>
    <row r="182" spans="4:5" ht="13.5" customHeight="1" x14ac:dyDescent="0.25">
      <c r="D182" s="95"/>
      <c r="E182" s="95"/>
    </row>
    <row r="183" spans="4:5" ht="13.5" customHeight="1" x14ac:dyDescent="0.25">
      <c r="D183" s="95"/>
      <c r="E183" s="95"/>
    </row>
    <row r="184" spans="4:5" ht="13.5" customHeight="1" x14ac:dyDescent="0.25">
      <c r="D184" s="95"/>
      <c r="E184" s="95"/>
    </row>
    <row r="185" spans="4:5" ht="13.5" customHeight="1" x14ac:dyDescent="0.25">
      <c r="D185" s="95"/>
      <c r="E185" s="95"/>
    </row>
    <row r="186" spans="4:5" ht="13.5" customHeight="1" x14ac:dyDescent="0.25">
      <c r="D186" s="95"/>
      <c r="E186" s="95"/>
    </row>
    <row r="187" spans="4:5" ht="13.5" customHeight="1" x14ac:dyDescent="0.25">
      <c r="D187" s="95"/>
      <c r="E187" s="95"/>
    </row>
    <row r="188" spans="4:5" ht="13.5" customHeight="1" x14ac:dyDescent="0.25">
      <c r="D188" s="95"/>
      <c r="E188" s="95"/>
    </row>
    <row r="189" spans="4:5" ht="13.5" customHeight="1" x14ac:dyDescent="0.25">
      <c r="D189" s="95"/>
      <c r="E189" s="95"/>
    </row>
    <row r="190" spans="4:5" ht="13.5" customHeight="1" x14ac:dyDescent="0.25">
      <c r="D190" s="95"/>
      <c r="E190" s="95"/>
    </row>
    <row r="191" spans="4:5" ht="13.5" customHeight="1" x14ac:dyDescent="0.25">
      <c r="D191" s="95"/>
      <c r="E191" s="95"/>
    </row>
    <row r="192" spans="4:5" ht="13.5" customHeight="1" x14ac:dyDescent="0.25">
      <c r="D192" s="95"/>
      <c r="E192" s="95"/>
    </row>
    <row r="193" spans="4:5" ht="13.5" customHeight="1" x14ac:dyDescent="0.25">
      <c r="D193" s="95"/>
      <c r="E193" s="95"/>
    </row>
    <row r="194" spans="4:5" ht="13.5" customHeight="1" x14ac:dyDescent="0.25">
      <c r="D194" s="95"/>
      <c r="E194" s="95"/>
    </row>
    <row r="195" spans="4:5" ht="13.5" customHeight="1" x14ac:dyDescent="0.25">
      <c r="D195" s="95"/>
      <c r="E195" s="95"/>
    </row>
    <row r="196" spans="4:5" ht="13.5" customHeight="1" x14ac:dyDescent="0.25">
      <c r="D196" s="95"/>
      <c r="E196" s="95"/>
    </row>
    <row r="197" spans="4:5" ht="13.5" customHeight="1" x14ac:dyDescent="0.25">
      <c r="D197" s="95"/>
      <c r="E197" s="95"/>
    </row>
    <row r="198" spans="4:5" ht="13.5" customHeight="1" x14ac:dyDescent="0.25">
      <c r="D198" s="95"/>
      <c r="E198" s="95"/>
    </row>
    <row r="199" spans="4:5" ht="13.5" customHeight="1" x14ac:dyDescent="0.25">
      <c r="D199" s="95"/>
      <c r="E199" s="95"/>
    </row>
    <row r="200" spans="4:5" ht="13.5" customHeight="1" x14ac:dyDescent="0.25">
      <c r="D200" s="95"/>
      <c r="E200" s="95"/>
    </row>
    <row r="201" spans="4:5" ht="13.5" customHeight="1" x14ac:dyDescent="0.25">
      <c r="D201" s="95"/>
      <c r="E201" s="95"/>
    </row>
    <row r="202" spans="4:5" ht="13.5" customHeight="1" x14ac:dyDescent="0.25">
      <c r="D202" s="95"/>
      <c r="E202" s="95"/>
    </row>
    <row r="203" spans="4:5" ht="13.5" customHeight="1" x14ac:dyDescent="0.25">
      <c r="D203" s="95"/>
      <c r="E203" s="95"/>
    </row>
    <row r="204" spans="4:5" ht="13.5" customHeight="1" x14ac:dyDescent="0.25">
      <c r="D204" s="95"/>
      <c r="E204" s="95"/>
    </row>
    <row r="205" spans="4:5" ht="13.5" customHeight="1" x14ac:dyDescent="0.25">
      <c r="D205" s="95"/>
      <c r="E205" s="95"/>
    </row>
    <row r="206" spans="4:5" ht="13.5" customHeight="1" x14ac:dyDescent="0.25">
      <c r="D206" s="95"/>
      <c r="E206" s="95"/>
    </row>
    <row r="207" spans="4:5" ht="13.5" customHeight="1" x14ac:dyDescent="0.25">
      <c r="D207" s="95"/>
      <c r="E207" s="95"/>
    </row>
    <row r="208" spans="4:5" ht="13.5" customHeight="1" x14ac:dyDescent="0.25">
      <c r="D208" s="95"/>
      <c r="E208" s="95"/>
    </row>
    <row r="209" spans="4:5" ht="13.5" customHeight="1" x14ac:dyDescent="0.25">
      <c r="D209" s="95"/>
      <c r="E209" s="95"/>
    </row>
    <row r="210" spans="4:5" ht="13.5" customHeight="1" x14ac:dyDescent="0.25">
      <c r="D210" s="95"/>
      <c r="E210" s="95"/>
    </row>
    <row r="211" spans="4:5" ht="13.5" customHeight="1" x14ac:dyDescent="0.25">
      <c r="D211" s="95"/>
      <c r="E211" s="95"/>
    </row>
    <row r="212" spans="4:5" ht="13.5" customHeight="1" x14ac:dyDescent="0.25">
      <c r="D212" s="95"/>
      <c r="E212" s="95"/>
    </row>
    <row r="213" spans="4:5" ht="13.5" customHeight="1" x14ac:dyDescent="0.25">
      <c r="D213" s="95"/>
      <c r="E213" s="95"/>
    </row>
    <row r="214" spans="4:5" ht="13.5" customHeight="1" x14ac:dyDescent="0.25">
      <c r="D214" s="95"/>
      <c r="E214" s="95"/>
    </row>
    <row r="215" spans="4:5" ht="13.5" customHeight="1" x14ac:dyDescent="0.25">
      <c r="D215" s="95"/>
      <c r="E215" s="95"/>
    </row>
    <row r="216" spans="4:5" ht="13.5" customHeight="1" x14ac:dyDescent="0.25">
      <c r="D216" s="95"/>
      <c r="E216" s="95"/>
    </row>
    <row r="217" spans="4:5" ht="13.5" customHeight="1" x14ac:dyDescent="0.25">
      <c r="D217" s="95"/>
      <c r="E217" s="95"/>
    </row>
    <row r="218" spans="4:5" ht="13.5" customHeight="1" x14ac:dyDescent="0.25">
      <c r="D218" s="95"/>
      <c r="E218" s="95"/>
    </row>
    <row r="219" spans="4:5" ht="13.5" customHeight="1" x14ac:dyDescent="0.25">
      <c r="D219" s="95"/>
      <c r="E219" s="95"/>
    </row>
    <row r="220" spans="4:5" ht="13.5" customHeight="1" x14ac:dyDescent="0.25">
      <c r="D220" s="95"/>
      <c r="E220" s="95"/>
    </row>
    <row r="221" spans="4:5" ht="13.5" customHeight="1" x14ac:dyDescent="0.25">
      <c r="D221" s="95"/>
      <c r="E221" s="95"/>
    </row>
    <row r="222" spans="4:5" ht="13.5" customHeight="1" x14ac:dyDescent="0.25">
      <c r="D222" s="95"/>
      <c r="E222" s="95"/>
    </row>
    <row r="223" spans="4:5" ht="13.5" customHeight="1" x14ac:dyDescent="0.25">
      <c r="D223" s="95"/>
      <c r="E223" s="95"/>
    </row>
    <row r="224" spans="4:5" ht="13.5" customHeight="1" x14ac:dyDescent="0.25">
      <c r="D224" s="95"/>
      <c r="E224" s="95"/>
    </row>
    <row r="225" spans="4:5" ht="13.5" customHeight="1" x14ac:dyDescent="0.25">
      <c r="D225" s="95"/>
      <c r="E225" s="95"/>
    </row>
    <row r="226" spans="4:5" ht="13.5" customHeight="1" x14ac:dyDescent="0.25">
      <c r="D226" s="95"/>
      <c r="E226" s="95"/>
    </row>
    <row r="227" spans="4:5" ht="13.5" customHeight="1" x14ac:dyDescent="0.25">
      <c r="D227" s="95"/>
      <c r="E227" s="95"/>
    </row>
    <row r="228" spans="4:5" ht="13.5" customHeight="1" x14ac:dyDescent="0.25">
      <c r="D228" s="95"/>
      <c r="E228" s="95"/>
    </row>
    <row r="229" spans="4:5" ht="13.5" customHeight="1" x14ac:dyDescent="0.25">
      <c r="D229" s="95"/>
      <c r="E229" s="95"/>
    </row>
    <row r="230" spans="4:5" ht="13.5" customHeight="1" x14ac:dyDescent="0.25">
      <c r="D230" s="95"/>
      <c r="E230" s="95"/>
    </row>
    <row r="231" spans="4:5" ht="13.5" customHeight="1" x14ac:dyDescent="0.25">
      <c r="D231" s="95"/>
      <c r="E231" s="95"/>
    </row>
    <row r="232" spans="4:5" ht="13.5" customHeight="1" x14ac:dyDescent="0.25">
      <c r="D232" s="95"/>
      <c r="E232" s="95"/>
    </row>
    <row r="233" spans="4:5" ht="13.5" customHeight="1" x14ac:dyDescent="0.25">
      <c r="D233" s="95"/>
      <c r="E233" s="95"/>
    </row>
    <row r="234" spans="4:5" ht="13.5" customHeight="1" x14ac:dyDescent="0.25">
      <c r="D234" s="95"/>
      <c r="E234" s="95"/>
    </row>
    <row r="235" spans="4:5" ht="13.5" customHeight="1" x14ac:dyDescent="0.25">
      <c r="D235" s="95"/>
      <c r="E235" s="95"/>
    </row>
    <row r="236" spans="4:5" ht="13.5" customHeight="1" x14ac:dyDescent="0.25">
      <c r="D236" s="95"/>
      <c r="E236" s="95"/>
    </row>
    <row r="237" spans="4:5" ht="13.5" customHeight="1" x14ac:dyDescent="0.25">
      <c r="D237" s="95"/>
      <c r="E237" s="95"/>
    </row>
    <row r="238" spans="4:5" ht="13.5" customHeight="1" x14ac:dyDescent="0.25">
      <c r="D238" s="95"/>
      <c r="E238" s="95"/>
    </row>
    <row r="239" spans="4:5" ht="13.5" customHeight="1" x14ac:dyDescent="0.25">
      <c r="D239" s="95"/>
      <c r="E239" s="95"/>
    </row>
    <row r="240" spans="4:5" ht="13.5" customHeight="1" x14ac:dyDescent="0.25">
      <c r="D240" s="95"/>
      <c r="E240" s="95"/>
    </row>
    <row r="241" spans="4:5" ht="13.5" customHeight="1" x14ac:dyDescent="0.25">
      <c r="D241" s="95"/>
      <c r="E241" s="95"/>
    </row>
    <row r="242" spans="4:5" ht="13.5" customHeight="1" x14ac:dyDescent="0.25">
      <c r="D242" s="95"/>
      <c r="E242" s="95"/>
    </row>
    <row r="243" spans="4:5" ht="13.5" customHeight="1" x14ac:dyDescent="0.25">
      <c r="D243" s="95"/>
      <c r="E243" s="95"/>
    </row>
    <row r="244" spans="4:5" ht="13.5" customHeight="1" x14ac:dyDescent="0.25">
      <c r="D244" s="95"/>
      <c r="E244" s="95"/>
    </row>
    <row r="245" spans="4:5" ht="13.5" customHeight="1" x14ac:dyDescent="0.25">
      <c r="D245" s="95"/>
      <c r="E245" s="95"/>
    </row>
    <row r="246" spans="4:5" ht="13.5" customHeight="1" x14ac:dyDescent="0.25">
      <c r="D246" s="95"/>
      <c r="E246" s="95"/>
    </row>
    <row r="247" spans="4:5" ht="13.5" customHeight="1" x14ac:dyDescent="0.25">
      <c r="D247" s="95"/>
      <c r="E247" s="95"/>
    </row>
    <row r="248" spans="4:5" ht="13.5" customHeight="1" x14ac:dyDescent="0.25">
      <c r="D248" s="95"/>
      <c r="E248" s="95"/>
    </row>
    <row r="249" spans="4:5" ht="13.5" customHeight="1" x14ac:dyDescent="0.25">
      <c r="D249" s="95"/>
      <c r="E249" s="95"/>
    </row>
    <row r="250" spans="4:5" ht="13.5" customHeight="1" x14ac:dyDescent="0.25">
      <c r="D250" s="95"/>
      <c r="E250" s="95"/>
    </row>
    <row r="251" spans="4:5" ht="13.5" customHeight="1" x14ac:dyDescent="0.25">
      <c r="D251" s="95"/>
      <c r="E251" s="95"/>
    </row>
    <row r="252" spans="4:5" ht="13.5" customHeight="1" x14ac:dyDescent="0.25">
      <c r="D252" s="95"/>
      <c r="E252" s="95"/>
    </row>
    <row r="253" spans="4:5" ht="13.5" customHeight="1" x14ac:dyDescent="0.25">
      <c r="D253" s="95"/>
      <c r="E253" s="95"/>
    </row>
    <row r="254" spans="4:5" ht="13.5" customHeight="1" x14ac:dyDescent="0.25">
      <c r="D254" s="95"/>
      <c r="E254" s="95"/>
    </row>
    <row r="255" spans="4:5" ht="13.5" customHeight="1" x14ac:dyDescent="0.25">
      <c r="D255" s="95"/>
      <c r="E255" s="95"/>
    </row>
    <row r="256" spans="4:5" ht="13.5" customHeight="1" x14ac:dyDescent="0.25">
      <c r="D256" s="95"/>
      <c r="E256" s="95"/>
    </row>
    <row r="257" spans="4:5" ht="13.5" customHeight="1" x14ac:dyDescent="0.25">
      <c r="D257" s="95"/>
      <c r="E257" s="95"/>
    </row>
    <row r="258" spans="4:5" ht="13.5" customHeight="1" x14ac:dyDescent="0.25">
      <c r="D258" s="95"/>
      <c r="E258" s="95"/>
    </row>
    <row r="259" spans="4:5" ht="13.5" customHeight="1" x14ac:dyDescent="0.25">
      <c r="D259" s="95"/>
      <c r="E259" s="95"/>
    </row>
    <row r="260" spans="4:5" ht="13.5" customHeight="1" x14ac:dyDescent="0.25">
      <c r="D260" s="95"/>
      <c r="E260" s="95"/>
    </row>
    <row r="261" spans="4:5" ht="13.5" customHeight="1" x14ac:dyDescent="0.25">
      <c r="D261" s="95"/>
      <c r="E261" s="95"/>
    </row>
    <row r="262" spans="4:5" ht="13.5" customHeight="1" x14ac:dyDescent="0.25">
      <c r="D262" s="95"/>
      <c r="E262" s="95"/>
    </row>
    <row r="263" spans="4:5" ht="13.5" customHeight="1" x14ac:dyDescent="0.25">
      <c r="D263" s="95"/>
      <c r="E263" s="95"/>
    </row>
    <row r="264" spans="4:5" ht="13.5" customHeight="1" x14ac:dyDescent="0.25">
      <c r="D264" s="95"/>
      <c r="E264" s="95"/>
    </row>
    <row r="265" spans="4:5" ht="13.5" customHeight="1" x14ac:dyDescent="0.25">
      <c r="D265" s="95"/>
      <c r="E265" s="95"/>
    </row>
    <row r="266" spans="4:5" ht="13.5" customHeight="1" x14ac:dyDescent="0.25">
      <c r="D266" s="95"/>
      <c r="E266" s="95"/>
    </row>
    <row r="267" spans="4:5" ht="13.5" customHeight="1" x14ac:dyDescent="0.25">
      <c r="D267" s="95"/>
      <c r="E267" s="95"/>
    </row>
    <row r="268" spans="4:5" ht="13.5" customHeight="1" x14ac:dyDescent="0.25">
      <c r="D268" s="95"/>
      <c r="E268" s="95"/>
    </row>
    <row r="269" spans="4:5" ht="13.5" customHeight="1" x14ac:dyDescent="0.25">
      <c r="D269" s="95"/>
      <c r="E269" s="95"/>
    </row>
    <row r="270" spans="4:5" ht="13.5" customHeight="1" x14ac:dyDescent="0.25">
      <c r="D270" s="95"/>
      <c r="E270" s="95"/>
    </row>
    <row r="271" spans="4:5" ht="13.5" customHeight="1" x14ac:dyDescent="0.25">
      <c r="D271" s="95"/>
      <c r="E271" s="95"/>
    </row>
    <row r="272" spans="4:5" ht="13.5" customHeight="1" x14ac:dyDescent="0.25">
      <c r="D272" s="95"/>
      <c r="E272" s="95"/>
    </row>
    <row r="273" spans="4:5" ht="13.5" customHeight="1" x14ac:dyDescent="0.25">
      <c r="D273" s="95"/>
      <c r="E273" s="95"/>
    </row>
    <row r="274" spans="4:5" ht="13.5" customHeight="1" x14ac:dyDescent="0.25">
      <c r="D274" s="95"/>
      <c r="E274" s="95"/>
    </row>
    <row r="275" spans="4:5" ht="13.5" customHeight="1" x14ac:dyDescent="0.25">
      <c r="D275" s="95"/>
      <c r="E275" s="95"/>
    </row>
    <row r="276" spans="4:5" ht="13.5" customHeight="1" x14ac:dyDescent="0.25">
      <c r="D276" s="95"/>
      <c r="E276" s="95"/>
    </row>
    <row r="277" spans="4:5" ht="13.5" customHeight="1" x14ac:dyDescent="0.25">
      <c r="D277" s="95"/>
      <c r="E277" s="95"/>
    </row>
    <row r="278" spans="4:5" ht="13.5" customHeight="1" x14ac:dyDescent="0.25">
      <c r="D278" s="95"/>
      <c r="E278" s="95"/>
    </row>
    <row r="279" spans="4:5" ht="13.5" customHeight="1" x14ac:dyDescent="0.25">
      <c r="D279" s="95"/>
      <c r="E279" s="95"/>
    </row>
    <row r="280" spans="4:5" ht="13.5" customHeight="1" x14ac:dyDescent="0.25">
      <c r="D280" s="95"/>
      <c r="E280" s="95"/>
    </row>
    <row r="281" spans="4:5" ht="13.5" customHeight="1" x14ac:dyDescent="0.25">
      <c r="D281" s="95"/>
      <c r="E281" s="95"/>
    </row>
    <row r="282" spans="4:5" ht="13.5" customHeight="1" x14ac:dyDescent="0.25">
      <c r="D282" s="95"/>
      <c r="E282" s="95"/>
    </row>
    <row r="283" spans="4:5" ht="13.5" customHeight="1" x14ac:dyDescent="0.25">
      <c r="D283" s="95"/>
      <c r="E283" s="95"/>
    </row>
    <row r="284" spans="4:5" ht="13.5" customHeight="1" x14ac:dyDescent="0.25">
      <c r="D284" s="95"/>
      <c r="E284" s="95"/>
    </row>
    <row r="285" spans="4:5" ht="13.5" customHeight="1" x14ac:dyDescent="0.25">
      <c r="D285" s="95"/>
      <c r="E285" s="95"/>
    </row>
    <row r="286" spans="4:5" ht="13.5" customHeight="1" x14ac:dyDescent="0.25">
      <c r="D286" s="95"/>
      <c r="E286" s="95"/>
    </row>
    <row r="287" spans="4:5" ht="13.5" customHeight="1" x14ac:dyDescent="0.25">
      <c r="D287" s="95"/>
      <c r="E287" s="95"/>
    </row>
    <row r="288" spans="4:5" ht="13.5" customHeight="1" x14ac:dyDescent="0.25">
      <c r="D288" s="95"/>
      <c r="E288" s="95"/>
    </row>
    <row r="289" spans="4:5" ht="13.5" customHeight="1" x14ac:dyDescent="0.25">
      <c r="D289" s="95"/>
      <c r="E289" s="95"/>
    </row>
    <row r="290" spans="4:5" ht="13.5" customHeight="1" x14ac:dyDescent="0.25">
      <c r="D290" s="95"/>
      <c r="E290" s="95"/>
    </row>
    <row r="291" spans="4:5" ht="13.5" customHeight="1" x14ac:dyDescent="0.25">
      <c r="D291" s="95"/>
      <c r="E291" s="95"/>
    </row>
    <row r="292" spans="4:5" ht="13.5" customHeight="1" x14ac:dyDescent="0.25">
      <c r="D292" s="95"/>
      <c r="E292" s="95"/>
    </row>
    <row r="293" spans="4:5" ht="13.5" customHeight="1" x14ac:dyDescent="0.25">
      <c r="D293" s="95"/>
      <c r="E293" s="95"/>
    </row>
    <row r="294" spans="4:5" ht="13.5" customHeight="1" x14ac:dyDescent="0.25">
      <c r="D294" s="95"/>
      <c r="E294" s="95"/>
    </row>
    <row r="295" spans="4:5" ht="13.5" customHeight="1" x14ac:dyDescent="0.25">
      <c r="D295" s="95"/>
      <c r="E295" s="95"/>
    </row>
    <row r="296" spans="4:5" ht="13.5" customHeight="1" x14ac:dyDescent="0.25">
      <c r="D296" s="95"/>
      <c r="E296" s="95"/>
    </row>
    <row r="297" spans="4:5" ht="13.5" customHeight="1" x14ac:dyDescent="0.25">
      <c r="D297" s="95"/>
      <c r="E297" s="95"/>
    </row>
    <row r="298" spans="4:5" ht="13.5" customHeight="1" x14ac:dyDescent="0.25">
      <c r="D298" s="95"/>
      <c r="E298" s="95"/>
    </row>
    <row r="299" spans="4:5" ht="13.5" customHeight="1" x14ac:dyDescent="0.25">
      <c r="D299" s="95"/>
      <c r="E299" s="95"/>
    </row>
    <row r="300" spans="4:5" ht="13.5" customHeight="1" x14ac:dyDescent="0.25">
      <c r="D300" s="95"/>
      <c r="E300" s="95"/>
    </row>
    <row r="301" spans="4:5" ht="13.5" customHeight="1" x14ac:dyDescent="0.25">
      <c r="D301" s="95"/>
      <c r="E301" s="95"/>
    </row>
    <row r="302" spans="4:5" ht="13.5" customHeight="1" x14ac:dyDescent="0.25">
      <c r="D302" s="95"/>
      <c r="E302" s="95"/>
    </row>
    <row r="303" spans="4:5" ht="13.5" customHeight="1" x14ac:dyDescent="0.25">
      <c r="D303" s="95"/>
      <c r="E303" s="95"/>
    </row>
    <row r="304" spans="4:5" ht="13.5" customHeight="1" x14ac:dyDescent="0.25">
      <c r="D304" s="95"/>
      <c r="E304" s="95"/>
    </row>
    <row r="305" spans="4:5" ht="13.5" customHeight="1" x14ac:dyDescent="0.25">
      <c r="D305" s="95"/>
      <c r="E305" s="95"/>
    </row>
    <row r="306" spans="4:5" ht="13.5" customHeight="1" x14ac:dyDescent="0.25">
      <c r="D306" s="95"/>
      <c r="E306" s="95"/>
    </row>
    <row r="307" spans="4:5" ht="13.5" customHeight="1" x14ac:dyDescent="0.25">
      <c r="D307" s="95"/>
      <c r="E307" s="95"/>
    </row>
    <row r="308" spans="4:5" ht="13.5" customHeight="1" x14ac:dyDescent="0.25">
      <c r="D308" s="95"/>
      <c r="E308" s="95"/>
    </row>
    <row r="309" spans="4:5" ht="13.5" customHeight="1" x14ac:dyDescent="0.25">
      <c r="D309" s="95"/>
      <c r="E309" s="95"/>
    </row>
    <row r="310" spans="4:5" ht="13.5" customHeight="1" x14ac:dyDescent="0.25">
      <c r="D310" s="95"/>
      <c r="E310" s="95"/>
    </row>
  </sheetData>
  <mergeCells count="31">
    <mergeCell ref="B2:B4"/>
    <mergeCell ref="D2:D3"/>
    <mergeCell ref="E21:G21"/>
    <mergeCell ref="E24:G24"/>
    <mergeCell ref="E25:G25"/>
    <mergeCell ref="E17:G17"/>
    <mergeCell ref="E18:G18"/>
    <mergeCell ref="E19:G19"/>
    <mergeCell ref="E20:G20"/>
    <mergeCell ref="E22:G22"/>
    <mergeCell ref="E23:G23"/>
    <mergeCell ref="E28:G28"/>
    <mergeCell ref="E34:G34"/>
    <mergeCell ref="E26:G26"/>
    <mergeCell ref="E27:G27"/>
    <mergeCell ref="E40:G40"/>
    <mergeCell ref="E37:G37"/>
    <mergeCell ref="E38:G38"/>
    <mergeCell ref="E39:G39"/>
    <mergeCell ref="E30:G30"/>
    <mergeCell ref="E31:G31"/>
    <mergeCell ref="E32:G32"/>
    <mergeCell ref="E33:G33"/>
    <mergeCell ref="E35:G35"/>
    <mergeCell ref="E36:G36"/>
    <mergeCell ref="E41:G41"/>
    <mergeCell ref="E46:G46"/>
    <mergeCell ref="E45:G45"/>
    <mergeCell ref="E42:G42"/>
    <mergeCell ref="E43:G43"/>
    <mergeCell ref="E44:G44"/>
  </mergeCells>
  <phoneticPr fontId="1" type="noConversion"/>
  <printOptions horizontalCentered="1"/>
  <pageMargins left="0" right="0" top="0.33" bottom="0.81" header="0.63" footer="0.37"/>
  <pageSetup paperSize="9" scale="94" fitToHeight="20" orientation="landscape" r:id="rId1"/>
  <headerFooter alignWithMargins="0">
    <oddFooter>&amp;L&amp;"Arial,Gras"CHARIER  GT Confidentiel&amp;RPage &amp;P sur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B89A7-8BE0-478B-AAA3-A0E31AA4B79B}">
  <sheetPr codeName="Feuil25">
    <tabColor indexed="52"/>
    <pageSetUpPr fitToPage="1"/>
  </sheetPr>
  <dimension ref="A2:W620"/>
  <sheetViews>
    <sheetView showZeros="0" zoomScale="85" zoomScaleNormal="100" workbookViewId="0">
      <pane xSplit="3" ySplit="12" topLeftCell="D23" activePane="bottomRight" state="frozen"/>
      <selection pane="topRight" activeCell="D1" sqref="D1"/>
      <selection pane="bottomLeft" activeCell="A13" sqref="A13"/>
      <selection pane="bottomRight" activeCell="B24" sqref="B24"/>
    </sheetView>
  </sheetViews>
  <sheetFormatPr baseColWidth="10" defaultColWidth="11.42578125" defaultRowHeight="13.5" customHeight="1" x14ac:dyDescent="0.25"/>
  <cols>
    <col min="1" max="1" width="5" style="3" customWidth="1"/>
    <col min="2" max="2" width="59" style="4" customWidth="1"/>
    <col min="3" max="3" width="2.7109375" style="4" customWidth="1"/>
    <col min="4" max="4" width="16.7109375" style="5" customWidth="1"/>
    <col min="5" max="5" width="13.42578125" style="5" customWidth="1"/>
    <col min="6" max="6" width="11.7109375" style="6" customWidth="1"/>
    <col min="7" max="7" width="11.7109375" style="5" customWidth="1"/>
    <col min="8" max="8" width="13.7109375" style="5" customWidth="1"/>
    <col min="9" max="9" width="11.42578125" style="5"/>
    <col min="10" max="10" width="12.140625" style="5" customWidth="1"/>
    <col min="11" max="11" width="15.7109375" style="4" customWidth="1"/>
    <col min="12" max="12" width="13" style="4" customWidth="1"/>
    <col min="13" max="14" width="21.5703125" style="16" customWidth="1"/>
    <col min="15" max="15" width="16.7109375" style="5" customWidth="1"/>
    <col min="16" max="16" width="13.42578125" style="5" customWidth="1"/>
    <col min="17" max="17" width="11.7109375" style="6" customWidth="1"/>
    <col min="18" max="18" width="11.7109375" style="5" customWidth="1"/>
    <col min="19" max="19" width="13.7109375" style="5" customWidth="1"/>
    <col min="20" max="20" width="11.42578125" style="5"/>
    <col min="21" max="21" width="12.140625" style="5" customWidth="1"/>
    <col min="22" max="22" width="15.7109375" style="4" customWidth="1"/>
    <col min="23" max="23" width="13" style="4" customWidth="1"/>
    <col min="24" max="16384" width="11.42578125" style="4"/>
  </cols>
  <sheetData>
    <row r="2" spans="1:23" ht="24" customHeight="1" thickBot="1" x14ac:dyDescent="0.3">
      <c r="B2" s="449" t="s">
        <v>59</v>
      </c>
      <c r="I2" s="4"/>
      <c r="J2" s="7"/>
      <c r="M2" s="450" t="s">
        <v>60</v>
      </c>
      <c r="N2" s="8"/>
      <c r="T2" s="4"/>
      <c r="U2" s="7"/>
    </row>
    <row r="3" spans="1:23" ht="13.5" customHeight="1" x14ac:dyDescent="0.25">
      <c r="B3" s="449"/>
      <c r="D3" s="9" t="s">
        <v>93</v>
      </c>
      <c r="E3" s="10"/>
      <c r="F3" s="11"/>
      <c r="G3" s="12"/>
      <c r="H3" s="12"/>
      <c r="I3" s="13">
        <v>1.4</v>
      </c>
      <c r="J3" s="3"/>
      <c r="M3" s="450"/>
      <c r="N3" s="8"/>
      <c r="O3" s="9" t="s">
        <v>93</v>
      </c>
      <c r="P3" s="10"/>
      <c r="Q3" s="11"/>
      <c r="R3" s="12"/>
      <c r="S3" s="12"/>
      <c r="T3" s="13">
        <v>0.9</v>
      </c>
      <c r="U3" s="3"/>
    </row>
    <row r="4" spans="1:23" ht="13.5" customHeight="1" x14ac:dyDescent="0.25">
      <c r="B4" s="449"/>
      <c r="D4" s="14" t="s">
        <v>94</v>
      </c>
      <c r="E4" s="4"/>
      <c r="F4" s="15"/>
      <c r="I4" s="235">
        <v>1.2</v>
      </c>
      <c r="J4" s="3"/>
      <c r="O4" s="14" t="s">
        <v>94</v>
      </c>
      <c r="P4" s="4"/>
      <c r="Q4" s="15"/>
      <c r="T4" s="221">
        <v>1.4</v>
      </c>
      <c r="U4" s="3"/>
    </row>
    <row r="5" spans="1:23" ht="15.75" customHeight="1" thickBot="1" x14ac:dyDescent="0.3">
      <c r="D5" s="17" t="s">
        <v>95</v>
      </c>
      <c r="E5" s="18"/>
      <c r="F5" s="19"/>
      <c r="G5" s="20"/>
      <c r="H5" s="20"/>
      <c r="I5" s="21">
        <v>0.04</v>
      </c>
      <c r="J5" s="3"/>
      <c r="K5" s="22"/>
      <c r="M5" s="4"/>
      <c r="N5" s="4"/>
      <c r="O5" s="17" t="s">
        <v>95</v>
      </c>
      <c r="P5" s="18"/>
      <c r="Q5" s="19"/>
      <c r="R5" s="20"/>
      <c r="S5" s="20"/>
      <c r="T5" s="21">
        <v>0.04</v>
      </c>
      <c r="U5" s="3"/>
      <c r="V5" s="22"/>
    </row>
    <row r="6" spans="1:23" ht="15.75" customHeight="1" thickBot="1" x14ac:dyDescent="0.3">
      <c r="D6" s="23"/>
      <c r="E6" s="4"/>
      <c r="F6" s="15"/>
      <c r="I6" s="24"/>
      <c r="J6" s="3"/>
      <c r="K6" s="22"/>
      <c r="M6" s="4"/>
      <c r="N6" s="4"/>
      <c r="O6" s="23"/>
      <c r="P6" s="4"/>
      <c r="Q6" s="15"/>
      <c r="T6" s="24"/>
      <c r="U6" s="3"/>
      <c r="V6" s="22"/>
    </row>
    <row r="7" spans="1:23" ht="15.75" customHeight="1" x14ac:dyDescent="0.25">
      <c r="D7" s="25" t="s">
        <v>61</v>
      </c>
      <c r="E7" s="26"/>
      <c r="F7" s="27"/>
      <c r="G7" s="28"/>
      <c r="H7" s="26"/>
      <c r="I7" s="234">
        <v>1.35</v>
      </c>
      <c r="J7" s="3"/>
      <c r="K7" s="22"/>
      <c r="O7" s="25" t="s">
        <v>96</v>
      </c>
      <c r="P7" s="26"/>
      <c r="Q7" s="27"/>
      <c r="R7" s="28"/>
      <c r="S7" s="26"/>
      <c r="T7" s="193">
        <v>0.13</v>
      </c>
      <c r="U7" s="3"/>
      <c r="V7" s="22"/>
    </row>
    <row r="8" spans="1:23" ht="15.75" customHeight="1" thickBot="1" x14ac:dyDescent="0.3">
      <c r="A8" s="152"/>
      <c r="D8" s="29" t="s">
        <v>97</v>
      </c>
      <c r="E8" s="30"/>
      <c r="F8" s="31"/>
      <c r="G8" s="32"/>
      <c r="H8" s="32"/>
      <c r="I8" s="33">
        <v>55</v>
      </c>
      <c r="J8" s="3"/>
      <c r="K8" s="22"/>
      <c r="O8" s="29" t="s">
        <v>98</v>
      </c>
      <c r="P8" s="30"/>
      <c r="Q8" s="31"/>
      <c r="R8" s="32"/>
      <c r="S8" s="32"/>
      <c r="T8" s="33">
        <v>34</v>
      </c>
      <c r="U8" s="3"/>
      <c r="V8" s="22"/>
    </row>
    <row r="9" spans="1:23" ht="23.25" customHeight="1" thickBot="1" x14ac:dyDescent="0.3">
      <c r="A9" s="179"/>
      <c r="I9" s="4"/>
      <c r="J9" s="3"/>
      <c r="M9" s="34"/>
      <c r="N9" s="35"/>
      <c r="T9" s="4"/>
      <c r="U9" s="3"/>
    </row>
    <row r="10" spans="1:23" ht="19.5" customHeight="1" thickBot="1" x14ac:dyDescent="0.3">
      <c r="D10" s="451" t="s">
        <v>99</v>
      </c>
      <c r="E10" s="452"/>
      <c r="F10" s="452"/>
      <c r="G10" s="452"/>
      <c r="H10" s="452"/>
      <c r="I10" s="453"/>
      <c r="J10" s="3"/>
      <c r="M10" s="36"/>
      <c r="N10" s="37"/>
      <c r="O10" s="451" t="s">
        <v>99</v>
      </c>
      <c r="P10" s="452"/>
      <c r="Q10" s="452"/>
      <c r="R10" s="452"/>
      <c r="S10" s="452"/>
      <c r="T10" s="453"/>
      <c r="U10" s="3"/>
    </row>
    <row r="11" spans="1:23" ht="26.25" customHeight="1" x14ac:dyDescent="0.25">
      <c r="A11" s="38"/>
      <c r="C11" s="38"/>
      <c r="D11" s="39" t="s">
        <v>100</v>
      </c>
      <c r="E11" s="40" t="s">
        <v>101</v>
      </c>
      <c r="F11" s="41" t="s">
        <v>102</v>
      </c>
      <c r="G11" s="454" t="s">
        <v>2</v>
      </c>
      <c r="H11" s="42" t="s">
        <v>103</v>
      </c>
      <c r="I11" s="456" t="s">
        <v>34</v>
      </c>
      <c r="K11" s="458" t="s">
        <v>104</v>
      </c>
      <c r="L11" s="460" t="s">
        <v>105</v>
      </c>
      <c r="M11" s="462"/>
      <c r="N11" s="43"/>
      <c r="O11" s="39" t="s">
        <v>100</v>
      </c>
      <c r="P11" s="40" t="s">
        <v>101</v>
      </c>
      <c r="Q11" s="41" t="s">
        <v>102</v>
      </c>
      <c r="R11" s="454" t="s">
        <v>2</v>
      </c>
      <c r="S11" s="42" t="s">
        <v>103</v>
      </c>
      <c r="T11" s="456" t="s">
        <v>34</v>
      </c>
      <c r="V11" s="458" t="s">
        <v>104</v>
      </c>
      <c r="W11" s="460" t="s">
        <v>106</v>
      </c>
    </row>
    <row r="12" spans="1:23" ht="20.25" customHeight="1" thickBot="1" x14ac:dyDescent="0.3">
      <c r="A12" s="38"/>
      <c r="C12" s="38"/>
      <c r="D12" s="44" t="s">
        <v>107</v>
      </c>
      <c r="E12" s="45" t="s">
        <v>108</v>
      </c>
      <c r="F12" s="46" t="s">
        <v>109</v>
      </c>
      <c r="G12" s="455"/>
      <c r="H12" s="47" t="s">
        <v>110</v>
      </c>
      <c r="I12" s="457"/>
      <c r="K12" s="459"/>
      <c r="L12" s="461"/>
      <c r="M12" s="463"/>
      <c r="N12" s="48"/>
      <c r="O12" s="44" t="s">
        <v>107</v>
      </c>
      <c r="P12" s="45" t="s">
        <v>108</v>
      </c>
      <c r="Q12" s="46" t="s">
        <v>109</v>
      </c>
      <c r="R12" s="455"/>
      <c r="S12" s="47" t="s">
        <v>110</v>
      </c>
      <c r="T12" s="457"/>
      <c r="V12" s="459"/>
      <c r="W12" s="461"/>
    </row>
    <row r="13" spans="1:23" ht="18" customHeight="1" x14ac:dyDescent="0.25">
      <c r="A13" s="49"/>
      <c r="B13" s="50"/>
      <c r="C13" s="51"/>
      <c r="D13" s="52"/>
      <c r="E13" s="53"/>
      <c r="F13" s="53"/>
      <c r="G13" s="53"/>
      <c r="H13" s="54"/>
      <c r="I13" s="55"/>
      <c r="J13" s="56"/>
      <c r="K13" s="57"/>
      <c r="L13" s="57"/>
      <c r="M13" s="58"/>
      <c r="N13" s="59"/>
      <c r="O13" s="52"/>
      <c r="P13" s="53"/>
      <c r="Q13" s="53"/>
      <c r="R13" s="53"/>
      <c r="S13" s="54"/>
      <c r="T13" s="55"/>
      <c r="U13" s="56"/>
      <c r="V13" s="57"/>
      <c r="W13" s="57"/>
    </row>
    <row r="14" spans="1:23" ht="18" customHeight="1" x14ac:dyDescent="0.25">
      <c r="A14" s="297">
        <v>21</v>
      </c>
      <c r="B14" s="298" t="s">
        <v>111</v>
      </c>
      <c r="C14" s="299"/>
      <c r="D14" s="300"/>
      <c r="E14" s="301"/>
      <c r="F14" s="302"/>
      <c r="G14" s="301"/>
      <c r="H14" s="303"/>
      <c r="I14" s="304"/>
      <c r="J14" s="299"/>
      <c r="K14" s="305"/>
      <c r="L14" s="305"/>
      <c r="M14" s="306"/>
      <c r="N14" s="307"/>
      <c r="O14" s="300"/>
      <c r="P14" s="301"/>
      <c r="Q14" s="302"/>
      <c r="R14" s="301"/>
      <c r="S14" s="303"/>
      <c r="T14" s="304"/>
      <c r="U14" s="299"/>
      <c r="V14" s="305"/>
      <c r="W14" s="305"/>
    </row>
    <row r="15" spans="1:23" ht="18" customHeight="1" x14ac:dyDescent="0.25">
      <c r="A15" s="297"/>
      <c r="B15" s="298"/>
      <c r="C15" s="299"/>
      <c r="D15" s="300"/>
      <c r="E15" s="301"/>
      <c r="F15" s="302"/>
      <c r="G15" s="301"/>
      <c r="H15" s="303"/>
      <c r="I15" s="304"/>
      <c r="J15" s="299"/>
      <c r="K15" s="305"/>
      <c r="L15" s="305"/>
      <c r="M15" s="306"/>
      <c r="N15" s="307"/>
      <c r="O15" s="308"/>
      <c r="P15" s="301"/>
      <c r="Q15" s="302"/>
      <c r="R15" s="301"/>
      <c r="S15" s="303"/>
      <c r="T15" s="304"/>
      <c r="U15" s="299"/>
      <c r="V15" s="305"/>
      <c r="W15" s="305"/>
    </row>
    <row r="16" spans="1:23" ht="18" customHeight="1" x14ac:dyDescent="0.25">
      <c r="A16" s="297"/>
      <c r="B16" s="309"/>
      <c r="C16" s="299"/>
      <c r="D16" s="310"/>
      <c r="E16" s="311"/>
      <c r="F16" s="336"/>
      <c r="G16" s="312"/>
      <c r="H16" s="313"/>
      <c r="I16" s="314"/>
      <c r="J16" s="299"/>
      <c r="K16" s="315"/>
      <c r="L16" s="315"/>
      <c r="M16" s="306"/>
      <c r="N16" s="307"/>
      <c r="O16" s="310"/>
      <c r="P16" s="316"/>
      <c r="Q16" s="336"/>
      <c r="R16" s="317"/>
      <c r="S16" s="318"/>
      <c r="T16" s="304"/>
      <c r="U16" s="299"/>
      <c r="V16" s="319"/>
      <c r="W16" s="319"/>
    </row>
    <row r="17" spans="1:23" ht="18" customHeight="1" x14ac:dyDescent="0.25">
      <c r="A17" s="297"/>
      <c r="B17" s="309" t="s">
        <v>112</v>
      </c>
      <c r="C17" s="299"/>
      <c r="D17" s="310">
        <f t="shared" ref="D17:D50" si="0">O17*I$7</f>
        <v>28.215</v>
      </c>
      <c r="E17" s="311">
        <f t="shared" ref="E17:E50" si="1">+ROUND(F17*FOD*(1+$I$5)*I$7,1)</f>
        <v>49.1</v>
      </c>
      <c r="F17" s="336">
        <v>25</v>
      </c>
      <c r="G17" s="312">
        <v>19</v>
      </c>
      <c r="H17" s="313">
        <v>1.5</v>
      </c>
      <c r="I17" s="314">
        <f>D17+E17+G17+H17</f>
        <v>97.814999999999998</v>
      </c>
      <c r="J17" s="299" t="s">
        <v>69</v>
      </c>
      <c r="K17" s="315">
        <f t="shared" ref="K17:K51" si="2">I$8</f>
        <v>55</v>
      </c>
      <c r="L17" s="315">
        <f>K17+I17</f>
        <v>152.815</v>
      </c>
      <c r="M17" s="306"/>
      <c r="N17" s="307"/>
      <c r="O17" s="310">
        <v>20.9</v>
      </c>
      <c r="P17" s="316"/>
      <c r="Q17" s="336"/>
      <c r="R17" s="317"/>
      <c r="S17" s="318"/>
      <c r="T17" s="304"/>
      <c r="U17" s="299"/>
      <c r="V17" s="319"/>
      <c r="W17" s="319"/>
    </row>
    <row r="18" spans="1:23" ht="18" customHeight="1" x14ac:dyDescent="0.25">
      <c r="A18" s="297"/>
      <c r="B18" s="309" t="s">
        <v>113</v>
      </c>
      <c r="C18" s="299"/>
      <c r="D18" s="310">
        <f t="shared" si="0"/>
        <v>19.440000000000001</v>
      </c>
      <c r="E18" s="311">
        <f t="shared" si="1"/>
        <v>19.7</v>
      </c>
      <c r="F18" s="336">
        <v>10</v>
      </c>
      <c r="G18" s="312">
        <v>14.8</v>
      </c>
      <c r="H18" s="313">
        <v>1</v>
      </c>
      <c r="I18" s="314">
        <f t="shared" ref="I18:I50" si="3">D18+E18+G18+H18</f>
        <v>54.94</v>
      </c>
      <c r="J18" s="299" t="s">
        <v>69</v>
      </c>
      <c r="K18" s="315">
        <f t="shared" si="2"/>
        <v>55</v>
      </c>
      <c r="L18" s="315">
        <f t="shared" ref="L18:L50" si="4">K18+I18</f>
        <v>109.94</v>
      </c>
      <c r="M18" s="306"/>
      <c r="N18" s="307"/>
      <c r="O18" s="310">
        <v>14.4</v>
      </c>
      <c r="P18" s="316"/>
      <c r="Q18" s="336"/>
      <c r="R18" s="317"/>
      <c r="S18" s="318"/>
      <c r="T18" s="304"/>
      <c r="U18" s="299"/>
      <c r="V18" s="319"/>
      <c r="W18" s="319"/>
    </row>
    <row r="19" spans="1:23" ht="18" customHeight="1" x14ac:dyDescent="0.25">
      <c r="A19" s="297"/>
      <c r="B19" s="309" t="s">
        <v>114</v>
      </c>
      <c r="C19" s="299"/>
      <c r="D19" s="310">
        <f t="shared" si="0"/>
        <v>36.180000000000007</v>
      </c>
      <c r="E19" s="311">
        <f t="shared" si="1"/>
        <v>33.4</v>
      </c>
      <c r="F19" s="336">
        <v>17</v>
      </c>
      <c r="G19" s="312">
        <v>10.5</v>
      </c>
      <c r="H19" s="313">
        <v>1.9</v>
      </c>
      <c r="I19" s="314">
        <f t="shared" si="3"/>
        <v>81.980000000000018</v>
      </c>
      <c r="J19" s="299" t="s">
        <v>69</v>
      </c>
      <c r="K19" s="315">
        <f t="shared" si="2"/>
        <v>55</v>
      </c>
      <c r="L19" s="315">
        <f t="shared" si="4"/>
        <v>136.98000000000002</v>
      </c>
      <c r="M19" s="306"/>
      <c r="N19" s="307"/>
      <c r="O19" s="310">
        <v>26.8</v>
      </c>
      <c r="P19" s="316"/>
      <c r="Q19" s="336"/>
      <c r="R19" s="317"/>
      <c r="S19" s="318"/>
      <c r="T19" s="304"/>
      <c r="U19" s="299"/>
      <c r="V19" s="319"/>
      <c r="W19" s="319"/>
    </row>
    <row r="20" spans="1:23" ht="18" customHeight="1" x14ac:dyDescent="0.25">
      <c r="A20" s="113"/>
      <c r="B20" s="71" t="s">
        <v>115</v>
      </c>
      <c r="C20" s="72"/>
      <c r="D20" s="310">
        <f t="shared" si="0"/>
        <v>49.68</v>
      </c>
      <c r="E20" s="311">
        <f t="shared" si="1"/>
        <v>60.9</v>
      </c>
      <c r="F20" s="337">
        <v>31</v>
      </c>
      <c r="G20" s="171">
        <v>22.4</v>
      </c>
      <c r="H20" s="172">
        <v>2.6</v>
      </c>
      <c r="I20" s="66">
        <f>D20+E20+G20+H20</f>
        <v>135.57999999999998</v>
      </c>
      <c r="J20" s="67" t="s">
        <v>69</v>
      </c>
      <c r="K20" s="73">
        <f>+$I$8</f>
        <v>55</v>
      </c>
      <c r="L20" s="73">
        <f>+K20+I20</f>
        <v>190.57999999999998</v>
      </c>
      <c r="M20" s="74"/>
      <c r="O20" s="169">
        <v>36.799999999999997</v>
      </c>
      <c r="P20" s="170">
        <f>+ROUND(Q20*FOD*(1+$I$5),1)</f>
        <v>45.1</v>
      </c>
      <c r="Q20" s="337">
        <v>31</v>
      </c>
      <c r="R20" s="171">
        <v>22.4</v>
      </c>
      <c r="S20" s="172">
        <v>2.6</v>
      </c>
      <c r="T20" s="66">
        <f>O20+P20+R20+S20</f>
        <v>106.9</v>
      </c>
      <c r="U20" s="67" t="s">
        <v>69</v>
      </c>
      <c r="V20" s="73">
        <f>+$I$8</f>
        <v>55</v>
      </c>
      <c r="W20" s="73">
        <f>+V20+T20</f>
        <v>161.9</v>
      </c>
    </row>
    <row r="21" spans="1:23" ht="18" customHeight="1" x14ac:dyDescent="0.25">
      <c r="A21" s="297"/>
      <c r="B21" s="309" t="s">
        <v>116</v>
      </c>
      <c r="C21" s="299"/>
      <c r="D21" s="310">
        <f t="shared" si="0"/>
        <v>20.25</v>
      </c>
      <c r="E21" s="311">
        <f t="shared" si="1"/>
        <v>31.4</v>
      </c>
      <c r="F21" s="336">
        <v>16</v>
      </c>
      <c r="G21" s="312">
        <v>9.4</v>
      </c>
      <c r="H21" s="313">
        <v>1</v>
      </c>
      <c r="I21" s="314">
        <f t="shared" si="3"/>
        <v>62.05</v>
      </c>
      <c r="J21" s="299" t="s">
        <v>69</v>
      </c>
      <c r="K21" s="315">
        <f t="shared" si="2"/>
        <v>55</v>
      </c>
      <c r="L21" s="315">
        <f t="shared" si="4"/>
        <v>117.05</v>
      </c>
      <c r="M21" s="306"/>
      <c r="N21" s="307"/>
      <c r="O21" s="310">
        <v>15</v>
      </c>
      <c r="P21" s="316"/>
      <c r="Q21" s="336"/>
      <c r="R21" s="317"/>
      <c r="S21" s="318"/>
      <c r="T21" s="304"/>
      <c r="U21" s="299"/>
      <c r="V21" s="319"/>
      <c r="W21" s="319"/>
    </row>
    <row r="22" spans="1:23" ht="18" customHeight="1" x14ac:dyDescent="0.25">
      <c r="A22" s="297"/>
      <c r="B22" s="309" t="s">
        <v>117</v>
      </c>
      <c r="C22" s="299"/>
      <c r="D22" s="310">
        <f t="shared" si="0"/>
        <v>24.705000000000002</v>
      </c>
      <c r="E22" s="311">
        <f t="shared" si="1"/>
        <v>49.1</v>
      </c>
      <c r="F22" s="336">
        <v>25</v>
      </c>
      <c r="G22" s="312">
        <v>10.6</v>
      </c>
      <c r="H22" s="313">
        <v>1.3</v>
      </c>
      <c r="I22" s="314">
        <f t="shared" si="3"/>
        <v>85.704999999999998</v>
      </c>
      <c r="J22" s="299" t="s">
        <v>69</v>
      </c>
      <c r="K22" s="315">
        <f t="shared" si="2"/>
        <v>55</v>
      </c>
      <c r="L22" s="315">
        <f t="shared" si="4"/>
        <v>140.70499999999998</v>
      </c>
      <c r="M22" s="306"/>
      <c r="N22" s="307"/>
      <c r="O22" s="310">
        <v>18.3</v>
      </c>
      <c r="P22" s="316"/>
      <c r="Q22" s="336"/>
      <c r="R22" s="317"/>
      <c r="S22" s="318"/>
      <c r="T22" s="304"/>
      <c r="U22" s="299"/>
      <c r="V22" s="319"/>
      <c r="W22" s="319"/>
    </row>
    <row r="23" spans="1:23" ht="18" customHeight="1" x14ac:dyDescent="0.25">
      <c r="A23" s="297"/>
      <c r="B23" s="309" t="s">
        <v>118</v>
      </c>
      <c r="C23" s="299"/>
      <c r="D23" s="310">
        <f t="shared" si="0"/>
        <v>41.04</v>
      </c>
      <c r="E23" s="311">
        <f t="shared" si="1"/>
        <v>66.8</v>
      </c>
      <c r="F23" s="336">
        <v>34</v>
      </c>
      <c r="G23" s="312">
        <v>22.2</v>
      </c>
      <c r="H23" s="313">
        <v>2.1</v>
      </c>
      <c r="I23" s="314">
        <f t="shared" si="3"/>
        <v>132.13999999999999</v>
      </c>
      <c r="J23" s="299" t="s">
        <v>69</v>
      </c>
      <c r="K23" s="315">
        <f t="shared" si="2"/>
        <v>55</v>
      </c>
      <c r="L23" s="315">
        <f t="shared" si="4"/>
        <v>187.14</v>
      </c>
      <c r="M23" s="306"/>
      <c r="N23" s="307"/>
      <c r="O23" s="310">
        <v>30.4</v>
      </c>
      <c r="P23" s="316"/>
      <c r="Q23" s="336"/>
      <c r="R23" s="317"/>
      <c r="S23" s="318"/>
      <c r="T23" s="304"/>
      <c r="U23" s="299"/>
      <c r="V23" s="319"/>
      <c r="W23" s="319"/>
    </row>
    <row r="24" spans="1:23" ht="18" customHeight="1" x14ac:dyDescent="0.25">
      <c r="A24" s="113"/>
      <c r="B24" s="71" t="s">
        <v>119</v>
      </c>
      <c r="C24" s="72"/>
      <c r="D24" s="169">
        <v>14.4</v>
      </c>
      <c r="E24" s="170">
        <f t="shared" ref="E24" si="5">+ROUND(F24*FOD*(1+$I$5),1)</f>
        <v>2.9</v>
      </c>
      <c r="F24" s="174">
        <v>2</v>
      </c>
      <c r="G24" s="175">
        <v>6.2</v>
      </c>
      <c r="H24" s="172">
        <v>1</v>
      </c>
      <c r="I24" s="66">
        <f t="shared" si="3"/>
        <v>24.5</v>
      </c>
      <c r="J24" s="67" t="s">
        <v>69</v>
      </c>
      <c r="K24" s="73">
        <f t="shared" ref="K24" si="6">+$I$8</f>
        <v>55</v>
      </c>
      <c r="L24" s="73">
        <f t="shared" ref="L24" si="7">+K24+I24</f>
        <v>79.5</v>
      </c>
      <c r="M24" s="74"/>
      <c r="N24" s="75"/>
      <c r="O24" s="169">
        <v>14.4</v>
      </c>
      <c r="P24" s="170">
        <f t="shared" ref="P24" si="8">+ROUND(Q24*FOD*(1+$I$5),1)</f>
        <v>2.9</v>
      </c>
      <c r="Q24" s="174">
        <v>2</v>
      </c>
      <c r="R24" s="175">
        <v>6.2</v>
      </c>
      <c r="S24" s="172">
        <v>1</v>
      </c>
      <c r="T24" s="66">
        <f t="shared" ref="T24" si="9">O24+P24+R24+S24</f>
        <v>24.5</v>
      </c>
      <c r="U24" s="67" t="s">
        <v>69</v>
      </c>
      <c r="V24" s="73">
        <f t="shared" ref="V24" si="10">+$I$8</f>
        <v>55</v>
      </c>
      <c r="W24" s="73">
        <f t="shared" ref="W24" si="11">+V24+T24</f>
        <v>79.5</v>
      </c>
    </row>
    <row r="25" spans="1:23" ht="18" customHeight="1" x14ac:dyDescent="0.25">
      <c r="A25" s="297"/>
      <c r="B25" s="309" t="s">
        <v>120</v>
      </c>
      <c r="C25" s="299"/>
      <c r="D25" s="310">
        <v>12</v>
      </c>
      <c r="E25" s="311">
        <f t="shared" si="1"/>
        <v>9.8000000000000007</v>
      </c>
      <c r="F25" s="336">
        <v>5</v>
      </c>
      <c r="G25" s="312">
        <v>11</v>
      </c>
      <c r="H25" s="313">
        <v>0.8</v>
      </c>
      <c r="I25" s="314">
        <f t="shared" si="3"/>
        <v>33.599999999999994</v>
      </c>
      <c r="J25" s="299" t="s">
        <v>69</v>
      </c>
      <c r="K25" s="315">
        <f t="shared" si="2"/>
        <v>55</v>
      </c>
      <c r="L25" s="315">
        <f t="shared" si="4"/>
        <v>88.6</v>
      </c>
      <c r="M25" s="306"/>
      <c r="N25" s="307"/>
      <c r="O25" s="310">
        <v>11.5</v>
      </c>
      <c r="P25" s="316"/>
      <c r="Q25" s="336"/>
      <c r="R25" s="317"/>
      <c r="S25" s="318"/>
      <c r="T25" s="304"/>
      <c r="U25" s="299"/>
      <c r="V25" s="319"/>
      <c r="W25" s="319"/>
    </row>
    <row r="26" spans="1:23" ht="18" customHeight="1" x14ac:dyDescent="0.25">
      <c r="A26" s="297"/>
      <c r="B26" s="309" t="s">
        <v>121</v>
      </c>
      <c r="C26" s="299"/>
      <c r="D26" s="310">
        <f t="shared" si="0"/>
        <v>22.815000000000001</v>
      </c>
      <c r="E26" s="311">
        <f t="shared" si="1"/>
        <v>35.4</v>
      </c>
      <c r="F26" s="336">
        <v>18</v>
      </c>
      <c r="G26" s="312">
        <v>12.3</v>
      </c>
      <c r="H26" s="313">
        <v>1.2</v>
      </c>
      <c r="I26" s="314">
        <f t="shared" si="3"/>
        <v>71.715000000000003</v>
      </c>
      <c r="J26" s="299" t="s">
        <v>69</v>
      </c>
      <c r="K26" s="315">
        <f t="shared" si="2"/>
        <v>55</v>
      </c>
      <c r="L26" s="315">
        <f t="shared" si="4"/>
        <v>126.715</v>
      </c>
      <c r="M26" s="306"/>
      <c r="N26" s="307"/>
      <c r="O26" s="310">
        <v>16.899999999999999</v>
      </c>
      <c r="P26" s="316"/>
      <c r="Q26" s="336"/>
      <c r="R26" s="317"/>
      <c r="S26" s="318"/>
      <c r="T26" s="304"/>
      <c r="U26" s="299"/>
      <c r="V26" s="319"/>
      <c r="W26" s="319"/>
    </row>
    <row r="27" spans="1:23" ht="18" customHeight="1" x14ac:dyDescent="0.25">
      <c r="A27" s="297"/>
      <c r="B27" s="309"/>
      <c r="C27" s="299"/>
      <c r="D27" s="310"/>
      <c r="E27" s="311"/>
      <c r="F27" s="336"/>
      <c r="G27" s="312"/>
      <c r="H27" s="313"/>
      <c r="I27" s="314"/>
      <c r="J27" s="299"/>
      <c r="K27" s="315"/>
      <c r="L27" s="315"/>
      <c r="M27" s="306"/>
      <c r="N27" s="307"/>
      <c r="O27" s="310"/>
      <c r="P27" s="316"/>
      <c r="Q27" s="336"/>
      <c r="R27" s="317"/>
      <c r="S27" s="318"/>
      <c r="T27" s="304"/>
      <c r="U27" s="299"/>
      <c r="V27" s="319"/>
      <c r="W27" s="319"/>
    </row>
    <row r="28" spans="1:23" ht="18" customHeight="1" x14ac:dyDescent="0.25">
      <c r="A28" s="297"/>
      <c r="B28" s="309" t="s">
        <v>122</v>
      </c>
      <c r="C28" s="299"/>
      <c r="D28" s="310">
        <f t="shared" ref="D28:D33" si="12">O28*I$7</f>
        <v>28.215</v>
      </c>
      <c r="E28" s="311">
        <f t="shared" ref="E28:E34" si="13">+ROUND(F28*FOD*(1+$I$5)*I$7,1)</f>
        <v>49.1</v>
      </c>
      <c r="F28" s="336">
        <v>25</v>
      </c>
      <c r="G28" s="312">
        <v>19</v>
      </c>
      <c r="H28" s="313">
        <v>1.5</v>
      </c>
      <c r="I28" s="314">
        <f>D28+E28+G28+H28</f>
        <v>97.814999999999998</v>
      </c>
      <c r="J28" s="299" t="s">
        <v>69</v>
      </c>
      <c r="K28" s="315">
        <f>I$8*2</f>
        <v>110</v>
      </c>
      <c r="L28" s="315">
        <f>K28+I28</f>
        <v>207.815</v>
      </c>
      <c r="M28" s="306"/>
      <c r="N28" s="307"/>
      <c r="O28" s="310">
        <v>20.9</v>
      </c>
      <c r="P28" s="316"/>
      <c r="Q28" s="336"/>
      <c r="R28" s="317"/>
      <c r="S28" s="318"/>
      <c r="T28" s="304"/>
      <c r="U28" s="299"/>
      <c r="V28" s="319"/>
      <c r="W28" s="319"/>
    </row>
    <row r="29" spans="1:23" ht="18" customHeight="1" x14ac:dyDescent="0.25">
      <c r="A29" s="297"/>
      <c r="B29" s="309" t="s">
        <v>123</v>
      </c>
      <c r="C29" s="299"/>
      <c r="D29" s="310">
        <f t="shared" si="12"/>
        <v>19.440000000000001</v>
      </c>
      <c r="E29" s="311">
        <f t="shared" si="13"/>
        <v>19.7</v>
      </c>
      <c r="F29" s="336">
        <v>10</v>
      </c>
      <c r="G29" s="312">
        <v>14.8</v>
      </c>
      <c r="H29" s="313">
        <v>1</v>
      </c>
      <c r="I29" s="314">
        <f t="shared" ref="I29:I30" si="14">D29+E29+G29+H29</f>
        <v>54.94</v>
      </c>
      <c r="J29" s="299" t="s">
        <v>69</v>
      </c>
      <c r="K29" s="315">
        <f t="shared" ref="K29:K37" si="15">I$8*2</f>
        <v>110</v>
      </c>
      <c r="L29" s="315">
        <f t="shared" ref="L29:L30" si="16">K29+I29</f>
        <v>164.94</v>
      </c>
      <c r="M29" s="306"/>
      <c r="N29" s="307"/>
      <c r="O29" s="310">
        <v>14.4</v>
      </c>
      <c r="P29" s="316"/>
      <c r="Q29" s="336"/>
      <c r="R29" s="317"/>
      <c r="S29" s="318"/>
      <c r="T29" s="304"/>
      <c r="U29" s="299"/>
      <c r="V29" s="319"/>
      <c r="W29" s="319"/>
    </row>
    <row r="30" spans="1:23" ht="18" customHeight="1" x14ac:dyDescent="0.25">
      <c r="A30" s="297"/>
      <c r="B30" s="309" t="s">
        <v>124</v>
      </c>
      <c r="C30" s="299"/>
      <c r="D30" s="310">
        <f t="shared" si="12"/>
        <v>36.180000000000007</v>
      </c>
      <c r="E30" s="311">
        <f t="shared" si="13"/>
        <v>33.4</v>
      </c>
      <c r="F30" s="336">
        <v>17</v>
      </c>
      <c r="G30" s="312">
        <v>10.5</v>
      </c>
      <c r="H30" s="313">
        <v>1.9</v>
      </c>
      <c r="I30" s="314">
        <f t="shared" si="14"/>
        <v>81.980000000000018</v>
      </c>
      <c r="J30" s="299" t="s">
        <v>69</v>
      </c>
      <c r="K30" s="315">
        <f t="shared" si="15"/>
        <v>110</v>
      </c>
      <c r="L30" s="315">
        <f t="shared" si="16"/>
        <v>191.98000000000002</v>
      </c>
      <c r="M30" s="306"/>
      <c r="N30" s="307"/>
      <c r="O30" s="310">
        <v>26.8</v>
      </c>
      <c r="P30" s="316"/>
      <c r="Q30" s="336"/>
      <c r="R30" s="317"/>
      <c r="S30" s="318"/>
      <c r="T30" s="304"/>
      <c r="U30" s="299"/>
      <c r="V30" s="319"/>
      <c r="W30" s="319"/>
    </row>
    <row r="31" spans="1:23" ht="18" customHeight="1" x14ac:dyDescent="0.25">
      <c r="A31" s="113"/>
      <c r="B31" s="71" t="s">
        <v>125</v>
      </c>
      <c r="C31" s="72"/>
      <c r="D31" s="310">
        <v>65</v>
      </c>
      <c r="E31" s="311">
        <f t="shared" si="13"/>
        <v>60.9</v>
      </c>
      <c r="F31" s="337">
        <v>31</v>
      </c>
      <c r="G31" s="171">
        <v>22.4</v>
      </c>
      <c r="H31" s="172">
        <v>2.6</v>
      </c>
      <c r="I31" s="66">
        <f>D31+E31+G31+H31</f>
        <v>150.9</v>
      </c>
      <c r="J31" s="67" t="s">
        <v>69</v>
      </c>
      <c r="K31" s="315">
        <f t="shared" si="15"/>
        <v>110</v>
      </c>
      <c r="L31" s="73">
        <f>+K31+I31</f>
        <v>260.89999999999998</v>
      </c>
      <c r="M31" s="74"/>
      <c r="N31" s="75" t="e">
        <f>#REF!</f>
        <v>#REF!</v>
      </c>
      <c r="O31" s="169">
        <v>36.799999999999997</v>
      </c>
      <c r="P31" s="170">
        <f>+ROUND(Q31*FOD*(1+$I$5),1)</f>
        <v>45.1</v>
      </c>
      <c r="Q31" s="337">
        <v>31</v>
      </c>
      <c r="R31" s="171">
        <v>22.4</v>
      </c>
      <c r="S31" s="172">
        <v>2.6</v>
      </c>
      <c r="T31" s="66">
        <f>O31+P31+R31+S31</f>
        <v>106.9</v>
      </c>
      <c r="U31" s="67" t="s">
        <v>69</v>
      </c>
      <c r="V31" s="73">
        <f>+$I$8</f>
        <v>55</v>
      </c>
      <c r="W31" s="73">
        <f>+V31+T31</f>
        <v>161.9</v>
      </c>
    </row>
    <row r="32" spans="1:23" ht="18" customHeight="1" x14ac:dyDescent="0.25">
      <c r="A32" s="297"/>
      <c r="B32" s="309" t="s">
        <v>126</v>
      </c>
      <c r="C32" s="299"/>
      <c r="D32" s="310">
        <f t="shared" si="12"/>
        <v>20.25</v>
      </c>
      <c r="E32" s="311">
        <f t="shared" si="13"/>
        <v>39.299999999999997</v>
      </c>
      <c r="F32" s="324">
        <v>20</v>
      </c>
      <c r="G32" s="312">
        <v>9.4</v>
      </c>
      <c r="H32" s="313">
        <v>1</v>
      </c>
      <c r="I32" s="314">
        <f t="shared" ref="I32:I37" si="17">D32+E32+G32+H32</f>
        <v>69.95</v>
      </c>
      <c r="J32" s="299" t="s">
        <v>69</v>
      </c>
      <c r="K32" s="315">
        <f t="shared" si="15"/>
        <v>110</v>
      </c>
      <c r="L32" s="315">
        <f t="shared" ref="L32:L34" si="18">K32+I32</f>
        <v>179.95</v>
      </c>
      <c r="M32" s="306"/>
      <c r="N32" s="307"/>
      <c r="O32" s="310">
        <v>15</v>
      </c>
      <c r="P32" s="316"/>
      <c r="Q32" s="336"/>
      <c r="R32" s="317"/>
      <c r="S32" s="318"/>
      <c r="T32" s="304"/>
      <c r="U32" s="299"/>
      <c r="V32" s="319"/>
      <c r="W32" s="319"/>
    </row>
    <row r="33" spans="1:23" ht="18" customHeight="1" x14ac:dyDescent="0.25">
      <c r="A33" s="297"/>
      <c r="B33" s="309" t="s">
        <v>127</v>
      </c>
      <c r="C33" s="299"/>
      <c r="D33" s="310">
        <f t="shared" si="12"/>
        <v>24.705000000000002</v>
      </c>
      <c r="E33" s="311">
        <f t="shared" si="13"/>
        <v>59</v>
      </c>
      <c r="F33" s="324">
        <v>30</v>
      </c>
      <c r="G33" s="312">
        <v>10.6</v>
      </c>
      <c r="H33" s="313">
        <v>1.3</v>
      </c>
      <c r="I33" s="314">
        <f t="shared" si="17"/>
        <v>95.60499999999999</v>
      </c>
      <c r="J33" s="299" t="s">
        <v>69</v>
      </c>
      <c r="K33" s="315">
        <f t="shared" si="15"/>
        <v>110</v>
      </c>
      <c r="L33" s="315">
        <f t="shared" si="18"/>
        <v>205.60499999999999</v>
      </c>
      <c r="M33" s="306"/>
      <c r="N33" s="307"/>
      <c r="O33" s="310">
        <v>18.3</v>
      </c>
      <c r="P33" s="316"/>
      <c r="Q33" s="336"/>
      <c r="R33" s="317"/>
      <c r="S33" s="318"/>
      <c r="T33" s="304"/>
      <c r="U33" s="299"/>
      <c r="V33" s="319"/>
      <c r="W33" s="319"/>
    </row>
    <row r="34" spans="1:23" ht="18" customHeight="1" x14ac:dyDescent="0.25">
      <c r="A34" s="297"/>
      <c r="B34" s="309" t="s">
        <v>128</v>
      </c>
      <c r="C34" s="299"/>
      <c r="D34" s="310">
        <v>65</v>
      </c>
      <c r="E34" s="311">
        <f t="shared" si="13"/>
        <v>72.7</v>
      </c>
      <c r="F34" s="324">
        <v>37</v>
      </c>
      <c r="G34" s="312">
        <v>22.2</v>
      </c>
      <c r="H34" s="313">
        <v>2.1</v>
      </c>
      <c r="I34" s="314">
        <f t="shared" si="17"/>
        <v>161.99999999999997</v>
      </c>
      <c r="J34" s="299" t="s">
        <v>69</v>
      </c>
      <c r="K34" s="315">
        <f t="shared" si="15"/>
        <v>110</v>
      </c>
      <c r="L34" s="315">
        <f t="shared" si="18"/>
        <v>272</v>
      </c>
      <c r="M34" s="306"/>
      <c r="N34" s="307"/>
      <c r="O34" s="310">
        <v>30.4</v>
      </c>
      <c r="P34" s="316"/>
      <c r="Q34" s="336"/>
      <c r="R34" s="317"/>
      <c r="S34" s="318"/>
      <c r="T34" s="304"/>
      <c r="U34" s="299"/>
      <c r="V34" s="319"/>
      <c r="W34" s="319"/>
    </row>
    <row r="35" spans="1:23" ht="18" customHeight="1" x14ac:dyDescent="0.25">
      <c r="A35" s="113"/>
      <c r="B35" s="71" t="s">
        <v>129</v>
      </c>
      <c r="C35" s="72"/>
      <c r="D35" s="169">
        <v>14.4</v>
      </c>
      <c r="E35" s="170">
        <f t="shared" ref="E35" si="19">+ROUND(F35*FOD*(1+$I$5),1)</f>
        <v>2.9</v>
      </c>
      <c r="F35" s="174">
        <v>2</v>
      </c>
      <c r="G35" s="175">
        <v>6.2</v>
      </c>
      <c r="H35" s="172">
        <v>1</v>
      </c>
      <c r="I35" s="66">
        <f t="shared" si="17"/>
        <v>24.5</v>
      </c>
      <c r="J35" s="67" t="s">
        <v>69</v>
      </c>
      <c r="K35" s="315">
        <f t="shared" si="15"/>
        <v>110</v>
      </c>
      <c r="L35" s="73">
        <f t="shared" ref="L35" si="20">+K35+I35</f>
        <v>134.5</v>
      </c>
      <c r="M35" s="74"/>
      <c r="N35" s="75"/>
      <c r="O35" s="169">
        <v>14.4</v>
      </c>
      <c r="P35" s="170">
        <f t="shared" ref="P35" si="21">+ROUND(Q35*FOD*(1+$I$5),1)</f>
        <v>2.9</v>
      </c>
      <c r="Q35" s="174">
        <v>2</v>
      </c>
      <c r="R35" s="175">
        <v>6.2</v>
      </c>
      <c r="S35" s="172">
        <v>1</v>
      </c>
      <c r="T35" s="66">
        <f t="shared" ref="T35" si="22">O35+P35+R35+S35</f>
        <v>24.5</v>
      </c>
      <c r="U35" s="67" t="s">
        <v>69</v>
      </c>
      <c r="V35" s="73">
        <f t="shared" ref="V35" si="23">+$I$8</f>
        <v>55</v>
      </c>
      <c r="W35" s="73">
        <f t="shared" ref="W35" si="24">+V35+T35</f>
        <v>79.5</v>
      </c>
    </row>
    <row r="36" spans="1:23" ht="18" customHeight="1" x14ac:dyDescent="0.25">
      <c r="A36" s="297"/>
      <c r="B36" s="309" t="s">
        <v>130</v>
      </c>
      <c r="C36" s="299"/>
      <c r="D36" s="310">
        <v>12</v>
      </c>
      <c r="E36" s="311">
        <f t="shared" ref="E36:E37" si="25">+ROUND(F36*FOD*(1+$I$5)*I$7,1)</f>
        <v>9.8000000000000007</v>
      </c>
      <c r="F36" s="336">
        <v>5</v>
      </c>
      <c r="G36" s="312">
        <v>11</v>
      </c>
      <c r="H36" s="313">
        <v>0.8</v>
      </c>
      <c r="I36" s="314">
        <f t="shared" si="17"/>
        <v>33.599999999999994</v>
      </c>
      <c r="J36" s="299" t="s">
        <v>69</v>
      </c>
      <c r="K36" s="315">
        <f t="shared" si="15"/>
        <v>110</v>
      </c>
      <c r="L36" s="315">
        <f t="shared" ref="L36:L37" si="26">K36+I36</f>
        <v>143.6</v>
      </c>
      <c r="M36" s="306"/>
      <c r="N36" s="307"/>
      <c r="O36" s="310">
        <v>11.5</v>
      </c>
      <c r="P36" s="316"/>
      <c r="Q36" s="336"/>
      <c r="R36" s="317"/>
      <c r="S36" s="318"/>
      <c r="T36" s="304"/>
      <c r="U36" s="299"/>
      <c r="V36" s="319"/>
      <c r="W36" s="319"/>
    </row>
    <row r="37" spans="1:23" ht="18" customHeight="1" x14ac:dyDescent="0.25">
      <c r="A37" s="297"/>
      <c r="B37" s="309" t="s">
        <v>131</v>
      </c>
      <c r="C37" s="299"/>
      <c r="D37" s="310">
        <f t="shared" ref="D37" si="27">O37*I$7</f>
        <v>22.815000000000001</v>
      </c>
      <c r="E37" s="311">
        <f t="shared" si="25"/>
        <v>35.4</v>
      </c>
      <c r="F37" s="336">
        <v>18</v>
      </c>
      <c r="G37" s="312">
        <v>12.3</v>
      </c>
      <c r="H37" s="313">
        <v>1.2</v>
      </c>
      <c r="I37" s="314">
        <f t="shared" si="17"/>
        <v>71.715000000000003</v>
      </c>
      <c r="J37" s="299" t="s">
        <v>69</v>
      </c>
      <c r="K37" s="315">
        <f t="shared" si="15"/>
        <v>110</v>
      </c>
      <c r="L37" s="315">
        <f t="shared" si="26"/>
        <v>181.715</v>
      </c>
      <c r="M37" s="306"/>
      <c r="N37" s="307"/>
      <c r="O37" s="310">
        <v>16.899999999999999</v>
      </c>
      <c r="P37" s="316"/>
      <c r="Q37" s="336"/>
      <c r="R37" s="317"/>
      <c r="S37" s="318"/>
      <c r="T37" s="304"/>
      <c r="U37" s="299"/>
      <c r="V37" s="319"/>
      <c r="W37" s="319"/>
    </row>
    <row r="38" spans="1:23" ht="13.5" customHeight="1" x14ac:dyDescent="0.25">
      <c r="A38" s="297"/>
      <c r="B38" s="309"/>
      <c r="C38" s="321"/>
      <c r="D38" s="310"/>
      <c r="E38" s="311"/>
      <c r="F38" s="316"/>
      <c r="G38" s="312"/>
      <c r="H38" s="313"/>
      <c r="I38" s="314"/>
      <c r="J38" s="299"/>
      <c r="K38" s="315"/>
      <c r="L38" s="315"/>
      <c r="M38" s="306"/>
      <c r="N38" s="322"/>
      <c r="O38" s="310"/>
      <c r="P38" s="316"/>
      <c r="Q38" s="316"/>
      <c r="R38" s="317"/>
      <c r="S38" s="318"/>
      <c r="T38" s="304"/>
      <c r="U38" s="299"/>
      <c r="V38" s="319"/>
      <c r="W38" s="319"/>
    </row>
    <row r="39" spans="1:23" ht="13.5" customHeight="1" x14ac:dyDescent="0.25">
      <c r="A39" s="297"/>
      <c r="B39" s="309"/>
      <c r="C39" s="299"/>
      <c r="D39" s="310"/>
      <c r="E39" s="311"/>
      <c r="F39" s="316"/>
      <c r="G39" s="312"/>
      <c r="H39" s="313"/>
      <c r="I39" s="314"/>
      <c r="J39" s="299"/>
      <c r="K39" s="315"/>
      <c r="L39" s="315"/>
      <c r="M39" s="306"/>
      <c r="N39" s="322"/>
      <c r="O39" s="310"/>
      <c r="P39" s="316"/>
      <c r="Q39" s="316"/>
      <c r="R39" s="317"/>
      <c r="S39" s="318"/>
      <c r="T39" s="304"/>
      <c r="U39" s="299"/>
      <c r="V39" s="319"/>
      <c r="W39" s="319"/>
    </row>
    <row r="40" spans="1:23" ht="18" customHeight="1" x14ac:dyDescent="0.25">
      <c r="A40" s="297"/>
      <c r="B40" s="309" t="s">
        <v>132</v>
      </c>
      <c r="C40" s="299"/>
      <c r="D40" s="310">
        <f>O40*I$7</f>
        <v>83.43</v>
      </c>
      <c r="E40" s="311">
        <f>+ROUND(F40*FOD*(1+$I$5)*I$7,1)</f>
        <v>102.2</v>
      </c>
      <c r="F40" s="336">
        <v>52</v>
      </c>
      <c r="G40" s="312">
        <v>96.2</v>
      </c>
      <c r="H40" s="313">
        <v>4.3</v>
      </c>
      <c r="I40" s="314">
        <f>D40+E40+G40+H40</f>
        <v>286.13</v>
      </c>
      <c r="J40" s="299" t="s">
        <v>69</v>
      </c>
      <c r="K40" s="315">
        <f t="shared" si="2"/>
        <v>55</v>
      </c>
      <c r="L40" s="315">
        <f>K40+I40</f>
        <v>341.13</v>
      </c>
      <c r="M40" s="320"/>
      <c r="N40" s="307"/>
      <c r="O40" s="310">
        <v>61.8</v>
      </c>
      <c r="P40" s="316"/>
      <c r="Q40" s="336"/>
      <c r="R40" s="317"/>
      <c r="S40" s="318"/>
      <c r="T40" s="304"/>
      <c r="U40" s="299"/>
      <c r="V40" s="319"/>
      <c r="W40" s="319"/>
    </row>
    <row r="41" spans="1:23" ht="18" customHeight="1" x14ac:dyDescent="0.25">
      <c r="A41" s="297">
        <v>68</v>
      </c>
      <c r="B41" s="309" t="s">
        <v>133</v>
      </c>
      <c r="C41" s="299"/>
      <c r="D41" s="310">
        <f>O41*I$7</f>
        <v>33.344999999999999</v>
      </c>
      <c r="E41" s="311">
        <f>+ROUND(F41*FOD*(1+$I$5)*I$7,1)</f>
        <v>23.6</v>
      </c>
      <c r="F41" s="336">
        <v>12</v>
      </c>
      <c r="G41" s="312">
        <v>14.6</v>
      </c>
      <c r="H41" s="313">
        <v>1.7</v>
      </c>
      <c r="I41" s="314">
        <f>D41+E41+G41+H41</f>
        <v>73.245000000000005</v>
      </c>
      <c r="J41" s="299" t="s">
        <v>69</v>
      </c>
      <c r="K41" s="315">
        <f t="shared" si="2"/>
        <v>55</v>
      </c>
      <c r="L41" s="315">
        <f>K41+I41</f>
        <v>128.245</v>
      </c>
      <c r="M41" s="306"/>
      <c r="N41" s="307"/>
      <c r="O41" s="310">
        <v>24.7</v>
      </c>
      <c r="P41" s="316"/>
      <c r="Q41" s="336"/>
      <c r="R41" s="317"/>
      <c r="S41" s="318"/>
      <c r="T41" s="304"/>
      <c r="U41" s="299"/>
      <c r="V41" s="319"/>
      <c r="W41" s="319"/>
    </row>
    <row r="42" spans="1:23" ht="13.5" customHeight="1" x14ac:dyDescent="0.25">
      <c r="A42" s="297"/>
      <c r="B42" s="309" t="s">
        <v>134</v>
      </c>
      <c r="C42" s="321"/>
      <c r="D42" s="310">
        <f>O42*I$7</f>
        <v>29.700000000000003</v>
      </c>
      <c r="E42" s="311">
        <f>+ROUND(F42*FOD*(1+$I$5)*I$7,1)</f>
        <v>37.299999999999997</v>
      </c>
      <c r="F42" s="316">
        <v>19</v>
      </c>
      <c r="G42" s="312">
        <v>18.600000000000001</v>
      </c>
      <c r="H42" s="313">
        <v>1.1000000000000001</v>
      </c>
      <c r="I42" s="314">
        <f>D42+E42+G42+H42</f>
        <v>86.699999999999989</v>
      </c>
      <c r="J42" s="299" t="s">
        <v>69</v>
      </c>
      <c r="K42" s="315">
        <f t="shared" si="2"/>
        <v>55</v>
      </c>
      <c r="L42" s="315">
        <f>K42+I42</f>
        <v>141.69999999999999</v>
      </c>
      <c r="M42" s="306"/>
      <c r="N42" s="322"/>
      <c r="O42" s="310">
        <v>22</v>
      </c>
      <c r="P42" s="316"/>
      <c r="Q42" s="317"/>
      <c r="R42" s="317"/>
      <c r="S42" s="318"/>
      <c r="T42" s="304"/>
      <c r="U42" s="299"/>
      <c r="V42" s="319"/>
      <c r="W42" s="319"/>
    </row>
    <row r="43" spans="1:23" ht="13.5" customHeight="1" x14ac:dyDescent="0.25">
      <c r="A43" s="297"/>
      <c r="B43" s="309" t="s">
        <v>135</v>
      </c>
      <c r="C43" s="299"/>
      <c r="D43" s="310">
        <f t="shared" si="0"/>
        <v>9.5850000000000009</v>
      </c>
      <c r="E43" s="311">
        <f t="shared" si="1"/>
        <v>31.4</v>
      </c>
      <c r="F43" s="316">
        <v>16</v>
      </c>
      <c r="G43" s="312">
        <v>10.5</v>
      </c>
      <c r="H43" s="313">
        <v>1.1000000000000001</v>
      </c>
      <c r="I43" s="314">
        <f t="shared" si="3"/>
        <v>52.585000000000001</v>
      </c>
      <c r="J43" s="299" t="s">
        <v>69</v>
      </c>
      <c r="K43" s="315">
        <v>45</v>
      </c>
      <c r="L43" s="315">
        <f t="shared" si="4"/>
        <v>97.585000000000008</v>
      </c>
      <c r="M43" s="306"/>
      <c r="N43" s="322"/>
      <c r="O43" s="310">
        <v>7.1</v>
      </c>
      <c r="P43" s="316"/>
      <c r="Q43" s="316"/>
      <c r="R43" s="317"/>
      <c r="S43" s="318"/>
      <c r="T43" s="304"/>
      <c r="U43" s="299"/>
      <c r="V43" s="319"/>
      <c r="W43" s="319"/>
    </row>
    <row r="44" spans="1:23" ht="13.5" customHeight="1" x14ac:dyDescent="0.25">
      <c r="A44" s="297"/>
      <c r="B44" s="309" t="s">
        <v>136</v>
      </c>
      <c r="C44" s="299"/>
      <c r="D44" s="310">
        <f t="shared" si="0"/>
        <v>6.6150000000000011</v>
      </c>
      <c r="E44" s="311">
        <f t="shared" si="1"/>
        <v>31.4</v>
      </c>
      <c r="F44" s="316">
        <v>16</v>
      </c>
      <c r="G44" s="312">
        <v>5.4</v>
      </c>
      <c r="H44" s="313">
        <v>1.1000000000000001</v>
      </c>
      <c r="I44" s="314">
        <f t="shared" si="3"/>
        <v>44.515000000000001</v>
      </c>
      <c r="J44" s="299" t="s">
        <v>69</v>
      </c>
      <c r="K44" s="315">
        <f t="shared" si="2"/>
        <v>55</v>
      </c>
      <c r="L44" s="315">
        <f t="shared" si="4"/>
        <v>99.515000000000001</v>
      </c>
      <c r="M44" s="306"/>
      <c r="N44" s="322"/>
      <c r="O44" s="310">
        <v>4.9000000000000004</v>
      </c>
      <c r="P44" s="316"/>
      <c r="Q44" s="316"/>
      <c r="R44" s="317"/>
      <c r="S44" s="318"/>
      <c r="T44" s="304"/>
      <c r="U44" s="299"/>
      <c r="V44" s="319"/>
      <c r="W44" s="319"/>
    </row>
    <row r="46" spans="1:23" ht="18" customHeight="1" x14ac:dyDescent="0.25">
      <c r="A46" s="297"/>
      <c r="B46" s="309"/>
      <c r="C46" s="299"/>
      <c r="D46" s="310"/>
      <c r="E46" s="311"/>
      <c r="F46" s="336"/>
      <c r="G46" s="312"/>
      <c r="H46" s="313"/>
      <c r="I46" s="314"/>
      <c r="J46" s="299"/>
      <c r="K46" s="315"/>
      <c r="L46" s="315"/>
      <c r="M46" s="306"/>
      <c r="N46" s="307"/>
      <c r="O46" s="310"/>
      <c r="P46" s="316"/>
      <c r="Q46" s="336"/>
      <c r="R46" s="317"/>
      <c r="S46" s="318"/>
      <c r="T46" s="304"/>
      <c r="U46" s="299"/>
      <c r="V46" s="319"/>
      <c r="W46" s="319"/>
    </row>
    <row r="47" spans="1:23" ht="18" customHeight="1" x14ac:dyDescent="0.25">
      <c r="A47" s="297"/>
      <c r="B47" s="309"/>
      <c r="C47" s="299"/>
      <c r="D47" s="310"/>
      <c r="E47" s="311"/>
      <c r="F47" s="336"/>
      <c r="G47" s="312"/>
      <c r="H47" s="313"/>
      <c r="I47" s="314"/>
      <c r="J47" s="299"/>
      <c r="K47" s="315"/>
      <c r="L47" s="315"/>
      <c r="M47" s="306"/>
      <c r="N47" s="307"/>
      <c r="O47" s="310"/>
      <c r="P47" s="316"/>
      <c r="Q47" s="336"/>
      <c r="R47" s="317"/>
      <c r="S47" s="318"/>
      <c r="T47" s="304"/>
      <c r="U47" s="299"/>
      <c r="V47" s="319"/>
      <c r="W47" s="319"/>
    </row>
    <row r="48" spans="1:23" ht="18" customHeight="1" x14ac:dyDescent="0.25">
      <c r="A48" s="297"/>
      <c r="B48" s="309"/>
      <c r="C48" s="299"/>
      <c r="D48" s="310"/>
      <c r="E48" s="311"/>
      <c r="F48" s="336"/>
      <c r="G48" s="312"/>
      <c r="H48" s="313"/>
      <c r="I48" s="314"/>
      <c r="J48" s="299"/>
      <c r="K48" s="315"/>
      <c r="L48" s="315"/>
      <c r="M48" s="306"/>
      <c r="N48" s="307"/>
      <c r="O48" s="310"/>
      <c r="P48" s="316"/>
      <c r="Q48" s="336"/>
      <c r="R48" s="317"/>
      <c r="S48" s="318"/>
      <c r="T48" s="304"/>
      <c r="U48" s="299"/>
      <c r="V48" s="319"/>
      <c r="W48" s="319"/>
    </row>
    <row r="49" spans="1:23" ht="18" customHeight="1" x14ac:dyDescent="0.25">
      <c r="A49" s="297"/>
      <c r="B49" s="309"/>
      <c r="C49" s="299"/>
      <c r="D49" s="310"/>
      <c r="E49" s="311"/>
      <c r="F49" s="336"/>
      <c r="G49" s="312"/>
      <c r="H49" s="313"/>
      <c r="I49" s="314"/>
      <c r="J49" s="299"/>
      <c r="K49" s="315"/>
      <c r="L49" s="315"/>
      <c r="M49" s="306"/>
      <c r="N49" s="307"/>
      <c r="O49" s="310"/>
      <c r="P49" s="316"/>
      <c r="Q49" s="336"/>
      <c r="R49" s="317"/>
      <c r="S49" s="318"/>
      <c r="T49" s="304"/>
      <c r="U49" s="299"/>
      <c r="V49" s="319"/>
      <c r="W49" s="319"/>
    </row>
    <row r="50" spans="1:23" ht="18" customHeight="1" x14ac:dyDescent="0.25">
      <c r="A50" s="297"/>
      <c r="B50" s="309" t="s">
        <v>137</v>
      </c>
      <c r="C50" s="299"/>
      <c r="D50" s="310">
        <f t="shared" si="0"/>
        <v>2.7</v>
      </c>
      <c r="E50" s="311">
        <f t="shared" si="1"/>
        <v>3.9</v>
      </c>
      <c r="F50" s="336">
        <v>2</v>
      </c>
      <c r="G50" s="317">
        <v>1.1000000000000001</v>
      </c>
      <c r="H50" s="318">
        <v>0.2</v>
      </c>
      <c r="I50" s="314">
        <f t="shared" si="3"/>
        <v>7.8999999999999995</v>
      </c>
      <c r="J50" s="299" t="s">
        <v>69</v>
      </c>
      <c r="K50" s="315">
        <v>46</v>
      </c>
      <c r="L50" s="315">
        <f t="shared" si="4"/>
        <v>53.9</v>
      </c>
      <c r="M50" s="306"/>
      <c r="N50" s="307"/>
      <c r="O50" s="323">
        <v>2</v>
      </c>
      <c r="P50" s="316"/>
      <c r="Q50" s="336"/>
      <c r="R50" s="317"/>
      <c r="S50" s="318"/>
      <c r="T50" s="304"/>
      <c r="U50" s="299"/>
      <c r="V50" s="319"/>
      <c r="W50" s="319"/>
    </row>
    <row r="51" spans="1:23" ht="18" customHeight="1" x14ac:dyDescent="0.25">
      <c r="A51" s="113"/>
      <c r="B51" s="61"/>
      <c r="D51" s="62"/>
      <c r="E51" s="63"/>
      <c r="F51" s="64"/>
      <c r="G51" s="63"/>
      <c r="H51" s="65"/>
      <c r="I51" s="66"/>
      <c r="J51" s="67" t="s">
        <v>69</v>
      </c>
      <c r="K51" s="315">
        <f t="shared" si="2"/>
        <v>55</v>
      </c>
      <c r="L51" s="305"/>
      <c r="M51" s="69"/>
      <c r="N51" s="70"/>
      <c r="O51" s="62"/>
      <c r="P51" s="63"/>
      <c r="Q51" s="64"/>
      <c r="R51" s="63"/>
      <c r="S51" s="65"/>
      <c r="T51" s="66"/>
      <c r="U51" s="67" t="s">
        <v>69</v>
      </c>
      <c r="V51" s="68"/>
      <c r="W51" s="68"/>
    </row>
    <row r="52" spans="1:23" ht="18" customHeight="1" x14ac:dyDescent="0.25">
      <c r="A52" s="113">
        <v>23</v>
      </c>
      <c r="B52" s="61" t="s">
        <v>138</v>
      </c>
      <c r="D52" s="62"/>
      <c r="E52" s="63"/>
      <c r="F52" s="64"/>
      <c r="G52" s="63"/>
      <c r="H52" s="65"/>
      <c r="I52" s="66"/>
      <c r="J52" s="67" t="s">
        <v>69</v>
      </c>
      <c r="K52" s="68"/>
      <c r="L52" s="68"/>
      <c r="M52" s="69"/>
      <c r="N52" s="70"/>
      <c r="O52" s="62"/>
      <c r="P52" s="63"/>
      <c r="Q52" s="64"/>
      <c r="R52" s="63"/>
      <c r="S52" s="65"/>
      <c r="T52" s="66"/>
      <c r="U52" s="67" t="s">
        <v>69</v>
      </c>
      <c r="V52" s="68"/>
      <c r="W52" s="68"/>
    </row>
    <row r="53" spans="1:23" ht="18" customHeight="1" x14ac:dyDescent="0.25">
      <c r="A53" s="113"/>
      <c r="B53" s="71" t="s">
        <v>139</v>
      </c>
      <c r="C53" s="72"/>
      <c r="D53" s="62">
        <v>33</v>
      </c>
      <c r="E53" s="63">
        <f>+ROUND(F53*FOD*(1+$I$5),1)</f>
        <v>50.4</v>
      </c>
      <c r="F53" s="64">
        <v>34.647943716991733</v>
      </c>
      <c r="G53" s="63">
        <v>34.200000000000003</v>
      </c>
      <c r="H53" s="65">
        <v>1.3</v>
      </c>
      <c r="I53" s="66">
        <f>D53+E53+G53+H53</f>
        <v>118.9</v>
      </c>
      <c r="J53" s="67" t="s">
        <v>69</v>
      </c>
      <c r="K53" s="73">
        <f>+$I$8</f>
        <v>55</v>
      </c>
      <c r="L53" s="73">
        <f>+K53+I53</f>
        <v>173.9</v>
      </c>
      <c r="M53" s="74"/>
      <c r="N53" s="75"/>
      <c r="O53" s="62">
        <v>33</v>
      </c>
      <c r="P53" s="63">
        <f>+ROUND(Q53*FOD*(1+$I$5),1)</f>
        <v>50.4</v>
      </c>
      <c r="Q53" s="64">
        <v>34.647943716991733</v>
      </c>
      <c r="R53" s="63">
        <v>34.200000000000003</v>
      </c>
      <c r="S53" s="65">
        <v>1.3</v>
      </c>
      <c r="T53" s="66">
        <f>O53+P53+R53+S53</f>
        <v>118.9</v>
      </c>
      <c r="U53" s="67" t="s">
        <v>69</v>
      </c>
      <c r="V53" s="73">
        <f>+$I$8</f>
        <v>55</v>
      </c>
      <c r="W53" s="73">
        <f>+V53+T53</f>
        <v>173.9</v>
      </c>
    </row>
    <row r="54" spans="1:23" ht="18" customHeight="1" x14ac:dyDescent="0.25">
      <c r="A54" s="113"/>
      <c r="B54" s="71" t="s">
        <v>140</v>
      </c>
      <c r="C54" s="72"/>
      <c r="D54" s="169">
        <v>41.3</v>
      </c>
      <c r="E54" s="170">
        <f>+ROUND(F54*FOD*(1+$I$5),1)</f>
        <v>68.2</v>
      </c>
      <c r="F54" s="337">
        <v>46.872781770217408</v>
      </c>
      <c r="G54" s="171">
        <v>50.9</v>
      </c>
      <c r="H54" s="172">
        <v>2.9</v>
      </c>
      <c r="I54" s="66">
        <f>D54+E54+G54+H54</f>
        <v>163.30000000000001</v>
      </c>
      <c r="J54" s="67" t="s">
        <v>69</v>
      </c>
      <c r="K54" s="73">
        <f>+$I$8</f>
        <v>55</v>
      </c>
      <c r="L54" s="73">
        <f>+K54+I54</f>
        <v>218.3</v>
      </c>
      <c r="M54" s="74"/>
      <c r="N54" s="75"/>
      <c r="O54" s="169">
        <v>41.3</v>
      </c>
      <c r="P54" s="170">
        <f>+ROUND(Q54*FOD*(1+$I$5),1)</f>
        <v>68.2</v>
      </c>
      <c r="Q54" s="337">
        <v>46.872781770217408</v>
      </c>
      <c r="R54" s="171">
        <v>50.9</v>
      </c>
      <c r="S54" s="172">
        <v>2.9</v>
      </c>
      <c r="T54" s="66">
        <f>O54+P54+R54+S54</f>
        <v>163.30000000000001</v>
      </c>
      <c r="U54" s="67" t="s">
        <v>69</v>
      </c>
      <c r="V54" s="73">
        <f>+$I$8</f>
        <v>55</v>
      </c>
      <c r="W54" s="73">
        <f>+V54+T54</f>
        <v>218.3</v>
      </c>
    </row>
    <row r="55" spans="1:23" ht="18" customHeight="1" x14ac:dyDescent="0.25">
      <c r="A55" s="113"/>
      <c r="B55" s="71" t="s">
        <v>141</v>
      </c>
      <c r="C55" s="72"/>
      <c r="D55" s="62">
        <v>33</v>
      </c>
      <c r="E55" s="63">
        <f>+ROUND(F55*FOD*(1+$I$5),1)</f>
        <v>50.4</v>
      </c>
      <c r="F55" s="64">
        <v>34.647943716991733</v>
      </c>
      <c r="G55" s="63">
        <v>34.200000000000003</v>
      </c>
      <c r="H55" s="65">
        <v>1.3</v>
      </c>
      <c r="I55" s="66">
        <f>D55+E55+G55+H55</f>
        <v>118.9</v>
      </c>
      <c r="J55" s="67" t="s">
        <v>69</v>
      </c>
      <c r="K55" s="73">
        <f>+$I$8</f>
        <v>55</v>
      </c>
      <c r="L55" s="73">
        <f>+K55+I55</f>
        <v>173.9</v>
      </c>
      <c r="M55" s="74"/>
      <c r="N55" s="75"/>
      <c r="O55" s="62">
        <v>33</v>
      </c>
      <c r="P55" s="63">
        <f>+ROUND(Q55*FOD*(1+$I$5),1)</f>
        <v>50.4</v>
      </c>
      <c r="Q55" s="64">
        <v>34.647943716991733</v>
      </c>
      <c r="R55" s="63">
        <v>34.200000000000003</v>
      </c>
      <c r="S55" s="65">
        <v>1.3</v>
      </c>
      <c r="T55" s="66">
        <f>O55+P55+R55+S55</f>
        <v>118.9</v>
      </c>
      <c r="U55" s="67" t="s">
        <v>69</v>
      </c>
      <c r="V55" s="73">
        <f>+$I$8</f>
        <v>55</v>
      </c>
      <c r="W55" s="73">
        <f>+V55+T55</f>
        <v>173.9</v>
      </c>
    </row>
    <row r="56" spans="1:23" ht="18" customHeight="1" x14ac:dyDescent="0.25">
      <c r="A56" s="113">
        <v>26</v>
      </c>
      <c r="B56" s="61" t="s">
        <v>142</v>
      </c>
      <c r="D56" s="62"/>
      <c r="E56" s="63"/>
      <c r="F56" s="64"/>
      <c r="G56" s="63"/>
      <c r="H56" s="65"/>
      <c r="I56" s="66"/>
      <c r="J56" s="67" t="s">
        <v>69</v>
      </c>
      <c r="K56" s="68"/>
      <c r="L56" s="68"/>
      <c r="M56" s="69"/>
      <c r="N56" s="70"/>
      <c r="O56" s="62"/>
      <c r="P56" s="63"/>
      <c r="Q56" s="64"/>
      <c r="R56" s="63"/>
      <c r="S56" s="65"/>
      <c r="T56" s="66"/>
      <c r="U56" s="67" t="s">
        <v>69</v>
      </c>
      <c r="V56" s="68"/>
      <c r="W56" s="68"/>
    </row>
    <row r="57" spans="1:23" ht="18" customHeight="1" x14ac:dyDescent="0.25">
      <c r="A57" s="113"/>
      <c r="B57" s="71" t="s">
        <v>143</v>
      </c>
      <c r="C57" s="72"/>
      <c r="D57" s="169">
        <v>11.8</v>
      </c>
      <c r="E57" s="170">
        <f>+ROUND(F57*FOD*(1+$I$5),1)</f>
        <v>9.5</v>
      </c>
      <c r="F57" s="337">
        <v>6.4958881578947372</v>
      </c>
      <c r="G57" s="171">
        <v>10.1</v>
      </c>
      <c r="H57" s="172">
        <v>0.8</v>
      </c>
      <c r="I57" s="66">
        <f>D57+E57+G57+H57</f>
        <v>32.199999999999996</v>
      </c>
      <c r="J57" s="67" t="s">
        <v>69</v>
      </c>
      <c r="K57" s="73">
        <f>+$I$8</f>
        <v>55</v>
      </c>
      <c r="L57" s="73">
        <f>+K57+I57</f>
        <v>87.199999999999989</v>
      </c>
      <c r="M57" s="74"/>
      <c r="N57" s="75"/>
      <c r="O57" s="169">
        <v>11.8</v>
      </c>
      <c r="P57" s="170">
        <f>+ROUND(Q57*FOD*(1+$I$5),1)</f>
        <v>9.5</v>
      </c>
      <c r="Q57" s="337">
        <v>6.4958881578947372</v>
      </c>
      <c r="R57" s="171">
        <v>10.1</v>
      </c>
      <c r="S57" s="172">
        <v>0.8</v>
      </c>
      <c r="T57" s="66">
        <f>O57+P57+R57+S57</f>
        <v>32.199999999999996</v>
      </c>
      <c r="U57" s="67" t="s">
        <v>69</v>
      </c>
      <c r="V57" s="73">
        <f>+$I$8</f>
        <v>55</v>
      </c>
      <c r="W57" s="73">
        <f>+V57+T57</f>
        <v>87.199999999999989</v>
      </c>
    </row>
    <row r="58" spans="1:23" ht="18" customHeight="1" x14ac:dyDescent="0.25">
      <c r="A58" s="113"/>
      <c r="B58" s="71" t="s">
        <v>144</v>
      </c>
      <c r="C58" s="72"/>
      <c r="D58" s="169">
        <v>17</v>
      </c>
      <c r="E58" s="170">
        <f>+ROUND(F58*FOD*(1+$I$5),1)</f>
        <v>27.7</v>
      </c>
      <c r="F58" s="337">
        <v>19.00095728132105</v>
      </c>
      <c r="G58" s="171">
        <v>23.2</v>
      </c>
      <c r="H58" s="172">
        <v>1.2</v>
      </c>
      <c r="I58" s="66">
        <f>D58+E58+G58+H58</f>
        <v>69.100000000000009</v>
      </c>
      <c r="J58" s="67" t="s">
        <v>69</v>
      </c>
      <c r="K58" s="73">
        <f>+$I$8</f>
        <v>55</v>
      </c>
      <c r="L58" s="73">
        <f>+K58+I58</f>
        <v>124.10000000000001</v>
      </c>
      <c r="M58" s="74"/>
      <c r="N58" s="75"/>
      <c r="O58" s="169">
        <v>17</v>
      </c>
      <c r="P58" s="170">
        <f>+ROUND(Q58*FOD*(1+$I$5),1)</f>
        <v>27.7</v>
      </c>
      <c r="Q58" s="337">
        <v>19.00095728132105</v>
      </c>
      <c r="R58" s="171">
        <v>23.2</v>
      </c>
      <c r="S58" s="172">
        <v>1.2</v>
      </c>
      <c r="T58" s="66">
        <f>O58+P58+R58+S58</f>
        <v>69.100000000000009</v>
      </c>
      <c r="U58" s="67" t="s">
        <v>69</v>
      </c>
      <c r="V58" s="73">
        <f>+$I$8</f>
        <v>55</v>
      </c>
      <c r="W58" s="73">
        <f>+V58+T58</f>
        <v>124.10000000000001</v>
      </c>
    </row>
    <row r="59" spans="1:23" ht="18" customHeight="1" x14ac:dyDescent="0.25">
      <c r="A59" s="113"/>
      <c r="B59" s="71"/>
      <c r="D59" s="62"/>
      <c r="E59" s="63"/>
      <c r="F59" s="64"/>
      <c r="G59" s="63"/>
      <c r="H59" s="65"/>
      <c r="I59" s="66"/>
      <c r="J59" s="67" t="s">
        <v>69</v>
      </c>
      <c r="K59" s="68"/>
      <c r="L59" s="68"/>
      <c r="M59" s="69"/>
      <c r="N59" s="70"/>
      <c r="O59" s="62"/>
      <c r="P59" s="63"/>
      <c r="Q59" s="64"/>
      <c r="R59" s="63"/>
      <c r="S59" s="65"/>
      <c r="T59" s="66"/>
      <c r="U59" s="67" t="s">
        <v>69</v>
      </c>
      <c r="V59" s="68"/>
      <c r="W59" s="68"/>
    </row>
    <row r="60" spans="1:23" ht="18" customHeight="1" x14ac:dyDescent="0.25">
      <c r="A60" s="113">
        <v>28</v>
      </c>
      <c r="B60" s="61" t="s">
        <v>145</v>
      </c>
      <c r="D60" s="62"/>
      <c r="E60" s="63"/>
      <c r="F60" s="64"/>
      <c r="G60" s="63"/>
      <c r="H60" s="65"/>
      <c r="I60" s="66"/>
      <c r="J60" s="67" t="s">
        <v>69</v>
      </c>
      <c r="K60" s="68"/>
      <c r="L60" s="68"/>
      <c r="M60" s="69"/>
      <c r="N60" s="70"/>
      <c r="O60" s="62"/>
      <c r="P60" s="63"/>
      <c r="Q60" s="64"/>
      <c r="R60" s="63"/>
      <c r="S60" s="65"/>
      <c r="T60" s="66"/>
      <c r="U60" s="67" t="s">
        <v>69</v>
      </c>
      <c r="V60" s="68"/>
      <c r="W60" s="68"/>
    </row>
    <row r="61" spans="1:23" ht="18" customHeight="1" x14ac:dyDescent="0.25">
      <c r="A61" s="113"/>
      <c r="B61" s="71" t="s">
        <v>146</v>
      </c>
      <c r="C61" s="72"/>
      <c r="D61" s="169">
        <v>21.6</v>
      </c>
      <c r="E61" s="170">
        <f>+ROUND(F61*FOD*(1+$I$5),1)</f>
        <v>52.4</v>
      </c>
      <c r="F61" s="337">
        <v>35.985815302602695</v>
      </c>
      <c r="G61" s="171">
        <v>19.899999999999999</v>
      </c>
      <c r="H61" s="172">
        <v>1.5</v>
      </c>
      <c r="I61" s="66">
        <f>D61+E61+G61+H61</f>
        <v>95.4</v>
      </c>
      <c r="J61" s="67" t="s">
        <v>69</v>
      </c>
      <c r="K61" s="73">
        <f>+$I$8</f>
        <v>55</v>
      </c>
      <c r="L61" s="73">
        <f>+K61+I61</f>
        <v>150.4</v>
      </c>
      <c r="M61" s="74"/>
      <c r="N61" s="75"/>
      <c r="O61" s="169">
        <v>21.6</v>
      </c>
      <c r="P61" s="170">
        <f>+ROUND(Q61*FOD*(1+$I$5),1)</f>
        <v>52.4</v>
      </c>
      <c r="Q61" s="337">
        <v>35.985815302602695</v>
      </c>
      <c r="R61" s="171">
        <v>19.899999999999999</v>
      </c>
      <c r="S61" s="172">
        <v>1.5</v>
      </c>
      <c r="T61" s="66">
        <f>O61+P61+R61+S61</f>
        <v>95.4</v>
      </c>
      <c r="U61" s="67" t="s">
        <v>69</v>
      </c>
      <c r="V61" s="73">
        <f>+$I$8</f>
        <v>55</v>
      </c>
      <c r="W61" s="73">
        <f>+V61+T61</f>
        <v>150.4</v>
      </c>
    </row>
    <row r="62" spans="1:23" ht="18" customHeight="1" x14ac:dyDescent="0.25">
      <c r="A62" s="113"/>
      <c r="B62" s="71" t="s">
        <v>147</v>
      </c>
      <c r="C62" s="72"/>
      <c r="D62" s="169">
        <v>25.9</v>
      </c>
      <c r="E62" s="170">
        <f>+ROUND(F62*FOD*(1+$I$5),1)</f>
        <v>20.399999999999999</v>
      </c>
      <c r="F62" s="337">
        <v>14.01450050942173</v>
      </c>
      <c r="G62" s="171">
        <v>8.6999999999999993</v>
      </c>
      <c r="H62" s="172">
        <v>1.8</v>
      </c>
      <c r="I62" s="66">
        <f>D62+E62+G62+H62</f>
        <v>56.8</v>
      </c>
      <c r="J62" s="67" t="s">
        <v>69</v>
      </c>
      <c r="K62" s="73">
        <f>+$I$8</f>
        <v>55</v>
      </c>
      <c r="L62" s="73">
        <f>+K62+I62</f>
        <v>111.8</v>
      </c>
      <c r="M62" s="74"/>
      <c r="N62" s="75"/>
      <c r="O62" s="169">
        <v>25.9</v>
      </c>
      <c r="P62" s="170">
        <f>+ROUND(Q62*FOD*(1+$I$5),1)</f>
        <v>20.399999999999999</v>
      </c>
      <c r="Q62" s="337">
        <v>14.01450050942173</v>
      </c>
      <c r="R62" s="171">
        <v>8.6999999999999993</v>
      </c>
      <c r="S62" s="172">
        <v>1.8</v>
      </c>
      <c r="T62" s="66">
        <f>O62+P62+R62+S62</f>
        <v>56.8</v>
      </c>
      <c r="U62" s="67" t="s">
        <v>69</v>
      </c>
      <c r="V62" s="73">
        <f>+$I$8</f>
        <v>55</v>
      </c>
      <c r="W62" s="73">
        <f>+V62+T62</f>
        <v>111.8</v>
      </c>
    </row>
    <row r="63" spans="1:23" ht="18" customHeight="1" x14ac:dyDescent="0.25">
      <c r="A63" s="113"/>
      <c r="B63" s="71" t="s">
        <v>148</v>
      </c>
      <c r="C63" s="72"/>
      <c r="D63" s="169">
        <v>26.8</v>
      </c>
      <c r="E63" s="170">
        <f>+ROUND(F63*FOD*(1+$I$5),1)</f>
        <v>24.8</v>
      </c>
      <c r="F63" s="337">
        <v>17</v>
      </c>
      <c r="G63" s="171">
        <v>10.5</v>
      </c>
      <c r="H63" s="172">
        <v>1.9</v>
      </c>
      <c r="I63" s="66">
        <f>D63+E63+G63+H63</f>
        <v>64</v>
      </c>
      <c r="J63" s="67" t="s">
        <v>69</v>
      </c>
      <c r="K63" s="73">
        <f>+$I$8</f>
        <v>55</v>
      </c>
      <c r="L63" s="73">
        <f>+K63+I63</f>
        <v>119</v>
      </c>
      <c r="M63" s="74"/>
      <c r="N63" s="75"/>
      <c r="O63" s="169">
        <v>26.8</v>
      </c>
      <c r="P63" s="170">
        <f>+ROUND(Q63*FOD*(1+$I$5),1)</f>
        <v>24.8</v>
      </c>
      <c r="Q63" s="337">
        <v>17</v>
      </c>
      <c r="R63" s="171">
        <v>10.5</v>
      </c>
      <c r="S63" s="172">
        <v>1.9</v>
      </c>
      <c r="T63" s="66">
        <f>O63+P63+R63+S63</f>
        <v>64</v>
      </c>
      <c r="U63" s="67" t="s">
        <v>69</v>
      </c>
      <c r="V63" s="73">
        <f>+$I$8</f>
        <v>55</v>
      </c>
      <c r="W63" s="73">
        <f>+V63+T63</f>
        <v>119</v>
      </c>
    </row>
    <row r="64" spans="1:23" ht="18" customHeight="1" x14ac:dyDescent="0.25">
      <c r="A64" s="113"/>
      <c r="B64" s="71" t="s">
        <v>149</v>
      </c>
      <c r="C64" s="72"/>
      <c r="D64" s="169">
        <v>36.799999999999997</v>
      </c>
      <c r="E64" s="170">
        <f>+ROUND(F64*FOD*(1+$I$5),1)</f>
        <v>45.1</v>
      </c>
      <c r="F64" s="337">
        <v>31</v>
      </c>
      <c r="G64" s="171">
        <v>22.4</v>
      </c>
      <c r="H64" s="172">
        <v>2.6</v>
      </c>
      <c r="I64" s="66">
        <f>D64+E64+G64+H64</f>
        <v>106.9</v>
      </c>
      <c r="J64" s="67" t="s">
        <v>69</v>
      </c>
      <c r="K64" s="73">
        <f>+$I$8</f>
        <v>55</v>
      </c>
      <c r="L64" s="73">
        <f>+K64+I64</f>
        <v>161.9</v>
      </c>
      <c r="M64" s="74"/>
      <c r="N64" s="75"/>
      <c r="O64" s="169">
        <v>36.799999999999997</v>
      </c>
      <c r="P64" s="170">
        <f>+ROUND(Q64*FOD*(1+$I$5),1)</f>
        <v>45.1</v>
      </c>
      <c r="Q64" s="337">
        <v>31</v>
      </c>
      <c r="R64" s="171">
        <v>22.4</v>
      </c>
      <c r="S64" s="172">
        <v>2.6</v>
      </c>
      <c r="T64" s="66">
        <f>O64+P64+R64+S64</f>
        <v>106.9</v>
      </c>
      <c r="U64" s="67" t="s">
        <v>69</v>
      </c>
      <c r="V64" s="73">
        <f>+$I$8</f>
        <v>55</v>
      </c>
      <c r="W64" s="73">
        <f>+V64+T64</f>
        <v>161.9</v>
      </c>
    </row>
    <row r="65" spans="1:23" ht="18" customHeight="1" x14ac:dyDescent="0.25">
      <c r="A65" s="113"/>
      <c r="B65" s="71"/>
      <c r="D65" s="62"/>
      <c r="E65" s="63"/>
      <c r="F65" s="64"/>
      <c r="G65" s="63"/>
      <c r="H65" s="65"/>
      <c r="I65" s="66"/>
      <c r="J65" s="67" t="s">
        <v>69</v>
      </c>
      <c r="K65" s="68"/>
      <c r="L65" s="68"/>
      <c r="M65" s="69"/>
      <c r="N65" s="70"/>
      <c r="O65" s="62"/>
      <c r="P65" s="63"/>
      <c r="Q65" s="64"/>
      <c r="R65" s="63"/>
      <c r="S65" s="65"/>
      <c r="T65" s="66"/>
      <c r="U65" s="67" t="s">
        <v>69</v>
      </c>
      <c r="V65" s="68"/>
      <c r="W65" s="68"/>
    </row>
    <row r="66" spans="1:23" ht="18" customHeight="1" x14ac:dyDescent="0.25">
      <c r="A66" s="113"/>
      <c r="B66" s="61"/>
      <c r="D66" s="62"/>
      <c r="E66" s="63"/>
      <c r="F66" s="64"/>
      <c r="G66" s="63"/>
      <c r="H66" s="65"/>
      <c r="I66" s="66"/>
      <c r="J66" s="67" t="s">
        <v>69</v>
      </c>
      <c r="K66" s="68"/>
      <c r="L66" s="68"/>
      <c r="M66" s="69"/>
      <c r="N66" s="70"/>
      <c r="O66" s="62"/>
      <c r="P66" s="63"/>
      <c r="Q66" s="64"/>
      <c r="R66" s="63"/>
      <c r="S66" s="65"/>
      <c r="T66" s="66"/>
      <c r="U66" s="67" t="s">
        <v>69</v>
      </c>
      <c r="V66" s="68"/>
      <c r="W66" s="68"/>
    </row>
    <row r="67" spans="1:23" ht="18" customHeight="1" x14ac:dyDescent="0.25">
      <c r="A67" s="113">
        <v>32</v>
      </c>
      <c r="B67" s="61" t="s">
        <v>150</v>
      </c>
      <c r="D67" s="62"/>
      <c r="E67" s="63"/>
      <c r="F67" s="64"/>
      <c r="G67" s="63"/>
      <c r="H67" s="65"/>
      <c r="I67" s="66"/>
      <c r="J67" s="67" t="s">
        <v>69</v>
      </c>
      <c r="K67" s="68"/>
      <c r="L67" s="68"/>
      <c r="M67" s="69"/>
      <c r="N67" s="70"/>
      <c r="O67" s="62"/>
      <c r="P67" s="63"/>
      <c r="Q67" s="64"/>
      <c r="R67" s="63"/>
      <c r="S67" s="65"/>
      <c r="T67" s="66"/>
      <c r="U67" s="67" t="s">
        <v>69</v>
      </c>
      <c r="V67" s="68"/>
      <c r="W67" s="68"/>
    </row>
    <row r="68" spans="1:23" ht="18" customHeight="1" x14ac:dyDescent="0.25">
      <c r="A68" s="113"/>
      <c r="B68" s="71" t="s">
        <v>151</v>
      </c>
      <c r="C68" s="76"/>
      <c r="D68" s="169">
        <v>7.2</v>
      </c>
      <c r="E68" s="170">
        <f t="shared" ref="E68:E75" si="28">+ROUND(F68*FOD*(1+$I$5),1)</f>
        <v>2.9</v>
      </c>
      <c r="F68" s="174">
        <v>2</v>
      </c>
      <c r="G68" s="175">
        <v>4.2</v>
      </c>
      <c r="H68" s="172">
        <v>0.5</v>
      </c>
      <c r="I68" s="66">
        <f t="shared" ref="I68:I75" si="29">D68+E68+G68+H68</f>
        <v>14.8</v>
      </c>
      <c r="J68" s="67" t="s">
        <v>69</v>
      </c>
      <c r="K68" s="73">
        <f t="shared" ref="K68:K75" si="30">+$I$8</f>
        <v>55</v>
      </c>
      <c r="L68" s="73">
        <f t="shared" ref="L68:L75" si="31">+K68+I68</f>
        <v>69.8</v>
      </c>
      <c r="M68" s="74"/>
      <c r="N68" s="75"/>
      <c r="O68" s="169">
        <v>7.2</v>
      </c>
      <c r="P68" s="170">
        <f t="shared" ref="P68:P75" si="32">+ROUND(Q68*FOD*(1+$I$5),1)</f>
        <v>2.9</v>
      </c>
      <c r="Q68" s="174">
        <v>2</v>
      </c>
      <c r="R68" s="175">
        <v>4.2</v>
      </c>
      <c r="S68" s="172">
        <v>0.5</v>
      </c>
      <c r="T68" s="66">
        <f t="shared" ref="T68:T75" si="33">O68+P68+R68+S68</f>
        <v>14.8</v>
      </c>
      <c r="U68" s="67" t="s">
        <v>69</v>
      </c>
      <c r="V68" s="73">
        <f t="shared" ref="V68:V75" si="34">+$I$8</f>
        <v>55</v>
      </c>
      <c r="W68" s="73">
        <f t="shared" ref="W68:W75" si="35">+V68+T68</f>
        <v>69.8</v>
      </c>
    </row>
    <row r="69" spans="1:23" ht="18" customHeight="1" x14ac:dyDescent="0.25">
      <c r="A69" s="113"/>
      <c r="B69" s="71" t="s">
        <v>152</v>
      </c>
      <c r="C69" s="77"/>
      <c r="D69" s="169">
        <v>10.8</v>
      </c>
      <c r="E69" s="170">
        <f t="shared" si="28"/>
        <v>2.9</v>
      </c>
      <c r="F69" s="174">
        <v>2</v>
      </c>
      <c r="G69" s="175">
        <v>4.7</v>
      </c>
      <c r="H69" s="172">
        <v>0.8</v>
      </c>
      <c r="I69" s="66">
        <f t="shared" si="29"/>
        <v>19.200000000000003</v>
      </c>
      <c r="J69" s="67" t="s">
        <v>69</v>
      </c>
      <c r="K69" s="73">
        <f t="shared" si="30"/>
        <v>55</v>
      </c>
      <c r="L69" s="73">
        <f t="shared" si="31"/>
        <v>74.2</v>
      </c>
      <c r="M69" s="74"/>
      <c r="N69" s="75"/>
      <c r="O69" s="169">
        <v>10.8</v>
      </c>
      <c r="P69" s="170">
        <f t="shared" si="32"/>
        <v>2.9</v>
      </c>
      <c r="Q69" s="174">
        <v>2</v>
      </c>
      <c r="R69" s="175">
        <v>4.7</v>
      </c>
      <c r="S69" s="172">
        <v>0.8</v>
      </c>
      <c r="T69" s="66">
        <f t="shared" si="33"/>
        <v>19.200000000000003</v>
      </c>
      <c r="U69" s="67" t="s">
        <v>69</v>
      </c>
      <c r="V69" s="73">
        <f t="shared" si="34"/>
        <v>55</v>
      </c>
      <c r="W69" s="73">
        <f t="shared" si="35"/>
        <v>74.2</v>
      </c>
    </row>
    <row r="70" spans="1:23" ht="18" customHeight="1" x14ac:dyDescent="0.25">
      <c r="A70" s="113"/>
      <c r="B70" s="71" t="s">
        <v>153</v>
      </c>
      <c r="C70" s="72"/>
      <c r="D70" s="169">
        <v>14.4</v>
      </c>
      <c r="E70" s="170">
        <f t="shared" si="28"/>
        <v>2.9</v>
      </c>
      <c r="F70" s="174">
        <v>2</v>
      </c>
      <c r="G70" s="175">
        <v>6.2</v>
      </c>
      <c r="H70" s="172">
        <v>1</v>
      </c>
      <c r="I70" s="66">
        <f t="shared" si="29"/>
        <v>24.5</v>
      </c>
      <c r="J70" s="67" t="s">
        <v>69</v>
      </c>
      <c r="K70" s="73">
        <f t="shared" si="30"/>
        <v>55</v>
      </c>
      <c r="L70" s="73">
        <f t="shared" si="31"/>
        <v>79.5</v>
      </c>
      <c r="M70" s="74"/>
      <c r="N70" s="75"/>
      <c r="O70" s="169">
        <v>14.4</v>
      </c>
      <c r="P70" s="170">
        <f t="shared" si="32"/>
        <v>2.9</v>
      </c>
      <c r="Q70" s="174">
        <v>2</v>
      </c>
      <c r="R70" s="175">
        <v>6.2</v>
      </c>
      <c r="S70" s="172">
        <v>1</v>
      </c>
      <c r="T70" s="66">
        <f t="shared" si="33"/>
        <v>24.5</v>
      </c>
      <c r="U70" s="67" t="s">
        <v>69</v>
      </c>
      <c r="V70" s="73">
        <f t="shared" si="34"/>
        <v>55</v>
      </c>
      <c r="W70" s="73">
        <f t="shared" si="35"/>
        <v>79.5</v>
      </c>
    </row>
    <row r="71" spans="1:23" ht="18" customHeight="1" x14ac:dyDescent="0.25">
      <c r="A71" s="113"/>
      <c r="B71" s="71" t="s">
        <v>154</v>
      </c>
      <c r="C71" s="72"/>
      <c r="D71" s="169">
        <v>12.2</v>
      </c>
      <c r="E71" s="170">
        <f t="shared" si="28"/>
        <v>17.5</v>
      </c>
      <c r="F71" s="337">
        <v>12</v>
      </c>
      <c r="G71" s="171">
        <v>7.8</v>
      </c>
      <c r="H71" s="172">
        <v>0.8</v>
      </c>
      <c r="I71" s="66">
        <f t="shared" si="29"/>
        <v>38.299999999999997</v>
      </c>
      <c r="J71" s="67" t="s">
        <v>69</v>
      </c>
      <c r="K71" s="73">
        <f t="shared" si="30"/>
        <v>55</v>
      </c>
      <c r="L71" s="73">
        <f t="shared" si="31"/>
        <v>93.3</v>
      </c>
      <c r="M71" s="74"/>
      <c r="N71" s="75"/>
      <c r="O71" s="169">
        <v>12.2</v>
      </c>
      <c r="P71" s="170">
        <f t="shared" si="32"/>
        <v>17.5</v>
      </c>
      <c r="Q71" s="337">
        <v>12</v>
      </c>
      <c r="R71" s="171">
        <v>7.8</v>
      </c>
      <c r="S71" s="172">
        <v>0.8</v>
      </c>
      <c r="T71" s="66">
        <f t="shared" si="33"/>
        <v>38.299999999999997</v>
      </c>
      <c r="U71" s="67" t="s">
        <v>69</v>
      </c>
      <c r="V71" s="73">
        <f t="shared" si="34"/>
        <v>55</v>
      </c>
      <c r="W71" s="73">
        <f t="shared" si="35"/>
        <v>93.3</v>
      </c>
    </row>
    <row r="72" spans="1:23" ht="18" customHeight="1" x14ac:dyDescent="0.25">
      <c r="A72" s="113"/>
      <c r="B72" s="71" t="s">
        <v>155</v>
      </c>
      <c r="C72" s="72"/>
      <c r="D72" s="169">
        <v>17.100000000000001</v>
      </c>
      <c r="E72" s="170">
        <f t="shared" si="28"/>
        <v>24</v>
      </c>
      <c r="F72" s="337">
        <v>16.449321895858784</v>
      </c>
      <c r="G72" s="171">
        <v>10.4</v>
      </c>
      <c r="H72" s="172">
        <v>1.2</v>
      </c>
      <c r="I72" s="66">
        <f t="shared" si="29"/>
        <v>52.7</v>
      </c>
      <c r="J72" s="67" t="s">
        <v>69</v>
      </c>
      <c r="K72" s="73">
        <f t="shared" si="30"/>
        <v>55</v>
      </c>
      <c r="L72" s="73">
        <f t="shared" si="31"/>
        <v>107.7</v>
      </c>
      <c r="M72" s="74"/>
      <c r="N72" s="75"/>
      <c r="O72" s="169">
        <v>17.100000000000001</v>
      </c>
      <c r="P72" s="170">
        <f t="shared" si="32"/>
        <v>24</v>
      </c>
      <c r="Q72" s="337">
        <v>16.449321895858784</v>
      </c>
      <c r="R72" s="171">
        <v>10.4</v>
      </c>
      <c r="S72" s="172">
        <v>1.2</v>
      </c>
      <c r="T72" s="66">
        <f t="shared" si="33"/>
        <v>52.7</v>
      </c>
      <c r="U72" s="67" t="s">
        <v>69</v>
      </c>
      <c r="V72" s="73">
        <f t="shared" si="34"/>
        <v>55</v>
      </c>
      <c r="W72" s="73">
        <f t="shared" si="35"/>
        <v>107.7</v>
      </c>
    </row>
    <row r="73" spans="1:23" ht="18" customHeight="1" x14ac:dyDescent="0.25">
      <c r="A73" s="113"/>
      <c r="B73" s="71" t="s">
        <v>156</v>
      </c>
      <c r="C73" s="72"/>
      <c r="D73" s="169">
        <v>21.9</v>
      </c>
      <c r="E73" s="170">
        <f t="shared" si="28"/>
        <v>36.4</v>
      </c>
      <c r="F73" s="337">
        <v>25</v>
      </c>
      <c r="G73" s="171">
        <v>13.8</v>
      </c>
      <c r="H73" s="172">
        <v>1.5</v>
      </c>
      <c r="I73" s="66">
        <f t="shared" si="29"/>
        <v>73.599999999999994</v>
      </c>
      <c r="J73" s="67" t="s">
        <v>69</v>
      </c>
      <c r="K73" s="73">
        <f t="shared" si="30"/>
        <v>55</v>
      </c>
      <c r="L73" s="73">
        <f t="shared" si="31"/>
        <v>128.6</v>
      </c>
      <c r="M73" s="74"/>
      <c r="N73" s="75"/>
      <c r="O73" s="169">
        <v>21.9</v>
      </c>
      <c r="P73" s="170">
        <f t="shared" si="32"/>
        <v>36.4</v>
      </c>
      <c r="Q73" s="337">
        <v>25</v>
      </c>
      <c r="R73" s="171">
        <v>13.8</v>
      </c>
      <c r="S73" s="172">
        <v>1.5</v>
      </c>
      <c r="T73" s="66">
        <f t="shared" si="33"/>
        <v>73.599999999999994</v>
      </c>
      <c r="U73" s="67" t="s">
        <v>69</v>
      </c>
      <c r="V73" s="73">
        <f t="shared" si="34"/>
        <v>55</v>
      </c>
      <c r="W73" s="73">
        <f t="shared" si="35"/>
        <v>128.6</v>
      </c>
    </row>
    <row r="74" spans="1:23" ht="18" customHeight="1" x14ac:dyDescent="0.25">
      <c r="A74" s="113"/>
      <c r="B74" s="71" t="s">
        <v>157</v>
      </c>
      <c r="C74" s="72"/>
      <c r="D74" s="169">
        <v>52.5</v>
      </c>
      <c r="E74" s="170">
        <f t="shared" si="28"/>
        <v>81.5</v>
      </c>
      <c r="F74" s="337">
        <v>56</v>
      </c>
      <c r="G74" s="171">
        <v>22.6</v>
      </c>
      <c r="H74" s="172">
        <v>3.6</v>
      </c>
      <c r="I74" s="66">
        <f t="shared" si="29"/>
        <v>160.19999999999999</v>
      </c>
      <c r="J74" s="67" t="s">
        <v>69</v>
      </c>
      <c r="K74" s="73">
        <f t="shared" si="30"/>
        <v>55</v>
      </c>
      <c r="L74" s="73">
        <f t="shared" si="31"/>
        <v>215.2</v>
      </c>
      <c r="M74" s="74"/>
      <c r="N74" s="75"/>
      <c r="O74" s="169">
        <v>52.5</v>
      </c>
      <c r="P74" s="170">
        <f t="shared" si="32"/>
        <v>81.5</v>
      </c>
      <c r="Q74" s="337">
        <v>56</v>
      </c>
      <c r="R74" s="171">
        <v>22.6</v>
      </c>
      <c r="S74" s="172">
        <v>3.6</v>
      </c>
      <c r="T74" s="66">
        <f t="shared" si="33"/>
        <v>160.19999999999999</v>
      </c>
      <c r="U74" s="67" t="s">
        <v>69</v>
      </c>
      <c r="V74" s="73">
        <f t="shared" si="34"/>
        <v>55</v>
      </c>
      <c r="W74" s="73">
        <f t="shared" si="35"/>
        <v>215.2</v>
      </c>
    </row>
    <row r="75" spans="1:23" ht="18" customHeight="1" x14ac:dyDescent="0.25">
      <c r="A75" s="113"/>
      <c r="B75" s="71" t="s">
        <v>158</v>
      </c>
      <c r="C75" s="72"/>
      <c r="D75" s="169">
        <v>59.6</v>
      </c>
      <c r="E75" s="170">
        <f t="shared" si="28"/>
        <v>93.9</v>
      </c>
      <c r="F75" s="337">
        <v>64.504339314845026</v>
      </c>
      <c r="G75" s="171">
        <v>24.4</v>
      </c>
      <c r="H75" s="172">
        <v>4.0999999999999996</v>
      </c>
      <c r="I75" s="66">
        <f t="shared" si="29"/>
        <v>182</v>
      </c>
      <c r="J75" s="67" t="s">
        <v>69</v>
      </c>
      <c r="K75" s="73">
        <f t="shared" si="30"/>
        <v>55</v>
      </c>
      <c r="L75" s="73">
        <f t="shared" si="31"/>
        <v>237</v>
      </c>
      <c r="M75" s="74"/>
      <c r="N75" s="75"/>
      <c r="O75" s="169">
        <v>59.6</v>
      </c>
      <c r="P75" s="170">
        <f t="shared" si="32"/>
        <v>93.9</v>
      </c>
      <c r="Q75" s="337">
        <v>64.504339314845026</v>
      </c>
      <c r="R75" s="171">
        <v>24.4</v>
      </c>
      <c r="S75" s="172">
        <v>4.0999999999999996</v>
      </c>
      <c r="T75" s="66">
        <f t="shared" si="33"/>
        <v>182</v>
      </c>
      <c r="U75" s="67" t="s">
        <v>69</v>
      </c>
      <c r="V75" s="73">
        <f t="shared" si="34"/>
        <v>55</v>
      </c>
      <c r="W75" s="73">
        <f t="shared" si="35"/>
        <v>237</v>
      </c>
    </row>
    <row r="76" spans="1:23" ht="18" customHeight="1" x14ac:dyDescent="0.25">
      <c r="A76" s="113"/>
      <c r="B76" s="71"/>
      <c r="C76" s="72"/>
      <c r="D76" s="62"/>
      <c r="E76" s="63"/>
      <c r="F76" s="64"/>
      <c r="G76" s="63"/>
      <c r="H76" s="65"/>
      <c r="I76" s="66"/>
      <c r="J76" s="67" t="s">
        <v>69</v>
      </c>
      <c r="K76" s="68"/>
      <c r="L76" s="68"/>
      <c r="M76" s="69"/>
      <c r="N76" s="70"/>
      <c r="O76" s="62"/>
      <c r="P76" s="63"/>
      <c r="Q76" s="64"/>
      <c r="R76" s="63"/>
      <c r="S76" s="65"/>
      <c r="T76" s="66"/>
      <c r="U76" s="67" t="s">
        <v>69</v>
      </c>
      <c r="V76" s="68"/>
      <c r="W76" s="68"/>
    </row>
    <row r="77" spans="1:23" ht="18" customHeight="1" x14ac:dyDescent="0.25">
      <c r="A77" s="113"/>
      <c r="B77" s="87" t="s">
        <v>159</v>
      </c>
      <c r="C77" s="77"/>
      <c r="D77" s="173">
        <v>28.8</v>
      </c>
      <c r="E77" s="170">
        <f>+ROUND(F77*FOD*(1+$I$5),1)</f>
        <v>29.1</v>
      </c>
      <c r="F77" s="174">
        <v>20</v>
      </c>
      <c r="G77" s="171">
        <v>23</v>
      </c>
      <c r="H77" s="172">
        <v>2</v>
      </c>
      <c r="I77" s="66">
        <f>D77+E77+G77+H77</f>
        <v>82.9</v>
      </c>
      <c r="J77" s="67" t="s">
        <v>69</v>
      </c>
      <c r="K77" s="73">
        <f>+$I$8</f>
        <v>55</v>
      </c>
      <c r="L77" s="73">
        <f>+K77+I77</f>
        <v>137.9</v>
      </c>
      <c r="M77" s="74"/>
      <c r="N77" s="75"/>
      <c r="O77" s="173">
        <v>28.8</v>
      </c>
      <c r="P77" s="170">
        <f>+ROUND(Q77*FOD*(1+$I$5),1)</f>
        <v>29.1</v>
      </c>
      <c r="Q77" s="174">
        <v>20</v>
      </c>
      <c r="R77" s="171">
        <v>23</v>
      </c>
      <c r="S77" s="172">
        <v>2</v>
      </c>
      <c r="T77" s="66">
        <f>O77+P77+R77+S77</f>
        <v>82.9</v>
      </c>
      <c r="U77" s="67" t="s">
        <v>69</v>
      </c>
      <c r="V77" s="73">
        <f>+$I$8</f>
        <v>55</v>
      </c>
      <c r="W77" s="73">
        <f>+V77+T77</f>
        <v>137.9</v>
      </c>
    </row>
    <row r="78" spans="1:23" ht="18" customHeight="1" x14ac:dyDescent="0.25">
      <c r="A78" s="113"/>
      <c r="B78" s="87" t="s">
        <v>160</v>
      </c>
      <c r="C78" s="77"/>
      <c r="D78" s="173">
        <v>40.9</v>
      </c>
      <c r="E78" s="170">
        <f>+ROUND(F78*FOD*(1+$I$5),1)</f>
        <v>29.1</v>
      </c>
      <c r="F78" s="174">
        <v>20</v>
      </c>
      <c r="G78" s="175">
        <v>23</v>
      </c>
      <c r="H78" s="172">
        <v>2.8</v>
      </c>
      <c r="I78" s="66">
        <f>D78+E78+G78+H78</f>
        <v>95.8</v>
      </c>
      <c r="J78" s="67" t="s">
        <v>69</v>
      </c>
      <c r="K78" s="73">
        <f>+$I$8</f>
        <v>55</v>
      </c>
      <c r="L78" s="73">
        <f>+K78+I78</f>
        <v>150.80000000000001</v>
      </c>
      <c r="M78" s="74"/>
      <c r="N78" s="75"/>
      <c r="O78" s="173">
        <v>40.9</v>
      </c>
      <c r="P78" s="170">
        <f>+ROUND(Q78*FOD*(1+$I$5),1)</f>
        <v>29.1</v>
      </c>
      <c r="Q78" s="174">
        <v>20</v>
      </c>
      <c r="R78" s="175">
        <v>23</v>
      </c>
      <c r="S78" s="172">
        <v>2.8</v>
      </c>
      <c r="T78" s="66">
        <f>O78+P78+R78+S78</f>
        <v>95.8</v>
      </c>
      <c r="U78" s="67" t="s">
        <v>69</v>
      </c>
      <c r="V78" s="73">
        <f>+$I$8</f>
        <v>55</v>
      </c>
      <c r="W78" s="73">
        <f>+V78+T78</f>
        <v>150.80000000000001</v>
      </c>
    </row>
    <row r="79" spans="1:23" ht="18" customHeight="1" x14ac:dyDescent="0.25">
      <c r="A79" s="113"/>
      <c r="B79" s="87" t="s">
        <v>161</v>
      </c>
      <c r="C79" s="77"/>
      <c r="D79" s="173">
        <v>32</v>
      </c>
      <c r="E79" s="170">
        <f>+ROUND(F79*FOD*(1+$I$5),1)</f>
        <v>32</v>
      </c>
      <c r="F79" s="174">
        <v>22</v>
      </c>
      <c r="G79" s="175">
        <v>24.5</v>
      </c>
      <c r="H79" s="172">
        <v>2.2000000000000002</v>
      </c>
      <c r="I79" s="66">
        <f>D79+E79+G79+H79</f>
        <v>90.7</v>
      </c>
      <c r="J79" s="67" t="s">
        <v>69</v>
      </c>
      <c r="K79" s="73">
        <f>+$I$8</f>
        <v>55</v>
      </c>
      <c r="L79" s="73">
        <f>+K79+I79</f>
        <v>145.69999999999999</v>
      </c>
      <c r="M79" s="74"/>
      <c r="N79" s="75"/>
      <c r="O79" s="173">
        <v>32</v>
      </c>
      <c r="P79" s="170">
        <f>+ROUND(Q79*FOD*(1+$I$5),1)</f>
        <v>32</v>
      </c>
      <c r="Q79" s="174">
        <v>22</v>
      </c>
      <c r="R79" s="175">
        <v>24.5</v>
      </c>
      <c r="S79" s="172">
        <v>2.2000000000000002</v>
      </c>
      <c r="T79" s="66">
        <f>O79+P79+R79+S79</f>
        <v>90.7</v>
      </c>
      <c r="U79" s="67" t="s">
        <v>69</v>
      </c>
      <c r="V79" s="73">
        <f>+$I$8</f>
        <v>55</v>
      </c>
      <c r="W79" s="73">
        <f>+V79+T79</f>
        <v>145.69999999999999</v>
      </c>
    </row>
    <row r="80" spans="1:23" ht="18" customHeight="1" x14ac:dyDescent="0.25">
      <c r="A80" s="113"/>
      <c r="B80" s="87" t="s">
        <v>162</v>
      </c>
      <c r="C80" s="77"/>
      <c r="D80" s="173">
        <v>45</v>
      </c>
      <c r="E80" s="170">
        <f>+ROUND(F80*FOD*(1+$I$5),1)</f>
        <v>32</v>
      </c>
      <c r="F80" s="174">
        <v>22</v>
      </c>
      <c r="G80" s="171">
        <v>24.5</v>
      </c>
      <c r="H80" s="172">
        <v>3.1</v>
      </c>
      <c r="I80" s="66">
        <f>D80+E80+G80+H80</f>
        <v>104.6</v>
      </c>
      <c r="J80" s="67" t="s">
        <v>69</v>
      </c>
      <c r="K80" s="73">
        <f>+$I$8</f>
        <v>55</v>
      </c>
      <c r="L80" s="73">
        <f>+K80+I80</f>
        <v>159.6</v>
      </c>
      <c r="M80" s="74"/>
      <c r="N80" s="75"/>
      <c r="O80" s="173">
        <v>45</v>
      </c>
      <c r="P80" s="170">
        <f>+ROUND(Q80*FOD*(1+$I$5),1)</f>
        <v>32</v>
      </c>
      <c r="Q80" s="174">
        <v>22</v>
      </c>
      <c r="R80" s="171">
        <v>24.5</v>
      </c>
      <c r="S80" s="172">
        <v>3.1</v>
      </c>
      <c r="T80" s="66">
        <f>O80+P80+R80+S80</f>
        <v>104.6</v>
      </c>
      <c r="U80" s="67" t="s">
        <v>69</v>
      </c>
      <c r="V80" s="73">
        <f>+$I$8</f>
        <v>55</v>
      </c>
      <c r="W80" s="73">
        <f>+V80+T80</f>
        <v>159.6</v>
      </c>
    </row>
    <row r="81" spans="1:23" ht="18" customHeight="1" x14ac:dyDescent="0.25">
      <c r="A81" s="113"/>
      <c r="B81" s="71"/>
      <c r="D81" s="62"/>
      <c r="E81" s="63"/>
      <c r="F81" s="64"/>
      <c r="G81" s="63"/>
      <c r="H81" s="65"/>
      <c r="I81" s="66"/>
      <c r="J81" s="67" t="s">
        <v>69</v>
      </c>
      <c r="K81" s="68"/>
      <c r="L81" s="68"/>
      <c r="M81" s="69"/>
      <c r="N81" s="70"/>
      <c r="O81" s="62"/>
      <c r="P81" s="63"/>
      <c r="Q81" s="64"/>
      <c r="R81" s="63"/>
      <c r="S81" s="65"/>
      <c r="T81" s="66"/>
      <c r="U81" s="67" t="s">
        <v>69</v>
      </c>
      <c r="V81" s="68"/>
      <c r="W81" s="68"/>
    </row>
    <row r="82" spans="1:23" ht="18" customHeight="1" x14ac:dyDescent="0.25">
      <c r="A82" s="113">
        <v>36</v>
      </c>
      <c r="B82" s="61" t="s">
        <v>163</v>
      </c>
      <c r="D82" s="62"/>
      <c r="E82" s="63"/>
      <c r="F82" s="64"/>
      <c r="G82" s="63"/>
      <c r="H82" s="65"/>
      <c r="I82" s="66"/>
      <c r="J82" s="67" t="s">
        <v>69</v>
      </c>
      <c r="K82" s="68"/>
      <c r="L82" s="68"/>
      <c r="M82" s="69"/>
      <c r="N82" s="70"/>
      <c r="O82" s="62"/>
      <c r="P82" s="63"/>
      <c r="Q82" s="64"/>
      <c r="R82" s="63"/>
      <c r="S82" s="65"/>
      <c r="T82" s="66"/>
      <c r="U82" s="67" t="s">
        <v>69</v>
      </c>
      <c r="V82" s="68"/>
      <c r="W82" s="68"/>
    </row>
    <row r="83" spans="1:23" ht="18" customHeight="1" x14ac:dyDescent="0.25">
      <c r="A83" s="113"/>
      <c r="B83" s="71" t="s">
        <v>164</v>
      </c>
      <c r="C83" s="72"/>
      <c r="D83" s="169">
        <v>32.700000000000003</v>
      </c>
      <c r="E83" s="170">
        <f>+ROUND(F83*FOD*(1+$I$5),1)</f>
        <v>42.6</v>
      </c>
      <c r="F83" s="337">
        <v>29.273929564411493</v>
      </c>
      <c r="G83" s="171">
        <v>24.1</v>
      </c>
      <c r="H83" s="172">
        <v>2.2999999999999998</v>
      </c>
      <c r="I83" s="66">
        <f>D83+E83+G83+H83</f>
        <v>101.7</v>
      </c>
      <c r="J83" s="67" t="s">
        <v>69</v>
      </c>
      <c r="K83" s="73">
        <f>+$I$8</f>
        <v>55</v>
      </c>
      <c r="L83" s="73">
        <f>+K83+I83</f>
        <v>156.69999999999999</v>
      </c>
      <c r="M83" s="74"/>
      <c r="N83" s="75"/>
      <c r="O83" s="169">
        <v>32.700000000000003</v>
      </c>
      <c r="P83" s="170">
        <f>+ROUND(Q83*FOD*(1+$I$5),1)</f>
        <v>42.6</v>
      </c>
      <c r="Q83" s="337">
        <v>29.273929564411493</v>
      </c>
      <c r="R83" s="171">
        <v>24.1</v>
      </c>
      <c r="S83" s="172">
        <v>2.2999999999999998</v>
      </c>
      <c r="T83" s="66">
        <f>O83+P83+R83+S83</f>
        <v>101.7</v>
      </c>
      <c r="U83" s="67" t="s">
        <v>69</v>
      </c>
      <c r="V83" s="73">
        <f>+$I$8</f>
        <v>55</v>
      </c>
      <c r="W83" s="73">
        <f>+V83+T83</f>
        <v>156.69999999999999</v>
      </c>
    </row>
    <row r="84" spans="1:23" ht="18" customHeight="1" x14ac:dyDescent="0.25">
      <c r="A84" s="113"/>
      <c r="B84" s="71" t="s">
        <v>165</v>
      </c>
      <c r="C84" s="72"/>
      <c r="D84" s="169">
        <v>40.799999999999997</v>
      </c>
      <c r="E84" s="170">
        <f>+ROUND(F84*FOD*(1+$I$5),1)</f>
        <v>54.7</v>
      </c>
      <c r="F84" s="174">
        <v>37.554304102976701</v>
      </c>
      <c r="G84" s="171">
        <v>24.3</v>
      </c>
      <c r="H84" s="172">
        <v>2.8</v>
      </c>
      <c r="I84" s="66">
        <f>D84+E84+G84+H84</f>
        <v>122.6</v>
      </c>
      <c r="J84" s="67" t="s">
        <v>69</v>
      </c>
      <c r="K84" s="73">
        <f>+$I$8</f>
        <v>55</v>
      </c>
      <c r="L84" s="73">
        <f>+K84+I84</f>
        <v>177.6</v>
      </c>
      <c r="M84" s="74"/>
      <c r="N84" s="75"/>
      <c r="O84" s="169">
        <v>40.799999999999997</v>
      </c>
      <c r="P84" s="170">
        <f>+ROUND(Q84*FOD*(1+$I$5),1)</f>
        <v>54.7</v>
      </c>
      <c r="Q84" s="174">
        <v>37.554304102976701</v>
      </c>
      <c r="R84" s="171">
        <v>24.3</v>
      </c>
      <c r="S84" s="172">
        <v>2.8</v>
      </c>
      <c r="T84" s="66">
        <f>O84+P84+R84+S84</f>
        <v>122.6</v>
      </c>
      <c r="U84" s="67" t="s">
        <v>69</v>
      </c>
      <c r="V84" s="73">
        <f>+$I$8</f>
        <v>55</v>
      </c>
      <c r="W84" s="73">
        <f>+V84+T84</f>
        <v>177.6</v>
      </c>
    </row>
    <row r="85" spans="1:23" ht="18" customHeight="1" x14ac:dyDescent="0.25">
      <c r="A85" s="113"/>
      <c r="B85" s="61" t="s">
        <v>166</v>
      </c>
      <c r="C85" s="72"/>
      <c r="D85" s="62"/>
      <c r="E85" s="63"/>
      <c r="F85" s="64"/>
      <c r="G85" s="63"/>
      <c r="H85" s="65"/>
      <c r="I85" s="66"/>
      <c r="J85" s="67" t="s">
        <v>69</v>
      </c>
      <c r="K85" s="68"/>
      <c r="L85" s="68"/>
      <c r="M85" s="69"/>
      <c r="N85" s="70"/>
      <c r="O85" s="62"/>
      <c r="P85" s="63"/>
      <c r="Q85" s="64"/>
      <c r="R85" s="63"/>
      <c r="S85" s="65"/>
      <c r="T85" s="66"/>
      <c r="U85" s="67" t="s">
        <v>69</v>
      </c>
      <c r="V85" s="68"/>
      <c r="W85" s="68"/>
    </row>
    <row r="86" spans="1:23" ht="18" customHeight="1" x14ac:dyDescent="0.25">
      <c r="A86" s="113"/>
      <c r="B86" s="71"/>
      <c r="D86" s="62"/>
      <c r="E86" s="63"/>
      <c r="F86" s="64"/>
      <c r="G86" s="63"/>
      <c r="H86" s="65"/>
      <c r="I86" s="66"/>
      <c r="J86" s="67" t="s">
        <v>69</v>
      </c>
      <c r="K86" s="68"/>
      <c r="L86" s="68"/>
      <c r="M86" s="69"/>
      <c r="N86" s="70"/>
      <c r="O86" s="62"/>
      <c r="P86" s="63"/>
      <c r="Q86" s="64"/>
      <c r="R86" s="63"/>
      <c r="S86" s="65"/>
      <c r="T86" s="66"/>
      <c r="U86" s="67" t="s">
        <v>69</v>
      </c>
      <c r="V86" s="68"/>
      <c r="W86" s="68"/>
    </row>
    <row r="87" spans="1:23" ht="18" customHeight="1" x14ac:dyDescent="0.25">
      <c r="A87" s="113">
        <v>60</v>
      </c>
      <c r="B87" s="61" t="s">
        <v>167</v>
      </c>
      <c r="D87" s="62"/>
      <c r="E87" s="63"/>
      <c r="F87" s="64"/>
      <c r="G87" s="63"/>
      <c r="H87" s="65"/>
      <c r="I87" s="66"/>
      <c r="J87" s="67" t="s">
        <v>69</v>
      </c>
      <c r="K87" s="68"/>
      <c r="L87" s="68"/>
      <c r="M87" s="69"/>
      <c r="N87" s="70"/>
      <c r="O87" s="62"/>
      <c r="P87" s="63"/>
      <c r="Q87" s="64"/>
      <c r="R87" s="63"/>
      <c r="S87" s="65"/>
      <c r="T87" s="66"/>
      <c r="U87" s="67" t="s">
        <v>69</v>
      </c>
      <c r="V87" s="68"/>
      <c r="W87" s="68"/>
    </row>
    <row r="88" spans="1:23" ht="18" customHeight="1" x14ac:dyDescent="0.25">
      <c r="A88" s="113"/>
      <c r="B88" s="71" t="s">
        <v>168</v>
      </c>
      <c r="C88" s="78"/>
      <c r="D88" s="169">
        <v>14.4</v>
      </c>
      <c r="E88" s="170">
        <f>+ROUND(F88*FOD*(1+$I$5),1)</f>
        <v>8.5</v>
      </c>
      <c r="F88" s="337">
        <v>5.8697068403908794</v>
      </c>
      <c r="G88" s="171">
        <v>19.600000000000001</v>
      </c>
      <c r="H88" s="172">
        <v>1</v>
      </c>
      <c r="I88" s="66">
        <f>D88+E88+G88+H88</f>
        <v>43.5</v>
      </c>
      <c r="J88" s="67" t="s">
        <v>69</v>
      </c>
      <c r="K88" s="73">
        <f>+$I$8</f>
        <v>55</v>
      </c>
      <c r="L88" s="73">
        <f>+K88+I88</f>
        <v>98.5</v>
      </c>
      <c r="M88" s="74"/>
      <c r="N88" s="75"/>
      <c r="O88" s="169">
        <v>14.4</v>
      </c>
      <c r="P88" s="170">
        <f>+ROUND(Q88*FOD*(1+$I$5),1)</f>
        <v>8.5</v>
      </c>
      <c r="Q88" s="337">
        <v>5.8697068403908794</v>
      </c>
      <c r="R88" s="171">
        <v>19.600000000000001</v>
      </c>
      <c r="S88" s="172">
        <v>1</v>
      </c>
      <c r="T88" s="66">
        <f>O88+P88+R88+S88</f>
        <v>43.5</v>
      </c>
      <c r="U88" s="67" t="s">
        <v>69</v>
      </c>
      <c r="V88" s="73">
        <f>+$I$8</f>
        <v>55</v>
      </c>
      <c r="W88" s="73">
        <f>+V88+T88</f>
        <v>98.5</v>
      </c>
    </row>
    <row r="89" spans="1:23" ht="18" customHeight="1" x14ac:dyDescent="0.25">
      <c r="A89" s="113"/>
      <c r="B89" s="71"/>
      <c r="D89" s="62"/>
      <c r="E89" s="63"/>
      <c r="F89" s="64"/>
      <c r="G89" s="63"/>
      <c r="H89" s="65"/>
      <c r="I89" s="66"/>
      <c r="J89" s="67" t="s">
        <v>69</v>
      </c>
      <c r="K89" s="68"/>
      <c r="L89" s="68"/>
      <c r="M89" s="69"/>
      <c r="N89" s="70"/>
      <c r="O89" s="62"/>
      <c r="P89" s="63"/>
      <c r="Q89" s="64"/>
      <c r="R89" s="63"/>
      <c r="S89" s="65"/>
      <c r="T89" s="66"/>
      <c r="U89" s="67" t="s">
        <v>69</v>
      </c>
      <c r="V89" s="68"/>
      <c r="W89" s="68"/>
    </row>
    <row r="90" spans="1:23" ht="18" customHeight="1" x14ac:dyDescent="0.25">
      <c r="A90" s="113">
        <v>61</v>
      </c>
      <c r="B90" s="61" t="s">
        <v>169</v>
      </c>
      <c r="D90" s="62"/>
      <c r="E90" s="63"/>
      <c r="F90" s="64"/>
      <c r="G90" s="63"/>
      <c r="H90" s="65"/>
      <c r="I90" s="79"/>
      <c r="J90" s="67" t="s">
        <v>69</v>
      </c>
      <c r="K90" s="68"/>
      <c r="L90" s="68"/>
      <c r="M90" s="69"/>
      <c r="N90" s="70"/>
      <c r="O90" s="62"/>
      <c r="P90" s="63"/>
      <c r="Q90" s="64"/>
      <c r="R90" s="63"/>
      <c r="S90" s="65"/>
      <c r="T90" s="79"/>
      <c r="U90" s="67" t="s">
        <v>69</v>
      </c>
      <c r="V90" s="68"/>
      <c r="W90" s="68"/>
    </row>
    <row r="91" spans="1:23" s="3" customFormat="1" ht="18" customHeight="1" x14ac:dyDescent="0.25">
      <c r="A91" s="113"/>
      <c r="B91" s="71" t="s">
        <v>170</v>
      </c>
      <c r="C91" s="77"/>
      <c r="D91" s="173">
        <v>3.5</v>
      </c>
      <c r="E91" s="170">
        <f>+ROUND(F91*FOD*(1+$I$5),1)</f>
        <v>6.4</v>
      </c>
      <c r="F91" s="174">
        <v>4.4000000000000004</v>
      </c>
      <c r="G91" s="171">
        <v>4.9000000000000004</v>
      </c>
      <c r="H91" s="172">
        <v>0.2</v>
      </c>
      <c r="I91" s="66">
        <f>D91+E91+G91+H91</f>
        <v>15</v>
      </c>
      <c r="J91" s="67" t="s">
        <v>69</v>
      </c>
      <c r="K91" s="73">
        <f>+$I$8</f>
        <v>55</v>
      </c>
      <c r="L91" s="73">
        <f>+K91+I91</f>
        <v>70</v>
      </c>
      <c r="M91" s="74"/>
      <c r="N91" s="75"/>
      <c r="O91" s="173">
        <v>3.5</v>
      </c>
      <c r="P91" s="170">
        <f>+ROUND(Q91*FOD*(1+$I$5),1)</f>
        <v>6.4</v>
      </c>
      <c r="Q91" s="174">
        <v>4.4000000000000004</v>
      </c>
      <c r="R91" s="171">
        <v>4.9000000000000004</v>
      </c>
      <c r="S91" s="172">
        <v>0.2</v>
      </c>
      <c r="T91" s="66">
        <f>O91+P91+R91+S91</f>
        <v>15</v>
      </c>
      <c r="U91" s="67" t="s">
        <v>69</v>
      </c>
      <c r="V91" s="73">
        <f>+$I$8</f>
        <v>55</v>
      </c>
      <c r="W91" s="73">
        <f>+V91+T91</f>
        <v>70</v>
      </c>
    </row>
    <row r="92" spans="1:23" s="3" customFormat="1" ht="18" customHeight="1" x14ac:dyDescent="0.25">
      <c r="A92" s="113"/>
      <c r="B92" s="71" t="s">
        <v>171</v>
      </c>
      <c r="C92" s="77"/>
      <c r="D92" s="173">
        <v>3.6</v>
      </c>
      <c r="E92" s="170">
        <f>+ROUND(F92*FOD*(1+$I$5),1)</f>
        <v>0</v>
      </c>
      <c r="F92" s="174"/>
      <c r="G92" s="175">
        <v>0.1</v>
      </c>
      <c r="H92" s="176">
        <v>0</v>
      </c>
      <c r="I92" s="66">
        <f>D92+E92+G92+H92</f>
        <v>3.7</v>
      </c>
      <c r="J92" s="67" t="s">
        <v>69</v>
      </c>
      <c r="K92" s="68"/>
      <c r="L92" s="68"/>
      <c r="M92" s="69"/>
      <c r="N92" s="70"/>
      <c r="O92" s="173">
        <v>3.6</v>
      </c>
      <c r="P92" s="170">
        <f>+ROUND(Q92*FOD*(1+$I$5),1)</f>
        <v>0</v>
      </c>
      <c r="Q92" s="174"/>
      <c r="R92" s="175">
        <v>0.1</v>
      </c>
      <c r="S92" s="176">
        <v>0</v>
      </c>
      <c r="T92" s="66">
        <f>O92+P92+R92+S92</f>
        <v>3.7</v>
      </c>
      <c r="U92" s="67" t="s">
        <v>69</v>
      </c>
      <c r="V92" s="68"/>
      <c r="W92" s="68"/>
    </row>
    <row r="93" spans="1:23" s="3" customFormat="1" ht="18" customHeight="1" x14ac:dyDescent="0.25">
      <c r="A93" s="113"/>
      <c r="B93" s="71" t="s">
        <v>172</v>
      </c>
      <c r="C93" s="77"/>
      <c r="D93" s="173">
        <v>0.5</v>
      </c>
      <c r="E93" s="170">
        <f>+ROUND(F93*FOD*(1+$I$5),1)</f>
        <v>0</v>
      </c>
      <c r="F93" s="174"/>
      <c r="G93" s="175">
        <v>0.1</v>
      </c>
      <c r="H93" s="176">
        <v>0</v>
      </c>
      <c r="I93" s="66">
        <f>D93+E93+G93+H93</f>
        <v>0.6</v>
      </c>
      <c r="J93" s="67" t="s">
        <v>69</v>
      </c>
      <c r="K93" s="68"/>
      <c r="L93" s="68"/>
      <c r="M93" s="69"/>
      <c r="N93" s="70"/>
      <c r="O93" s="173">
        <v>0.5</v>
      </c>
      <c r="P93" s="170">
        <f>+ROUND(Q93*FOD*(1+$I$5),1)</f>
        <v>0</v>
      </c>
      <c r="Q93" s="174"/>
      <c r="R93" s="175">
        <v>0.1</v>
      </c>
      <c r="S93" s="176">
        <v>0</v>
      </c>
      <c r="T93" s="66">
        <f>O93+P93+R93+S93</f>
        <v>0.6</v>
      </c>
      <c r="U93" s="67" t="s">
        <v>69</v>
      </c>
      <c r="V93" s="68"/>
      <c r="W93" s="68"/>
    </row>
    <row r="94" spans="1:23" s="3" customFormat="1" ht="18" customHeight="1" x14ac:dyDescent="0.25">
      <c r="A94" s="113"/>
      <c r="B94" s="61"/>
      <c r="D94" s="62"/>
      <c r="E94" s="63"/>
      <c r="F94" s="64"/>
      <c r="G94" s="63"/>
      <c r="H94" s="65"/>
      <c r="I94" s="80"/>
      <c r="J94" s="67" t="s">
        <v>69</v>
      </c>
      <c r="K94" s="68"/>
      <c r="L94" s="68"/>
      <c r="M94" s="69"/>
      <c r="N94" s="70"/>
      <c r="O94" s="62"/>
      <c r="P94" s="63"/>
      <c r="Q94" s="64"/>
      <c r="R94" s="63"/>
      <c r="S94" s="65"/>
      <c r="T94" s="80"/>
      <c r="U94" s="67" t="s">
        <v>69</v>
      </c>
      <c r="V94" s="68"/>
      <c r="W94" s="68"/>
    </row>
    <row r="95" spans="1:23" s="3" customFormat="1" ht="18" customHeight="1" x14ac:dyDescent="0.25">
      <c r="A95" s="113">
        <v>62</v>
      </c>
      <c r="B95" s="61" t="s">
        <v>173</v>
      </c>
      <c r="D95" s="62"/>
      <c r="E95" s="63"/>
      <c r="F95" s="64"/>
      <c r="G95" s="63"/>
      <c r="H95" s="65"/>
      <c r="I95" s="80"/>
      <c r="J95" s="67" t="s">
        <v>69</v>
      </c>
      <c r="K95" s="68"/>
      <c r="L95" s="68"/>
      <c r="M95" s="69"/>
      <c r="N95" s="70"/>
      <c r="O95" s="62"/>
      <c r="P95" s="63"/>
      <c r="Q95" s="64"/>
      <c r="R95" s="63"/>
      <c r="S95" s="65"/>
      <c r="T95" s="80"/>
      <c r="U95" s="67" t="s">
        <v>69</v>
      </c>
      <c r="V95" s="68"/>
      <c r="W95" s="68"/>
    </row>
    <row r="96" spans="1:23" ht="18" customHeight="1" x14ac:dyDescent="0.25">
      <c r="A96" s="113"/>
      <c r="B96" s="71" t="s">
        <v>174</v>
      </c>
      <c r="C96" s="72"/>
      <c r="D96" s="152">
        <v>10.6</v>
      </c>
      <c r="E96" s="153">
        <f t="shared" ref="E96:E102" si="36">+ROUND(F96*FOD*(1+$I$5),1)</f>
        <v>5.3</v>
      </c>
      <c r="F96" s="338">
        <v>3.6301369863013697</v>
      </c>
      <c r="G96" s="154">
        <v>8.3000000000000007</v>
      </c>
      <c r="H96" s="155">
        <v>0.6</v>
      </c>
      <c r="I96" s="66">
        <f t="shared" ref="I96:I101" si="37">D96+E96+G96+H96</f>
        <v>24.8</v>
      </c>
      <c r="J96" s="67" t="s">
        <v>69</v>
      </c>
      <c r="K96" s="73">
        <f t="shared" ref="K96:K101" si="38">+$I$8</f>
        <v>55</v>
      </c>
      <c r="L96" s="73">
        <f t="shared" ref="L96:L101" si="39">+K96+I96</f>
        <v>79.8</v>
      </c>
      <c r="M96" s="74"/>
      <c r="N96" s="75"/>
      <c r="O96" s="152">
        <v>10.6</v>
      </c>
      <c r="P96" s="153">
        <f t="shared" ref="P96:P102" si="40">+ROUND(Q96*FOD*(1+$I$5),1)</f>
        <v>5.3</v>
      </c>
      <c r="Q96" s="338">
        <v>3.6301369863013697</v>
      </c>
      <c r="R96" s="154">
        <v>8.3000000000000007</v>
      </c>
      <c r="S96" s="155">
        <v>0.6</v>
      </c>
      <c r="T96" s="66">
        <f t="shared" ref="T96:T101" si="41">O96+P96+R96+S96</f>
        <v>24.8</v>
      </c>
      <c r="U96" s="67" t="s">
        <v>69</v>
      </c>
      <c r="V96" s="73">
        <f t="shared" ref="V96:V101" si="42">+$I$8</f>
        <v>55</v>
      </c>
      <c r="W96" s="73">
        <f t="shared" ref="W96:W101" si="43">+V96+T96</f>
        <v>79.8</v>
      </c>
    </row>
    <row r="97" spans="1:23" ht="18" customHeight="1" x14ac:dyDescent="0.25">
      <c r="A97" s="113"/>
      <c r="B97" s="71" t="s">
        <v>175</v>
      </c>
      <c r="C97" s="72"/>
      <c r="D97" s="152">
        <v>12.9</v>
      </c>
      <c r="E97" s="153">
        <f t="shared" si="36"/>
        <v>15.1</v>
      </c>
      <c r="F97" s="339">
        <v>10.393548387096773</v>
      </c>
      <c r="G97" s="154">
        <v>10.7</v>
      </c>
      <c r="H97" s="155">
        <v>0.7</v>
      </c>
      <c r="I97" s="66">
        <f t="shared" si="37"/>
        <v>39.400000000000006</v>
      </c>
      <c r="J97" s="67" t="s">
        <v>69</v>
      </c>
      <c r="K97" s="73">
        <f t="shared" si="38"/>
        <v>55</v>
      </c>
      <c r="L97" s="73">
        <f t="shared" si="39"/>
        <v>94.4</v>
      </c>
      <c r="M97" s="74"/>
      <c r="N97" s="75"/>
      <c r="O97" s="152">
        <v>12.9</v>
      </c>
      <c r="P97" s="153">
        <f t="shared" si="40"/>
        <v>15.1</v>
      </c>
      <c r="Q97" s="339">
        <v>10.393548387096773</v>
      </c>
      <c r="R97" s="154">
        <v>10.7</v>
      </c>
      <c r="S97" s="155">
        <v>0.7</v>
      </c>
      <c r="T97" s="66">
        <f t="shared" si="41"/>
        <v>39.400000000000006</v>
      </c>
      <c r="U97" s="67" t="s">
        <v>69</v>
      </c>
      <c r="V97" s="73">
        <f t="shared" si="42"/>
        <v>55</v>
      </c>
      <c r="W97" s="73">
        <f t="shared" si="43"/>
        <v>94.4</v>
      </c>
    </row>
    <row r="98" spans="1:23" ht="18" customHeight="1" x14ac:dyDescent="0.25">
      <c r="A98" s="113"/>
      <c r="B98" s="71" t="s">
        <v>176</v>
      </c>
      <c r="C98" s="72"/>
      <c r="D98" s="152">
        <v>15</v>
      </c>
      <c r="E98" s="153">
        <f t="shared" si="36"/>
        <v>8.8000000000000007</v>
      </c>
      <c r="F98" s="339">
        <v>6.0125427594070695</v>
      </c>
      <c r="G98" s="154">
        <v>11.3</v>
      </c>
      <c r="H98" s="155">
        <v>0.8</v>
      </c>
      <c r="I98" s="66">
        <f t="shared" si="37"/>
        <v>35.9</v>
      </c>
      <c r="J98" s="67" t="s">
        <v>69</v>
      </c>
      <c r="K98" s="73">
        <f t="shared" si="38"/>
        <v>55</v>
      </c>
      <c r="L98" s="73">
        <f t="shared" si="39"/>
        <v>90.9</v>
      </c>
      <c r="M98" s="74"/>
      <c r="N98" s="75"/>
      <c r="O98" s="152">
        <v>15</v>
      </c>
      <c r="P98" s="153">
        <f t="shared" si="40"/>
        <v>8.8000000000000007</v>
      </c>
      <c r="Q98" s="339">
        <v>6.0125427594070695</v>
      </c>
      <c r="R98" s="154">
        <v>11.3</v>
      </c>
      <c r="S98" s="155">
        <v>0.8</v>
      </c>
      <c r="T98" s="66">
        <f t="shared" si="41"/>
        <v>35.9</v>
      </c>
      <c r="U98" s="67" t="s">
        <v>69</v>
      </c>
      <c r="V98" s="73">
        <f t="shared" si="42"/>
        <v>55</v>
      </c>
      <c r="W98" s="73">
        <f t="shared" si="43"/>
        <v>90.9</v>
      </c>
    </row>
    <row r="99" spans="1:23" ht="18" customHeight="1" x14ac:dyDescent="0.25">
      <c r="A99" s="113"/>
      <c r="B99" s="71" t="s">
        <v>177</v>
      </c>
      <c r="C99" s="76"/>
      <c r="D99" s="152">
        <v>4.0999999999999996</v>
      </c>
      <c r="E99" s="153">
        <f t="shared" si="36"/>
        <v>3.7</v>
      </c>
      <c r="F99" s="339">
        <v>2.5653594771241832</v>
      </c>
      <c r="G99" s="154">
        <v>3.9</v>
      </c>
      <c r="H99" s="155">
        <v>0.2</v>
      </c>
      <c r="I99" s="66">
        <f t="shared" si="37"/>
        <v>11.899999999999999</v>
      </c>
      <c r="J99" s="67" t="s">
        <v>69</v>
      </c>
      <c r="K99" s="73">
        <f t="shared" si="38"/>
        <v>55</v>
      </c>
      <c r="L99" s="73">
        <f t="shared" si="39"/>
        <v>66.900000000000006</v>
      </c>
      <c r="M99" s="74"/>
      <c r="N99" s="75"/>
      <c r="O99" s="152">
        <v>4.0999999999999996</v>
      </c>
      <c r="P99" s="153">
        <f t="shared" si="40"/>
        <v>3.7</v>
      </c>
      <c r="Q99" s="339">
        <v>2.5653594771241832</v>
      </c>
      <c r="R99" s="154">
        <v>3.9</v>
      </c>
      <c r="S99" s="155">
        <v>0.2</v>
      </c>
      <c r="T99" s="66">
        <f t="shared" si="41"/>
        <v>11.899999999999999</v>
      </c>
      <c r="U99" s="67" t="s">
        <v>69</v>
      </c>
      <c r="V99" s="73">
        <f t="shared" si="42"/>
        <v>55</v>
      </c>
      <c r="W99" s="73">
        <f t="shared" si="43"/>
        <v>66.900000000000006</v>
      </c>
    </row>
    <row r="100" spans="1:23" ht="18" customHeight="1" x14ac:dyDescent="0.25">
      <c r="A100" s="113"/>
      <c r="B100" s="71" t="s">
        <v>178</v>
      </c>
      <c r="C100" s="72"/>
      <c r="D100" s="152">
        <v>4.0999999999999996</v>
      </c>
      <c r="E100" s="153">
        <f t="shared" si="36"/>
        <v>6.4</v>
      </c>
      <c r="F100" s="158">
        <v>4.4000000000000004</v>
      </c>
      <c r="G100" s="154">
        <v>3.9</v>
      </c>
      <c r="H100" s="155">
        <v>0.2</v>
      </c>
      <c r="I100" s="66">
        <f t="shared" si="37"/>
        <v>14.6</v>
      </c>
      <c r="J100" s="67" t="s">
        <v>69</v>
      </c>
      <c r="K100" s="73">
        <f t="shared" si="38"/>
        <v>55</v>
      </c>
      <c r="L100" s="73">
        <f t="shared" si="39"/>
        <v>69.599999999999994</v>
      </c>
      <c r="M100" s="74"/>
      <c r="N100" s="75"/>
      <c r="O100" s="152">
        <v>4.0999999999999996</v>
      </c>
      <c r="P100" s="153">
        <f t="shared" si="40"/>
        <v>6.4</v>
      </c>
      <c r="Q100" s="158">
        <v>4.4000000000000004</v>
      </c>
      <c r="R100" s="154">
        <v>3.9</v>
      </c>
      <c r="S100" s="155">
        <v>0.2</v>
      </c>
      <c r="T100" s="66">
        <f t="shared" si="41"/>
        <v>14.6</v>
      </c>
      <c r="U100" s="67" t="s">
        <v>69</v>
      </c>
      <c r="V100" s="73">
        <f t="shared" si="42"/>
        <v>55</v>
      </c>
      <c r="W100" s="73">
        <f t="shared" si="43"/>
        <v>69.599999999999994</v>
      </c>
    </row>
    <row r="101" spans="1:23" ht="18" customHeight="1" x14ac:dyDescent="0.25">
      <c r="A101" s="113"/>
      <c r="B101" s="71" t="s">
        <v>179</v>
      </c>
      <c r="C101" s="72"/>
      <c r="D101" s="152">
        <v>10.6</v>
      </c>
      <c r="E101" s="153">
        <f t="shared" si="36"/>
        <v>7.6</v>
      </c>
      <c r="F101" s="339">
        <v>5.2540792540792545</v>
      </c>
      <c r="G101" s="154">
        <v>6.5</v>
      </c>
      <c r="H101" s="155">
        <v>0.6</v>
      </c>
      <c r="I101" s="66">
        <f t="shared" si="37"/>
        <v>25.3</v>
      </c>
      <c r="J101" s="67" t="s">
        <v>69</v>
      </c>
      <c r="K101" s="73">
        <f t="shared" si="38"/>
        <v>55</v>
      </c>
      <c r="L101" s="73">
        <f t="shared" si="39"/>
        <v>80.3</v>
      </c>
      <c r="M101" s="74"/>
      <c r="N101" s="75"/>
      <c r="O101" s="152">
        <v>10.6</v>
      </c>
      <c r="P101" s="153">
        <f t="shared" si="40"/>
        <v>7.6</v>
      </c>
      <c r="Q101" s="339">
        <v>5.2540792540792545</v>
      </c>
      <c r="R101" s="154">
        <v>6.5</v>
      </c>
      <c r="S101" s="155">
        <v>0.6</v>
      </c>
      <c r="T101" s="66">
        <f t="shared" si="41"/>
        <v>25.3</v>
      </c>
      <c r="U101" s="67" t="s">
        <v>69</v>
      </c>
      <c r="V101" s="73">
        <f t="shared" si="42"/>
        <v>55</v>
      </c>
      <c r="W101" s="73">
        <f t="shared" si="43"/>
        <v>80.3</v>
      </c>
    </row>
    <row r="102" spans="1:23" ht="18" customHeight="1" x14ac:dyDescent="0.25">
      <c r="A102" s="113"/>
      <c r="B102" s="71" t="s">
        <v>180</v>
      </c>
      <c r="D102" s="152">
        <v>11.7</v>
      </c>
      <c r="E102" s="153">
        <f t="shared" si="36"/>
        <v>11.8</v>
      </c>
      <c r="F102" s="339">
        <v>8.1221864951768481</v>
      </c>
      <c r="G102" s="154">
        <v>11.9</v>
      </c>
      <c r="H102" s="155">
        <v>0.7</v>
      </c>
      <c r="I102" s="66"/>
      <c r="J102" s="67" t="s">
        <v>69</v>
      </c>
      <c r="K102" s="68"/>
      <c r="L102" s="68"/>
      <c r="M102" s="69"/>
      <c r="N102" s="70"/>
      <c r="O102" s="152">
        <v>11.7</v>
      </c>
      <c r="P102" s="153">
        <f t="shared" si="40"/>
        <v>11.8</v>
      </c>
      <c r="Q102" s="339">
        <v>8.1221864951768481</v>
      </c>
      <c r="R102" s="154">
        <v>11.9</v>
      </c>
      <c r="S102" s="155">
        <v>0.7</v>
      </c>
      <c r="T102" s="66"/>
      <c r="U102" s="67" t="s">
        <v>69</v>
      </c>
      <c r="V102" s="68"/>
      <c r="W102" s="68"/>
    </row>
    <row r="103" spans="1:23" ht="18" customHeight="1" x14ac:dyDescent="0.25">
      <c r="A103" s="113"/>
      <c r="B103" s="71"/>
      <c r="D103" s="62"/>
      <c r="E103" s="63"/>
      <c r="F103" s="64"/>
      <c r="G103" s="63"/>
      <c r="H103" s="65"/>
      <c r="I103" s="66"/>
      <c r="J103" s="67" t="s">
        <v>69</v>
      </c>
      <c r="K103" s="68"/>
      <c r="L103" s="68"/>
      <c r="M103" s="69"/>
      <c r="N103" s="70"/>
      <c r="O103" s="62"/>
      <c r="P103" s="63"/>
      <c r="Q103" s="64"/>
      <c r="R103" s="63"/>
      <c r="S103" s="65"/>
      <c r="T103" s="66"/>
      <c r="U103" s="67" t="s">
        <v>69</v>
      </c>
      <c r="V103" s="68"/>
      <c r="W103" s="68"/>
    </row>
    <row r="104" spans="1:23" ht="18" customHeight="1" x14ac:dyDescent="0.25">
      <c r="A104" s="113">
        <v>65</v>
      </c>
      <c r="B104" s="61" t="s">
        <v>181</v>
      </c>
      <c r="D104" s="62"/>
      <c r="E104" s="63"/>
      <c r="F104" s="64"/>
      <c r="G104" s="63"/>
      <c r="H104" s="65"/>
      <c r="I104" s="66"/>
      <c r="J104" s="67" t="s">
        <v>69</v>
      </c>
      <c r="K104" s="68"/>
      <c r="L104" s="68"/>
      <c r="M104" s="69"/>
      <c r="N104" s="70"/>
      <c r="O104" s="62"/>
      <c r="P104" s="63"/>
      <c r="Q104" s="64"/>
      <c r="R104" s="63"/>
      <c r="S104" s="65"/>
      <c r="T104" s="66"/>
      <c r="U104" s="67" t="s">
        <v>69</v>
      </c>
      <c r="V104" s="68"/>
      <c r="W104" s="68"/>
    </row>
    <row r="105" spans="1:23" ht="18" customHeight="1" x14ac:dyDescent="0.25">
      <c r="A105" s="113"/>
      <c r="B105" s="71" t="s">
        <v>182</v>
      </c>
      <c r="C105" s="72"/>
      <c r="D105" s="152">
        <v>3.5</v>
      </c>
      <c r="E105" s="153">
        <f>+ROUND(F105*FOD*(1+$I$5),1)</f>
        <v>6.4</v>
      </c>
      <c r="F105" s="156">
        <v>4.4000000000000004</v>
      </c>
      <c r="G105" s="154">
        <v>4.8</v>
      </c>
      <c r="H105" s="155">
        <v>0.2</v>
      </c>
      <c r="I105" s="66">
        <f>D105+E105+G105+H105</f>
        <v>14.899999999999999</v>
      </c>
      <c r="J105" s="67" t="s">
        <v>69</v>
      </c>
      <c r="K105" s="73">
        <f>+$I$8</f>
        <v>55</v>
      </c>
      <c r="L105" s="73">
        <f>+K105+I105</f>
        <v>69.900000000000006</v>
      </c>
      <c r="M105" s="74"/>
      <c r="N105" s="75"/>
      <c r="O105" s="152">
        <v>3.5</v>
      </c>
      <c r="P105" s="153">
        <f>+ROUND(Q105*FOD*(1+$I$5),1)</f>
        <v>6.4</v>
      </c>
      <c r="Q105" s="156">
        <v>4.4000000000000004</v>
      </c>
      <c r="R105" s="154">
        <v>4.8</v>
      </c>
      <c r="S105" s="155">
        <v>0.2</v>
      </c>
      <c r="T105" s="66">
        <f>O105+P105+R105+S105</f>
        <v>14.899999999999999</v>
      </c>
      <c r="U105" s="67" t="s">
        <v>69</v>
      </c>
      <c r="V105" s="73">
        <f>+$I$8</f>
        <v>55</v>
      </c>
      <c r="W105" s="73">
        <f>+V105+T105</f>
        <v>69.900000000000006</v>
      </c>
    </row>
    <row r="106" spans="1:23" ht="18" customHeight="1" x14ac:dyDescent="0.25">
      <c r="A106" s="113"/>
      <c r="B106" s="71"/>
      <c r="C106" s="72"/>
      <c r="D106" s="81"/>
      <c r="E106" s="63"/>
      <c r="F106" s="64"/>
      <c r="G106" s="63"/>
      <c r="H106" s="65"/>
      <c r="I106" s="66"/>
      <c r="J106" s="67" t="s">
        <v>69</v>
      </c>
      <c r="K106" s="73"/>
      <c r="L106" s="73"/>
      <c r="M106" s="74"/>
      <c r="N106" s="75"/>
      <c r="O106" s="81"/>
      <c r="P106" s="63"/>
      <c r="Q106" s="64"/>
      <c r="R106" s="63"/>
      <c r="S106" s="65"/>
      <c r="T106" s="66"/>
      <c r="U106" s="67" t="s">
        <v>69</v>
      </c>
      <c r="V106" s="73"/>
      <c r="W106" s="73"/>
    </row>
    <row r="107" spans="1:23" ht="18" customHeight="1" x14ac:dyDescent="0.25">
      <c r="A107" s="113"/>
      <c r="B107" s="71"/>
      <c r="D107" s="62"/>
      <c r="E107" s="63"/>
      <c r="F107" s="64"/>
      <c r="G107" s="63"/>
      <c r="H107" s="65"/>
      <c r="I107" s="66"/>
      <c r="J107" s="67" t="s">
        <v>69</v>
      </c>
      <c r="K107" s="68"/>
      <c r="L107" s="68"/>
      <c r="M107" s="69"/>
      <c r="N107" s="70"/>
      <c r="O107" s="62"/>
      <c r="P107" s="63"/>
      <c r="Q107" s="64"/>
      <c r="R107" s="63"/>
      <c r="S107" s="65"/>
      <c r="T107" s="66"/>
      <c r="U107" s="67" t="s">
        <v>69</v>
      </c>
      <c r="V107" s="68"/>
      <c r="W107" s="68"/>
    </row>
    <row r="108" spans="1:23" ht="18" customHeight="1" x14ac:dyDescent="0.25">
      <c r="A108" s="113">
        <v>72</v>
      </c>
      <c r="B108" s="61" t="s">
        <v>183</v>
      </c>
      <c r="D108" s="62"/>
      <c r="E108" s="63"/>
      <c r="F108" s="64"/>
      <c r="G108" s="63"/>
      <c r="H108" s="65"/>
      <c r="I108" s="66"/>
      <c r="J108" s="67" t="s">
        <v>69</v>
      </c>
      <c r="K108" s="68"/>
      <c r="L108" s="68"/>
      <c r="M108" s="69"/>
      <c r="N108" s="70"/>
      <c r="O108" s="62"/>
      <c r="P108" s="63"/>
      <c r="Q108" s="64"/>
      <c r="R108" s="63"/>
      <c r="S108" s="65"/>
      <c r="T108" s="66"/>
      <c r="U108" s="67" t="s">
        <v>69</v>
      </c>
      <c r="V108" s="68"/>
      <c r="W108" s="68"/>
    </row>
    <row r="109" spans="1:23" ht="18" customHeight="1" x14ac:dyDescent="0.25">
      <c r="A109" s="113"/>
      <c r="B109" s="71" t="s">
        <v>184</v>
      </c>
      <c r="C109" s="72"/>
      <c r="D109" s="152">
        <v>10.3</v>
      </c>
      <c r="E109" s="157"/>
      <c r="F109" s="156"/>
      <c r="G109" s="154">
        <v>11.4</v>
      </c>
      <c r="H109" s="155">
        <v>0.6</v>
      </c>
      <c r="I109" s="66">
        <f>D109+E109+G109+H109</f>
        <v>22.300000000000004</v>
      </c>
      <c r="J109" s="67" t="s">
        <v>69</v>
      </c>
      <c r="K109" s="68"/>
      <c r="L109" s="68"/>
      <c r="M109" s="69"/>
      <c r="N109" s="70"/>
      <c r="O109" s="152">
        <v>10.3</v>
      </c>
      <c r="P109" s="157"/>
      <c r="Q109" s="156"/>
      <c r="R109" s="154">
        <v>11.4</v>
      </c>
      <c r="S109" s="155">
        <v>0.6</v>
      </c>
      <c r="T109" s="66">
        <f>O109+P109+R109+S109</f>
        <v>22.300000000000004</v>
      </c>
      <c r="U109" s="67" t="s">
        <v>69</v>
      </c>
      <c r="V109" s="68"/>
      <c r="W109" s="68"/>
    </row>
    <row r="110" spans="1:23" ht="18" customHeight="1" x14ac:dyDescent="0.25">
      <c r="A110" s="113"/>
      <c r="B110" s="71"/>
      <c r="D110" s="62"/>
      <c r="E110" s="63"/>
      <c r="F110" s="64"/>
      <c r="G110" s="63"/>
      <c r="H110" s="65"/>
      <c r="I110" s="66"/>
      <c r="J110" s="67" t="s">
        <v>69</v>
      </c>
      <c r="K110" s="68"/>
      <c r="L110" s="68"/>
      <c r="M110" s="69"/>
      <c r="N110" s="70"/>
      <c r="O110" s="62"/>
      <c r="P110" s="63"/>
      <c r="Q110" s="64"/>
      <c r="R110" s="63"/>
      <c r="S110" s="65"/>
      <c r="T110" s="66"/>
      <c r="U110" s="67" t="s">
        <v>69</v>
      </c>
      <c r="V110" s="68"/>
      <c r="W110" s="68"/>
    </row>
    <row r="111" spans="1:23" ht="18" customHeight="1" x14ac:dyDescent="0.25">
      <c r="A111" s="113">
        <v>76</v>
      </c>
      <c r="B111" s="61" t="s">
        <v>185</v>
      </c>
      <c r="D111" s="62"/>
      <c r="E111" s="63"/>
      <c r="F111" s="64"/>
      <c r="G111" s="63"/>
      <c r="H111" s="65"/>
      <c r="I111" s="66"/>
      <c r="J111" s="67" t="s">
        <v>69</v>
      </c>
      <c r="K111" s="68"/>
      <c r="L111" s="68"/>
      <c r="M111" s="69"/>
      <c r="N111" s="70"/>
      <c r="O111" s="62"/>
      <c r="P111" s="63"/>
      <c r="Q111" s="64"/>
      <c r="R111" s="63"/>
      <c r="S111" s="65"/>
      <c r="T111" s="66"/>
      <c r="U111" s="67" t="s">
        <v>69</v>
      </c>
      <c r="V111" s="68"/>
      <c r="W111" s="68"/>
    </row>
    <row r="112" spans="1:23" ht="18" customHeight="1" x14ac:dyDescent="0.25">
      <c r="A112" s="113"/>
      <c r="B112" s="71" t="s">
        <v>186</v>
      </c>
      <c r="C112" s="72"/>
      <c r="D112" s="169">
        <v>90.4</v>
      </c>
      <c r="E112" s="170">
        <f t="shared" ref="E112:E120" si="44">+ROUND(F112*FOD*(1+$I$5),1)</f>
        <v>45.9</v>
      </c>
      <c r="F112" s="174">
        <v>31.515151515151516</v>
      </c>
      <c r="G112" s="171">
        <v>80.900000000000006</v>
      </c>
      <c r="H112" s="172">
        <v>6.3</v>
      </c>
      <c r="I112" s="66">
        <f t="shared" ref="I112:I118" si="45">D112+E112+G112+H112</f>
        <v>223.50000000000003</v>
      </c>
      <c r="J112" s="67" t="s">
        <v>69</v>
      </c>
      <c r="K112" s="73">
        <f>+$I$8</f>
        <v>55</v>
      </c>
      <c r="L112" s="73">
        <f>+K112+I112</f>
        <v>278.5</v>
      </c>
      <c r="M112" s="74"/>
      <c r="N112" s="75"/>
      <c r="O112" s="169">
        <v>90.4</v>
      </c>
      <c r="P112" s="170">
        <f t="shared" ref="P112:P118" si="46">+ROUND(Q112*FOD*(1+$I$5),1)</f>
        <v>45.9</v>
      </c>
      <c r="Q112" s="174">
        <v>31.515151515151516</v>
      </c>
      <c r="R112" s="171">
        <v>80.900000000000006</v>
      </c>
      <c r="S112" s="172">
        <v>6.3</v>
      </c>
      <c r="T112" s="66">
        <f t="shared" ref="T112:T118" si="47">O112+P112+R112+S112</f>
        <v>223.50000000000003</v>
      </c>
      <c r="U112" s="67" t="s">
        <v>69</v>
      </c>
      <c r="V112" s="73">
        <f>+$I$8</f>
        <v>55</v>
      </c>
      <c r="W112" s="73">
        <f>+V112+T112</f>
        <v>278.5</v>
      </c>
    </row>
    <row r="113" spans="1:23" ht="18" customHeight="1" x14ac:dyDescent="0.25">
      <c r="A113" s="113"/>
      <c r="B113" s="71" t="s">
        <v>187</v>
      </c>
      <c r="C113" s="72"/>
      <c r="D113" s="169">
        <v>25.6</v>
      </c>
      <c r="E113" s="170">
        <f t="shared" si="44"/>
        <v>46.6</v>
      </c>
      <c r="F113" s="174">
        <v>32</v>
      </c>
      <c r="G113" s="171">
        <v>52.1</v>
      </c>
      <c r="H113" s="172">
        <v>1.8</v>
      </c>
      <c r="I113" s="66">
        <f t="shared" si="45"/>
        <v>126.10000000000001</v>
      </c>
      <c r="J113" s="67" t="s">
        <v>69</v>
      </c>
      <c r="K113" s="73">
        <f t="shared" ref="K113:K118" si="48">+$I$8</f>
        <v>55</v>
      </c>
      <c r="L113" s="73">
        <f t="shared" ref="L113:L118" si="49">+K113+I113</f>
        <v>181.10000000000002</v>
      </c>
      <c r="M113" s="74"/>
      <c r="N113" s="59"/>
      <c r="O113" s="169">
        <v>25.6</v>
      </c>
      <c r="P113" s="170">
        <f t="shared" si="46"/>
        <v>46.6</v>
      </c>
      <c r="Q113" s="174">
        <v>32</v>
      </c>
      <c r="R113" s="171">
        <v>52.1</v>
      </c>
      <c r="S113" s="172">
        <v>1.8</v>
      </c>
      <c r="T113" s="66">
        <f t="shared" si="47"/>
        <v>126.10000000000001</v>
      </c>
      <c r="U113" s="67" t="s">
        <v>69</v>
      </c>
      <c r="V113" s="73">
        <f t="shared" ref="V113:V118" si="50">+$I$8</f>
        <v>55</v>
      </c>
      <c r="W113" s="73">
        <f t="shared" ref="W113:W118" si="51">+V113+T113</f>
        <v>181.10000000000002</v>
      </c>
    </row>
    <row r="114" spans="1:23" ht="18" customHeight="1" x14ac:dyDescent="0.25">
      <c r="A114" s="113"/>
      <c r="B114" s="71" t="s">
        <v>188</v>
      </c>
      <c r="C114" s="72"/>
      <c r="D114" s="169">
        <v>59.4</v>
      </c>
      <c r="E114" s="170">
        <f t="shared" si="44"/>
        <v>42.5</v>
      </c>
      <c r="F114" s="174">
        <v>29.216596343178622</v>
      </c>
      <c r="G114" s="171">
        <v>59.9</v>
      </c>
      <c r="H114" s="172">
        <v>4.0999999999999996</v>
      </c>
      <c r="I114" s="66">
        <f t="shared" si="45"/>
        <v>165.9</v>
      </c>
      <c r="J114" s="67" t="s">
        <v>69</v>
      </c>
      <c r="K114" s="73">
        <f t="shared" si="48"/>
        <v>55</v>
      </c>
      <c r="L114" s="73">
        <f t="shared" si="49"/>
        <v>220.9</v>
      </c>
      <c r="M114" s="74"/>
      <c r="N114" s="59"/>
      <c r="O114" s="169">
        <v>59.4</v>
      </c>
      <c r="P114" s="170">
        <f t="shared" si="46"/>
        <v>42.5</v>
      </c>
      <c r="Q114" s="174">
        <v>29.216596343178622</v>
      </c>
      <c r="R114" s="171">
        <v>59.9</v>
      </c>
      <c r="S114" s="172">
        <v>4.0999999999999996</v>
      </c>
      <c r="T114" s="66">
        <f t="shared" si="47"/>
        <v>165.9</v>
      </c>
      <c r="U114" s="67" t="s">
        <v>69</v>
      </c>
      <c r="V114" s="73">
        <f t="shared" si="50"/>
        <v>55</v>
      </c>
      <c r="W114" s="73">
        <f t="shared" si="51"/>
        <v>220.9</v>
      </c>
    </row>
    <row r="115" spans="1:23" ht="18" customHeight="1" x14ac:dyDescent="0.25">
      <c r="A115" s="113"/>
      <c r="B115" s="71" t="s">
        <v>189</v>
      </c>
      <c r="C115" s="72"/>
      <c r="D115" s="169">
        <v>56.4</v>
      </c>
      <c r="E115" s="170">
        <f t="shared" si="44"/>
        <v>34</v>
      </c>
      <c r="F115" s="174">
        <v>23.333333333333332</v>
      </c>
      <c r="G115" s="171">
        <v>30</v>
      </c>
      <c r="H115" s="172">
        <v>3.9</v>
      </c>
      <c r="I115" s="66">
        <f t="shared" si="45"/>
        <v>124.30000000000001</v>
      </c>
      <c r="J115" s="67" t="s">
        <v>69</v>
      </c>
      <c r="K115" s="73">
        <f t="shared" si="48"/>
        <v>55</v>
      </c>
      <c r="L115" s="73">
        <f t="shared" si="49"/>
        <v>179.3</v>
      </c>
      <c r="M115" s="74"/>
      <c r="N115" s="59"/>
      <c r="O115" s="169">
        <v>56.4</v>
      </c>
      <c r="P115" s="170">
        <f t="shared" si="46"/>
        <v>34</v>
      </c>
      <c r="Q115" s="174">
        <v>23.333333333333332</v>
      </c>
      <c r="R115" s="171">
        <v>30</v>
      </c>
      <c r="S115" s="172">
        <v>3.9</v>
      </c>
      <c r="T115" s="66">
        <f t="shared" si="47"/>
        <v>124.30000000000001</v>
      </c>
      <c r="U115" s="67" t="s">
        <v>69</v>
      </c>
      <c r="V115" s="73">
        <f t="shared" si="50"/>
        <v>55</v>
      </c>
      <c r="W115" s="73">
        <f t="shared" si="51"/>
        <v>179.3</v>
      </c>
    </row>
    <row r="116" spans="1:23" ht="18" customHeight="1" x14ac:dyDescent="0.25">
      <c r="A116" s="113"/>
      <c r="B116" s="71" t="s">
        <v>190</v>
      </c>
      <c r="C116" s="72"/>
      <c r="D116" s="169">
        <v>56.4</v>
      </c>
      <c r="E116" s="170">
        <f t="shared" si="44"/>
        <v>32</v>
      </c>
      <c r="F116" s="174">
        <v>22</v>
      </c>
      <c r="G116" s="171">
        <v>32.299999999999997</v>
      </c>
      <c r="H116" s="172">
        <v>3.9</v>
      </c>
      <c r="I116" s="66">
        <f t="shared" si="45"/>
        <v>124.60000000000001</v>
      </c>
      <c r="J116" s="67" t="s">
        <v>69</v>
      </c>
      <c r="K116" s="73">
        <f t="shared" si="48"/>
        <v>55</v>
      </c>
      <c r="L116" s="73">
        <f t="shared" si="49"/>
        <v>179.60000000000002</v>
      </c>
      <c r="M116" s="74"/>
      <c r="N116" s="59"/>
      <c r="O116" s="169">
        <v>56.4</v>
      </c>
      <c r="P116" s="170">
        <f t="shared" si="46"/>
        <v>32</v>
      </c>
      <c r="Q116" s="174">
        <v>22</v>
      </c>
      <c r="R116" s="171">
        <v>32.299999999999997</v>
      </c>
      <c r="S116" s="172">
        <v>3.9</v>
      </c>
      <c r="T116" s="66">
        <f t="shared" si="47"/>
        <v>124.60000000000001</v>
      </c>
      <c r="U116" s="67" t="s">
        <v>69</v>
      </c>
      <c r="V116" s="73">
        <f t="shared" si="50"/>
        <v>55</v>
      </c>
      <c r="W116" s="73">
        <f t="shared" si="51"/>
        <v>179.60000000000002</v>
      </c>
    </row>
    <row r="117" spans="1:23" ht="18" customHeight="1" x14ac:dyDescent="0.25">
      <c r="A117" s="113"/>
      <c r="B117" s="71" t="s">
        <v>191</v>
      </c>
      <c r="C117" s="72"/>
      <c r="D117" s="169">
        <v>87.9</v>
      </c>
      <c r="E117" s="170">
        <f t="shared" si="44"/>
        <v>56.2</v>
      </c>
      <c r="F117" s="174">
        <v>38.579694323144103</v>
      </c>
      <c r="G117" s="171">
        <v>76.8</v>
      </c>
      <c r="H117" s="172">
        <v>6.1</v>
      </c>
      <c r="I117" s="66">
        <f t="shared" si="45"/>
        <v>227.00000000000003</v>
      </c>
      <c r="J117" s="67" t="s">
        <v>69</v>
      </c>
      <c r="K117" s="73">
        <f t="shared" si="48"/>
        <v>55</v>
      </c>
      <c r="L117" s="73">
        <f t="shared" si="49"/>
        <v>282</v>
      </c>
      <c r="M117" s="74"/>
      <c r="N117" s="59"/>
      <c r="O117" s="169">
        <v>87.9</v>
      </c>
      <c r="P117" s="170">
        <f t="shared" si="46"/>
        <v>56.2</v>
      </c>
      <c r="Q117" s="174">
        <v>38.579694323144103</v>
      </c>
      <c r="R117" s="171">
        <v>76.8</v>
      </c>
      <c r="S117" s="172">
        <v>6.1</v>
      </c>
      <c r="T117" s="66">
        <f t="shared" si="47"/>
        <v>227.00000000000003</v>
      </c>
      <c r="U117" s="67" t="s">
        <v>69</v>
      </c>
      <c r="V117" s="73">
        <f t="shared" si="50"/>
        <v>55</v>
      </c>
      <c r="W117" s="73">
        <f t="shared" si="51"/>
        <v>282</v>
      </c>
    </row>
    <row r="118" spans="1:23" ht="18" customHeight="1" x14ac:dyDescent="0.25">
      <c r="A118" s="113"/>
      <c r="B118" s="71" t="s">
        <v>192</v>
      </c>
      <c r="C118" s="72"/>
      <c r="D118" s="169">
        <v>64.400000000000006</v>
      </c>
      <c r="E118" s="170">
        <f t="shared" si="44"/>
        <v>33.5</v>
      </c>
      <c r="F118" s="174">
        <v>23</v>
      </c>
      <c r="G118" s="171">
        <v>45.7</v>
      </c>
      <c r="H118" s="172">
        <v>4.5</v>
      </c>
      <c r="I118" s="66">
        <f t="shared" si="45"/>
        <v>148.10000000000002</v>
      </c>
      <c r="J118" s="67" t="s">
        <v>69</v>
      </c>
      <c r="K118" s="73">
        <f t="shared" si="48"/>
        <v>55</v>
      </c>
      <c r="L118" s="73">
        <f t="shared" si="49"/>
        <v>203.10000000000002</v>
      </c>
      <c r="M118" s="74"/>
      <c r="N118" s="59"/>
      <c r="O118" s="169">
        <v>64.400000000000006</v>
      </c>
      <c r="P118" s="170">
        <f t="shared" si="46"/>
        <v>33.5</v>
      </c>
      <c r="Q118" s="174">
        <v>23</v>
      </c>
      <c r="R118" s="171">
        <v>45.7</v>
      </c>
      <c r="S118" s="172">
        <v>4.5</v>
      </c>
      <c r="T118" s="66">
        <f t="shared" si="47"/>
        <v>148.10000000000002</v>
      </c>
      <c r="U118" s="67" t="s">
        <v>69</v>
      </c>
      <c r="V118" s="73">
        <f t="shared" si="50"/>
        <v>55</v>
      </c>
      <c r="W118" s="73">
        <f t="shared" si="51"/>
        <v>203.10000000000002</v>
      </c>
    </row>
    <row r="119" spans="1:23" ht="18" customHeight="1" x14ac:dyDescent="0.25">
      <c r="A119" s="113"/>
      <c r="B119" s="71"/>
      <c r="C119" s="72"/>
      <c r="D119" s="62"/>
      <c r="E119" s="63"/>
      <c r="F119" s="64"/>
      <c r="G119" s="63"/>
      <c r="H119" s="65"/>
      <c r="I119" s="66"/>
      <c r="J119" s="67" t="s">
        <v>69</v>
      </c>
      <c r="K119" s="68"/>
      <c r="L119" s="68"/>
      <c r="M119" s="83"/>
      <c r="N119" s="59"/>
      <c r="O119" s="62"/>
      <c r="P119" s="63"/>
      <c r="Q119" s="64"/>
      <c r="R119" s="63"/>
      <c r="S119" s="65"/>
      <c r="T119" s="66"/>
      <c r="U119" s="67" t="s">
        <v>69</v>
      </c>
      <c r="V119" s="68"/>
      <c r="W119" s="68"/>
    </row>
    <row r="120" spans="1:23" ht="18" customHeight="1" x14ac:dyDescent="0.25">
      <c r="A120" s="113"/>
      <c r="B120" s="71" t="s">
        <v>193</v>
      </c>
      <c r="C120" s="72"/>
      <c r="D120" s="169">
        <v>23.1</v>
      </c>
      <c r="E120" s="170">
        <f t="shared" si="44"/>
        <v>46.6</v>
      </c>
      <c r="F120" s="174">
        <v>32</v>
      </c>
      <c r="G120" s="171">
        <v>27</v>
      </c>
      <c r="H120" s="172">
        <v>1.6</v>
      </c>
      <c r="I120" s="66">
        <f>D120+E120+G120+H120</f>
        <v>98.3</v>
      </c>
      <c r="J120" s="67" t="s">
        <v>69</v>
      </c>
      <c r="K120" s="73">
        <f>+$I$8</f>
        <v>55</v>
      </c>
      <c r="L120" s="73">
        <f>+K120+I120</f>
        <v>153.30000000000001</v>
      </c>
      <c r="M120" s="74"/>
      <c r="N120" s="59"/>
      <c r="O120" s="169">
        <v>23.1</v>
      </c>
      <c r="P120" s="170">
        <f>+ROUND(Q120*FOD*(1+$I$5),1)</f>
        <v>46.6</v>
      </c>
      <c r="Q120" s="174">
        <v>32</v>
      </c>
      <c r="R120" s="171">
        <v>27</v>
      </c>
      <c r="S120" s="172">
        <v>1.6</v>
      </c>
      <c r="T120" s="66">
        <f>O120+P120+R120+S120</f>
        <v>98.3</v>
      </c>
      <c r="U120" s="67" t="s">
        <v>69</v>
      </c>
      <c r="V120" s="73">
        <f>+$I$8</f>
        <v>55</v>
      </c>
      <c r="W120" s="73">
        <f>+V120+T120</f>
        <v>153.30000000000001</v>
      </c>
    </row>
    <row r="121" spans="1:23" ht="18" customHeight="1" x14ac:dyDescent="0.25">
      <c r="A121" s="113"/>
      <c r="B121" s="71"/>
      <c r="D121" s="62"/>
      <c r="E121" s="63"/>
      <c r="F121" s="64"/>
      <c r="G121" s="63"/>
      <c r="H121" s="65"/>
      <c r="I121" s="66"/>
      <c r="J121" s="67" t="s">
        <v>69</v>
      </c>
      <c r="K121" s="68"/>
      <c r="L121" s="68"/>
      <c r="M121" s="83"/>
      <c r="N121" s="59"/>
      <c r="O121" s="62"/>
      <c r="P121" s="63"/>
      <c r="Q121" s="64"/>
      <c r="R121" s="63"/>
      <c r="S121" s="65"/>
      <c r="T121" s="66"/>
      <c r="U121" s="67" t="s">
        <v>69</v>
      </c>
      <c r="V121" s="68"/>
      <c r="W121" s="68"/>
    </row>
    <row r="122" spans="1:23" ht="18" customHeight="1" x14ac:dyDescent="0.25">
      <c r="A122" s="113">
        <v>77</v>
      </c>
      <c r="B122" s="61" t="s">
        <v>194</v>
      </c>
      <c r="D122" s="62"/>
      <c r="E122" s="63"/>
      <c r="F122" s="64"/>
      <c r="G122" s="63"/>
      <c r="H122" s="65"/>
      <c r="I122" s="66"/>
      <c r="J122" s="67" t="s">
        <v>69</v>
      </c>
      <c r="K122" s="68"/>
      <c r="L122" s="68"/>
      <c r="M122" s="83"/>
      <c r="N122" s="59"/>
      <c r="O122" s="62"/>
      <c r="P122" s="63"/>
      <c r="Q122" s="64"/>
      <c r="R122" s="63"/>
      <c r="S122" s="65"/>
      <c r="T122" s="66"/>
      <c r="U122" s="67" t="s">
        <v>69</v>
      </c>
      <c r="V122" s="68"/>
      <c r="W122" s="68"/>
    </row>
    <row r="123" spans="1:23" ht="18" customHeight="1" x14ac:dyDescent="0.25">
      <c r="A123" s="113"/>
      <c r="B123" s="71" t="s">
        <v>195</v>
      </c>
      <c r="C123" s="72"/>
      <c r="D123" s="169">
        <v>14.8</v>
      </c>
      <c r="E123" s="170">
        <f>+ROUND(F123*FOD*(1+$I$5),1)</f>
        <v>27.8</v>
      </c>
      <c r="F123" s="177">
        <v>19.09090909090909</v>
      </c>
      <c r="G123" s="171">
        <v>17.100000000000001</v>
      </c>
      <c r="H123" s="172">
        <v>1</v>
      </c>
      <c r="I123" s="66">
        <f>D123+E123+G123+H123</f>
        <v>60.7</v>
      </c>
      <c r="J123" s="67" t="s">
        <v>69</v>
      </c>
      <c r="K123" s="84"/>
      <c r="L123" s="84"/>
      <c r="M123" s="85"/>
      <c r="N123" s="59"/>
      <c r="O123" s="169">
        <v>14.8</v>
      </c>
      <c r="P123" s="170">
        <f>+ROUND(Q123*FOD*(1+$I$5),1)</f>
        <v>27.8</v>
      </c>
      <c r="Q123" s="177">
        <v>19.09090909090909</v>
      </c>
      <c r="R123" s="171">
        <v>17.100000000000001</v>
      </c>
      <c r="S123" s="172">
        <v>1</v>
      </c>
      <c r="T123" s="66">
        <f>O123+P123+R123+S123</f>
        <v>60.7</v>
      </c>
      <c r="U123" s="67" t="s">
        <v>69</v>
      </c>
      <c r="V123" s="84"/>
      <c r="W123" s="84"/>
    </row>
    <row r="124" spans="1:23" ht="18" customHeight="1" x14ac:dyDescent="0.25">
      <c r="A124" s="113"/>
      <c r="B124" s="71" t="s">
        <v>196</v>
      </c>
      <c r="C124" s="72"/>
      <c r="D124" s="169">
        <v>29.8</v>
      </c>
      <c r="E124" s="170">
        <f>+ROUND(F124*FOD*(1+$I$5),1)</f>
        <v>46.6</v>
      </c>
      <c r="F124" s="174">
        <v>32</v>
      </c>
      <c r="G124" s="171">
        <v>45.1</v>
      </c>
      <c r="H124" s="172">
        <v>2.1</v>
      </c>
      <c r="I124" s="66">
        <f>D124+E124+G124+H124</f>
        <v>123.6</v>
      </c>
      <c r="J124" s="67" t="s">
        <v>69</v>
      </c>
      <c r="K124" s="84"/>
      <c r="L124" s="84"/>
      <c r="M124" s="85"/>
      <c r="N124" s="59"/>
      <c r="O124" s="169">
        <v>29.8</v>
      </c>
      <c r="P124" s="170">
        <f>+ROUND(Q124*FOD*(1+$I$5),1)</f>
        <v>46.6</v>
      </c>
      <c r="Q124" s="174">
        <v>32</v>
      </c>
      <c r="R124" s="171">
        <v>45.1</v>
      </c>
      <c r="S124" s="172">
        <v>2.1</v>
      </c>
      <c r="T124" s="66">
        <f>O124+P124+R124+S124</f>
        <v>123.6</v>
      </c>
      <c r="U124" s="67" t="s">
        <v>69</v>
      </c>
      <c r="V124" s="84"/>
      <c r="W124" s="84"/>
    </row>
    <row r="125" spans="1:23" ht="18" customHeight="1" x14ac:dyDescent="0.25">
      <c r="A125" s="113"/>
      <c r="B125" s="71" t="s">
        <v>197</v>
      </c>
      <c r="C125" s="72"/>
      <c r="D125" s="169">
        <v>13.6</v>
      </c>
      <c r="E125" s="170">
        <f>+ROUND(F125*FOD*(1+$I$5),1)</f>
        <v>0</v>
      </c>
      <c r="F125" s="174"/>
      <c r="G125" s="171">
        <v>10.1</v>
      </c>
      <c r="H125" s="172"/>
      <c r="I125" s="66">
        <f>D125+E125+G125+H125</f>
        <v>23.7</v>
      </c>
      <c r="J125" s="67" t="s">
        <v>69</v>
      </c>
      <c r="K125" s="84"/>
      <c r="L125" s="84"/>
      <c r="M125" s="85"/>
      <c r="N125" s="59"/>
      <c r="O125" s="169">
        <v>13.6</v>
      </c>
      <c r="P125" s="170">
        <f>+ROUND(Q125*FOD*(1+$I$5),1)</f>
        <v>0</v>
      </c>
      <c r="Q125" s="174"/>
      <c r="R125" s="171">
        <v>10.1</v>
      </c>
      <c r="S125" s="172"/>
      <c r="T125" s="66">
        <f>O125+P125+R125+S125</f>
        <v>23.7</v>
      </c>
      <c r="U125" s="67" t="s">
        <v>69</v>
      </c>
      <c r="V125" s="84"/>
      <c r="W125" s="84"/>
    </row>
    <row r="126" spans="1:23" ht="18" customHeight="1" x14ac:dyDescent="0.25">
      <c r="A126" s="113"/>
      <c r="B126" s="71"/>
      <c r="D126" s="62"/>
      <c r="E126" s="63"/>
      <c r="F126" s="64"/>
      <c r="G126" s="63"/>
      <c r="H126" s="65"/>
      <c r="I126" s="66"/>
      <c r="J126" s="67" t="s">
        <v>69</v>
      </c>
      <c r="K126" s="68"/>
      <c r="L126" s="68"/>
      <c r="M126" s="83"/>
      <c r="N126" s="59"/>
      <c r="O126" s="62"/>
      <c r="P126" s="63"/>
      <c r="Q126" s="64"/>
      <c r="R126" s="63"/>
      <c r="S126" s="65"/>
      <c r="T126" s="66"/>
      <c r="U126" s="67" t="s">
        <v>69</v>
      </c>
      <c r="V126" s="68"/>
      <c r="W126" s="68"/>
    </row>
    <row r="127" spans="1:23" ht="18" customHeight="1" x14ac:dyDescent="0.25">
      <c r="A127" s="113">
        <v>18</v>
      </c>
      <c r="B127" s="61" t="s">
        <v>198</v>
      </c>
      <c r="C127" s="72"/>
      <c r="D127" s="169">
        <v>6.4</v>
      </c>
      <c r="E127" s="170">
        <f>+ROUND(F127*FOD*(1+$I$5),1)</f>
        <v>14.9</v>
      </c>
      <c r="F127" s="174">
        <v>10.233333333333333</v>
      </c>
      <c r="G127" s="171">
        <v>14.3</v>
      </c>
      <c r="H127" s="172">
        <v>0.5</v>
      </c>
      <c r="I127" s="66">
        <f>D127+E127+G127+H127</f>
        <v>36.1</v>
      </c>
      <c r="J127" s="67" t="s">
        <v>69</v>
      </c>
      <c r="K127" s="73">
        <f>+$I$8</f>
        <v>55</v>
      </c>
      <c r="L127" s="73">
        <f>+K127+I127</f>
        <v>91.1</v>
      </c>
      <c r="M127" s="74"/>
      <c r="N127" s="75"/>
      <c r="O127" s="169">
        <v>6.4</v>
      </c>
      <c r="P127" s="170">
        <f>+ROUND(Q127*FOD*(1+$I$5),1)</f>
        <v>14.9</v>
      </c>
      <c r="Q127" s="174">
        <v>10.233333333333333</v>
      </c>
      <c r="R127" s="171">
        <v>14.3</v>
      </c>
      <c r="S127" s="172">
        <v>0.5</v>
      </c>
      <c r="T127" s="66">
        <f>O127+P127+R127+S127</f>
        <v>36.1</v>
      </c>
      <c r="U127" s="67" t="s">
        <v>69</v>
      </c>
      <c r="V127" s="73">
        <f>+$I$8</f>
        <v>55</v>
      </c>
      <c r="W127" s="73">
        <f>+V127+T127</f>
        <v>91.1</v>
      </c>
    </row>
    <row r="128" spans="1:23" ht="18" customHeight="1" x14ac:dyDescent="0.25">
      <c r="A128" s="113"/>
      <c r="B128" s="61"/>
      <c r="C128" s="72"/>
      <c r="D128" s="81"/>
      <c r="E128" s="63"/>
      <c r="F128" s="64"/>
      <c r="G128" s="63"/>
      <c r="H128" s="65"/>
      <c r="I128" s="66"/>
      <c r="J128" s="67" t="s">
        <v>69</v>
      </c>
      <c r="K128" s="73"/>
      <c r="L128" s="73"/>
      <c r="M128" s="74"/>
      <c r="N128" s="75"/>
      <c r="O128" s="81"/>
      <c r="P128" s="63"/>
      <c r="Q128" s="64"/>
      <c r="R128" s="63"/>
      <c r="S128" s="65"/>
      <c r="T128" s="66"/>
      <c r="U128" s="67" t="s">
        <v>69</v>
      </c>
      <c r="V128" s="73"/>
      <c r="W128" s="73"/>
    </row>
    <row r="129" spans="1:23" ht="18" customHeight="1" x14ac:dyDescent="0.25">
      <c r="A129" s="113">
        <v>52</v>
      </c>
      <c r="B129" s="61" t="s">
        <v>199</v>
      </c>
      <c r="D129" s="62"/>
      <c r="E129" s="63"/>
      <c r="F129" s="64"/>
      <c r="G129" s="63"/>
      <c r="H129" s="65"/>
      <c r="I129" s="66"/>
      <c r="J129" s="67" t="s">
        <v>69</v>
      </c>
      <c r="K129" s="68"/>
      <c r="L129" s="68"/>
      <c r="M129" s="69"/>
      <c r="N129" s="70"/>
      <c r="O129" s="62"/>
      <c r="P129" s="63"/>
      <c r="Q129" s="64"/>
      <c r="R129" s="63"/>
      <c r="S129" s="65"/>
      <c r="T129" s="66"/>
      <c r="U129" s="67" t="s">
        <v>69</v>
      </c>
      <c r="V129" s="68"/>
      <c r="W129" s="68"/>
    </row>
    <row r="130" spans="1:23" ht="18" customHeight="1" x14ac:dyDescent="0.25">
      <c r="A130" s="113"/>
      <c r="B130" s="71" t="s">
        <v>200</v>
      </c>
      <c r="C130" s="72"/>
      <c r="D130" s="169">
        <v>8.6</v>
      </c>
      <c r="E130" s="170">
        <f>+ROUND(F130*FOD*(1+$I$5),1)</f>
        <v>22.6</v>
      </c>
      <c r="F130" s="337">
        <v>15.503133543638276</v>
      </c>
      <c r="G130" s="171">
        <v>23.7</v>
      </c>
      <c r="H130" s="172">
        <v>0.6</v>
      </c>
      <c r="I130" s="66">
        <f>D130+E130+G130+H130</f>
        <v>55.500000000000007</v>
      </c>
      <c r="J130" s="67" t="s">
        <v>69</v>
      </c>
      <c r="K130" s="73">
        <f>+$I$8</f>
        <v>55</v>
      </c>
      <c r="L130" s="73">
        <f>+K130+I130</f>
        <v>110.5</v>
      </c>
      <c r="M130" s="74"/>
      <c r="N130" s="75"/>
      <c r="O130" s="169">
        <v>8.6</v>
      </c>
      <c r="P130" s="170">
        <f>+ROUND(Q130*FOD*(1+$I$5),1)</f>
        <v>22.6</v>
      </c>
      <c r="Q130" s="337">
        <v>15.503133543638276</v>
      </c>
      <c r="R130" s="171">
        <v>23.7</v>
      </c>
      <c r="S130" s="172">
        <v>0.6</v>
      </c>
      <c r="T130" s="66">
        <f>O130+P130+R130+S130</f>
        <v>55.500000000000007</v>
      </c>
      <c r="U130" s="67" t="s">
        <v>69</v>
      </c>
      <c r="V130" s="73">
        <f>+$I$8</f>
        <v>55</v>
      </c>
      <c r="W130" s="73">
        <f>+V130+T130</f>
        <v>110.5</v>
      </c>
    </row>
    <row r="131" spans="1:23" ht="18" customHeight="1" x14ac:dyDescent="0.25">
      <c r="A131" s="113"/>
      <c r="B131" s="71" t="s">
        <v>201</v>
      </c>
      <c r="C131" s="72"/>
      <c r="D131" s="169">
        <v>10</v>
      </c>
      <c r="E131" s="170">
        <f>+ROUND(F131*FOD*(1+$I$5),1)</f>
        <v>26.9</v>
      </c>
      <c r="F131" s="174">
        <v>18.453763440860214</v>
      </c>
      <c r="G131" s="171">
        <v>23.8</v>
      </c>
      <c r="H131" s="172">
        <v>0.7</v>
      </c>
      <c r="I131" s="66">
        <f>D131+E131+G131+H131</f>
        <v>61.400000000000006</v>
      </c>
      <c r="J131" s="67" t="s">
        <v>69</v>
      </c>
      <c r="K131" s="73">
        <f>+$I$8</f>
        <v>55</v>
      </c>
      <c r="L131" s="73">
        <f>+K131+I131</f>
        <v>116.4</v>
      </c>
      <c r="M131" s="74"/>
      <c r="N131" s="75"/>
      <c r="O131" s="169">
        <v>10</v>
      </c>
      <c r="P131" s="170">
        <f>+ROUND(Q131*FOD*(1+$I$5),1)</f>
        <v>26.9</v>
      </c>
      <c r="Q131" s="174">
        <v>18.453763440860214</v>
      </c>
      <c r="R131" s="171">
        <v>23.8</v>
      </c>
      <c r="S131" s="172">
        <v>0.7</v>
      </c>
      <c r="T131" s="66">
        <f>O131+P131+R131+S131</f>
        <v>61.400000000000006</v>
      </c>
      <c r="U131" s="67" t="s">
        <v>69</v>
      </c>
      <c r="V131" s="73">
        <f>+$I$8</f>
        <v>55</v>
      </c>
      <c r="W131" s="73">
        <f>+V131+T131</f>
        <v>116.4</v>
      </c>
    </row>
    <row r="132" spans="1:23" ht="18" customHeight="1" x14ac:dyDescent="0.25">
      <c r="A132" s="113"/>
      <c r="B132" s="71" t="s">
        <v>202</v>
      </c>
      <c r="C132" s="77"/>
      <c r="D132" s="169">
        <v>0.3</v>
      </c>
      <c r="E132" s="170">
        <f>+ROUND(F132*FOD*(1+$I$5),1)</f>
        <v>0</v>
      </c>
      <c r="F132" s="174"/>
      <c r="G132" s="175">
        <v>0.6</v>
      </c>
      <c r="H132" s="172">
        <v>0</v>
      </c>
      <c r="I132" s="66">
        <f>D132+E132+G132+H132</f>
        <v>0.89999999999999991</v>
      </c>
      <c r="J132" s="67" t="s">
        <v>69</v>
      </c>
      <c r="K132" s="68"/>
      <c r="L132" s="68"/>
      <c r="M132" s="74"/>
      <c r="N132" s="70"/>
      <c r="O132" s="169">
        <v>0.3</v>
      </c>
      <c r="P132" s="170">
        <f>+ROUND(Q132*FOD*(1+$I$5),1)</f>
        <v>0</v>
      </c>
      <c r="Q132" s="174"/>
      <c r="R132" s="175">
        <v>0.6</v>
      </c>
      <c r="S132" s="172">
        <v>0</v>
      </c>
      <c r="T132" s="66">
        <f>O132+P132+R132+S132</f>
        <v>0.89999999999999991</v>
      </c>
      <c r="U132" s="67" t="s">
        <v>69</v>
      </c>
      <c r="V132" s="68"/>
      <c r="W132" s="68"/>
    </row>
    <row r="133" spans="1:23" ht="18" customHeight="1" x14ac:dyDescent="0.25">
      <c r="A133" s="113"/>
      <c r="B133" s="71"/>
      <c r="C133" s="72"/>
      <c r="D133" s="81"/>
      <c r="E133" s="63"/>
      <c r="F133" s="82"/>
      <c r="G133" s="63"/>
      <c r="H133" s="65"/>
      <c r="I133" s="66"/>
      <c r="J133" s="67" t="s">
        <v>69</v>
      </c>
      <c r="K133" s="84"/>
      <c r="L133" s="84"/>
      <c r="M133" s="85"/>
      <c r="N133" s="59"/>
      <c r="O133" s="81"/>
      <c r="P133" s="63"/>
      <c r="Q133" s="82"/>
      <c r="R133" s="63"/>
      <c r="S133" s="65"/>
      <c r="T133" s="66"/>
      <c r="U133" s="67" t="s">
        <v>69</v>
      </c>
      <c r="V133" s="84"/>
      <c r="W133" s="84"/>
    </row>
    <row r="134" spans="1:23" ht="18" customHeight="1" x14ac:dyDescent="0.25">
      <c r="A134" s="113">
        <v>22</v>
      </c>
      <c r="B134" s="61" t="s">
        <v>203</v>
      </c>
      <c r="D134" s="62"/>
      <c r="E134" s="63"/>
      <c r="F134" s="64"/>
      <c r="G134" s="63"/>
      <c r="H134" s="65"/>
      <c r="I134" s="66"/>
      <c r="J134" s="67" t="s">
        <v>69</v>
      </c>
      <c r="K134" s="68"/>
      <c r="L134" s="68"/>
      <c r="M134" s="69"/>
      <c r="N134" s="70"/>
      <c r="O134" s="62"/>
      <c r="P134" s="63"/>
      <c r="Q134" s="64"/>
      <c r="R134" s="63"/>
      <c r="S134" s="65"/>
      <c r="T134" s="66"/>
      <c r="U134" s="67" t="s">
        <v>69</v>
      </c>
      <c r="V134" s="68"/>
      <c r="W134" s="68"/>
    </row>
    <row r="135" spans="1:23" ht="18" customHeight="1" x14ac:dyDescent="0.25">
      <c r="A135" s="113"/>
      <c r="B135" s="71" t="s">
        <v>204</v>
      </c>
      <c r="C135" s="86"/>
      <c r="D135" s="178">
        <v>20.6</v>
      </c>
      <c r="E135" s="179">
        <f>+ROUND(F135*FOD*(1+$I$5),1)</f>
        <v>17.600000000000001</v>
      </c>
      <c r="F135" s="340">
        <v>12.121510673234811</v>
      </c>
      <c r="G135" s="180">
        <v>14</v>
      </c>
      <c r="H135" s="181">
        <v>1.3</v>
      </c>
      <c r="I135" s="182">
        <f>D135+E135+G135+H135</f>
        <v>53.5</v>
      </c>
      <c r="J135" s="67" t="s">
        <v>69</v>
      </c>
      <c r="K135" s="73">
        <f>+$I$8</f>
        <v>55</v>
      </c>
      <c r="L135" s="73">
        <f>+K135+I135</f>
        <v>108.5</v>
      </c>
      <c r="M135" s="74"/>
      <c r="N135" s="75"/>
      <c r="O135" s="178">
        <v>20.6</v>
      </c>
      <c r="P135" s="179">
        <f>+ROUND(Q135*FOD*(1+$I$5),1)</f>
        <v>17.600000000000001</v>
      </c>
      <c r="Q135" s="340">
        <v>12.121510673234811</v>
      </c>
      <c r="R135" s="180">
        <v>14</v>
      </c>
      <c r="S135" s="181">
        <v>1.3</v>
      </c>
      <c r="T135" s="182">
        <f>O135+P135+R135+S135</f>
        <v>53.5</v>
      </c>
      <c r="U135" s="67" t="s">
        <v>69</v>
      </c>
      <c r="V135" s="73">
        <f>+$I$8</f>
        <v>55</v>
      </c>
      <c r="W135" s="73">
        <f>+V135+T135</f>
        <v>108.5</v>
      </c>
    </row>
    <row r="136" spans="1:23" ht="18" customHeight="1" x14ac:dyDescent="0.25">
      <c r="A136" s="113"/>
      <c r="B136" s="71" t="s">
        <v>205</v>
      </c>
      <c r="C136" s="72"/>
      <c r="D136" s="169">
        <v>29.2</v>
      </c>
      <c r="E136" s="170">
        <f>+ROUND(F136*FOD*(1+$I$5),1)</f>
        <v>25.9</v>
      </c>
      <c r="F136" s="337">
        <v>17.80123839009288</v>
      </c>
      <c r="G136" s="171">
        <v>14.5</v>
      </c>
      <c r="H136" s="172">
        <v>2</v>
      </c>
      <c r="I136" s="66">
        <f>D136+E136+G136+H136</f>
        <v>71.599999999999994</v>
      </c>
      <c r="J136" s="67" t="s">
        <v>69</v>
      </c>
      <c r="K136" s="73">
        <f>+$I$8</f>
        <v>55</v>
      </c>
      <c r="L136" s="73">
        <f>+K136+I136</f>
        <v>126.6</v>
      </c>
      <c r="M136" s="74"/>
      <c r="N136" s="75"/>
      <c r="O136" s="169">
        <v>29.2</v>
      </c>
      <c r="P136" s="170">
        <f>+ROUND(Q136*FOD*(1+$I$5),1)</f>
        <v>25.9</v>
      </c>
      <c r="Q136" s="337">
        <v>17.80123839009288</v>
      </c>
      <c r="R136" s="171">
        <v>14.5</v>
      </c>
      <c r="S136" s="172">
        <v>2</v>
      </c>
      <c r="T136" s="66">
        <f>O136+P136+R136+S136</f>
        <v>71.599999999999994</v>
      </c>
      <c r="U136" s="67" t="s">
        <v>69</v>
      </c>
      <c r="V136" s="73">
        <f>+$I$8</f>
        <v>55</v>
      </c>
      <c r="W136" s="73">
        <f>+V136+T136</f>
        <v>126.6</v>
      </c>
    </row>
    <row r="137" spans="1:23" ht="18" customHeight="1" x14ac:dyDescent="0.25">
      <c r="A137" s="113"/>
      <c r="B137" s="71"/>
      <c r="C137" s="72"/>
      <c r="D137" s="62"/>
      <c r="E137" s="63"/>
      <c r="F137" s="64"/>
      <c r="G137" s="63"/>
      <c r="H137" s="65"/>
      <c r="I137" s="66"/>
      <c r="J137" s="67" t="s">
        <v>69</v>
      </c>
      <c r="K137" s="73"/>
      <c r="L137" s="73"/>
      <c r="M137" s="74"/>
      <c r="N137" s="75"/>
      <c r="O137" s="62"/>
      <c r="P137" s="63"/>
      <c r="Q137" s="64"/>
      <c r="R137" s="63"/>
      <c r="S137" s="65"/>
      <c r="T137" s="66"/>
      <c r="U137" s="67" t="s">
        <v>69</v>
      </c>
      <c r="V137" s="73"/>
      <c r="W137" s="73"/>
    </row>
    <row r="138" spans="1:23" ht="18" customHeight="1" x14ac:dyDescent="0.25">
      <c r="A138" s="113">
        <v>30</v>
      </c>
      <c r="B138" s="61" t="s">
        <v>206</v>
      </c>
      <c r="D138" s="62"/>
      <c r="E138" s="63"/>
      <c r="F138" s="64"/>
      <c r="G138" s="63"/>
      <c r="H138" s="65"/>
      <c r="I138" s="66"/>
      <c r="J138" s="67" t="s">
        <v>69</v>
      </c>
      <c r="K138" s="68"/>
      <c r="L138" s="68"/>
      <c r="M138" s="69"/>
      <c r="N138" s="70"/>
      <c r="O138" s="62"/>
      <c r="P138" s="63"/>
      <c r="Q138" s="64"/>
      <c r="R138" s="63"/>
      <c r="S138" s="65"/>
      <c r="T138" s="66"/>
      <c r="U138" s="67" t="s">
        <v>69</v>
      </c>
      <c r="V138" s="68"/>
      <c r="W138" s="68"/>
    </row>
    <row r="139" spans="1:23" ht="18" customHeight="1" x14ac:dyDescent="0.25">
      <c r="A139" s="113"/>
      <c r="B139" s="71" t="s">
        <v>207</v>
      </c>
      <c r="C139" s="3"/>
      <c r="D139" s="169">
        <v>2.6</v>
      </c>
      <c r="E139" s="170">
        <f t="shared" ref="E139:E149" si="52">+ROUND(F139*FOD*(1+$I$5),1)</f>
        <v>2.9</v>
      </c>
      <c r="F139" s="183">
        <v>2</v>
      </c>
      <c r="G139" s="175">
        <v>4.2</v>
      </c>
      <c r="H139" s="172">
        <v>0.2</v>
      </c>
      <c r="I139" s="66">
        <f>D139+E139+G139+H139</f>
        <v>9.8999999999999986</v>
      </c>
      <c r="J139" s="67" t="s">
        <v>69</v>
      </c>
      <c r="K139" s="73">
        <f>+$I$8</f>
        <v>55</v>
      </c>
      <c r="L139" s="73">
        <f>+K139+I139</f>
        <v>64.900000000000006</v>
      </c>
      <c r="M139" s="74"/>
      <c r="N139" s="75"/>
      <c r="O139" s="169">
        <v>2.6</v>
      </c>
      <c r="P139" s="170">
        <f t="shared" ref="P139:P149" si="53">+ROUND(Q139*FOD*(1+$I$5),1)</f>
        <v>2.9</v>
      </c>
      <c r="Q139" s="183">
        <v>2</v>
      </c>
      <c r="R139" s="175">
        <v>4.2</v>
      </c>
      <c r="S139" s="172">
        <v>0.2</v>
      </c>
      <c r="T139" s="66">
        <f>O139+P139+R139+S139</f>
        <v>9.8999999999999986</v>
      </c>
      <c r="U139" s="67" t="s">
        <v>69</v>
      </c>
      <c r="V139" s="73">
        <f>+$I$8</f>
        <v>55</v>
      </c>
      <c r="W139" s="73">
        <f>+V139+T139</f>
        <v>64.900000000000006</v>
      </c>
    </row>
    <row r="140" spans="1:23" ht="18" customHeight="1" x14ac:dyDescent="0.25">
      <c r="A140" s="113"/>
      <c r="B140" s="71" t="s">
        <v>208</v>
      </c>
      <c r="C140" s="3"/>
      <c r="D140" s="169">
        <v>5.7</v>
      </c>
      <c r="E140" s="170">
        <f t="shared" si="52"/>
        <v>4.5999999999999996</v>
      </c>
      <c r="F140" s="337">
        <v>3.1739130434782608</v>
      </c>
      <c r="G140" s="171">
        <v>8.1999999999999993</v>
      </c>
      <c r="H140" s="172">
        <v>0.4</v>
      </c>
      <c r="I140" s="66">
        <f>D140+E140+G140+H140</f>
        <v>18.899999999999999</v>
      </c>
      <c r="J140" s="67" t="s">
        <v>69</v>
      </c>
      <c r="K140" s="73">
        <f>+$I$8</f>
        <v>55</v>
      </c>
      <c r="L140" s="73">
        <f>+K140+I140</f>
        <v>73.900000000000006</v>
      </c>
      <c r="M140" s="74"/>
      <c r="N140" s="75"/>
      <c r="O140" s="169">
        <v>5.7</v>
      </c>
      <c r="P140" s="170">
        <f t="shared" si="53"/>
        <v>4.5999999999999996</v>
      </c>
      <c r="Q140" s="337">
        <v>3.1739130434782608</v>
      </c>
      <c r="R140" s="171">
        <v>8.1999999999999993</v>
      </c>
      <c r="S140" s="172">
        <v>0.4</v>
      </c>
      <c r="T140" s="66">
        <f>O140+P140+R140+S140</f>
        <v>18.899999999999999</v>
      </c>
      <c r="U140" s="67" t="s">
        <v>69</v>
      </c>
      <c r="V140" s="73">
        <f>+$I$8</f>
        <v>55</v>
      </c>
      <c r="W140" s="73">
        <f>+V140+T140</f>
        <v>73.900000000000006</v>
      </c>
    </row>
    <row r="141" spans="1:23" ht="18" customHeight="1" x14ac:dyDescent="0.25">
      <c r="A141" s="113"/>
      <c r="B141" s="71" t="s">
        <v>209</v>
      </c>
      <c r="C141" s="77"/>
      <c r="D141" s="169">
        <v>11.3</v>
      </c>
      <c r="E141" s="170">
        <f t="shared" si="52"/>
        <v>9.9</v>
      </c>
      <c r="F141" s="337">
        <v>6.827205882352942</v>
      </c>
      <c r="G141" s="171">
        <v>8.9</v>
      </c>
      <c r="H141" s="172">
        <v>0.8</v>
      </c>
      <c r="I141" s="66">
        <f>D141+E141+G141+H141</f>
        <v>30.900000000000002</v>
      </c>
      <c r="J141" s="67" t="s">
        <v>69</v>
      </c>
      <c r="K141" s="73">
        <f>+$I$8</f>
        <v>55</v>
      </c>
      <c r="L141" s="73">
        <f>+K141+I141</f>
        <v>85.9</v>
      </c>
      <c r="M141" s="74"/>
      <c r="N141" s="75"/>
      <c r="O141" s="169">
        <v>11.3</v>
      </c>
      <c r="P141" s="170">
        <f t="shared" si="53"/>
        <v>9.9</v>
      </c>
      <c r="Q141" s="337">
        <v>6.827205882352942</v>
      </c>
      <c r="R141" s="171">
        <v>8.9</v>
      </c>
      <c r="S141" s="172">
        <v>0.8</v>
      </c>
      <c r="T141" s="66">
        <f>O141+P141+R141+S141</f>
        <v>30.900000000000002</v>
      </c>
      <c r="U141" s="67" t="s">
        <v>69</v>
      </c>
      <c r="V141" s="73">
        <f>+$I$8</f>
        <v>55</v>
      </c>
      <c r="W141" s="73">
        <f>+V141+T141</f>
        <v>85.9</v>
      </c>
    </row>
    <row r="142" spans="1:23" ht="18" customHeight="1" x14ac:dyDescent="0.25">
      <c r="A142" s="113"/>
      <c r="B142" s="71" t="s">
        <v>210</v>
      </c>
      <c r="C142" s="72"/>
      <c r="D142" s="169">
        <v>12.7</v>
      </c>
      <c r="E142" s="170">
        <f t="shared" si="52"/>
        <v>9.9</v>
      </c>
      <c r="F142" s="337">
        <v>6.827205882352942</v>
      </c>
      <c r="G142" s="171">
        <v>9.6</v>
      </c>
      <c r="H142" s="172">
        <v>0.6</v>
      </c>
      <c r="I142" s="66">
        <f>D142+E142+G142+H142</f>
        <v>32.800000000000004</v>
      </c>
      <c r="J142" s="67" t="s">
        <v>69</v>
      </c>
      <c r="K142" s="73">
        <f>+$I$8</f>
        <v>55</v>
      </c>
      <c r="L142" s="73">
        <f>+K142+I142</f>
        <v>87.800000000000011</v>
      </c>
      <c r="M142" s="74"/>
      <c r="N142" s="75"/>
      <c r="O142" s="169">
        <v>12.7</v>
      </c>
      <c r="P142" s="170">
        <f t="shared" si="53"/>
        <v>9.9</v>
      </c>
      <c r="Q142" s="337">
        <v>6.827205882352942</v>
      </c>
      <c r="R142" s="171">
        <v>9.6</v>
      </c>
      <c r="S142" s="172">
        <v>0.6</v>
      </c>
      <c r="T142" s="66">
        <f>O142+P142+R142+S142</f>
        <v>32.800000000000004</v>
      </c>
      <c r="U142" s="67" t="s">
        <v>69</v>
      </c>
      <c r="V142" s="73">
        <f>+$I$8</f>
        <v>55</v>
      </c>
      <c r="W142" s="73">
        <f>+V142+T142</f>
        <v>87.800000000000011</v>
      </c>
    </row>
    <row r="143" spans="1:23" ht="18" customHeight="1" x14ac:dyDescent="0.25">
      <c r="A143" s="113"/>
      <c r="B143" s="71" t="s">
        <v>211</v>
      </c>
      <c r="C143" s="72"/>
      <c r="D143" s="169">
        <v>13</v>
      </c>
      <c r="E143" s="170">
        <f t="shared" si="52"/>
        <v>18.100000000000001</v>
      </c>
      <c r="F143" s="337">
        <v>12.436270939548434</v>
      </c>
      <c r="G143" s="171">
        <v>10.5</v>
      </c>
      <c r="H143" s="172">
        <v>0.9</v>
      </c>
      <c r="I143" s="66"/>
      <c r="J143" s="67" t="s">
        <v>69</v>
      </c>
      <c r="K143" s="68"/>
      <c r="L143" s="68"/>
      <c r="M143" s="69"/>
      <c r="N143" s="70"/>
      <c r="O143" s="169">
        <v>13</v>
      </c>
      <c r="P143" s="170">
        <f t="shared" si="53"/>
        <v>18.100000000000001</v>
      </c>
      <c r="Q143" s="337">
        <v>12.436270939548434</v>
      </c>
      <c r="R143" s="171">
        <v>10.5</v>
      </c>
      <c r="S143" s="172">
        <v>0.9</v>
      </c>
      <c r="T143" s="66"/>
      <c r="U143" s="67" t="s">
        <v>69</v>
      </c>
      <c r="V143" s="68"/>
      <c r="W143" s="68"/>
    </row>
    <row r="144" spans="1:23" ht="18" customHeight="1" x14ac:dyDescent="0.25">
      <c r="A144" s="113"/>
      <c r="B144" s="71" t="s">
        <v>212</v>
      </c>
      <c r="C144" s="72"/>
      <c r="D144" s="169">
        <v>15.2</v>
      </c>
      <c r="E144" s="170">
        <f t="shared" si="52"/>
        <v>21.8</v>
      </c>
      <c r="F144" s="183">
        <v>15</v>
      </c>
      <c r="G144" s="171">
        <v>10.6</v>
      </c>
      <c r="H144" s="172">
        <v>1.1000000000000001</v>
      </c>
      <c r="I144" s="66">
        <f>D144+E144+G144+H144</f>
        <v>48.7</v>
      </c>
      <c r="J144" s="67" t="s">
        <v>69</v>
      </c>
      <c r="K144" s="73">
        <f>+$I$8</f>
        <v>55</v>
      </c>
      <c r="L144" s="73">
        <f>+K144+I144</f>
        <v>103.7</v>
      </c>
      <c r="M144" s="74"/>
      <c r="N144" s="75"/>
      <c r="O144" s="169">
        <v>15.2</v>
      </c>
      <c r="P144" s="170">
        <f t="shared" si="53"/>
        <v>21.8</v>
      </c>
      <c r="Q144" s="183">
        <v>15</v>
      </c>
      <c r="R144" s="171">
        <v>10.6</v>
      </c>
      <c r="S144" s="172">
        <v>1.1000000000000001</v>
      </c>
      <c r="T144" s="66">
        <f>O144+P144+R144+S144</f>
        <v>48.7</v>
      </c>
      <c r="U144" s="67" t="s">
        <v>69</v>
      </c>
      <c r="V144" s="73">
        <f>+$I$8</f>
        <v>55</v>
      </c>
      <c r="W144" s="73">
        <f>+V144+T144</f>
        <v>103.7</v>
      </c>
    </row>
    <row r="145" spans="1:23" ht="18" customHeight="1" x14ac:dyDescent="0.25">
      <c r="A145" s="113"/>
      <c r="B145" s="71" t="s">
        <v>213</v>
      </c>
      <c r="C145" s="72"/>
      <c r="D145" s="169">
        <v>17.7</v>
      </c>
      <c r="E145" s="170">
        <f t="shared" si="52"/>
        <v>27</v>
      </c>
      <c r="F145" s="337">
        <v>18.55108139782655</v>
      </c>
      <c r="G145" s="171">
        <v>11</v>
      </c>
      <c r="H145" s="172">
        <v>1.2</v>
      </c>
      <c r="I145" s="66">
        <f>D145+E145+G145+H145</f>
        <v>56.900000000000006</v>
      </c>
      <c r="J145" s="67" t="s">
        <v>69</v>
      </c>
      <c r="K145" s="73">
        <f>+$I$8</f>
        <v>55</v>
      </c>
      <c r="L145" s="73">
        <f>+K145+I145</f>
        <v>111.9</v>
      </c>
      <c r="M145" s="74"/>
      <c r="N145" s="75"/>
      <c r="O145" s="169">
        <v>17.7</v>
      </c>
      <c r="P145" s="170">
        <f t="shared" si="53"/>
        <v>27</v>
      </c>
      <c r="Q145" s="337">
        <v>18.55108139782655</v>
      </c>
      <c r="R145" s="171">
        <v>11</v>
      </c>
      <c r="S145" s="172">
        <v>1.2</v>
      </c>
      <c r="T145" s="66">
        <f>O145+P145+R145+S145</f>
        <v>56.900000000000006</v>
      </c>
      <c r="U145" s="67" t="s">
        <v>69</v>
      </c>
      <c r="V145" s="73">
        <f>+$I$8</f>
        <v>55</v>
      </c>
      <c r="W145" s="73">
        <f>+V145+T145</f>
        <v>111.9</v>
      </c>
    </row>
    <row r="146" spans="1:23" ht="18" customHeight="1" x14ac:dyDescent="0.25">
      <c r="A146" s="113"/>
      <c r="B146" s="71" t="s">
        <v>214</v>
      </c>
      <c r="C146" s="72"/>
      <c r="D146" s="169">
        <v>19.3</v>
      </c>
      <c r="E146" s="170">
        <f t="shared" si="52"/>
        <v>29.1</v>
      </c>
      <c r="F146" s="337">
        <v>20</v>
      </c>
      <c r="G146" s="171">
        <v>14</v>
      </c>
      <c r="H146" s="172">
        <v>1.3</v>
      </c>
      <c r="I146" s="66">
        <f>D146+E146+G146+H146</f>
        <v>63.7</v>
      </c>
      <c r="J146" s="67" t="s">
        <v>69</v>
      </c>
      <c r="K146" s="73">
        <f>+$I$8</f>
        <v>55</v>
      </c>
      <c r="L146" s="73">
        <f>+K146+I146</f>
        <v>118.7</v>
      </c>
      <c r="M146" s="74"/>
      <c r="N146" s="75"/>
      <c r="O146" s="169">
        <v>19.3</v>
      </c>
      <c r="P146" s="170">
        <f t="shared" si="53"/>
        <v>29.1</v>
      </c>
      <c r="Q146" s="337">
        <v>20</v>
      </c>
      <c r="R146" s="171">
        <v>14</v>
      </c>
      <c r="S146" s="172">
        <v>1.3</v>
      </c>
      <c r="T146" s="66">
        <f>O146+P146+R146+S146</f>
        <v>63.7</v>
      </c>
      <c r="U146" s="67" t="s">
        <v>69</v>
      </c>
      <c r="V146" s="73">
        <f>+$I$8</f>
        <v>55</v>
      </c>
      <c r="W146" s="73">
        <f>+V146+T146</f>
        <v>118.7</v>
      </c>
    </row>
    <row r="147" spans="1:23" ht="18" customHeight="1" x14ac:dyDescent="0.25">
      <c r="A147" s="113"/>
      <c r="B147" s="71" t="s">
        <v>215</v>
      </c>
      <c r="C147" s="72"/>
      <c r="D147" s="169">
        <v>26.4</v>
      </c>
      <c r="E147" s="170">
        <f t="shared" si="52"/>
        <v>36.5</v>
      </c>
      <c r="F147" s="337">
        <v>25.050314465408807</v>
      </c>
      <c r="G147" s="171">
        <v>19.100000000000001</v>
      </c>
      <c r="H147" s="172">
        <v>1.8</v>
      </c>
      <c r="I147" s="66">
        <f>D147+E147+G147+H147</f>
        <v>83.8</v>
      </c>
      <c r="J147" s="67" t="s">
        <v>69</v>
      </c>
      <c r="K147" s="73">
        <f>+$I$8</f>
        <v>55</v>
      </c>
      <c r="L147" s="73">
        <f>+K147+I147</f>
        <v>138.80000000000001</v>
      </c>
      <c r="M147" s="74"/>
      <c r="N147" s="75"/>
      <c r="O147" s="169">
        <v>26.4</v>
      </c>
      <c r="P147" s="170">
        <f t="shared" si="53"/>
        <v>36.5</v>
      </c>
      <c r="Q147" s="337">
        <v>25.050314465408807</v>
      </c>
      <c r="R147" s="171">
        <v>19.100000000000001</v>
      </c>
      <c r="S147" s="172">
        <v>1.8</v>
      </c>
      <c r="T147" s="66">
        <f>O147+P147+R147+S147</f>
        <v>83.8</v>
      </c>
      <c r="U147" s="67" t="s">
        <v>69</v>
      </c>
      <c r="V147" s="73">
        <f>+$I$8</f>
        <v>55</v>
      </c>
      <c r="W147" s="73">
        <f>+V147+T147</f>
        <v>138.80000000000001</v>
      </c>
    </row>
    <row r="148" spans="1:23" ht="18" customHeight="1" x14ac:dyDescent="0.25">
      <c r="A148" s="113"/>
      <c r="B148" s="71" t="s">
        <v>216</v>
      </c>
      <c r="C148" s="72"/>
      <c r="D148" s="169">
        <v>34.5</v>
      </c>
      <c r="E148" s="170">
        <f t="shared" si="52"/>
        <v>54.2</v>
      </c>
      <c r="F148" s="337">
        <v>37.240332640332639</v>
      </c>
      <c r="G148" s="171">
        <v>27.2</v>
      </c>
      <c r="H148" s="172">
        <v>2.4</v>
      </c>
      <c r="I148" s="66"/>
      <c r="J148" s="67" t="s">
        <v>69</v>
      </c>
      <c r="K148" s="68"/>
      <c r="L148" s="68"/>
      <c r="M148" s="69"/>
      <c r="N148" s="70"/>
      <c r="O148" s="169">
        <v>34.5</v>
      </c>
      <c r="P148" s="170">
        <f t="shared" si="53"/>
        <v>54.2</v>
      </c>
      <c r="Q148" s="337">
        <v>37.240332640332639</v>
      </c>
      <c r="R148" s="171">
        <v>27.2</v>
      </c>
      <c r="S148" s="172">
        <v>2.4</v>
      </c>
      <c r="T148" s="66"/>
      <c r="U148" s="67" t="s">
        <v>69</v>
      </c>
      <c r="V148" s="68"/>
      <c r="W148" s="68"/>
    </row>
    <row r="149" spans="1:23" ht="18" customHeight="1" x14ac:dyDescent="0.25">
      <c r="A149" s="113"/>
      <c r="B149" s="71" t="s">
        <v>217</v>
      </c>
      <c r="C149" s="72"/>
      <c r="D149" s="169">
        <v>88.6</v>
      </c>
      <c r="E149" s="170">
        <f t="shared" si="52"/>
        <v>192.2</v>
      </c>
      <c r="F149" s="337">
        <v>132</v>
      </c>
      <c r="G149" s="171">
        <v>58</v>
      </c>
      <c r="H149" s="172">
        <v>6.2</v>
      </c>
      <c r="I149" s="66">
        <f>D149+E149+G149+H149</f>
        <v>344.99999999999994</v>
      </c>
      <c r="J149" s="67" t="s">
        <v>69</v>
      </c>
      <c r="K149" s="73">
        <f>+$I$8</f>
        <v>55</v>
      </c>
      <c r="L149" s="73">
        <f>+K149+I149</f>
        <v>399.99999999999994</v>
      </c>
      <c r="M149" s="74"/>
      <c r="N149" s="75"/>
      <c r="O149" s="169">
        <v>88.6</v>
      </c>
      <c r="P149" s="170">
        <f t="shared" si="53"/>
        <v>192.2</v>
      </c>
      <c r="Q149" s="337">
        <v>132</v>
      </c>
      <c r="R149" s="171">
        <v>58</v>
      </c>
      <c r="S149" s="172">
        <v>6.2</v>
      </c>
      <c r="T149" s="66">
        <f>O149+P149+R149+S149</f>
        <v>344.99999999999994</v>
      </c>
      <c r="U149" s="67" t="s">
        <v>69</v>
      </c>
      <c r="V149" s="73">
        <f>+$I$8</f>
        <v>55</v>
      </c>
      <c r="W149" s="73">
        <f>+V149+T149</f>
        <v>399.99999999999994</v>
      </c>
    </row>
    <row r="150" spans="1:23" ht="18" customHeight="1" x14ac:dyDescent="0.25">
      <c r="A150" s="113"/>
      <c r="B150" s="61"/>
      <c r="C150" s="88"/>
      <c r="D150" s="62"/>
      <c r="E150" s="63"/>
      <c r="F150" s="64"/>
      <c r="G150" s="63"/>
      <c r="H150" s="65"/>
      <c r="I150" s="66"/>
      <c r="J150" s="67" t="s">
        <v>69</v>
      </c>
      <c r="K150" s="68"/>
      <c r="L150" s="68"/>
      <c r="M150" s="69"/>
      <c r="N150" s="70"/>
      <c r="O150" s="62"/>
      <c r="P150" s="63"/>
      <c r="Q150" s="64"/>
      <c r="R150" s="63"/>
      <c r="S150" s="65"/>
      <c r="T150" s="66"/>
      <c r="U150" s="67" t="s">
        <v>69</v>
      </c>
      <c r="V150" s="68"/>
      <c r="W150" s="68"/>
    </row>
    <row r="151" spans="1:23" ht="18" customHeight="1" x14ac:dyDescent="0.25">
      <c r="A151" s="113">
        <v>31</v>
      </c>
      <c r="B151" s="61" t="s">
        <v>218</v>
      </c>
      <c r="D151" s="62"/>
      <c r="E151" s="63"/>
      <c r="F151" s="64"/>
      <c r="G151" s="63"/>
      <c r="H151" s="65"/>
      <c r="I151" s="66"/>
      <c r="J151" s="67" t="s">
        <v>69</v>
      </c>
      <c r="K151" s="68"/>
      <c r="L151" s="68"/>
      <c r="M151" s="69"/>
      <c r="N151" s="70"/>
      <c r="O151" s="62"/>
      <c r="P151" s="63"/>
      <c r="Q151" s="64"/>
      <c r="R151" s="63"/>
      <c r="S151" s="65"/>
      <c r="T151" s="66"/>
      <c r="U151" s="67" t="s">
        <v>69</v>
      </c>
      <c r="V151" s="68"/>
      <c r="W151" s="68"/>
    </row>
    <row r="152" spans="1:23" ht="18" customHeight="1" x14ac:dyDescent="0.25">
      <c r="A152" s="113"/>
      <c r="B152" s="71" t="s">
        <v>219</v>
      </c>
      <c r="D152" s="169">
        <v>11.3</v>
      </c>
      <c r="E152" s="170">
        <f>+ROUND(F152*FOD*(1+$I$5),1)</f>
        <v>11.7</v>
      </c>
      <c r="F152" s="337">
        <v>8.0277355097523859</v>
      </c>
      <c r="G152" s="171">
        <v>7.6</v>
      </c>
      <c r="H152" s="172">
        <v>0.8</v>
      </c>
      <c r="I152" s="66">
        <f>D152+E152+G152+H152</f>
        <v>31.400000000000002</v>
      </c>
      <c r="J152" s="67" t="s">
        <v>69</v>
      </c>
      <c r="K152" s="73">
        <f>+$I$8</f>
        <v>55</v>
      </c>
      <c r="L152" s="73">
        <f>+K152+I152</f>
        <v>86.4</v>
      </c>
      <c r="M152" s="74"/>
      <c r="N152" s="75"/>
      <c r="O152" s="169">
        <v>11.3</v>
      </c>
      <c r="P152" s="170">
        <f>+ROUND(Q152*FOD*(1+$I$5),1)</f>
        <v>11.7</v>
      </c>
      <c r="Q152" s="337">
        <v>8.0277355097523859</v>
      </c>
      <c r="R152" s="171">
        <v>7.6</v>
      </c>
      <c r="S152" s="172">
        <v>0.8</v>
      </c>
      <c r="T152" s="66">
        <f>O152+P152+R152+S152</f>
        <v>31.400000000000002</v>
      </c>
      <c r="U152" s="67" t="s">
        <v>69</v>
      </c>
      <c r="V152" s="73">
        <f>+$I$8</f>
        <v>55</v>
      </c>
      <c r="W152" s="73">
        <f>+V152+T152</f>
        <v>86.4</v>
      </c>
    </row>
    <row r="153" spans="1:23" ht="18" customHeight="1" x14ac:dyDescent="0.25">
      <c r="A153" s="113"/>
      <c r="B153" s="71" t="s">
        <v>220</v>
      </c>
      <c r="C153" s="72"/>
      <c r="D153" s="169">
        <v>13.7</v>
      </c>
      <c r="E153" s="170">
        <f>+ROUND(F153*FOD*(1+$I$5),1)</f>
        <v>13.1</v>
      </c>
      <c r="F153" s="337">
        <v>9</v>
      </c>
      <c r="G153" s="171">
        <v>8.1</v>
      </c>
      <c r="H153" s="172">
        <v>1</v>
      </c>
      <c r="I153" s="66">
        <f>D153+E153+G153+H153</f>
        <v>35.9</v>
      </c>
      <c r="J153" s="67" t="s">
        <v>69</v>
      </c>
      <c r="K153" s="73">
        <f>+$I$8</f>
        <v>55</v>
      </c>
      <c r="L153" s="73">
        <f>+K153+I153</f>
        <v>90.9</v>
      </c>
      <c r="M153" s="74"/>
      <c r="N153" s="75"/>
      <c r="O153" s="169">
        <v>13.7</v>
      </c>
      <c r="P153" s="170">
        <f>+ROUND(Q153*FOD*(1+$I$5),1)</f>
        <v>13.1</v>
      </c>
      <c r="Q153" s="337">
        <v>9</v>
      </c>
      <c r="R153" s="171">
        <v>8.1</v>
      </c>
      <c r="S153" s="172">
        <v>1</v>
      </c>
      <c r="T153" s="66">
        <f>O153+P153+R153+S153</f>
        <v>35.9</v>
      </c>
      <c r="U153" s="67" t="s">
        <v>69</v>
      </c>
      <c r="V153" s="73">
        <f>+$I$8</f>
        <v>55</v>
      </c>
      <c r="W153" s="73">
        <f>+V153+T153</f>
        <v>90.9</v>
      </c>
    </row>
    <row r="154" spans="1:23" ht="18" customHeight="1" x14ac:dyDescent="0.25">
      <c r="A154" s="113"/>
      <c r="B154" s="71" t="s">
        <v>221</v>
      </c>
      <c r="C154" s="72"/>
      <c r="D154" s="169">
        <v>16</v>
      </c>
      <c r="E154" s="170">
        <f>+ROUND(F154*FOD*(1+$I$5),1)</f>
        <v>16.100000000000001</v>
      </c>
      <c r="F154" s="337">
        <v>11.034322280395578</v>
      </c>
      <c r="G154" s="171">
        <v>9.6</v>
      </c>
      <c r="H154" s="172">
        <v>1.1000000000000001</v>
      </c>
      <c r="I154" s="66"/>
      <c r="J154" s="67" t="s">
        <v>69</v>
      </c>
      <c r="K154" s="68"/>
      <c r="L154" s="68"/>
      <c r="M154" s="69"/>
      <c r="N154" s="70"/>
      <c r="O154" s="169">
        <v>16</v>
      </c>
      <c r="P154" s="170">
        <f>+ROUND(Q154*FOD*(1+$I$5),1)</f>
        <v>16.100000000000001</v>
      </c>
      <c r="Q154" s="337">
        <v>11.034322280395578</v>
      </c>
      <c r="R154" s="171">
        <v>9.6</v>
      </c>
      <c r="S154" s="172">
        <v>1.1000000000000001</v>
      </c>
      <c r="T154" s="66"/>
      <c r="U154" s="67" t="s">
        <v>69</v>
      </c>
      <c r="V154" s="68"/>
      <c r="W154" s="68"/>
    </row>
    <row r="155" spans="1:23" ht="18" customHeight="1" x14ac:dyDescent="0.25">
      <c r="A155" s="113"/>
      <c r="B155" s="71"/>
      <c r="C155" s="72"/>
      <c r="D155" s="62"/>
      <c r="E155" s="63"/>
      <c r="F155" s="64"/>
      <c r="G155" s="63"/>
      <c r="H155" s="65"/>
      <c r="I155" s="66"/>
      <c r="J155" s="67" t="s">
        <v>69</v>
      </c>
      <c r="K155" s="68"/>
      <c r="L155" s="68"/>
      <c r="M155" s="69"/>
      <c r="N155" s="70"/>
      <c r="O155" s="62"/>
      <c r="P155" s="63"/>
      <c r="Q155" s="64"/>
      <c r="R155" s="63"/>
      <c r="S155" s="65"/>
      <c r="T155" s="66"/>
      <c r="U155" s="67" t="s">
        <v>69</v>
      </c>
      <c r="V155" s="68"/>
      <c r="W155" s="68"/>
    </row>
    <row r="156" spans="1:23" ht="18" customHeight="1" x14ac:dyDescent="0.25">
      <c r="A156" s="113">
        <v>33</v>
      </c>
      <c r="B156" s="61" t="s">
        <v>222</v>
      </c>
      <c r="C156" s="72"/>
      <c r="D156" s="62"/>
      <c r="E156" s="63"/>
      <c r="F156" s="64"/>
      <c r="G156" s="63"/>
      <c r="H156" s="65"/>
      <c r="I156" s="66"/>
      <c r="J156" s="67" t="s">
        <v>69</v>
      </c>
      <c r="K156" s="68"/>
      <c r="L156" s="68"/>
      <c r="M156" s="69"/>
      <c r="N156" s="70"/>
      <c r="O156" s="62"/>
      <c r="P156" s="63"/>
      <c r="Q156" s="64"/>
      <c r="R156" s="63"/>
      <c r="S156" s="65"/>
      <c r="T156" s="66"/>
      <c r="U156" s="67" t="s">
        <v>69</v>
      </c>
      <c r="V156" s="68"/>
      <c r="W156" s="68"/>
    </row>
    <row r="157" spans="1:23" ht="18" customHeight="1" x14ac:dyDescent="0.25">
      <c r="A157" s="113"/>
      <c r="B157" s="71" t="s">
        <v>223</v>
      </c>
      <c r="C157" s="72"/>
      <c r="D157" s="169">
        <v>8.1999999999999993</v>
      </c>
      <c r="E157" s="170">
        <f>+ROUND(F157*FOD*(1+$I$5),1)</f>
        <v>5.8</v>
      </c>
      <c r="F157" s="183">
        <v>4</v>
      </c>
      <c r="G157" s="171">
        <v>6.3</v>
      </c>
      <c r="H157" s="172">
        <v>0.6</v>
      </c>
      <c r="I157" s="66">
        <f>D157+E157+G157+H157</f>
        <v>20.900000000000002</v>
      </c>
      <c r="J157" s="67" t="s">
        <v>69</v>
      </c>
      <c r="K157" s="73">
        <f t="shared" ref="K157:K218" si="54">+$I$8</f>
        <v>55</v>
      </c>
      <c r="L157" s="73">
        <f>+K157+I157</f>
        <v>75.900000000000006</v>
      </c>
      <c r="M157" s="74"/>
      <c r="N157" s="75"/>
      <c r="O157" s="169">
        <v>8.1999999999999993</v>
      </c>
      <c r="P157" s="170">
        <f>+ROUND(Q157*FOD*(1+$I$5),1)</f>
        <v>5.8</v>
      </c>
      <c r="Q157" s="183">
        <v>4</v>
      </c>
      <c r="R157" s="171">
        <v>6.3</v>
      </c>
      <c r="S157" s="172">
        <v>0.6</v>
      </c>
      <c r="T157" s="66">
        <f>O157+P157+R157+S157</f>
        <v>20.900000000000002</v>
      </c>
      <c r="U157" s="67" t="s">
        <v>69</v>
      </c>
      <c r="V157" s="73">
        <f t="shared" ref="V157:V220" si="55">+$I$8</f>
        <v>55</v>
      </c>
      <c r="W157" s="73">
        <f t="shared" ref="W157:W188" si="56">+V157+T157</f>
        <v>75.900000000000006</v>
      </c>
    </row>
    <row r="158" spans="1:23" ht="18" customHeight="1" x14ac:dyDescent="0.25">
      <c r="A158" s="113"/>
      <c r="B158" s="71" t="s">
        <v>224</v>
      </c>
      <c r="C158" s="72"/>
      <c r="D158" s="169">
        <v>11.6</v>
      </c>
      <c r="E158" s="170">
        <f>+ROUND(F158*FOD*(1+$I$5),1)</f>
        <v>6.5</v>
      </c>
      <c r="F158" s="183">
        <v>4.4967224231464735</v>
      </c>
      <c r="G158" s="171">
        <v>8.6999999999999993</v>
      </c>
      <c r="H158" s="172">
        <v>0.8</v>
      </c>
      <c r="I158" s="66">
        <f>D158+E158+G158+H158</f>
        <v>27.6</v>
      </c>
      <c r="J158" s="67" t="s">
        <v>69</v>
      </c>
      <c r="K158" s="73">
        <f t="shared" si="54"/>
        <v>55</v>
      </c>
      <c r="L158" s="73">
        <f>+K158+I158</f>
        <v>82.6</v>
      </c>
      <c r="M158" s="74"/>
      <c r="N158" s="75"/>
      <c r="O158" s="169">
        <v>11.6</v>
      </c>
      <c r="P158" s="170">
        <f>+ROUND(Q158*FOD*(1+$I$5),1)</f>
        <v>6.5</v>
      </c>
      <c r="Q158" s="183">
        <v>4.4967224231464735</v>
      </c>
      <c r="R158" s="171">
        <v>8.6999999999999993</v>
      </c>
      <c r="S158" s="172">
        <v>0.8</v>
      </c>
      <c r="T158" s="66">
        <f>O158+P158+R158+S158</f>
        <v>27.6</v>
      </c>
      <c r="U158" s="67" t="s">
        <v>69</v>
      </c>
      <c r="V158" s="73">
        <f t="shared" si="55"/>
        <v>55</v>
      </c>
      <c r="W158" s="73">
        <f t="shared" si="56"/>
        <v>82.6</v>
      </c>
    </row>
    <row r="159" spans="1:23" ht="18" customHeight="1" x14ac:dyDescent="0.25">
      <c r="A159" s="113"/>
      <c r="B159" s="89"/>
      <c r="C159" s="72"/>
      <c r="D159" s="90"/>
      <c r="E159" s="63"/>
      <c r="F159" s="64"/>
      <c r="G159" s="63"/>
      <c r="H159" s="65"/>
      <c r="I159" s="66"/>
      <c r="J159" s="67" t="s">
        <v>69</v>
      </c>
      <c r="K159" s="73">
        <f t="shared" si="54"/>
        <v>55</v>
      </c>
      <c r="L159" s="73">
        <f t="shared" ref="L159:L220" si="57">+K159+I159</f>
        <v>55</v>
      </c>
      <c r="M159" s="74"/>
      <c r="N159" s="70"/>
      <c r="O159" s="90"/>
      <c r="P159" s="63"/>
      <c r="Q159" s="64"/>
      <c r="R159" s="63"/>
      <c r="S159" s="65"/>
      <c r="T159" s="66"/>
      <c r="U159" s="67" t="s">
        <v>69</v>
      </c>
      <c r="V159" s="73">
        <f t="shared" si="55"/>
        <v>55</v>
      </c>
      <c r="W159" s="73">
        <f t="shared" si="56"/>
        <v>55</v>
      </c>
    </row>
    <row r="160" spans="1:23" ht="18" customHeight="1" x14ac:dyDescent="0.25">
      <c r="A160" s="60"/>
      <c r="B160" s="89" t="s">
        <v>225</v>
      </c>
      <c r="C160" s="72"/>
      <c r="D160" s="90"/>
      <c r="E160" s="63"/>
      <c r="F160" s="64"/>
      <c r="G160" s="63"/>
      <c r="H160" s="65"/>
      <c r="I160" s="66"/>
      <c r="J160" s="67" t="s">
        <v>69</v>
      </c>
      <c r="K160" s="73">
        <f t="shared" si="54"/>
        <v>55</v>
      </c>
      <c r="L160" s="73">
        <f t="shared" si="57"/>
        <v>55</v>
      </c>
      <c r="M160" s="74"/>
      <c r="N160" s="70"/>
      <c r="O160" s="90"/>
      <c r="P160" s="63"/>
      <c r="Q160" s="64"/>
      <c r="R160" s="63"/>
      <c r="S160" s="65"/>
      <c r="T160" s="66"/>
      <c r="U160" s="67" t="s">
        <v>69</v>
      </c>
      <c r="V160" s="73">
        <f t="shared" si="55"/>
        <v>55</v>
      </c>
      <c r="W160" s="73">
        <f t="shared" si="56"/>
        <v>55</v>
      </c>
    </row>
    <row r="161" spans="1:23" ht="18" customHeight="1" x14ac:dyDescent="0.25">
      <c r="A161" s="60"/>
      <c r="B161" s="71"/>
      <c r="D161" s="62"/>
      <c r="E161" s="63"/>
      <c r="F161" s="64"/>
      <c r="G161" s="63"/>
      <c r="H161" s="65"/>
      <c r="I161" s="66"/>
      <c r="J161" s="67" t="s">
        <v>69</v>
      </c>
      <c r="K161" s="73">
        <f t="shared" si="54"/>
        <v>55</v>
      </c>
      <c r="L161" s="73">
        <f t="shared" si="57"/>
        <v>55</v>
      </c>
      <c r="M161" s="74"/>
      <c r="N161" s="70"/>
      <c r="O161" s="62"/>
      <c r="P161" s="63"/>
      <c r="Q161" s="64"/>
      <c r="R161" s="63"/>
      <c r="S161" s="65"/>
      <c r="T161" s="66"/>
      <c r="U161" s="67" t="s">
        <v>69</v>
      </c>
      <c r="V161" s="73">
        <f t="shared" si="55"/>
        <v>55</v>
      </c>
      <c r="W161" s="73">
        <f t="shared" si="56"/>
        <v>55</v>
      </c>
    </row>
    <row r="162" spans="1:23" ht="13.5" customHeight="1" x14ac:dyDescent="0.25">
      <c r="A162" s="60">
        <v>10</v>
      </c>
      <c r="B162" s="94" t="s">
        <v>226</v>
      </c>
      <c r="C162" s="51"/>
      <c r="D162" s="62"/>
      <c r="E162" s="63"/>
      <c r="F162" s="63"/>
      <c r="G162" s="63"/>
      <c r="H162" s="65"/>
      <c r="I162" s="66"/>
      <c r="J162" s="67" t="s">
        <v>69</v>
      </c>
      <c r="K162" s="73">
        <f t="shared" si="54"/>
        <v>55</v>
      </c>
      <c r="L162" s="73">
        <f t="shared" si="57"/>
        <v>55</v>
      </c>
      <c r="M162" s="74"/>
      <c r="N162" s="95"/>
      <c r="O162" s="62"/>
      <c r="P162" s="63"/>
      <c r="Q162" s="63"/>
      <c r="R162" s="63"/>
      <c r="S162" s="65"/>
      <c r="T162" s="66"/>
      <c r="U162" s="67" t="s">
        <v>69</v>
      </c>
      <c r="V162" s="73">
        <f t="shared" si="55"/>
        <v>55</v>
      </c>
      <c r="W162" s="73">
        <f t="shared" si="56"/>
        <v>55</v>
      </c>
    </row>
    <row r="163" spans="1:23" ht="13.5" customHeight="1" x14ac:dyDescent="0.25">
      <c r="A163" s="60"/>
      <c r="B163" s="96" t="s">
        <v>227</v>
      </c>
      <c r="C163" s="51"/>
      <c r="D163" s="169">
        <v>4.5</v>
      </c>
      <c r="E163" s="170">
        <f>+ROUND(F163*GO*(1+$I$5),1)</f>
        <v>2.8</v>
      </c>
      <c r="F163" s="184">
        <v>2.2352941176470589</v>
      </c>
      <c r="G163" s="171">
        <v>1.5</v>
      </c>
      <c r="H163" s="172">
        <v>0.6</v>
      </c>
      <c r="I163" s="66">
        <f>D163+E163+G163+H163</f>
        <v>9.4</v>
      </c>
      <c r="J163" s="67" t="s">
        <v>69</v>
      </c>
      <c r="K163" s="73">
        <f t="shared" si="54"/>
        <v>55</v>
      </c>
      <c r="L163" s="73">
        <f t="shared" si="57"/>
        <v>64.400000000000006</v>
      </c>
      <c r="M163" s="74"/>
      <c r="N163" s="95"/>
      <c r="O163" s="169">
        <v>4.5</v>
      </c>
      <c r="P163" s="170">
        <f>+ROUND(Q163*GO*(1+$I$5),1)</f>
        <v>2.8</v>
      </c>
      <c r="Q163" s="184">
        <v>2.2352941176470589</v>
      </c>
      <c r="R163" s="171">
        <v>1.5</v>
      </c>
      <c r="S163" s="172">
        <v>0.6</v>
      </c>
      <c r="T163" s="66">
        <f>O163+P163+R163+S163</f>
        <v>9.4</v>
      </c>
      <c r="U163" s="67" t="s">
        <v>69</v>
      </c>
      <c r="V163" s="73">
        <f t="shared" si="55"/>
        <v>55</v>
      </c>
      <c r="W163" s="73">
        <f t="shared" si="56"/>
        <v>64.400000000000006</v>
      </c>
    </row>
    <row r="164" spans="1:23" ht="13.5" customHeight="1" x14ac:dyDescent="0.25">
      <c r="A164" s="60"/>
      <c r="B164" s="96" t="s">
        <v>228</v>
      </c>
      <c r="C164" s="51"/>
      <c r="D164" s="169">
        <v>3.6</v>
      </c>
      <c r="E164" s="170">
        <f>+ROUND(F164*GO*(1+$I$5),1)</f>
        <v>2.6</v>
      </c>
      <c r="F164" s="184">
        <v>2.1176470588235294</v>
      </c>
      <c r="G164" s="171">
        <v>1.3</v>
      </c>
      <c r="H164" s="172">
        <v>0.6</v>
      </c>
      <c r="I164" s="66">
        <f>D164+E164+G164+H164</f>
        <v>8.1</v>
      </c>
      <c r="J164" s="67" t="s">
        <v>69</v>
      </c>
      <c r="K164" s="73">
        <f t="shared" si="54"/>
        <v>55</v>
      </c>
      <c r="L164" s="73">
        <f t="shared" si="57"/>
        <v>63.1</v>
      </c>
      <c r="M164" s="74"/>
      <c r="N164" s="95"/>
      <c r="O164" s="169">
        <v>3.6</v>
      </c>
      <c r="P164" s="170">
        <f>+ROUND(Q164*GO*(1+$I$5),1)</f>
        <v>2.6</v>
      </c>
      <c r="Q164" s="184">
        <v>2.1176470588235294</v>
      </c>
      <c r="R164" s="171">
        <v>1.3</v>
      </c>
      <c r="S164" s="172">
        <v>0.6</v>
      </c>
      <c r="T164" s="66">
        <f>O164+P164+R164+S164</f>
        <v>8.1</v>
      </c>
      <c r="U164" s="67" t="s">
        <v>69</v>
      </c>
      <c r="V164" s="73">
        <f t="shared" si="55"/>
        <v>55</v>
      </c>
      <c r="W164" s="73">
        <f t="shared" si="56"/>
        <v>63.1</v>
      </c>
    </row>
    <row r="165" spans="1:23" ht="13.5" customHeight="1" x14ac:dyDescent="0.25">
      <c r="A165" s="60"/>
      <c r="B165" s="96" t="s">
        <v>229</v>
      </c>
      <c r="C165" s="51"/>
      <c r="D165" s="169">
        <v>3.1</v>
      </c>
      <c r="E165" s="170">
        <f>+ROUND(F165*GO*(1+$I$5),1)</f>
        <v>2.6</v>
      </c>
      <c r="F165" s="184">
        <v>2.1176470588235294</v>
      </c>
      <c r="G165" s="171">
        <v>1.1000000000000001</v>
      </c>
      <c r="H165" s="172">
        <v>0.4</v>
      </c>
      <c r="I165" s="66">
        <f>D165+E165+G165+H165</f>
        <v>7.2000000000000011</v>
      </c>
      <c r="J165" s="67" t="s">
        <v>69</v>
      </c>
      <c r="K165" s="73">
        <f t="shared" si="54"/>
        <v>55</v>
      </c>
      <c r="L165" s="73">
        <f t="shared" si="57"/>
        <v>62.2</v>
      </c>
      <c r="M165" s="74"/>
      <c r="N165" s="95"/>
      <c r="O165" s="169">
        <v>3.1</v>
      </c>
      <c r="P165" s="170">
        <f>+ROUND(Q165*GO*(1+$I$5),1)</f>
        <v>2.6</v>
      </c>
      <c r="Q165" s="184">
        <v>2.1176470588235294</v>
      </c>
      <c r="R165" s="171">
        <v>1.1000000000000001</v>
      </c>
      <c r="S165" s="172">
        <v>0.4</v>
      </c>
      <c r="T165" s="66">
        <f>O165+P165+R165+S165</f>
        <v>7.2000000000000011</v>
      </c>
      <c r="U165" s="67" t="s">
        <v>69</v>
      </c>
      <c r="V165" s="73">
        <f t="shared" si="55"/>
        <v>55</v>
      </c>
      <c r="W165" s="73">
        <f t="shared" si="56"/>
        <v>62.2</v>
      </c>
    </row>
    <row r="166" spans="1:23" ht="13.5" customHeight="1" x14ac:dyDescent="0.25">
      <c r="A166" s="60"/>
      <c r="B166" s="96" t="s">
        <v>230</v>
      </c>
      <c r="C166" s="51"/>
      <c r="D166" s="169">
        <v>2.4</v>
      </c>
      <c r="E166" s="170">
        <f>+ROUND(F166*GO*(1+$I$5),1)</f>
        <v>2.6</v>
      </c>
      <c r="F166" s="184">
        <v>2.1176470588235294</v>
      </c>
      <c r="G166" s="171">
        <v>1.1000000000000001</v>
      </c>
      <c r="H166" s="172">
        <v>0.4</v>
      </c>
      <c r="I166" s="66">
        <f>D166+E166+G166+H166</f>
        <v>6.5</v>
      </c>
      <c r="J166" s="67" t="s">
        <v>69</v>
      </c>
      <c r="K166" s="73">
        <f t="shared" si="54"/>
        <v>55</v>
      </c>
      <c r="L166" s="73">
        <f>+K166+I166</f>
        <v>61.5</v>
      </c>
      <c r="M166" s="74"/>
      <c r="N166" s="95"/>
      <c r="O166" s="169">
        <v>2.4</v>
      </c>
      <c r="P166" s="170">
        <f>+ROUND(Q166*GO*(1+$I$5),1)</f>
        <v>2.6</v>
      </c>
      <c r="Q166" s="184">
        <v>2.1176470588235294</v>
      </c>
      <c r="R166" s="171">
        <v>1.1000000000000001</v>
      </c>
      <c r="S166" s="172">
        <v>0.4</v>
      </c>
      <c r="T166" s="66">
        <f>O166+P166+R166+S166</f>
        <v>6.5</v>
      </c>
      <c r="U166" s="67" t="s">
        <v>69</v>
      </c>
      <c r="V166" s="73">
        <f t="shared" si="55"/>
        <v>55</v>
      </c>
      <c r="W166" s="73">
        <f t="shared" si="56"/>
        <v>61.5</v>
      </c>
    </row>
    <row r="167" spans="1:23" ht="13.5" customHeight="1" x14ac:dyDescent="0.25">
      <c r="A167" s="60"/>
      <c r="B167" s="97"/>
      <c r="C167" s="51"/>
      <c r="D167" s="62"/>
      <c r="E167" s="63"/>
      <c r="F167" s="91"/>
      <c r="G167" s="63"/>
      <c r="H167" s="65"/>
      <c r="I167" s="66"/>
      <c r="J167" s="67" t="s">
        <v>69</v>
      </c>
      <c r="K167" s="73">
        <f t="shared" si="54"/>
        <v>55</v>
      </c>
      <c r="L167" s="73">
        <f t="shared" si="57"/>
        <v>55</v>
      </c>
      <c r="M167" s="74"/>
      <c r="N167" s="95"/>
      <c r="O167" s="62"/>
      <c r="P167" s="63"/>
      <c r="Q167" s="91"/>
      <c r="R167" s="63"/>
      <c r="S167" s="65"/>
      <c r="T167" s="66"/>
      <c r="U167" s="67" t="s">
        <v>69</v>
      </c>
      <c r="V167" s="73">
        <f t="shared" si="55"/>
        <v>55</v>
      </c>
      <c r="W167" s="73">
        <f t="shared" si="56"/>
        <v>55</v>
      </c>
    </row>
    <row r="168" spans="1:23" ht="13.5" customHeight="1" x14ac:dyDescent="0.25">
      <c r="A168" s="60">
        <v>11</v>
      </c>
      <c r="B168" s="61" t="s">
        <v>231</v>
      </c>
      <c r="C168" s="77"/>
      <c r="D168" s="62"/>
      <c r="E168" s="63"/>
      <c r="F168" s="91"/>
      <c r="G168" s="63"/>
      <c r="H168" s="65"/>
      <c r="I168" s="80"/>
      <c r="J168" s="67" t="s">
        <v>69</v>
      </c>
      <c r="K168" s="73">
        <f t="shared" si="54"/>
        <v>55</v>
      </c>
      <c r="L168" s="73">
        <f t="shared" si="57"/>
        <v>55</v>
      </c>
      <c r="M168" s="74"/>
      <c r="N168" s="95"/>
      <c r="O168" s="62"/>
      <c r="P168" s="63"/>
      <c r="Q168" s="91"/>
      <c r="R168" s="63"/>
      <c r="S168" s="65"/>
      <c r="T168" s="80"/>
      <c r="U168" s="67" t="s">
        <v>69</v>
      </c>
      <c r="V168" s="73">
        <f t="shared" si="55"/>
        <v>55</v>
      </c>
      <c r="W168" s="73">
        <f t="shared" si="56"/>
        <v>55</v>
      </c>
    </row>
    <row r="169" spans="1:23" ht="13.5" customHeight="1" x14ac:dyDescent="0.25">
      <c r="A169" s="60"/>
      <c r="B169" s="341" t="s">
        <v>232</v>
      </c>
      <c r="C169" s="3"/>
      <c r="D169" s="169">
        <v>1.6</v>
      </c>
      <c r="E169" s="170">
        <f>+ROUND(F169*GO*(1+$I$5),1)</f>
        <v>1.9</v>
      </c>
      <c r="F169" s="184">
        <v>1.5294117647058825</v>
      </c>
      <c r="G169" s="171">
        <v>1</v>
      </c>
      <c r="H169" s="172">
        <v>0.2</v>
      </c>
      <c r="I169" s="66">
        <f>D169+E169+G169+H169</f>
        <v>4.7</v>
      </c>
      <c r="J169" s="67" t="s">
        <v>69</v>
      </c>
      <c r="K169" s="73">
        <f t="shared" si="54"/>
        <v>55</v>
      </c>
      <c r="L169" s="73">
        <f t="shared" si="57"/>
        <v>59.7</v>
      </c>
      <c r="M169" s="74"/>
      <c r="N169" s="95"/>
      <c r="O169" s="169">
        <v>1.6</v>
      </c>
      <c r="P169" s="170">
        <f>+ROUND(Q169*GO*(1+$I$5),1)</f>
        <v>1.9</v>
      </c>
      <c r="Q169" s="184">
        <v>1.5294117647058825</v>
      </c>
      <c r="R169" s="171">
        <v>1</v>
      </c>
      <c r="S169" s="172">
        <v>0.2</v>
      </c>
      <c r="T169" s="66">
        <f>O169+P169+R169+S169</f>
        <v>4.7</v>
      </c>
      <c r="U169" s="67" t="s">
        <v>69</v>
      </c>
      <c r="V169" s="73">
        <f t="shared" si="55"/>
        <v>55</v>
      </c>
      <c r="W169" s="73">
        <f t="shared" si="56"/>
        <v>59.7</v>
      </c>
    </row>
    <row r="170" spans="1:23" ht="13.5" customHeight="1" x14ac:dyDescent="0.25">
      <c r="A170" s="60"/>
      <c r="B170" s="341" t="s">
        <v>233</v>
      </c>
      <c r="C170" s="3"/>
      <c r="D170" s="169">
        <v>1.8</v>
      </c>
      <c r="E170" s="170">
        <f>+ROUND(F170*GO*(1+$I$5),1)</f>
        <v>1.9</v>
      </c>
      <c r="F170" s="184">
        <v>1.5294117647058825</v>
      </c>
      <c r="G170" s="171">
        <v>1.1000000000000001</v>
      </c>
      <c r="H170" s="172">
        <v>0.2</v>
      </c>
      <c r="I170" s="66">
        <f>D170+E170+G170+H170</f>
        <v>5.0000000000000009</v>
      </c>
      <c r="J170" s="67" t="s">
        <v>69</v>
      </c>
      <c r="K170" s="73">
        <f t="shared" si="54"/>
        <v>55</v>
      </c>
      <c r="L170" s="73">
        <f t="shared" si="57"/>
        <v>60</v>
      </c>
      <c r="M170" s="74"/>
      <c r="N170" s="95"/>
      <c r="O170" s="169">
        <v>1.8</v>
      </c>
      <c r="P170" s="170">
        <f>+ROUND(Q170*GO*(1+$I$5),1)</f>
        <v>1.9</v>
      </c>
      <c r="Q170" s="184">
        <v>1.5294117647058825</v>
      </c>
      <c r="R170" s="171">
        <v>1.1000000000000001</v>
      </c>
      <c r="S170" s="172">
        <v>0.2</v>
      </c>
      <c r="T170" s="66">
        <f>O170+P170+R170+S170</f>
        <v>5.0000000000000009</v>
      </c>
      <c r="U170" s="67" t="s">
        <v>69</v>
      </c>
      <c r="V170" s="73">
        <f t="shared" si="55"/>
        <v>55</v>
      </c>
      <c r="W170" s="73">
        <f t="shared" si="56"/>
        <v>60</v>
      </c>
    </row>
    <row r="171" spans="1:23" ht="13.5" customHeight="1" x14ac:dyDescent="0.25">
      <c r="A171" s="60"/>
      <c r="B171" s="341" t="s">
        <v>234</v>
      </c>
      <c r="C171" s="77"/>
      <c r="D171" s="169">
        <v>2</v>
      </c>
      <c r="E171" s="170">
        <f>+ROUND(F171*GO*(1+$I$5),1)</f>
        <v>2.2999999999999998</v>
      </c>
      <c r="F171" s="184">
        <v>1.8823529411764708</v>
      </c>
      <c r="G171" s="171">
        <v>1.1000000000000001</v>
      </c>
      <c r="H171" s="172">
        <v>0.2</v>
      </c>
      <c r="I171" s="66">
        <f>D171+E171+G171+H171</f>
        <v>5.6000000000000005</v>
      </c>
      <c r="J171" s="67" t="s">
        <v>69</v>
      </c>
      <c r="K171" s="73">
        <f t="shared" si="54"/>
        <v>55</v>
      </c>
      <c r="L171" s="73">
        <f t="shared" si="57"/>
        <v>60.6</v>
      </c>
      <c r="M171" s="74"/>
      <c r="N171" s="95"/>
      <c r="O171" s="169">
        <v>2</v>
      </c>
      <c r="P171" s="170">
        <f>+ROUND(Q171*GO*(1+$I$5),1)</f>
        <v>2.2999999999999998</v>
      </c>
      <c r="Q171" s="184">
        <v>1.8823529411764708</v>
      </c>
      <c r="R171" s="171">
        <v>1.1000000000000001</v>
      </c>
      <c r="S171" s="172">
        <v>0.2</v>
      </c>
      <c r="T171" s="66">
        <f>O171+P171+R171+S171</f>
        <v>5.6000000000000005</v>
      </c>
      <c r="U171" s="67" t="s">
        <v>69</v>
      </c>
      <c r="V171" s="73">
        <f t="shared" si="55"/>
        <v>55</v>
      </c>
      <c r="W171" s="73">
        <f t="shared" si="56"/>
        <v>60.6</v>
      </c>
    </row>
    <row r="172" spans="1:23" ht="13.5" customHeight="1" x14ac:dyDescent="0.25">
      <c r="A172" s="60"/>
      <c r="B172" s="342" t="s">
        <v>235</v>
      </c>
      <c r="C172" s="3"/>
      <c r="D172" s="169">
        <v>2.1</v>
      </c>
      <c r="E172" s="170">
        <f>+ROUND(F172*GO*(1+$I$5),1)</f>
        <v>2.2999999999999998</v>
      </c>
      <c r="F172" s="184">
        <v>1.8823529411764708</v>
      </c>
      <c r="G172" s="171">
        <v>2.1</v>
      </c>
      <c r="H172" s="172">
        <v>0.2</v>
      </c>
      <c r="I172" s="66">
        <f>D172+E172+G172+H172</f>
        <v>6.7</v>
      </c>
      <c r="J172" s="67" t="s">
        <v>69</v>
      </c>
      <c r="K172" s="73">
        <f t="shared" si="54"/>
        <v>55</v>
      </c>
      <c r="L172" s="73">
        <f t="shared" si="57"/>
        <v>61.7</v>
      </c>
      <c r="M172" s="74"/>
      <c r="N172" s="95"/>
      <c r="O172" s="169">
        <v>2.1</v>
      </c>
      <c r="P172" s="170">
        <f>+ROUND(Q172*GO*(1+$I$5),1)</f>
        <v>2.2999999999999998</v>
      </c>
      <c r="Q172" s="184">
        <v>1.8823529411764708</v>
      </c>
      <c r="R172" s="171">
        <v>2.1</v>
      </c>
      <c r="S172" s="172">
        <v>0.2</v>
      </c>
      <c r="T172" s="66">
        <f>O172+P172+R172+S172</f>
        <v>6.7</v>
      </c>
      <c r="U172" s="67" t="s">
        <v>69</v>
      </c>
      <c r="V172" s="73">
        <f t="shared" si="55"/>
        <v>55</v>
      </c>
      <c r="W172" s="73">
        <f t="shared" si="56"/>
        <v>61.7</v>
      </c>
    </row>
    <row r="173" spans="1:23" ht="13.5" customHeight="1" x14ac:dyDescent="0.25">
      <c r="A173" s="60"/>
      <c r="B173" s="341" t="s">
        <v>236</v>
      </c>
      <c r="C173" s="3"/>
      <c r="D173" s="169">
        <v>2.6</v>
      </c>
      <c r="E173" s="170">
        <f>+ROUND(F173*GO*(1+$I$5),1)</f>
        <v>3.7</v>
      </c>
      <c r="F173" s="184">
        <v>2.9411764705882355</v>
      </c>
      <c r="G173" s="171">
        <v>1.4</v>
      </c>
      <c r="H173" s="172">
        <v>0.2</v>
      </c>
      <c r="I173" s="66">
        <f>D173+E173+G173+H173</f>
        <v>7.9000000000000012</v>
      </c>
      <c r="J173" s="67" t="s">
        <v>69</v>
      </c>
      <c r="K173" s="73">
        <f t="shared" si="54"/>
        <v>55</v>
      </c>
      <c r="L173" s="73">
        <f t="shared" si="57"/>
        <v>62.9</v>
      </c>
      <c r="M173" s="74"/>
      <c r="N173" s="95"/>
      <c r="O173" s="169">
        <v>2.6</v>
      </c>
      <c r="P173" s="170">
        <f>+ROUND(Q173*GO*(1+$I$5),1)</f>
        <v>3.7</v>
      </c>
      <c r="Q173" s="184">
        <v>2.9411764705882355</v>
      </c>
      <c r="R173" s="171">
        <v>1.4</v>
      </c>
      <c r="S173" s="172">
        <v>0.2</v>
      </c>
      <c r="T173" s="66">
        <f>O173+P173+R173+S173</f>
        <v>7.9000000000000012</v>
      </c>
      <c r="U173" s="67" t="s">
        <v>69</v>
      </c>
      <c r="V173" s="73">
        <f t="shared" si="55"/>
        <v>55</v>
      </c>
      <c r="W173" s="73">
        <f t="shared" si="56"/>
        <v>62.9</v>
      </c>
    </row>
    <row r="174" spans="1:23" ht="13.5" customHeight="1" x14ac:dyDescent="0.25">
      <c r="A174" s="60"/>
      <c r="B174" s="341"/>
      <c r="C174" s="3"/>
      <c r="D174" s="62"/>
      <c r="E174" s="63"/>
      <c r="F174" s="91"/>
      <c r="G174" s="63"/>
      <c r="H174" s="65"/>
      <c r="I174" s="80"/>
      <c r="J174" s="67" t="s">
        <v>69</v>
      </c>
      <c r="K174" s="73">
        <f t="shared" si="54"/>
        <v>55</v>
      </c>
      <c r="L174" s="73">
        <f t="shared" si="57"/>
        <v>55</v>
      </c>
      <c r="M174" s="74"/>
      <c r="N174" s="95"/>
      <c r="O174" s="62"/>
      <c r="P174" s="63"/>
      <c r="Q174" s="91"/>
      <c r="R174" s="63"/>
      <c r="S174" s="65"/>
      <c r="T174" s="80"/>
      <c r="U174" s="67" t="s">
        <v>69</v>
      </c>
      <c r="V174" s="73">
        <f t="shared" si="55"/>
        <v>55</v>
      </c>
      <c r="W174" s="73">
        <f t="shared" si="56"/>
        <v>55</v>
      </c>
    </row>
    <row r="175" spans="1:23" ht="13.5" customHeight="1" x14ac:dyDescent="0.25">
      <c r="A175" s="161">
        <v>12</v>
      </c>
      <c r="B175" s="162" t="s">
        <v>237</v>
      </c>
      <c r="D175" s="81"/>
      <c r="E175" s="63"/>
      <c r="F175" s="91"/>
      <c r="G175" s="63"/>
      <c r="H175" s="65"/>
      <c r="I175" s="80"/>
      <c r="J175" s="67" t="s">
        <v>69</v>
      </c>
      <c r="K175" s="73">
        <f t="shared" si="54"/>
        <v>55</v>
      </c>
      <c r="L175" s="73">
        <f t="shared" si="57"/>
        <v>55</v>
      </c>
      <c r="M175" s="74"/>
      <c r="O175" s="81"/>
      <c r="P175" s="63"/>
      <c r="Q175" s="91"/>
      <c r="R175" s="63"/>
      <c r="S175" s="65"/>
      <c r="T175" s="80"/>
      <c r="U175" s="67" t="s">
        <v>69</v>
      </c>
      <c r="V175" s="73">
        <f t="shared" si="55"/>
        <v>55</v>
      </c>
      <c r="W175" s="73">
        <f t="shared" si="56"/>
        <v>55</v>
      </c>
    </row>
    <row r="176" spans="1:23" ht="13.5" customHeight="1" x14ac:dyDescent="0.25">
      <c r="A176" s="60"/>
      <c r="B176" s="71" t="s">
        <v>238</v>
      </c>
      <c r="C176" s="72"/>
      <c r="D176" s="169">
        <v>6.4</v>
      </c>
      <c r="E176" s="170">
        <f t="shared" ref="E176:E190" si="58">+ROUND(F176*GO*(1+$I$5),1)</f>
        <v>9.5</v>
      </c>
      <c r="F176" s="184">
        <v>7.6100939069056297</v>
      </c>
      <c r="G176" s="171">
        <v>7.9</v>
      </c>
      <c r="H176" s="172">
        <v>0.9</v>
      </c>
      <c r="I176" s="66">
        <f t="shared" ref="I176:I190" si="59">D176+E176+G176+H176</f>
        <v>24.7</v>
      </c>
      <c r="J176" s="67" t="s">
        <v>69</v>
      </c>
      <c r="K176" s="73">
        <f t="shared" si="54"/>
        <v>55</v>
      </c>
      <c r="L176" s="73">
        <f t="shared" si="57"/>
        <v>79.7</v>
      </c>
      <c r="M176" s="74"/>
      <c r="N176" s="95"/>
      <c r="O176" s="169">
        <v>6.4</v>
      </c>
      <c r="P176" s="170">
        <f t="shared" ref="P176:P190" si="60">+ROUND(Q176*GO*(1+$I$5),1)</f>
        <v>9.5</v>
      </c>
      <c r="Q176" s="184">
        <v>7.6100939069056297</v>
      </c>
      <c r="R176" s="171">
        <v>7.9</v>
      </c>
      <c r="S176" s="172">
        <v>0.9</v>
      </c>
      <c r="T176" s="66">
        <f t="shared" ref="T176:T190" si="61">O176+P176+R176+S176</f>
        <v>24.7</v>
      </c>
      <c r="U176" s="67" t="s">
        <v>69</v>
      </c>
      <c r="V176" s="73">
        <f t="shared" si="55"/>
        <v>55</v>
      </c>
      <c r="W176" s="73">
        <f t="shared" si="56"/>
        <v>79.7</v>
      </c>
    </row>
    <row r="177" spans="1:23" ht="13.5" customHeight="1" x14ac:dyDescent="0.25">
      <c r="A177" s="60"/>
      <c r="B177" s="71" t="s">
        <v>239</v>
      </c>
      <c r="C177" s="72"/>
      <c r="D177" s="152">
        <v>5.7</v>
      </c>
      <c r="E177" s="153">
        <f t="shared" si="58"/>
        <v>12.5</v>
      </c>
      <c r="F177" s="159">
        <v>10</v>
      </c>
      <c r="G177" s="154">
        <v>8.4</v>
      </c>
      <c r="H177" s="155">
        <v>0.8</v>
      </c>
      <c r="I177" s="66">
        <f t="shared" si="59"/>
        <v>27.400000000000002</v>
      </c>
      <c r="J177" s="67" t="s">
        <v>69</v>
      </c>
      <c r="K177" s="73">
        <f t="shared" si="54"/>
        <v>55</v>
      </c>
      <c r="L177" s="73">
        <f t="shared" si="57"/>
        <v>82.4</v>
      </c>
      <c r="M177" s="74"/>
      <c r="N177" s="95"/>
      <c r="O177" s="152">
        <v>5.7</v>
      </c>
      <c r="P177" s="153">
        <f t="shared" si="60"/>
        <v>12.5</v>
      </c>
      <c r="Q177" s="159">
        <v>10</v>
      </c>
      <c r="R177" s="154">
        <v>8.4</v>
      </c>
      <c r="S177" s="155">
        <v>0.8</v>
      </c>
      <c r="T177" s="66">
        <f t="shared" si="61"/>
        <v>27.400000000000002</v>
      </c>
      <c r="U177" s="67" t="s">
        <v>69</v>
      </c>
      <c r="V177" s="73">
        <f t="shared" si="55"/>
        <v>55</v>
      </c>
      <c r="W177" s="73">
        <f t="shared" si="56"/>
        <v>82.4</v>
      </c>
    </row>
    <row r="178" spans="1:23" ht="13.5" customHeight="1" x14ac:dyDescent="0.25">
      <c r="A178" s="60"/>
      <c r="B178" s="71" t="s">
        <v>240</v>
      </c>
      <c r="C178" s="98"/>
      <c r="D178" s="152">
        <v>9.6999999999999993</v>
      </c>
      <c r="E178" s="153">
        <f t="shared" si="58"/>
        <v>16.2</v>
      </c>
      <c r="F178" s="159">
        <v>13</v>
      </c>
      <c r="G178" s="154">
        <v>10.7</v>
      </c>
      <c r="H178" s="155">
        <v>1.3</v>
      </c>
      <c r="I178" s="66">
        <f t="shared" si="59"/>
        <v>37.899999999999991</v>
      </c>
      <c r="J178" s="67" t="s">
        <v>69</v>
      </c>
      <c r="K178" s="73">
        <f t="shared" si="54"/>
        <v>55</v>
      </c>
      <c r="L178" s="73">
        <f t="shared" si="57"/>
        <v>92.899999999999991</v>
      </c>
      <c r="M178" s="74"/>
      <c r="N178" s="95"/>
      <c r="O178" s="152">
        <v>9.6999999999999993</v>
      </c>
      <c r="P178" s="153">
        <f t="shared" si="60"/>
        <v>16.2</v>
      </c>
      <c r="Q178" s="159">
        <v>13</v>
      </c>
      <c r="R178" s="154">
        <v>10.7</v>
      </c>
      <c r="S178" s="155">
        <v>1.3</v>
      </c>
      <c r="T178" s="66">
        <f t="shared" si="61"/>
        <v>37.899999999999991</v>
      </c>
      <c r="U178" s="67" t="s">
        <v>69</v>
      </c>
      <c r="V178" s="73">
        <f t="shared" si="55"/>
        <v>55</v>
      </c>
      <c r="W178" s="73">
        <f t="shared" si="56"/>
        <v>92.899999999999991</v>
      </c>
    </row>
    <row r="179" spans="1:23" ht="13.5" customHeight="1" x14ac:dyDescent="0.25">
      <c r="A179" s="60"/>
      <c r="B179" s="71" t="s">
        <v>241</v>
      </c>
      <c r="C179" s="98"/>
      <c r="D179" s="152">
        <v>10.4</v>
      </c>
      <c r="E179" s="153">
        <f t="shared" si="58"/>
        <v>21.1</v>
      </c>
      <c r="F179" s="159">
        <v>16.8776491051403</v>
      </c>
      <c r="G179" s="154">
        <v>17.899999999999999</v>
      </c>
      <c r="H179" s="155">
        <v>1.3</v>
      </c>
      <c r="I179" s="66">
        <f t="shared" si="59"/>
        <v>50.699999999999996</v>
      </c>
      <c r="J179" s="67" t="s">
        <v>69</v>
      </c>
      <c r="K179" s="73">
        <f t="shared" si="54"/>
        <v>55</v>
      </c>
      <c r="L179" s="73">
        <f t="shared" si="57"/>
        <v>105.69999999999999</v>
      </c>
      <c r="M179" s="74"/>
      <c r="N179" s="95"/>
      <c r="O179" s="152">
        <v>10.4</v>
      </c>
      <c r="P179" s="153">
        <f t="shared" si="60"/>
        <v>21.1</v>
      </c>
      <c r="Q179" s="159">
        <v>16.8776491051403</v>
      </c>
      <c r="R179" s="154">
        <v>17.899999999999999</v>
      </c>
      <c r="S179" s="155">
        <v>1.3</v>
      </c>
      <c r="T179" s="66">
        <f t="shared" si="61"/>
        <v>50.699999999999996</v>
      </c>
      <c r="U179" s="67" t="s">
        <v>69</v>
      </c>
      <c r="V179" s="73">
        <f t="shared" si="55"/>
        <v>55</v>
      </c>
      <c r="W179" s="73">
        <f t="shared" si="56"/>
        <v>105.69999999999999</v>
      </c>
    </row>
    <row r="180" spans="1:23" ht="13.5" customHeight="1" x14ac:dyDescent="0.25">
      <c r="A180" s="60"/>
      <c r="B180" s="71" t="s">
        <v>242</v>
      </c>
      <c r="C180" s="72"/>
      <c r="D180" s="152">
        <v>10.9</v>
      </c>
      <c r="E180" s="153">
        <f t="shared" si="58"/>
        <v>10</v>
      </c>
      <c r="F180" s="159">
        <v>8</v>
      </c>
      <c r="G180" s="154">
        <v>9.9</v>
      </c>
      <c r="H180" s="155">
        <v>1.3</v>
      </c>
      <c r="I180" s="66">
        <f t="shared" si="59"/>
        <v>32.099999999999994</v>
      </c>
      <c r="J180" s="67" t="s">
        <v>69</v>
      </c>
      <c r="K180" s="73">
        <f t="shared" si="54"/>
        <v>55</v>
      </c>
      <c r="L180" s="73">
        <f t="shared" si="57"/>
        <v>87.1</v>
      </c>
      <c r="M180" s="74"/>
      <c r="N180" s="95"/>
      <c r="O180" s="152">
        <v>10.9</v>
      </c>
      <c r="P180" s="153">
        <f t="shared" si="60"/>
        <v>10</v>
      </c>
      <c r="Q180" s="159">
        <v>8</v>
      </c>
      <c r="R180" s="154">
        <v>9.9</v>
      </c>
      <c r="S180" s="155">
        <v>1.3</v>
      </c>
      <c r="T180" s="66">
        <f t="shared" si="61"/>
        <v>32.099999999999994</v>
      </c>
      <c r="U180" s="67" t="s">
        <v>69</v>
      </c>
      <c r="V180" s="73">
        <f t="shared" si="55"/>
        <v>55</v>
      </c>
      <c r="W180" s="73">
        <f t="shared" si="56"/>
        <v>87.1</v>
      </c>
    </row>
    <row r="181" spans="1:23" ht="13.5" customHeight="1" x14ac:dyDescent="0.25">
      <c r="A181" s="60"/>
      <c r="B181" s="71" t="s">
        <v>243</v>
      </c>
      <c r="C181" s="72"/>
      <c r="D181" s="152">
        <v>10.7</v>
      </c>
      <c r="E181" s="153">
        <f t="shared" si="58"/>
        <v>13.7</v>
      </c>
      <c r="F181" s="159">
        <v>11</v>
      </c>
      <c r="G181" s="154">
        <v>9.9</v>
      </c>
      <c r="H181" s="155">
        <v>1.3</v>
      </c>
      <c r="I181" s="66">
        <f t="shared" si="59"/>
        <v>35.599999999999994</v>
      </c>
      <c r="J181" s="67" t="s">
        <v>69</v>
      </c>
      <c r="K181" s="73">
        <f t="shared" si="54"/>
        <v>55</v>
      </c>
      <c r="L181" s="73">
        <f t="shared" si="57"/>
        <v>90.6</v>
      </c>
      <c r="M181" s="74"/>
      <c r="N181" s="95"/>
      <c r="O181" s="152">
        <v>10.7</v>
      </c>
      <c r="P181" s="153">
        <f t="shared" si="60"/>
        <v>13.7</v>
      </c>
      <c r="Q181" s="159">
        <v>11</v>
      </c>
      <c r="R181" s="154">
        <v>9.9</v>
      </c>
      <c r="S181" s="155">
        <v>1.3</v>
      </c>
      <c r="T181" s="66">
        <f t="shared" si="61"/>
        <v>35.599999999999994</v>
      </c>
      <c r="U181" s="67" t="s">
        <v>69</v>
      </c>
      <c r="V181" s="73">
        <f t="shared" si="55"/>
        <v>55</v>
      </c>
      <c r="W181" s="73">
        <f t="shared" si="56"/>
        <v>90.6</v>
      </c>
    </row>
    <row r="182" spans="1:23" ht="13.5" customHeight="1" x14ac:dyDescent="0.25">
      <c r="A182" s="60"/>
      <c r="B182" s="71" t="s">
        <v>244</v>
      </c>
      <c r="C182" s="72"/>
      <c r="D182" s="152">
        <v>6.9</v>
      </c>
      <c r="E182" s="153">
        <f t="shared" si="58"/>
        <v>13.7</v>
      </c>
      <c r="F182" s="159">
        <v>11</v>
      </c>
      <c r="G182" s="154">
        <v>7.7</v>
      </c>
      <c r="H182" s="155">
        <v>1</v>
      </c>
      <c r="I182" s="66">
        <f t="shared" si="59"/>
        <v>29.3</v>
      </c>
      <c r="J182" s="67" t="s">
        <v>69</v>
      </c>
      <c r="K182" s="73">
        <f t="shared" si="54"/>
        <v>55</v>
      </c>
      <c r="L182" s="73">
        <f t="shared" si="57"/>
        <v>84.3</v>
      </c>
      <c r="M182" s="74"/>
      <c r="N182" s="95"/>
      <c r="O182" s="152">
        <v>6.9</v>
      </c>
      <c r="P182" s="153">
        <f t="shared" si="60"/>
        <v>13.7</v>
      </c>
      <c r="Q182" s="159">
        <v>11</v>
      </c>
      <c r="R182" s="154">
        <v>7.7</v>
      </c>
      <c r="S182" s="155">
        <v>1</v>
      </c>
      <c r="T182" s="66">
        <f t="shared" si="61"/>
        <v>29.3</v>
      </c>
      <c r="U182" s="67" t="s">
        <v>69</v>
      </c>
      <c r="V182" s="73">
        <f t="shared" si="55"/>
        <v>55</v>
      </c>
      <c r="W182" s="73">
        <f t="shared" si="56"/>
        <v>84.3</v>
      </c>
    </row>
    <row r="183" spans="1:23" ht="13.5" customHeight="1" x14ac:dyDescent="0.25">
      <c r="A183" s="60"/>
      <c r="B183" s="71" t="s">
        <v>245</v>
      </c>
      <c r="C183" s="72"/>
      <c r="D183" s="152">
        <v>10.9</v>
      </c>
      <c r="E183" s="153">
        <f t="shared" si="58"/>
        <v>15.9</v>
      </c>
      <c r="F183" s="159">
        <v>12.706860332002725</v>
      </c>
      <c r="G183" s="154">
        <v>11.7</v>
      </c>
      <c r="H183" s="155">
        <v>1.1000000000000001</v>
      </c>
      <c r="I183" s="66">
        <f t="shared" si="59"/>
        <v>39.6</v>
      </c>
      <c r="J183" s="67" t="s">
        <v>69</v>
      </c>
      <c r="K183" s="73">
        <f t="shared" si="54"/>
        <v>55</v>
      </c>
      <c r="L183" s="73">
        <f t="shared" si="57"/>
        <v>94.6</v>
      </c>
      <c r="M183" s="74"/>
      <c r="N183" s="95"/>
      <c r="O183" s="152">
        <v>10.9</v>
      </c>
      <c r="P183" s="153">
        <f t="shared" si="60"/>
        <v>15.9</v>
      </c>
      <c r="Q183" s="159">
        <v>12.706860332002725</v>
      </c>
      <c r="R183" s="154">
        <v>11.7</v>
      </c>
      <c r="S183" s="155">
        <v>1.1000000000000001</v>
      </c>
      <c r="T183" s="66">
        <f t="shared" si="61"/>
        <v>39.6</v>
      </c>
      <c r="U183" s="67" t="s">
        <v>69</v>
      </c>
      <c r="V183" s="73">
        <f t="shared" si="55"/>
        <v>55</v>
      </c>
      <c r="W183" s="73">
        <f t="shared" si="56"/>
        <v>94.6</v>
      </c>
    </row>
    <row r="184" spans="1:23" ht="13.5" customHeight="1" x14ac:dyDescent="0.25">
      <c r="A184" s="60"/>
      <c r="B184" s="71" t="s">
        <v>246</v>
      </c>
      <c r="C184" s="72"/>
      <c r="D184" s="169">
        <v>5.6</v>
      </c>
      <c r="E184" s="170">
        <f t="shared" si="58"/>
        <v>13.2</v>
      </c>
      <c r="F184" s="184">
        <v>10.5412156793326</v>
      </c>
      <c r="G184" s="171">
        <v>8</v>
      </c>
      <c r="H184" s="172">
        <v>0.8</v>
      </c>
      <c r="I184" s="66">
        <f t="shared" si="59"/>
        <v>27.599999999999998</v>
      </c>
      <c r="J184" s="67" t="s">
        <v>69</v>
      </c>
      <c r="K184" s="73">
        <f t="shared" si="54"/>
        <v>55</v>
      </c>
      <c r="L184" s="73">
        <f t="shared" si="57"/>
        <v>82.6</v>
      </c>
      <c r="M184" s="74"/>
      <c r="N184" s="95"/>
      <c r="O184" s="169">
        <v>5.6</v>
      </c>
      <c r="P184" s="170">
        <f t="shared" si="60"/>
        <v>13.2</v>
      </c>
      <c r="Q184" s="184">
        <v>10.5412156793326</v>
      </c>
      <c r="R184" s="171">
        <v>8</v>
      </c>
      <c r="S184" s="172">
        <v>0.8</v>
      </c>
      <c r="T184" s="66">
        <f t="shared" si="61"/>
        <v>27.599999999999998</v>
      </c>
      <c r="U184" s="67" t="s">
        <v>69</v>
      </c>
      <c r="V184" s="73">
        <f t="shared" si="55"/>
        <v>55</v>
      </c>
      <c r="W184" s="73">
        <f t="shared" si="56"/>
        <v>82.6</v>
      </c>
    </row>
    <row r="185" spans="1:23" ht="13.5" customHeight="1" x14ac:dyDescent="0.25">
      <c r="A185" s="60"/>
      <c r="B185" s="71" t="s">
        <v>247</v>
      </c>
      <c r="C185" s="72"/>
      <c r="D185" s="152">
        <v>10.695</v>
      </c>
      <c r="E185" s="153">
        <f t="shared" si="58"/>
        <v>10.9</v>
      </c>
      <c r="F185" s="159">
        <v>8.7073364621982492</v>
      </c>
      <c r="G185" s="154">
        <v>9</v>
      </c>
      <c r="H185" s="155">
        <v>1.9</v>
      </c>
      <c r="I185" s="66">
        <f t="shared" si="59"/>
        <v>32.494999999999997</v>
      </c>
      <c r="J185" s="67" t="s">
        <v>69</v>
      </c>
      <c r="K185" s="73">
        <f t="shared" si="54"/>
        <v>55</v>
      </c>
      <c r="L185" s="73">
        <f t="shared" si="57"/>
        <v>87.495000000000005</v>
      </c>
      <c r="M185" s="74"/>
      <c r="N185" s="95"/>
      <c r="O185" s="152">
        <v>10.695</v>
      </c>
      <c r="P185" s="153">
        <f t="shared" si="60"/>
        <v>10.9</v>
      </c>
      <c r="Q185" s="159">
        <v>8.7073364621982492</v>
      </c>
      <c r="R185" s="154">
        <v>9</v>
      </c>
      <c r="S185" s="155">
        <v>1.9</v>
      </c>
      <c r="T185" s="66">
        <f t="shared" si="61"/>
        <v>32.494999999999997</v>
      </c>
      <c r="U185" s="67" t="s">
        <v>69</v>
      </c>
      <c r="V185" s="73">
        <f t="shared" si="55"/>
        <v>55</v>
      </c>
      <c r="W185" s="73">
        <f t="shared" si="56"/>
        <v>87.495000000000005</v>
      </c>
    </row>
    <row r="186" spans="1:23" ht="13.5" customHeight="1" x14ac:dyDescent="0.25">
      <c r="A186" s="60"/>
      <c r="B186" s="71" t="s">
        <v>248</v>
      </c>
      <c r="C186" s="98"/>
      <c r="D186" s="152">
        <v>8.5</v>
      </c>
      <c r="E186" s="153">
        <f t="shared" si="58"/>
        <v>13.7</v>
      </c>
      <c r="F186" s="159">
        <v>11</v>
      </c>
      <c r="G186" s="154">
        <v>9.3000000000000007</v>
      </c>
      <c r="H186" s="155">
        <v>1.3</v>
      </c>
      <c r="I186" s="66">
        <f t="shared" si="59"/>
        <v>32.799999999999997</v>
      </c>
      <c r="J186" s="67" t="s">
        <v>69</v>
      </c>
      <c r="K186" s="73">
        <f t="shared" si="54"/>
        <v>55</v>
      </c>
      <c r="L186" s="73">
        <f t="shared" si="57"/>
        <v>87.8</v>
      </c>
      <c r="M186" s="74"/>
      <c r="N186" s="95"/>
      <c r="O186" s="152">
        <v>8.5</v>
      </c>
      <c r="P186" s="153">
        <f t="shared" si="60"/>
        <v>13.7</v>
      </c>
      <c r="Q186" s="159">
        <v>11</v>
      </c>
      <c r="R186" s="154">
        <v>9.3000000000000007</v>
      </c>
      <c r="S186" s="155">
        <v>1.3</v>
      </c>
      <c r="T186" s="66">
        <f t="shared" si="61"/>
        <v>32.799999999999997</v>
      </c>
      <c r="U186" s="67" t="s">
        <v>69</v>
      </c>
      <c r="V186" s="73">
        <f t="shared" si="55"/>
        <v>55</v>
      </c>
      <c r="W186" s="73">
        <f t="shared" si="56"/>
        <v>87.8</v>
      </c>
    </row>
    <row r="187" spans="1:23" ht="13.5" customHeight="1" x14ac:dyDescent="0.25">
      <c r="A187" s="60"/>
      <c r="B187" s="71" t="s">
        <v>249</v>
      </c>
      <c r="C187" s="98"/>
      <c r="D187" s="152">
        <v>6</v>
      </c>
      <c r="E187" s="153">
        <f t="shared" si="58"/>
        <v>20</v>
      </c>
      <c r="F187" s="159">
        <v>16</v>
      </c>
      <c r="G187" s="154">
        <v>10</v>
      </c>
      <c r="H187" s="155">
        <v>0.9</v>
      </c>
      <c r="I187" s="66">
        <f t="shared" si="59"/>
        <v>36.9</v>
      </c>
      <c r="J187" s="67" t="s">
        <v>69</v>
      </c>
      <c r="K187" s="73">
        <f t="shared" si="54"/>
        <v>55</v>
      </c>
      <c r="L187" s="73">
        <f t="shared" si="57"/>
        <v>91.9</v>
      </c>
      <c r="M187" s="74"/>
      <c r="N187" s="95"/>
      <c r="O187" s="152">
        <v>6</v>
      </c>
      <c r="P187" s="153">
        <f t="shared" si="60"/>
        <v>20</v>
      </c>
      <c r="Q187" s="159">
        <v>16</v>
      </c>
      <c r="R187" s="154">
        <v>10</v>
      </c>
      <c r="S187" s="155">
        <v>0.9</v>
      </c>
      <c r="T187" s="66">
        <f t="shared" si="61"/>
        <v>36.9</v>
      </c>
      <c r="U187" s="67" t="s">
        <v>69</v>
      </c>
      <c r="V187" s="73">
        <f t="shared" si="55"/>
        <v>55</v>
      </c>
      <c r="W187" s="73">
        <f t="shared" si="56"/>
        <v>91.9</v>
      </c>
    </row>
    <row r="188" spans="1:23" ht="13.5" customHeight="1" x14ac:dyDescent="0.25">
      <c r="A188" s="60"/>
      <c r="B188" s="71" t="s">
        <v>250</v>
      </c>
      <c r="C188" s="72"/>
      <c r="D188" s="152">
        <v>22.8</v>
      </c>
      <c r="E188" s="153">
        <f t="shared" si="58"/>
        <v>18.7</v>
      </c>
      <c r="F188" s="159">
        <v>15</v>
      </c>
      <c r="G188" s="154">
        <v>9.1999999999999993</v>
      </c>
      <c r="H188" s="155">
        <v>2.2000000000000002</v>
      </c>
      <c r="I188" s="66">
        <f t="shared" si="59"/>
        <v>52.900000000000006</v>
      </c>
      <c r="J188" s="67" t="s">
        <v>69</v>
      </c>
      <c r="K188" s="73">
        <f t="shared" si="54"/>
        <v>55</v>
      </c>
      <c r="L188" s="73">
        <f t="shared" si="57"/>
        <v>107.9</v>
      </c>
      <c r="M188" s="74"/>
      <c r="N188" s="95"/>
      <c r="O188" s="152">
        <v>22.8</v>
      </c>
      <c r="P188" s="153">
        <f t="shared" si="60"/>
        <v>18.7</v>
      </c>
      <c r="Q188" s="159">
        <v>15</v>
      </c>
      <c r="R188" s="154">
        <v>9.1999999999999993</v>
      </c>
      <c r="S188" s="155">
        <v>2.2000000000000002</v>
      </c>
      <c r="T188" s="66">
        <f t="shared" si="61"/>
        <v>52.900000000000006</v>
      </c>
      <c r="U188" s="67" t="s">
        <v>69</v>
      </c>
      <c r="V188" s="73">
        <f t="shared" si="55"/>
        <v>55</v>
      </c>
      <c r="W188" s="73">
        <f t="shared" si="56"/>
        <v>107.9</v>
      </c>
    </row>
    <row r="189" spans="1:23" ht="13.5" customHeight="1" x14ac:dyDescent="0.25">
      <c r="A189" s="60"/>
      <c r="B189" s="71" t="s">
        <v>251</v>
      </c>
      <c r="C189" s="72"/>
      <c r="D189" s="169">
        <v>7.1</v>
      </c>
      <c r="E189" s="170">
        <f t="shared" si="58"/>
        <v>18.3</v>
      </c>
      <c r="F189" s="184">
        <v>14.626511321169501</v>
      </c>
      <c r="G189" s="171">
        <v>7.4</v>
      </c>
      <c r="H189" s="172">
        <v>101</v>
      </c>
      <c r="I189" s="66">
        <f t="shared" si="59"/>
        <v>133.80000000000001</v>
      </c>
      <c r="J189" s="67" t="s">
        <v>69</v>
      </c>
      <c r="K189" s="73">
        <f t="shared" si="54"/>
        <v>55</v>
      </c>
      <c r="L189" s="73">
        <f t="shared" si="57"/>
        <v>188.8</v>
      </c>
      <c r="M189" s="74"/>
      <c r="N189" s="95"/>
      <c r="O189" s="169">
        <v>7.1</v>
      </c>
      <c r="P189" s="170">
        <f t="shared" si="60"/>
        <v>18.3</v>
      </c>
      <c r="Q189" s="184">
        <v>14.626511321169501</v>
      </c>
      <c r="R189" s="171">
        <v>7.4</v>
      </c>
      <c r="S189" s="172">
        <v>101</v>
      </c>
      <c r="T189" s="66">
        <f t="shared" si="61"/>
        <v>133.80000000000001</v>
      </c>
      <c r="U189" s="67" t="s">
        <v>69</v>
      </c>
      <c r="V189" s="73">
        <f t="shared" si="55"/>
        <v>55</v>
      </c>
      <c r="W189" s="73">
        <f t="shared" ref="W189:W220" si="62">+V189+T189</f>
        <v>188.8</v>
      </c>
    </row>
    <row r="190" spans="1:23" ht="13.5" customHeight="1" x14ac:dyDescent="0.25">
      <c r="A190" s="60"/>
      <c r="B190" s="71" t="s">
        <v>252</v>
      </c>
      <c r="C190" s="72"/>
      <c r="D190" s="152">
        <v>10.8</v>
      </c>
      <c r="E190" s="153">
        <f t="shared" si="58"/>
        <v>18.3</v>
      </c>
      <c r="F190" s="160">
        <v>14.626511321169501</v>
      </c>
      <c r="G190" s="154">
        <v>9.1999999999999993</v>
      </c>
      <c r="H190" s="155">
        <v>1.9</v>
      </c>
      <c r="I190" s="66">
        <f t="shared" si="59"/>
        <v>40.199999999999996</v>
      </c>
      <c r="J190" s="67" t="s">
        <v>69</v>
      </c>
      <c r="K190" s="73">
        <f t="shared" si="54"/>
        <v>55</v>
      </c>
      <c r="L190" s="73">
        <f t="shared" si="57"/>
        <v>95.199999999999989</v>
      </c>
      <c r="M190" s="74"/>
      <c r="N190" s="95"/>
      <c r="O190" s="152">
        <v>10.8</v>
      </c>
      <c r="P190" s="153">
        <f t="shared" si="60"/>
        <v>18.3</v>
      </c>
      <c r="Q190" s="160">
        <v>14.626511321169501</v>
      </c>
      <c r="R190" s="154">
        <v>9.1999999999999993</v>
      </c>
      <c r="S190" s="155">
        <v>1.9</v>
      </c>
      <c r="T190" s="66">
        <f t="shared" si="61"/>
        <v>40.199999999999996</v>
      </c>
      <c r="U190" s="67" t="s">
        <v>69</v>
      </c>
      <c r="V190" s="73">
        <f t="shared" si="55"/>
        <v>55</v>
      </c>
      <c r="W190" s="73">
        <f t="shared" si="62"/>
        <v>95.199999999999989</v>
      </c>
    </row>
    <row r="191" spans="1:23" ht="13.5" customHeight="1" x14ac:dyDescent="0.25">
      <c r="A191" s="60"/>
      <c r="B191" s="71"/>
      <c r="D191" s="62"/>
      <c r="E191" s="63"/>
      <c r="F191" s="64"/>
      <c r="G191" s="63"/>
      <c r="H191" s="65"/>
      <c r="I191" s="66"/>
      <c r="J191" s="67" t="s">
        <v>69</v>
      </c>
      <c r="K191" s="73">
        <f t="shared" si="54"/>
        <v>55</v>
      </c>
      <c r="L191" s="73">
        <f t="shared" si="57"/>
        <v>55</v>
      </c>
      <c r="M191" s="74"/>
      <c r="N191" s="95"/>
      <c r="O191" s="62"/>
      <c r="P191" s="63"/>
      <c r="Q191" s="64"/>
      <c r="R191" s="63"/>
      <c r="S191" s="65"/>
      <c r="T191" s="66"/>
      <c r="U191" s="67" t="s">
        <v>69</v>
      </c>
      <c r="V191" s="73">
        <f t="shared" si="55"/>
        <v>55</v>
      </c>
      <c r="W191" s="73">
        <f t="shared" si="62"/>
        <v>55</v>
      </c>
    </row>
    <row r="192" spans="1:23" ht="13.5" customHeight="1" x14ac:dyDescent="0.25">
      <c r="A192" s="60">
        <v>13</v>
      </c>
      <c r="B192" s="61" t="s">
        <v>253</v>
      </c>
      <c r="D192" s="62"/>
      <c r="E192" s="63"/>
      <c r="F192" s="64"/>
      <c r="G192" s="63"/>
      <c r="H192" s="65"/>
      <c r="I192" s="66"/>
      <c r="J192" s="67" t="s">
        <v>69</v>
      </c>
      <c r="K192" s="73">
        <f t="shared" si="54"/>
        <v>55</v>
      </c>
      <c r="L192" s="73">
        <f t="shared" si="57"/>
        <v>55</v>
      </c>
      <c r="M192" s="74"/>
      <c r="N192" s="95"/>
      <c r="O192" s="62"/>
      <c r="P192" s="63"/>
      <c r="Q192" s="64"/>
      <c r="R192" s="63"/>
      <c r="S192" s="65"/>
      <c r="T192" s="66"/>
      <c r="U192" s="67" t="s">
        <v>69</v>
      </c>
      <c r="V192" s="73">
        <f t="shared" si="55"/>
        <v>55</v>
      </c>
      <c r="W192" s="73">
        <f t="shared" si="62"/>
        <v>55</v>
      </c>
    </row>
    <row r="193" spans="1:23" ht="13.5" customHeight="1" x14ac:dyDescent="0.25">
      <c r="A193" s="60"/>
      <c r="B193" s="71" t="s">
        <v>254</v>
      </c>
      <c r="C193" s="72"/>
      <c r="D193" s="169">
        <v>4.9000000000000004</v>
      </c>
      <c r="E193" s="170">
        <f t="shared" ref="E193:E199" si="63">+ROUND(F193*GO*(1+$I$5),1)</f>
        <v>20.3</v>
      </c>
      <c r="F193" s="184">
        <v>16.3</v>
      </c>
      <c r="G193" s="171">
        <v>5.4</v>
      </c>
      <c r="H193" s="172">
        <v>1.1000000000000001</v>
      </c>
      <c r="I193" s="66">
        <f t="shared" ref="I193:I199" si="64">D193+E193+G193+H193</f>
        <v>31.700000000000003</v>
      </c>
      <c r="J193" s="67" t="s">
        <v>69</v>
      </c>
      <c r="K193" s="73">
        <f t="shared" si="54"/>
        <v>55</v>
      </c>
      <c r="L193" s="73">
        <f t="shared" si="57"/>
        <v>86.7</v>
      </c>
      <c r="M193" s="74"/>
      <c r="N193" s="95"/>
      <c r="O193" s="169">
        <v>4.9000000000000004</v>
      </c>
      <c r="P193" s="170">
        <f t="shared" ref="P193:P199" si="65">+ROUND(Q193*GO*(1+$I$5),1)</f>
        <v>20.3</v>
      </c>
      <c r="Q193" s="184">
        <v>16.3</v>
      </c>
      <c r="R193" s="171">
        <v>5.4</v>
      </c>
      <c r="S193" s="172">
        <v>1.1000000000000001</v>
      </c>
      <c r="T193" s="66">
        <f t="shared" ref="T193:T199" si="66">O193+P193+R193+S193</f>
        <v>31.700000000000003</v>
      </c>
      <c r="U193" s="67" t="s">
        <v>69</v>
      </c>
      <c r="V193" s="73">
        <f t="shared" si="55"/>
        <v>55</v>
      </c>
      <c r="W193" s="73">
        <f t="shared" si="62"/>
        <v>86.7</v>
      </c>
    </row>
    <row r="194" spans="1:23" ht="13.5" customHeight="1" x14ac:dyDescent="0.25">
      <c r="A194" s="60"/>
      <c r="B194" s="71" t="s">
        <v>255</v>
      </c>
      <c r="C194" s="72"/>
      <c r="D194" s="152">
        <v>4.5999999999999996</v>
      </c>
      <c r="E194" s="153">
        <f t="shared" si="63"/>
        <v>20.3</v>
      </c>
      <c r="F194" s="160">
        <v>16.3</v>
      </c>
      <c r="G194" s="154">
        <v>3.9</v>
      </c>
      <c r="H194" s="155">
        <v>1.7</v>
      </c>
      <c r="I194" s="66">
        <f t="shared" si="64"/>
        <v>30.499999999999996</v>
      </c>
      <c r="J194" s="67" t="s">
        <v>69</v>
      </c>
      <c r="K194" s="73">
        <f t="shared" si="54"/>
        <v>55</v>
      </c>
      <c r="L194" s="73">
        <f t="shared" si="57"/>
        <v>85.5</v>
      </c>
      <c r="M194" s="74"/>
      <c r="N194" s="95"/>
      <c r="O194" s="152">
        <v>4.5999999999999996</v>
      </c>
      <c r="P194" s="153">
        <f t="shared" si="65"/>
        <v>20.3</v>
      </c>
      <c r="Q194" s="160">
        <v>16.3</v>
      </c>
      <c r="R194" s="154">
        <v>3.9</v>
      </c>
      <c r="S194" s="155">
        <v>1.7</v>
      </c>
      <c r="T194" s="66">
        <f t="shared" si="66"/>
        <v>30.499999999999996</v>
      </c>
      <c r="U194" s="67" t="s">
        <v>69</v>
      </c>
      <c r="V194" s="73">
        <f t="shared" si="55"/>
        <v>55</v>
      </c>
      <c r="W194" s="73">
        <f t="shared" si="62"/>
        <v>85.5</v>
      </c>
    </row>
    <row r="195" spans="1:23" ht="13.5" customHeight="1" x14ac:dyDescent="0.25">
      <c r="A195" s="60"/>
      <c r="B195" s="71" t="s">
        <v>256</v>
      </c>
      <c r="C195" s="72"/>
      <c r="D195" s="152">
        <v>4.2</v>
      </c>
      <c r="E195" s="153">
        <f t="shared" si="63"/>
        <v>30.5</v>
      </c>
      <c r="F195" s="159">
        <v>24.411764705882355</v>
      </c>
      <c r="G195" s="154">
        <v>6.5</v>
      </c>
      <c r="H195" s="155">
        <v>1.7</v>
      </c>
      <c r="I195" s="66">
        <f t="shared" si="64"/>
        <v>42.900000000000006</v>
      </c>
      <c r="J195" s="67" t="s">
        <v>69</v>
      </c>
      <c r="K195" s="73">
        <f t="shared" si="54"/>
        <v>55</v>
      </c>
      <c r="L195" s="73">
        <f t="shared" si="57"/>
        <v>97.9</v>
      </c>
      <c r="M195" s="74"/>
      <c r="N195" s="95"/>
      <c r="O195" s="152">
        <v>4.2</v>
      </c>
      <c r="P195" s="153">
        <f t="shared" si="65"/>
        <v>30.5</v>
      </c>
      <c r="Q195" s="159">
        <v>24.411764705882355</v>
      </c>
      <c r="R195" s="154">
        <v>6.5</v>
      </c>
      <c r="S195" s="155">
        <v>1.7</v>
      </c>
      <c r="T195" s="66">
        <f t="shared" si="66"/>
        <v>42.900000000000006</v>
      </c>
      <c r="U195" s="67" t="s">
        <v>69</v>
      </c>
      <c r="V195" s="73">
        <f t="shared" si="55"/>
        <v>55</v>
      </c>
      <c r="W195" s="73">
        <f t="shared" si="62"/>
        <v>97.9</v>
      </c>
    </row>
    <row r="196" spans="1:23" ht="13.5" customHeight="1" x14ac:dyDescent="0.25">
      <c r="A196" s="60"/>
      <c r="B196" s="71" t="s">
        <v>257</v>
      </c>
      <c r="C196" s="72"/>
      <c r="D196" s="152">
        <v>4.8</v>
      </c>
      <c r="E196" s="153">
        <f t="shared" si="63"/>
        <v>20.5</v>
      </c>
      <c r="F196" s="159">
        <v>16.388352748977599</v>
      </c>
      <c r="G196" s="154">
        <v>6.5</v>
      </c>
      <c r="H196" s="155">
        <v>1.5</v>
      </c>
      <c r="I196" s="66">
        <f t="shared" si="64"/>
        <v>33.299999999999997</v>
      </c>
      <c r="J196" s="67" t="s">
        <v>69</v>
      </c>
      <c r="K196" s="73">
        <f t="shared" si="54"/>
        <v>55</v>
      </c>
      <c r="L196" s="73">
        <f t="shared" si="57"/>
        <v>88.3</v>
      </c>
      <c r="M196" s="74"/>
      <c r="N196" s="95"/>
      <c r="O196" s="152">
        <v>4.8</v>
      </c>
      <c r="P196" s="153">
        <f t="shared" si="65"/>
        <v>20.5</v>
      </c>
      <c r="Q196" s="159">
        <v>16.388352748977599</v>
      </c>
      <c r="R196" s="154">
        <v>6.5</v>
      </c>
      <c r="S196" s="155">
        <v>1.5</v>
      </c>
      <c r="T196" s="66">
        <f t="shared" si="66"/>
        <v>33.299999999999997</v>
      </c>
      <c r="U196" s="67" t="s">
        <v>69</v>
      </c>
      <c r="V196" s="73">
        <f t="shared" si="55"/>
        <v>55</v>
      </c>
      <c r="W196" s="73">
        <f t="shared" si="62"/>
        <v>88.3</v>
      </c>
    </row>
    <row r="197" spans="1:23" ht="13.5" customHeight="1" x14ac:dyDescent="0.25">
      <c r="A197" s="60"/>
      <c r="B197" s="71" t="s">
        <v>258</v>
      </c>
      <c r="C197" s="72"/>
      <c r="D197" s="152">
        <v>5.2</v>
      </c>
      <c r="E197" s="153">
        <f t="shared" si="63"/>
        <v>26.2</v>
      </c>
      <c r="F197" s="159">
        <v>21.029411764705898</v>
      </c>
      <c r="G197" s="154">
        <v>7.7</v>
      </c>
      <c r="H197" s="155">
        <v>1.7</v>
      </c>
      <c r="I197" s="66">
        <f t="shared" si="64"/>
        <v>40.800000000000004</v>
      </c>
      <c r="J197" s="67" t="s">
        <v>69</v>
      </c>
      <c r="K197" s="73">
        <f t="shared" si="54"/>
        <v>55</v>
      </c>
      <c r="L197" s="73">
        <f>+K197+I197</f>
        <v>95.800000000000011</v>
      </c>
      <c r="M197" s="74"/>
      <c r="N197" s="95"/>
      <c r="O197" s="152">
        <v>5.2</v>
      </c>
      <c r="P197" s="153">
        <f t="shared" si="65"/>
        <v>26.2</v>
      </c>
      <c r="Q197" s="159">
        <v>21.029411764705898</v>
      </c>
      <c r="R197" s="154">
        <v>7.7</v>
      </c>
      <c r="S197" s="155">
        <v>1.7</v>
      </c>
      <c r="T197" s="66">
        <f t="shared" si="66"/>
        <v>40.800000000000004</v>
      </c>
      <c r="U197" s="67" t="s">
        <v>69</v>
      </c>
      <c r="V197" s="73">
        <f t="shared" si="55"/>
        <v>55</v>
      </c>
      <c r="W197" s="73">
        <f t="shared" si="62"/>
        <v>95.800000000000011</v>
      </c>
    </row>
    <row r="198" spans="1:23" ht="13.5" customHeight="1" x14ac:dyDescent="0.25">
      <c r="A198" s="60"/>
      <c r="B198" s="71" t="s">
        <v>259</v>
      </c>
      <c r="C198" s="72"/>
      <c r="D198" s="152">
        <v>5.9</v>
      </c>
      <c r="E198" s="153">
        <f t="shared" si="63"/>
        <v>25.5</v>
      </c>
      <c r="F198" s="160">
        <v>20.445921552578501</v>
      </c>
      <c r="G198" s="154">
        <v>7.3</v>
      </c>
      <c r="H198" s="155">
        <v>1.4</v>
      </c>
      <c r="I198" s="66">
        <f t="shared" si="64"/>
        <v>40.099999999999994</v>
      </c>
      <c r="J198" s="67" t="s">
        <v>69</v>
      </c>
      <c r="K198" s="73">
        <f t="shared" si="54"/>
        <v>55</v>
      </c>
      <c r="L198" s="73">
        <f>+K198+I198</f>
        <v>95.1</v>
      </c>
      <c r="M198" s="74"/>
      <c r="N198" s="95"/>
      <c r="O198" s="152">
        <v>5.9</v>
      </c>
      <c r="P198" s="153">
        <f t="shared" si="65"/>
        <v>25.5</v>
      </c>
      <c r="Q198" s="160">
        <v>20.445921552578501</v>
      </c>
      <c r="R198" s="154">
        <v>7.3</v>
      </c>
      <c r="S198" s="155">
        <v>1.4</v>
      </c>
      <c r="T198" s="66">
        <f t="shared" si="66"/>
        <v>40.099999999999994</v>
      </c>
      <c r="U198" s="67" t="s">
        <v>69</v>
      </c>
      <c r="V198" s="73">
        <f t="shared" si="55"/>
        <v>55</v>
      </c>
      <c r="W198" s="73">
        <f t="shared" si="62"/>
        <v>95.1</v>
      </c>
    </row>
    <row r="199" spans="1:23" ht="13.5" customHeight="1" x14ac:dyDescent="0.25">
      <c r="A199" s="60"/>
      <c r="B199" s="71" t="s">
        <v>260</v>
      </c>
      <c r="C199" s="72"/>
      <c r="D199" s="152">
        <v>9</v>
      </c>
      <c r="E199" s="153">
        <f t="shared" si="63"/>
        <v>26.2</v>
      </c>
      <c r="F199" s="159">
        <v>21.02941176470588</v>
      </c>
      <c r="G199" s="154">
        <v>5.8</v>
      </c>
      <c r="H199" s="155">
        <v>1.4</v>
      </c>
      <c r="I199" s="66">
        <f t="shared" si="64"/>
        <v>42.4</v>
      </c>
      <c r="J199" s="67" t="s">
        <v>69</v>
      </c>
      <c r="K199" s="73">
        <f t="shared" si="54"/>
        <v>55</v>
      </c>
      <c r="L199" s="73">
        <f>+K199+I199</f>
        <v>97.4</v>
      </c>
      <c r="M199" s="74"/>
      <c r="N199" s="95"/>
      <c r="O199" s="152">
        <v>9</v>
      </c>
      <c r="P199" s="153">
        <f t="shared" si="65"/>
        <v>26.2</v>
      </c>
      <c r="Q199" s="159">
        <v>21.02941176470588</v>
      </c>
      <c r="R199" s="154">
        <v>5.8</v>
      </c>
      <c r="S199" s="155">
        <v>1.4</v>
      </c>
      <c r="T199" s="66">
        <f t="shared" si="66"/>
        <v>42.4</v>
      </c>
      <c r="U199" s="67" t="s">
        <v>69</v>
      </c>
      <c r="V199" s="73">
        <f t="shared" si="55"/>
        <v>55</v>
      </c>
      <c r="W199" s="73">
        <f t="shared" si="62"/>
        <v>97.4</v>
      </c>
    </row>
    <row r="200" spans="1:23" ht="13.5" customHeight="1" x14ac:dyDescent="0.25">
      <c r="A200" s="60"/>
      <c r="B200" s="71"/>
      <c r="C200" s="72"/>
      <c r="D200" s="62"/>
      <c r="E200" s="63"/>
      <c r="F200" s="64"/>
      <c r="G200" s="63"/>
      <c r="H200" s="65"/>
      <c r="I200" s="66"/>
      <c r="J200" s="67" t="s">
        <v>69</v>
      </c>
      <c r="K200" s="73">
        <f t="shared" si="54"/>
        <v>55</v>
      </c>
      <c r="L200" s="73">
        <f t="shared" si="57"/>
        <v>55</v>
      </c>
      <c r="M200" s="74"/>
      <c r="N200" s="95"/>
      <c r="O200" s="62"/>
      <c r="P200" s="63"/>
      <c r="Q200" s="64"/>
      <c r="R200" s="63"/>
      <c r="S200" s="65"/>
      <c r="T200" s="66"/>
      <c r="U200" s="67" t="s">
        <v>69</v>
      </c>
      <c r="V200" s="73">
        <f t="shared" si="55"/>
        <v>55</v>
      </c>
      <c r="W200" s="73">
        <f t="shared" si="62"/>
        <v>55</v>
      </c>
    </row>
    <row r="201" spans="1:23" ht="13.5" customHeight="1" x14ac:dyDescent="0.25">
      <c r="A201" s="60">
        <v>14</v>
      </c>
      <c r="B201" s="61" t="s">
        <v>261</v>
      </c>
      <c r="C201" s="72"/>
      <c r="D201" s="62"/>
      <c r="E201" s="63"/>
      <c r="F201" s="64"/>
      <c r="G201" s="63"/>
      <c r="H201" s="65"/>
      <c r="I201" s="66"/>
      <c r="J201" s="67" t="s">
        <v>69</v>
      </c>
      <c r="K201" s="73">
        <f t="shared" si="54"/>
        <v>55</v>
      </c>
      <c r="L201" s="73">
        <f t="shared" si="57"/>
        <v>55</v>
      </c>
      <c r="M201" s="74"/>
      <c r="N201" s="95"/>
      <c r="O201" s="62"/>
      <c r="P201" s="63"/>
      <c r="Q201" s="64"/>
      <c r="R201" s="63"/>
      <c r="S201" s="65"/>
      <c r="T201" s="66"/>
      <c r="U201" s="67" t="s">
        <v>69</v>
      </c>
      <c r="V201" s="73">
        <f t="shared" si="55"/>
        <v>55</v>
      </c>
      <c r="W201" s="73">
        <f t="shared" si="62"/>
        <v>55</v>
      </c>
    </row>
    <row r="202" spans="1:23" ht="13.5" customHeight="1" x14ac:dyDescent="0.25">
      <c r="A202" s="60"/>
      <c r="B202" s="71" t="s">
        <v>262</v>
      </c>
      <c r="C202" s="72"/>
      <c r="D202" s="169">
        <v>1.9</v>
      </c>
      <c r="E202" s="170">
        <f>+ROUND(F202*GO*(1+$I$5),1)</f>
        <v>0</v>
      </c>
      <c r="F202" s="183"/>
      <c r="G202" s="171">
        <v>3.9</v>
      </c>
      <c r="H202" s="172">
        <v>0.1</v>
      </c>
      <c r="I202" s="66">
        <f>D202+E202+G202+H202</f>
        <v>5.8999999999999995</v>
      </c>
      <c r="J202" s="67" t="s">
        <v>69</v>
      </c>
      <c r="K202" s="73">
        <f t="shared" si="54"/>
        <v>55</v>
      </c>
      <c r="L202" s="73">
        <f t="shared" si="57"/>
        <v>60.9</v>
      </c>
      <c r="M202" s="74"/>
      <c r="N202" s="95"/>
      <c r="O202" s="169">
        <v>1.9</v>
      </c>
      <c r="P202" s="170">
        <f>+ROUND(Q202*GO*(1+$I$5),1)</f>
        <v>0</v>
      </c>
      <c r="Q202" s="183"/>
      <c r="R202" s="171">
        <v>3.9</v>
      </c>
      <c r="S202" s="172">
        <v>0.1</v>
      </c>
      <c r="T202" s="66">
        <f>O202+P202+R202+S202</f>
        <v>5.8999999999999995</v>
      </c>
      <c r="U202" s="67" t="s">
        <v>69</v>
      </c>
      <c r="V202" s="73">
        <f t="shared" si="55"/>
        <v>55</v>
      </c>
      <c r="W202" s="73">
        <f t="shared" si="62"/>
        <v>60.9</v>
      </c>
    </row>
    <row r="203" spans="1:23" ht="13.5" customHeight="1" x14ac:dyDescent="0.25">
      <c r="A203" s="60"/>
      <c r="B203" s="71" t="s">
        <v>263</v>
      </c>
      <c r="C203" s="72"/>
      <c r="D203" s="169">
        <v>1.9</v>
      </c>
      <c r="E203" s="170">
        <f>+ROUND(F203*GO*(1+$I$5),1)</f>
        <v>0</v>
      </c>
      <c r="F203" s="183"/>
      <c r="G203" s="171">
        <v>3.9</v>
      </c>
      <c r="H203" s="172">
        <v>0.1</v>
      </c>
      <c r="I203" s="66">
        <f>D203+E203+G203+H203</f>
        <v>5.8999999999999995</v>
      </c>
      <c r="J203" s="67" t="s">
        <v>69</v>
      </c>
      <c r="K203" s="73">
        <f t="shared" si="54"/>
        <v>55</v>
      </c>
      <c r="L203" s="73">
        <f t="shared" si="57"/>
        <v>60.9</v>
      </c>
      <c r="M203" s="74"/>
      <c r="N203" s="95"/>
      <c r="O203" s="169">
        <v>1.9</v>
      </c>
      <c r="P203" s="170">
        <f>+ROUND(Q203*GO*(1+$I$5),1)</f>
        <v>0</v>
      </c>
      <c r="Q203" s="183"/>
      <c r="R203" s="171">
        <v>3.9</v>
      </c>
      <c r="S203" s="172">
        <v>0.1</v>
      </c>
      <c r="T203" s="66">
        <f>O203+P203+R203+S203</f>
        <v>5.8999999999999995</v>
      </c>
      <c r="U203" s="67" t="s">
        <v>69</v>
      </c>
      <c r="V203" s="73">
        <f t="shared" si="55"/>
        <v>55</v>
      </c>
      <c r="W203" s="73">
        <f t="shared" si="62"/>
        <v>60.9</v>
      </c>
    </row>
    <row r="204" spans="1:23" ht="13.5" customHeight="1" x14ac:dyDescent="0.25">
      <c r="A204" s="60"/>
      <c r="B204" s="71" t="s">
        <v>264</v>
      </c>
      <c r="C204" s="72"/>
      <c r="D204" s="169">
        <v>2.4</v>
      </c>
      <c r="E204" s="170">
        <f>+ROUND(F204*GO*(1+$I$5),1)</f>
        <v>0</v>
      </c>
      <c r="F204" s="183"/>
      <c r="G204" s="171">
        <v>5.6</v>
      </c>
      <c r="H204" s="172">
        <v>0.2</v>
      </c>
      <c r="I204" s="66">
        <f>D204+E204+G204+H204</f>
        <v>8.1999999999999993</v>
      </c>
      <c r="J204" s="67" t="s">
        <v>69</v>
      </c>
      <c r="K204" s="73">
        <f t="shared" si="54"/>
        <v>55</v>
      </c>
      <c r="L204" s="73">
        <f t="shared" si="57"/>
        <v>63.2</v>
      </c>
      <c r="M204" s="74"/>
      <c r="N204" s="95"/>
      <c r="O204" s="169">
        <v>2.4</v>
      </c>
      <c r="P204" s="170">
        <f>+ROUND(Q204*GO*(1+$I$5),1)</f>
        <v>0</v>
      </c>
      <c r="Q204" s="183"/>
      <c r="R204" s="171">
        <v>5.6</v>
      </c>
      <c r="S204" s="172">
        <v>0.2</v>
      </c>
      <c r="T204" s="66">
        <f>O204+P204+R204+S204</f>
        <v>8.1999999999999993</v>
      </c>
      <c r="U204" s="67" t="s">
        <v>69</v>
      </c>
      <c r="V204" s="73">
        <f t="shared" si="55"/>
        <v>55</v>
      </c>
      <c r="W204" s="73">
        <f t="shared" si="62"/>
        <v>63.2</v>
      </c>
    </row>
    <row r="205" spans="1:23" ht="13.5" customHeight="1" x14ac:dyDescent="0.25">
      <c r="A205" s="60"/>
      <c r="B205" s="71" t="s">
        <v>265</v>
      </c>
      <c r="C205" s="72"/>
      <c r="D205" s="169">
        <v>2</v>
      </c>
      <c r="E205" s="170">
        <f>+ROUND(F205*GO*(1+$I$5),1)</f>
        <v>0</v>
      </c>
      <c r="F205" s="183"/>
      <c r="G205" s="171">
        <v>4.9000000000000004</v>
      </c>
      <c r="H205" s="172">
        <v>0.1</v>
      </c>
      <c r="I205" s="66">
        <f>D205+E205+G205+H205</f>
        <v>7</v>
      </c>
      <c r="J205" s="67" t="s">
        <v>69</v>
      </c>
      <c r="K205" s="73">
        <f t="shared" si="54"/>
        <v>55</v>
      </c>
      <c r="L205" s="73">
        <f t="shared" si="57"/>
        <v>62</v>
      </c>
      <c r="M205" s="74"/>
      <c r="N205" s="95"/>
      <c r="O205" s="169">
        <v>2</v>
      </c>
      <c r="P205" s="170">
        <f>+ROUND(Q205*GO*(1+$I$5),1)</f>
        <v>0</v>
      </c>
      <c r="Q205" s="183"/>
      <c r="R205" s="171">
        <v>4.9000000000000004</v>
      </c>
      <c r="S205" s="172">
        <v>0.1</v>
      </c>
      <c r="T205" s="66">
        <f>O205+P205+R205+S205</f>
        <v>7</v>
      </c>
      <c r="U205" s="67" t="s">
        <v>69</v>
      </c>
      <c r="V205" s="73">
        <f t="shared" si="55"/>
        <v>55</v>
      </c>
      <c r="W205" s="73">
        <f t="shared" si="62"/>
        <v>62</v>
      </c>
    </row>
    <row r="206" spans="1:23" ht="13.5" customHeight="1" x14ac:dyDescent="0.25">
      <c r="A206" s="60"/>
      <c r="B206" s="71" t="s">
        <v>266</v>
      </c>
      <c r="C206" s="72"/>
      <c r="D206" s="169">
        <v>2.5</v>
      </c>
      <c r="E206" s="170">
        <f>+ROUND(F206*GO*(1+$I$5),1)</f>
        <v>0</v>
      </c>
      <c r="F206" s="183"/>
      <c r="G206" s="171">
        <v>7.2</v>
      </c>
      <c r="H206" s="172">
        <v>0.2</v>
      </c>
      <c r="I206" s="66">
        <f>D206+E206+G206+H206</f>
        <v>9.8999999999999986</v>
      </c>
      <c r="J206" s="67" t="s">
        <v>69</v>
      </c>
      <c r="K206" s="73">
        <f t="shared" si="54"/>
        <v>55</v>
      </c>
      <c r="L206" s="73">
        <f t="shared" si="57"/>
        <v>64.900000000000006</v>
      </c>
      <c r="M206" s="74"/>
      <c r="N206" s="95"/>
      <c r="O206" s="169">
        <v>2.5</v>
      </c>
      <c r="P206" s="170">
        <f>+ROUND(Q206*GO*(1+$I$5),1)</f>
        <v>0</v>
      </c>
      <c r="Q206" s="183"/>
      <c r="R206" s="171">
        <v>7.2</v>
      </c>
      <c r="S206" s="172">
        <v>0.2</v>
      </c>
      <c r="T206" s="66">
        <f>O206+P206+R206+S206</f>
        <v>9.8999999999999986</v>
      </c>
      <c r="U206" s="67" t="s">
        <v>69</v>
      </c>
      <c r="V206" s="73">
        <f t="shared" si="55"/>
        <v>55</v>
      </c>
      <c r="W206" s="73">
        <f t="shared" si="62"/>
        <v>64.900000000000006</v>
      </c>
    </row>
    <row r="207" spans="1:23" ht="13.5" customHeight="1" x14ac:dyDescent="0.25">
      <c r="A207" s="60"/>
      <c r="B207" s="71"/>
      <c r="C207" s="72"/>
      <c r="D207" s="62"/>
      <c r="E207" s="63"/>
      <c r="F207" s="64"/>
      <c r="G207" s="63"/>
      <c r="H207" s="65"/>
      <c r="I207" s="66"/>
      <c r="J207" s="67" t="s">
        <v>69</v>
      </c>
      <c r="K207" s="73">
        <f t="shared" si="54"/>
        <v>55</v>
      </c>
      <c r="L207" s="73">
        <f t="shared" si="57"/>
        <v>55</v>
      </c>
      <c r="M207" s="74"/>
      <c r="N207" s="95"/>
      <c r="O207" s="62"/>
      <c r="P207" s="63"/>
      <c r="Q207" s="64"/>
      <c r="R207" s="63"/>
      <c r="S207" s="65"/>
      <c r="T207" s="66"/>
      <c r="U207" s="67" t="s">
        <v>69</v>
      </c>
      <c r="V207" s="73">
        <f t="shared" si="55"/>
        <v>55</v>
      </c>
      <c r="W207" s="73">
        <f t="shared" si="62"/>
        <v>55</v>
      </c>
    </row>
    <row r="208" spans="1:23" ht="13.5" customHeight="1" x14ac:dyDescent="0.25">
      <c r="A208" s="60">
        <v>15</v>
      </c>
      <c r="B208" s="61" t="s">
        <v>267</v>
      </c>
      <c r="C208" s="72"/>
      <c r="D208" s="62"/>
      <c r="E208" s="63"/>
      <c r="F208" s="64"/>
      <c r="G208" s="63"/>
      <c r="H208" s="65"/>
      <c r="I208" s="66"/>
      <c r="J208" s="67" t="s">
        <v>69</v>
      </c>
      <c r="K208" s="73">
        <f t="shared" si="54"/>
        <v>55</v>
      </c>
      <c r="L208" s="73">
        <f t="shared" si="57"/>
        <v>55</v>
      </c>
      <c r="M208" s="74"/>
      <c r="N208" s="95"/>
      <c r="O208" s="62"/>
      <c r="P208" s="63"/>
      <c r="Q208" s="64"/>
      <c r="R208" s="63"/>
      <c r="S208" s="65"/>
      <c r="T208" s="66"/>
      <c r="U208" s="67" t="s">
        <v>69</v>
      </c>
      <c r="V208" s="73">
        <f t="shared" si="55"/>
        <v>55</v>
      </c>
      <c r="W208" s="73">
        <f t="shared" si="62"/>
        <v>55</v>
      </c>
    </row>
    <row r="209" spans="1:23" ht="13.5" customHeight="1" x14ac:dyDescent="0.25">
      <c r="A209" s="60"/>
      <c r="B209" s="71" t="s">
        <v>268</v>
      </c>
      <c r="C209" s="72"/>
      <c r="D209" s="169">
        <v>0.1</v>
      </c>
      <c r="E209" s="170">
        <f t="shared" ref="E209:E214" si="67">+ROUND(F209*GO*(1+$I$5),1)</f>
        <v>0</v>
      </c>
      <c r="F209" s="183"/>
      <c r="G209" s="171">
        <v>1</v>
      </c>
      <c r="H209" s="172">
        <v>0</v>
      </c>
      <c r="I209" s="66">
        <f t="shared" ref="I209:I214" si="68">D209+E209+G209+H209</f>
        <v>1.1000000000000001</v>
      </c>
      <c r="J209" s="67" t="s">
        <v>69</v>
      </c>
      <c r="K209" s="73">
        <f t="shared" si="54"/>
        <v>55</v>
      </c>
      <c r="L209" s="73">
        <f t="shared" si="57"/>
        <v>56.1</v>
      </c>
      <c r="M209" s="74"/>
      <c r="N209" s="95"/>
      <c r="O209" s="169">
        <v>0.1</v>
      </c>
      <c r="P209" s="170">
        <f t="shared" ref="P209:P214" si="69">+ROUND(Q209*GO*(1+$I$5),1)</f>
        <v>0</v>
      </c>
      <c r="Q209" s="183"/>
      <c r="R209" s="171">
        <v>1</v>
      </c>
      <c r="S209" s="172">
        <v>0</v>
      </c>
      <c r="T209" s="66">
        <f t="shared" ref="T209:T214" si="70">O209+P209+R209+S209</f>
        <v>1.1000000000000001</v>
      </c>
      <c r="U209" s="67" t="s">
        <v>69</v>
      </c>
      <c r="V209" s="73">
        <f t="shared" si="55"/>
        <v>55</v>
      </c>
      <c r="W209" s="73">
        <f t="shared" si="62"/>
        <v>56.1</v>
      </c>
    </row>
    <row r="210" spans="1:23" ht="13.5" customHeight="1" x14ac:dyDescent="0.25">
      <c r="A210" s="60"/>
      <c r="B210" s="71" t="s">
        <v>269</v>
      </c>
      <c r="C210" s="72"/>
      <c r="D210" s="169">
        <v>3.1</v>
      </c>
      <c r="E210" s="170">
        <f t="shared" si="67"/>
        <v>0</v>
      </c>
      <c r="F210" s="183"/>
      <c r="G210" s="171">
        <v>6.2</v>
      </c>
      <c r="H210" s="172">
        <v>0.2</v>
      </c>
      <c r="I210" s="66">
        <f t="shared" si="68"/>
        <v>9.5</v>
      </c>
      <c r="J210" s="67" t="s">
        <v>69</v>
      </c>
      <c r="K210" s="73">
        <f t="shared" si="54"/>
        <v>55</v>
      </c>
      <c r="L210" s="73">
        <f t="shared" si="57"/>
        <v>64.5</v>
      </c>
      <c r="M210" s="74"/>
      <c r="N210" s="95"/>
      <c r="O210" s="169">
        <v>3.1</v>
      </c>
      <c r="P210" s="170">
        <f t="shared" si="69"/>
        <v>0</v>
      </c>
      <c r="Q210" s="183"/>
      <c r="R210" s="171">
        <v>6.2</v>
      </c>
      <c r="S210" s="172">
        <v>0.2</v>
      </c>
      <c r="T210" s="66">
        <f t="shared" si="70"/>
        <v>9.5</v>
      </c>
      <c r="U210" s="67" t="s">
        <v>69</v>
      </c>
      <c r="V210" s="73">
        <f t="shared" si="55"/>
        <v>55</v>
      </c>
      <c r="W210" s="73">
        <f t="shared" si="62"/>
        <v>64.5</v>
      </c>
    </row>
    <row r="211" spans="1:23" ht="13.5" customHeight="1" x14ac:dyDescent="0.25">
      <c r="A211" s="60"/>
      <c r="B211" s="71" t="s">
        <v>270</v>
      </c>
      <c r="D211" s="169">
        <v>3.5</v>
      </c>
      <c r="E211" s="170">
        <f t="shared" si="67"/>
        <v>0</v>
      </c>
      <c r="F211" s="183"/>
      <c r="G211" s="171">
        <v>7.1</v>
      </c>
      <c r="H211" s="172">
        <v>0.2</v>
      </c>
      <c r="I211" s="66">
        <f t="shared" si="68"/>
        <v>10.799999999999999</v>
      </c>
      <c r="J211" s="67" t="s">
        <v>69</v>
      </c>
      <c r="K211" s="73">
        <f t="shared" si="54"/>
        <v>55</v>
      </c>
      <c r="L211" s="73">
        <f t="shared" si="57"/>
        <v>65.8</v>
      </c>
      <c r="M211" s="74"/>
      <c r="N211" s="95"/>
      <c r="O211" s="169">
        <v>3.5</v>
      </c>
      <c r="P211" s="170">
        <f t="shared" si="69"/>
        <v>0</v>
      </c>
      <c r="Q211" s="183"/>
      <c r="R211" s="171">
        <v>7.1</v>
      </c>
      <c r="S211" s="172">
        <v>0.2</v>
      </c>
      <c r="T211" s="66">
        <f t="shared" si="70"/>
        <v>10.799999999999999</v>
      </c>
      <c r="U211" s="67" t="s">
        <v>69</v>
      </c>
      <c r="V211" s="73">
        <f t="shared" si="55"/>
        <v>55</v>
      </c>
      <c r="W211" s="73">
        <f t="shared" si="62"/>
        <v>65.8</v>
      </c>
    </row>
    <row r="212" spans="1:23" ht="13.5" customHeight="1" x14ac:dyDescent="0.25">
      <c r="A212" s="60"/>
      <c r="B212" s="71" t="s">
        <v>271</v>
      </c>
      <c r="C212" s="77"/>
      <c r="D212" s="169">
        <v>5.5</v>
      </c>
      <c r="E212" s="170">
        <f t="shared" si="67"/>
        <v>0</v>
      </c>
      <c r="F212" s="183"/>
      <c r="G212" s="171">
        <v>8.6999999999999993</v>
      </c>
      <c r="H212" s="172">
        <v>0.4</v>
      </c>
      <c r="I212" s="66">
        <f t="shared" si="68"/>
        <v>14.6</v>
      </c>
      <c r="J212" s="67" t="s">
        <v>69</v>
      </c>
      <c r="K212" s="73">
        <f t="shared" si="54"/>
        <v>55</v>
      </c>
      <c r="L212" s="73">
        <f t="shared" si="57"/>
        <v>69.599999999999994</v>
      </c>
      <c r="M212" s="74"/>
      <c r="N212" s="95"/>
      <c r="O212" s="169">
        <v>5.5</v>
      </c>
      <c r="P212" s="170">
        <f t="shared" si="69"/>
        <v>0</v>
      </c>
      <c r="Q212" s="183"/>
      <c r="R212" s="171">
        <v>8.6999999999999993</v>
      </c>
      <c r="S212" s="172">
        <v>0.4</v>
      </c>
      <c r="T212" s="66">
        <f t="shared" si="70"/>
        <v>14.6</v>
      </c>
      <c r="U212" s="67" t="s">
        <v>69</v>
      </c>
      <c r="V212" s="73">
        <f t="shared" si="55"/>
        <v>55</v>
      </c>
      <c r="W212" s="73">
        <f t="shared" si="62"/>
        <v>69.599999999999994</v>
      </c>
    </row>
    <row r="213" spans="1:23" ht="13.5" customHeight="1" x14ac:dyDescent="0.25">
      <c r="A213" s="60"/>
      <c r="B213" s="71" t="s">
        <v>272</v>
      </c>
      <c r="C213" s="77"/>
      <c r="D213" s="169">
        <v>13.8</v>
      </c>
      <c r="E213" s="170">
        <f t="shared" si="67"/>
        <v>0</v>
      </c>
      <c r="F213" s="183"/>
      <c r="G213" s="171">
        <v>11.3</v>
      </c>
      <c r="H213" s="172">
        <v>1</v>
      </c>
      <c r="I213" s="66">
        <f t="shared" si="68"/>
        <v>26.1</v>
      </c>
      <c r="J213" s="67" t="s">
        <v>69</v>
      </c>
      <c r="K213" s="73">
        <f t="shared" si="54"/>
        <v>55</v>
      </c>
      <c r="L213" s="73">
        <f t="shared" si="57"/>
        <v>81.099999999999994</v>
      </c>
      <c r="M213" s="74"/>
      <c r="N213" s="95"/>
      <c r="O213" s="169">
        <v>13.8</v>
      </c>
      <c r="P213" s="170">
        <f t="shared" si="69"/>
        <v>0</v>
      </c>
      <c r="Q213" s="183"/>
      <c r="R213" s="171">
        <v>11.3</v>
      </c>
      <c r="S213" s="172">
        <v>1</v>
      </c>
      <c r="T213" s="66">
        <f t="shared" si="70"/>
        <v>26.1</v>
      </c>
      <c r="U213" s="67" t="s">
        <v>69</v>
      </c>
      <c r="V213" s="73">
        <f t="shared" si="55"/>
        <v>55</v>
      </c>
      <c r="W213" s="73">
        <f t="shared" si="62"/>
        <v>81.099999999999994</v>
      </c>
    </row>
    <row r="214" spans="1:23" ht="13.5" customHeight="1" x14ac:dyDescent="0.25">
      <c r="A214" s="60"/>
      <c r="B214" s="71" t="s">
        <v>273</v>
      </c>
      <c r="C214" s="77"/>
      <c r="D214" s="169">
        <v>2</v>
      </c>
      <c r="E214" s="170">
        <f t="shared" si="67"/>
        <v>0</v>
      </c>
      <c r="F214" s="183"/>
      <c r="G214" s="171">
        <v>5.2</v>
      </c>
      <c r="H214" s="172">
        <v>0.1</v>
      </c>
      <c r="I214" s="66">
        <f t="shared" si="68"/>
        <v>7.3</v>
      </c>
      <c r="J214" s="67" t="s">
        <v>69</v>
      </c>
      <c r="K214" s="73">
        <f t="shared" si="54"/>
        <v>55</v>
      </c>
      <c r="L214" s="73">
        <f t="shared" si="57"/>
        <v>62.3</v>
      </c>
      <c r="M214" s="74"/>
      <c r="N214" s="95"/>
      <c r="O214" s="169">
        <v>2</v>
      </c>
      <c r="P214" s="170">
        <f t="shared" si="69"/>
        <v>0</v>
      </c>
      <c r="Q214" s="183"/>
      <c r="R214" s="171">
        <v>5.2</v>
      </c>
      <c r="S214" s="172">
        <v>0.1</v>
      </c>
      <c r="T214" s="66">
        <f t="shared" si="70"/>
        <v>7.3</v>
      </c>
      <c r="U214" s="67" t="s">
        <v>69</v>
      </c>
      <c r="V214" s="73">
        <f t="shared" si="55"/>
        <v>55</v>
      </c>
      <c r="W214" s="73">
        <f t="shared" si="62"/>
        <v>62.3</v>
      </c>
    </row>
    <row r="215" spans="1:23" ht="13.5" customHeight="1" x14ac:dyDescent="0.25">
      <c r="A215" s="60"/>
      <c r="B215" s="99"/>
      <c r="C215" s="77"/>
      <c r="D215" s="62"/>
      <c r="E215" s="63"/>
      <c r="F215" s="64"/>
      <c r="G215" s="63"/>
      <c r="H215" s="65"/>
      <c r="I215" s="80"/>
      <c r="J215" s="67" t="s">
        <v>69</v>
      </c>
      <c r="K215" s="73">
        <f t="shared" si="54"/>
        <v>55</v>
      </c>
      <c r="L215" s="73">
        <f t="shared" si="57"/>
        <v>55</v>
      </c>
      <c r="M215" s="74"/>
      <c r="N215" s="95"/>
      <c r="O215" s="62"/>
      <c r="P215" s="63"/>
      <c r="Q215" s="64"/>
      <c r="R215" s="63"/>
      <c r="S215" s="65"/>
      <c r="T215" s="80"/>
      <c r="U215" s="67" t="s">
        <v>69</v>
      </c>
      <c r="V215" s="73">
        <f t="shared" si="55"/>
        <v>55</v>
      </c>
      <c r="W215" s="73">
        <f t="shared" si="62"/>
        <v>55</v>
      </c>
    </row>
    <row r="216" spans="1:23" ht="13.5" customHeight="1" x14ac:dyDescent="0.25">
      <c r="A216" s="60">
        <v>16</v>
      </c>
      <c r="B216" s="61" t="s">
        <v>274</v>
      </c>
      <c r="C216" s="77"/>
      <c r="D216" s="62"/>
      <c r="E216" s="63"/>
      <c r="F216" s="64"/>
      <c r="G216" s="63"/>
      <c r="H216" s="65"/>
      <c r="I216" s="80"/>
      <c r="J216" s="67" t="s">
        <v>69</v>
      </c>
      <c r="K216" s="73">
        <f t="shared" si="54"/>
        <v>55</v>
      </c>
      <c r="L216" s="73">
        <f t="shared" si="57"/>
        <v>55</v>
      </c>
      <c r="M216" s="74"/>
      <c r="N216" s="95"/>
      <c r="O216" s="62"/>
      <c r="P216" s="63"/>
      <c r="Q216" s="64"/>
      <c r="R216" s="63"/>
      <c r="S216" s="65"/>
      <c r="T216" s="80"/>
      <c r="U216" s="67" t="s">
        <v>69</v>
      </c>
      <c r="V216" s="73">
        <f t="shared" si="55"/>
        <v>55</v>
      </c>
      <c r="W216" s="73">
        <f t="shared" si="62"/>
        <v>55</v>
      </c>
    </row>
    <row r="217" spans="1:23" ht="13.5" customHeight="1" x14ac:dyDescent="0.25">
      <c r="A217" s="60"/>
      <c r="B217" s="71" t="s">
        <v>275</v>
      </c>
      <c r="C217" s="77"/>
      <c r="D217" s="169">
        <v>0.3</v>
      </c>
      <c r="E217" s="170">
        <f>+ROUND(F217*GO*(1+$I$5),1)</f>
        <v>0</v>
      </c>
      <c r="F217" s="183"/>
      <c r="G217" s="171">
        <v>0.1</v>
      </c>
      <c r="H217" s="172">
        <v>0</v>
      </c>
      <c r="I217" s="185">
        <f>D217+E217+G217+H217</f>
        <v>0.4</v>
      </c>
      <c r="J217" s="67" t="s">
        <v>69</v>
      </c>
      <c r="K217" s="73">
        <f t="shared" si="54"/>
        <v>55</v>
      </c>
      <c r="L217" s="73">
        <f t="shared" si="57"/>
        <v>55.4</v>
      </c>
      <c r="M217" s="74"/>
      <c r="N217" s="95"/>
      <c r="O217" s="169">
        <v>0.3</v>
      </c>
      <c r="P217" s="170">
        <f>+ROUND(Q217*GO*(1+$I$5),1)</f>
        <v>0</v>
      </c>
      <c r="Q217" s="183"/>
      <c r="R217" s="171">
        <v>0.1</v>
      </c>
      <c r="S217" s="172">
        <v>0</v>
      </c>
      <c r="T217" s="185">
        <f>O217+P217+R217+S217</f>
        <v>0.4</v>
      </c>
      <c r="U217" s="67" t="s">
        <v>69</v>
      </c>
      <c r="V217" s="73">
        <f t="shared" si="55"/>
        <v>55</v>
      </c>
      <c r="W217" s="73">
        <f t="shared" si="62"/>
        <v>55.4</v>
      </c>
    </row>
    <row r="218" spans="1:23" ht="13.5" customHeight="1" x14ac:dyDescent="0.25">
      <c r="A218" s="60"/>
      <c r="B218" s="71" t="s">
        <v>276</v>
      </c>
      <c r="C218" s="77"/>
      <c r="D218" s="169">
        <v>2.7</v>
      </c>
      <c r="E218" s="170">
        <f>+ROUND(F218*GO*(1+$I$5),1)</f>
        <v>0</v>
      </c>
      <c r="F218" s="183"/>
      <c r="G218" s="171">
        <v>1.3</v>
      </c>
      <c r="H218" s="172">
        <v>0.2</v>
      </c>
      <c r="I218" s="185">
        <f>D218+E218+G218+H218</f>
        <v>4.2</v>
      </c>
      <c r="J218" s="67" t="s">
        <v>69</v>
      </c>
      <c r="K218" s="73">
        <f t="shared" si="54"/>
        <v>55</v>
      </c>
      <c r="L218" s="73">
        <f t="shared" si="57"/>
        <v>59.2</v>
      </c>
      <c r="M218" s="74"/>
      <c r="N218" s="95"/>
      <c r="O218" s="169">
        <v>2.7</v>
      </c>
      <c r="P218" s="170">
        <f>+ROUND(Q218*GO*(1+$I$5),1)</f>
        <v>0</v>
      </c>
      <c r="Q218" s="183"/>
      <c r="R218" s="171">
        <v>1.3</v>
      </c>
      <c r="S218" s="172">
        <v>0.2</v>
      </c>
      <c r="T218" s="185">
        <f>O218+P218+R218+S218</f>
        <v>4.2</v>
      </c>
      <c r="U218" s="67" t="s">
        <v>69</v>
      </c>
      <c r="V218" s="73">
        <f t="shared" si="55"/>
        <v>55</v>
      </c>
      <c r="W218" s="73">
        <f t="shared" si="62"/>
        <v>59.2</v>
      </c>
    </row>
    <row r="219" spans="1:23" ht="13.5" customHeight="1" x14ac:dyDescent="0.25">
      <c r="A219" s="60"/>
      <c r="B219" s="71" t="s">
        <v>277</v>
      </c>
      <c r="C219" s="77"/>
      <c r="D219" s="169">
        <v>2.7</v>
      </c>
      <c r="E219" s="170">
        <f>+ROUND(F219*GO*(1+$I$5),1)</f>
        <v>0</v>
      </c>
      <c r="F219" s="183"/>
      <c r="G219" s="171">
        <v>1.3</v>
      </c>
      <c r="H219" s="172">
        <v>0.2</v>
      </c>
      <c r="I219" s="185">
        <f>D219+E219+G219+H219</f>
        <v>4.2</v>
      </c>
      <c r="J219" s="67" t="s">
        <v>69</v>
      </c>
      <c r="K219" s="73">
        <f t="shared" ref="K219:K282" si="71">+$I$8</f>
        <v>55</v>
      </c>
      <c r="L219" s="73">
        <f t="shared" si="57"/>
        <v>59.2</v>
      </c>
      <c r="M219" s="74"/>
      <c r="N219" s="95"/>
      <c r="O219" s="169">
        <v>2.7</v>
      </c>
      <c r="P219" s="170">
        <f>+ROUND(Q219*GO*(1+$I$5),1)</f>
        <v>0</v>
      </c>
      <c r="Q219" s="183"/>
      <c r="R219" s="171">
        <v>1.3</v>
      </c>
      <c r="S219" s="172">
        <v>0.2</v>
      </c>
      <c r="T219" s="185">
        <f>O219+P219+R219+S219</f>
        <v>4.2</v>
      </c>
      <c r="U219" s="67" t="s">
        <v>69</v>
      </c>
      <c r="V219" s="73">
        <f t="shared" si="55"/>
        <v>55</v>
      </c>
      <c r="W219" s="73">
        <f t="shared" si="62"/>
        <v>59.2</v>
      </c>
    </row>
    <row r="220" spans="1:23" ht="13.5" customHeight="1" x14ac:dyDescent="0.25">
      <c r="A220" s="60"/>
      <c r="B220" s="71" t="s">
        <v>278</v>
      </c>
      <c r="C220" s="72"/>
      <c r="D220" s="169">
        <v>2.4</v>
      </c>
      <c r="E220" s="170">
        <f>+ROUND(F220*GO*(1+$I$5),1)</f>
        <v>0</v>
      </c>
      <c r="F220" s="183"/>
      <c r="G220" s="171">
        <v>1.5</v>
      </c>
      <c r="H220" s="172">
        <v>0.2</v>
      </c>
      <c r="I220" s="185">
        <f>D220+E220+G220+H220</f>
        <v>4.0999999999999996</v>
      </c>
      <c r="J220" s="67" t="s">
        <v>69</v>
      </c>
      <c r="K220" s="73">
        <f t="shared" si="71"/>
        <v>55</v>
      </c>
      <c r="L220" s="73">
        <f t="shared" si="57"/>
        <v>59.1</v>
      </c>
      <c r="M220" s="74"/>
      <c r="N220" s="95"/>
      <c r="O220" s="169">
        <v>2.4</v>
      </c>
      <c r="P220" s="170">
        <f>+ROUND(Q220*GO*(1+$I$5),1)</f>
        <v>0</v>
      </c>
      <c r="Q220" s="183"/>
      <c r="R220" s="171">
        <v>1.5</v>
      </c>
      <c r="S220" s="172">
        <v>0.2</v>
      </c>
      <c r="T220" s="185">
        <f>O220+P220+R220+S220</f>
        <v>4.0999999999999996</v>
      </c>
      <c r="U220" s="67" t="s">
        <v>69</v>
      </c>
      <c r="V220" s="73">
        <f t="shared" si="55"/>
        <v>55</v>
      </c>
      <c r="W220" s="73">
        <f t="shared" si="62"/>
        <v>59.1</v>
      </c>
    </row>
    <row r="221" spans="1:23" ht="13.5" customHeight="1" x14ac:dyDescent="0.25">
      <c r="A221" s="60"/>
      <c r="B221" s="71" t="s">
        <v>279</v>
      </c>
      <c r="C221" s="72"/>
      <c r="D221" s="169">
        <v>2.5</v>
      </c>
      <c r="E221" s="170">
        <f>+ROUND(F221*GO*(1+$I$5),1)</f>
        <v>0</v>
      </c>
      <c r="F221" s="183"/>
      <c r="G221" s="171">
        <v>1.5</v>
      </c>
      <c r="H221" s="172">
        <v>0.2</v>
      </c>
      <c r="I221" s="185">
        <f>D221+E221+G221+H221</f>
        <v>4.2</v>
      </c>
      <c r="J221" s="67" t="s">
        <v>69</v>
      </c>
      <c r="K221" s="73">
        <f t="shared" si="71"/>
        <v>55</v>
      </c>
      <c r="L221" s="73">
        <f t="shared" ref="L221:L284" si="72">+K221+I221</f>
        <v>59.2</v>
      </c>
      <c r="M221" s="74"/>
      <c r="N221" s="95"/>
      <c r="O221" s="169">
        <v>2.5</v>
      </c>
      <c r="P221" s="170">
        <f>+ROUND(Q221*GO*(1+$I$5),1)</f>
        <v>0</v>
      </c>
      <c r="Q221" s="183"/>
      <c r="R221" s="171">
        <v>1.5</v>
      </c>
      <c r="S221" s="172">
        <v>0.2</v>
      </c>
      <c r="T221" s="185">
        <f>O221+P221+R221+S221</f>
        <v>4.2</v>
      </c>
      <c r="U221" s="67" t="s">
        <v>69</v>
      </c>
      <c r="V221" s="73">
        <f t="shared" ref="V221:V284" si="73">+$I$8</f>
        <v>55</v>
      </c>
      <c r="W221" s="73">
        <f t="shared" ref="W221:W229" si="74">+V221+T221</f>
        <v>59.2</v>
      </c>
    </row>
    <row r="222" spans="1:23" ht="13.5" customHeight="1" x14ac:dyDescent="0.25">
      <c r="A222" s="60"/>
      <c r="B222" s="61"/>
      <c r="C222" s="3"/>
      <c r="D222" s="62"/>
      <c r="E222" s="63"/>
      <c r="F222" s="64"/>
      <c r="G222" s="63"/>
      <c r="H222" s="65"/>
      <c r="I222" s="80"/>
      <c r="J222" s="67" t="s">
        <v>69</v>
      </c>
      <c r="K222" s="73">
        <f t="shared" si="71"/>
        <v>55</v>
      </c>
      <c r="L222" s="73">
        <f t="shared" si="72"/>
        <v>55</v>
      </c>
      <c r="M222" s="74"/>
      <c r="N222" s="95"/>
      <c r="O222" s="62"/>
      <c r="P222" s="63"/>
      <c r="Q222" s="64"/>
      <c r="R222" s="63"/>
      <c r="S222" s="65"/>
      <c r="T222" s="80"/>
      <c r="U222" s="67" t="s">
        <v>69</v>
      </c>
      <c r="V222" s="73">
        <f t="shared" si="73"/>
        <v>55</v>
      </c>
      <c r="W222" s="73">
        <f t="shared" si="74"/>
        <v>55</v>
      </c>
    </row>
    <row r="223" spans="1:23" ht="13.5" customHeight="1" x14ac:dyDescent="0.25">
      <c r="A223" s="60">
        <v>17</v>
      </c>
      <c r="B223" s="61" t="s">
        <v>280</v>
      </c>
      <c r="C223" s="77"/>
      <c r="D223" s="62"/>
      <c r="E223" s="63"/>
      <c r="F223" s="64"/>
      <c r="G223" s="63"/>
      <c r="H223" s="65"/>
      <c r="I223" s="80"/>
      <c r="J223" s="67" t="s">
        <v>69</v>
      </c>
      <c r="K223" s="73">
        <f t="shared" si="71"/>
        <v>55</v>
      </c>
      <c r="L223" s="73">
        <f t="shared" si="72"/>
        <v>55</v>
      </c>
      <c r="M223" s="74"/>
      <c r="N223" s="95"/>
      <c r="O223" s="62"/>
      <c r="P223" s="63"/>
      <c r="Q223" s="64"/>
      <c r="R223" s="63"/>
      <c r="S223" s="65"/>
      <c r="T223" s="80"/>
      <c r="U223" s="67" t="s">
        <v>69</v>
      </c>
      <c r="V223" s="73">
        <f t="shared" si="73"/>
        <v>55</v>
      </c>
      <c r="W223" s="73">
        <f t="shared" si="74"/>
        <v>55</v>
      </c>
    </row>
    <row r="224" spans="1:23" ht="13.5" customHeight="1" x14ac:dyDescent="0.25">
      <c r="A224" s="60"/>
      <c r="B224" s="71" t="s">
        <v>281</v>
      </c>
      <c r="C224" s="77"/>
      <c r="D224" s="152">
        <v>2.4</v>
      </c>
      <c r="E224" s="153">
        <f t="shared" ref="E224:E229" si="75">+ROUND(F224*GO*(1+$I$5),1)</f>
        <v>3.7</v>
      </c>
      <c r="F224" s="159">
        <v>2.9411764705882355</v>
      </c>
      <c r="G224" s="154">
        <v>1.4</v>
      </c>
      <c r="H224" s="155">
        <v>0.2</v>
      </c>
      <c r="I224" s="66">
        <f t="shared" ref="I224:I229" si="76">D224+E224+G224+H224</f>
        <v>7.7</v>
      </c>
      <c r="J224" s="67" t="s">
        <v>69</v>
      </c>
      <c r="K224" s="73">
        <f t="shared" si="71"/>
        <v>55</v>
      </c>
      <c r="L224" s="73">
        <f t="shared" si="72"/>
        <v>62.7</v>
      </c>
      <c r="M224" s="74"/>
      <c r="N224" s="95"/>
      <c r="O224" s="152">
        <v>2.4</v>
      </c>
      <c r="P224" s="153">
        <f t="shared" ref="P224:P229" si="77">+ROUND(Q224*GO*(1+$I$5),1)</f>
        <v>3.7</v>
      </c>
      <c r="Q224" s="159">
        <v>2.9411764705882355</v>
      </c>
      <c r="R224" s="154">
        <v>1.4</v>
      </c>
      <c r="S224" s="155">
        <v>0.2</v>
      </c>
      <c r="T224" s="66">
        <f t="shared" ref="T224:T229" si="78">O224+P224+R224+S224</f>
        <v>7.7</v>
      </c>
      <c r="U224" s="67" t="s">
        <v>69</v>
      </c>
      <c r="V224" s="73">
        <f t="shared" si="73"/>
        <v>55</v>
      </c>
      <c r="W224" s="73">
        <f t="shared" si="74"/>
        <v>62.7</v>
      </c>
    </row>
    <row r="225" spans="1:23" ht="13.5" customHeight="1" x14ac:dyDescent="0.25">
      <c r="A225" s="60"/>
      <c r="B225" s="71" t="s">
        <v>282</v>
      </c>
      <c r="C225" s="77"/>
      <c r="D225" s="152">
        <v>2.2000000000000002</v>
      </c>
      <c r="E225" s="153">
        <f t="shared" si="75"/>
        <v>3.7</v>
      </c>
      <c r="F225" s="159">
        <v>2.9411764705882355</v>
      </c>
      <c r="G225" s="154">
        <v>1.4</v>
      </c>
      <c r="H225" s="155">
        <v>0.1</v>
      </c>
      <c r="I225" s="66">
        <f t="shared" si="76"/>
        <v>7.4</v>
      </c>
      <c r="J225" s="67" t="s">
        <v>69</v>
      </c>
      <c r="K225" s="73">
        <f t="shared" si="71"/>
        <v>55</v>
      </c>
      <c r="L225" s="73">
        <f t="shared" si="72"/>
        <v>62.4</v>
      </c>
      <c r="M225" s="74"/>
      <c r="N225" s="95"/>
      <c r="O225" s="152">
        <v>2.2000000000000002</v>
      </c>
      <c r="P225" s="153">
        <f t="shared" si="77"/>
        <v>3.7</v>
      </c>
      <c r="Q225" s="159">
        <v>2.9411764705882355</v>
      </c>
      <c r="R225" s="154">
        <v>1.4</v>
      </c>
      <c r="S225" s="155">
        <v>0.1</v>
      </c>
      <c r="T225" s="66">
        <f t="shared" si="78"/>
        <v>7.4</v>
      </c>
      <c r="U225" s="67" t="s">
        <v>69</v>
      </c>
      <c r="V225" s="73">
        <f t="shared" si="73"/>
        <v>55</v>
      </c>
      <c r="W225" s="73">
        <f t="shared" si="74"/>
        <v>62.4</v>
      </c>
    </row>
    <row r="226" spans="1:23" ht="13.5" customHeight="1" x14ac:dyDescent="0.25">
      <c r="A226" s="60"/>
      <c r="B226" s="71" t="s">
        <v>283</v>
      </c>
      <c r="C226" s="77"/>
      <c r="D226" s="152">
        <v>4</v>
      </c>
      <c r="E226" s="153">
        <f t="shared" si="75"/>
        <v>5</v>
      </c>
      <c r="F226" s="159">
        <v>3.9876167536083167</v>
      </c>
      <c r="G226" s="154">
        <v>2.5</v>
      </c>
      <c r="H226" s="155">
        <v>0.4</v>
      </c>
      <c r="I226" s="66">
        <f t="shared" si="76"/>
        <v>11.9</v>
      </c>
      <c r="J226" s="67" t="s">
        <v>69</v>
      </c>
      <c r="K226" s="73">
        <f t="shared" si="71"/>
        <v>55</v>
      </c>
      <c r="L226" s="73">
        <f t="shared" si="72"/>
        <v>66.900000000000006</v>
      </c>
      <c r="M226" s="74"/>
      <c r="N226" s="95"/>
      <c r="O226" s="152">
        <v>4</v>
      </c>
      <c r="P226" s="153">
        <f t="shared" si="77"/>
        <v>5</v>
      </c>
      <c r="Q226" s="159">
        <v>3.9876167536083167</v>
      </c>
      <c r="R226" s="154">
        <v>2.5</v>
      </c>
      <c r="S226" s="155">
        <v>0.4</v>
      </c>
      <c r="T226" s="66">
        <f t="shared" si="78"/>
        <v>11.9</v>
      </c>
      <c r="U226" s="67" t="s">
        <v>69</v>
      </c>
      <c r="V226" s="73">
        <f t="shared" si="73"/>
        <v>55</v>
      </c>
      <c r="W226" s="73">
        <f t="shared" si="74"/>
        <v>66.900000000000006</v>
      </c>
    </row>
    <row r="227" spans="1:23" ht="13.5" customHeight="1" x14ac:dyDescent="0.25">
      <c r="A227" s="60"/>
      <c r="B227" s="71" t="s">
        <v>284</v>
      </c>
      <c r="C227" s="77"/>
      <c r="D227" s="152">
        <v>7</v>
      </c>
      <c r="E227" s="153">
        <f t="shared" si="75"/>
        <v>5.8</v>
      </c>
      <c r="F227" s="160">
        <v>4.6854676430045403</v>
      </c>
      <c r="G227" s="154">
        <v>4.3</v>
      </c>
      <c r="H227" s="155">
        <v>0.6</v>
      </c>
      <c r="I227" s="66">
        <f t="shared" si="76"/>
        <v>17.700000000000003</v>
      </c>
      <c r="J227" s="67" t="s">
        <v>69</v>
      </c>
      <c r="K227" s="73">
        <f t="shared" si="71"/>
        <v>55</v>
      </c>
      <c r="L227" s="73">
        <f t="shared" si="72"/>
        <v>72.7</v>
      </c>
      <c r="M227" s="74"/>
      <c r="N227" s="95"/>
      <c r="O227" s="152">
        <v>7</v>
      </c>
      <c r="P227" s="153">
        <f t="shared" si="77"/>
        <v>5.8</v>
      </c>
      <c r="Q227" s="160">
        <v>4.6854676430045403</v>
      </c>
      <c r="R227" s="154">
        <v>4.3</v>
      </c>
      <c r="S227" s="155">
        <v>0.6</v>
      </c>
      <c r="T227" s="66">
        <f t="shared" si="78"/>
        <v>17.700000000000003</v>
      </c>
      <c r="U227" s="67" t="s">
        <v>69</v>
      </c>
      <c r="V227" s="73">
        <f t="shared" si="73"/>
        <v>55</v>
      </c>
      <c r="W227" s="73">
        <f t="shared" si="74"/>
        <v>72.7</v>
      </c>
    </row>
    <row r="228" spans="1:23" ht="13.5" customHeight="1" x14ac:dyDescent="0.25">
      <c r="A228" s="60"/>
      <c r="B228" s="71" t="s">
        <v>285</v>
      </c>
      <c r="C228" s="77"/>
      <c r="D228" s="152">
        <v>2</v>
      </c>
      <c r="E228" s="153">
        <f t="shared" si="75"/>
        <v>5</v>
      </c>
      <c r="F228" s="163">
        <v>4</v>
      </c>
      <c r="G228" s="154">
        <v>3</v>
      </c>
      <c r="H228" s="155">
        <v>0.1</v>
      </c>
      <c r="I228" s="66">
        <f t="shared" si="76"/>
        <v>10.1</v>
      </c>
      <c r="J228" s="67" t="s">
        <v>69</v>
      </c>
      <c r="K228" s="73">
        <f t="shared" si="71"/>
        <v>55</v>
      </c>
      <c r="L228" s="73">
        <f t="shared" si="72"/>
        <v>65.099999999999994</v>
      </c>
      <c r="M228" s="74"/>
      <c r="N228" s="95"/>
      <c r="O228" s="152">
        <v>2</v>
      </c>
      <c r="P228" s="153">
        <f t="shared" si="77"/>
        <v>5</v>
      </c>
      <c r="Q228" s="163">
        <v>4</v>
      </c>
      <c r="R228" s="154">
        <v>3</v>
      </c>
      <c r="S228" s="155">
        <v>0.1</v>
      </c>
      <c r="T228" s="66">
        <f t="shared" si="78"/>
        <v>10.1</v>
      </c>
      <c r="U228" s="67" t="s">
        <v>69</v>
      </c>
      <c r="V228" s="73">
        <f t="shared" si="73"/>
        <v>55</v>
      </c>
      <c r="W228" s="73">
        <f t="shared" si="74"/>
        <v>65.099999999999994</v>
      </c>
    </row>
    <row r="229" spans="1:23" ht="13.5" customHeight="1" x14ac:dyDescent="0.25">
      <c r="A229" s="60"/>
      <c r="B229" s="71" t="s">
        <v>286</v>
      </c>
      <c r="C229" s="72"/>
      <c r="D229" s="169">
        <v>5.0999999999999996</v>
      </c>
      <c r="E229" s="170">
        <f t="shared" si="75"/>
        <v>22.5</v>
      </c>
      <c r="F229" s="186">
        <v>18</v>
      </c>
      <c r="G229" s="171">
        <v>7.3</v>
      </c>
      <c r="H229" s="172">
        <v>0.6</v>
      </c>
      <c r="I229" s="66">
        <f t="shared" si="76"/>
        <v>35.5</v>
      </c>
      <c r="J229" s="67" t="s">
        <v>69</v>
      </c>
      <c r="K229" s="73">
        <f t="shared" si="71"/>
        <v>55</v>
      </c>
      <c r="L229" s="73">
        <f t="shared" si="72"/>
        <v>90.5</v>
      </c>
      <c r="M229" s="74"/>
      <c r="N229" s="95"/>
      <c r="O229" s="169">
        <v>5.0999999999999996</v>
      </c>
      <c r="P229" s="170">
        <f t="shared" si="77"/>
        <v>22.5</v>
      </c>
      <c r="Q229" s="186">
        <v>18</v>
      </c>
      <c r="R229" s="171">
        <v>7.3</v>
      </c>
      <c r="S229" s="172">
        <v>0.6</v>
      </c>
      <c r="T229" s="66">
        <f t="shared" si="78"/>
        <v>35.5</v>
      </c>
      <c r="U229" s="67" t="s">
        <v>69</v>
      </c>
      <c r="V229" s="73">
        <f t="shared" si="73"/>
        <v>55</v>
      </c>
      <c r="W229" s="73">
        <f t="shared" si="74"/>
        <v>90.5</v>
      </c>
    </row>
    <row r="230" spans="1:23" ht="13.5" customHeight="1" x14ac:dyDescent="0.25">
      <c r="A230" s="60"/>
      <c r="B230" s="71"/>
      <c r="C230" s="72"/>
      <c r="D230" s="81"/>
      <c r="E230" s="63"/>
      <c r="F230" s="82"/>
      <c r="G230" s="63"/>
      <c r="H230" s="65"/>
      <c r="I230" s="66"/>
      <c r="J230" s="67" t="s">
        <v>69</v>
      </c>
      <c r="K230" s="73"/>
      <c r="L230" s="73"/>
      <c r="M230" s="74"/>
      <c r="N230" s="95"/>
      <c r="O230" s="81"/>
      <c r="P230" s="63"/>
      <c r="Q230" s="82"/>
      <c r="R230" s="63"/>
      <c r="S230" s="65"/>
      <c r="T230" s="66"/>
      <c r="U230" s="67" t="s">
        <v>69</v>
      </c>
      <c r="V230" s="73"/>
      <c r="W230" s="73"/>
    </row>
    <row r="231" spans="1:23" ht="13.5" customHeight="1" x14ac:dyDescent="0.25">
      <c r="A231" s="60">
        <v>37</v>
      </c>
      <c r="B231" s="61" t="s">
        <v>287</v>
      </c>
      <c r="D231" s="62"/>
      <c r="E231" s="63"/>
      <c r="F231" s="64"/>
      <c r="G231" s="63"/>
      <c r="H231" s="65"/>
      <c r="I231" s="66"/>
      <c r="J231" s="67" t="s">
        <v>69</v>
      </c>
      <c r="K231" s="73">
        <f t="shared" si="71"/>
        <v>55</v>
      </c>
      <c r="L231" s="73">
        <f t="shared" si="72"/>
        <v>55</v>
      </c>
      <c r="M231" s="74"/>
      <c r="N231" s="102"/>
      <c r="O231" s="62"/>
      <c r="P231" s="63"/>
      <c r="Q231" s="64"/>
      <c r="R231" s="63"/>
      <c r="S231" s="65"/>
      <c r="T231" s="66"/>
      <c r="U231" s="67" t="s">
        <v>69</v>
      </c>
      <c r="V231" s="73">
        <f t="shared" si="73"/>
        <v>55</v>
      </c>
      <c r="W231" s="73">
        <f t="shared" ref="W231:W294" si="79">+V231+T231</f>
        <v>55</v>
      </c>
    </row>
    <row r="232" spans="1:23" ht="13.5" customHeight="1" x14ac:dyDescent="0.25">
      <c r="A232" s="60"/>
      <c r="B232" s="71" t="s">
        <v>288</v>
      </c>
      <c r="C232" s="72"/>
      <c r="D232" s="169">
        <v>11.6</v>
      </c>
      <c r="E232" s="170">
        <f t="shared" ref="E232:E237" si="80">+ROUND(F232*GO*(1+$I$5),1)</f>
        <v>0</v>
      </c>
      <c r="F232" s="183"/>
      <c r="G232" s="175">
        <v>11</v>
      </c>
      <c r="H232" s="172">
        <v>0.8</v>
      </c>
      <c r="I232" s="66">
        <f t="shared" ref="I232:I237" si="81">D232+E232+G232+H232</f>
        <v>23.400000000000002</v>
      </c>
      <c r="J232" s="67" t="s">
        <v>69</v>
      </c>
      <c r="K232" s="73">
        <f t="shared" si="71"/>
        <v>55</v>
      </c>
      <c r="L232" s="73">
        <f t="shared" si="72"/>
        <v>78.400000000000006</v>
      </c>
      <c r="M232" s="74"/>
      <c r="N232" s="102"/>
      <c r="O232" s="169">
        <v>11.6</v>
      </c>
      <c r="P232" s="170">
        <f t="shared" ref="P232:P237" si="82">+ROUND(Q232*GO*(1+$I$5),1)</f>
        <v>0</v>
      </c>
      <c r="Q232" s="183"/>
      <c r="R232" s="175">
        <v>11</v>
      </c>
      <c r="S232" s="172">
        <v>0.8</v>
      </c>
      <c r="T232" s="66">
        <f t="shared" ref="T232:T237" si="83">O232+P232+R232+S232</f>
        <v>23.400000000000002</v>
      </c>
      <c r="U232" s="67" t="s">
        <v>69</v>
      </c>
      <c r="V232" s="73">
        <f t="shared" si="73"/>
        <v>55</v>
      </c>
      <c r="W232" s="73">
        <f t="shared" si="79"/>
        <v>78.400000000000006</v>
      </c>
    </row>
    <row r="233" spans="1:23" ht="13.5" customHeight="1" x14ac:dyDescent="0.25">
      <c r="A233" s="60"/>
      <c r="B233" s="71" t="s">
        <v>289</v>
      </c>
      <c r="D233" s="169">
        <v>3.5</v>
      </c>
      <c r="E233" s="170">
        <f t="shared" si="80"/>
        <v>0</v>
      </c>
      <c r="F233" s="183"/>
      <c r="G233" s="175">
        <v>3.5</v>
      </c>
      <c r="H233" s="172">
        <v>0.2</v>
      </c>
      <c r="I233" s="66">
        <f t="shared" si="81"/>
        <v>7.2</v>
      </c>
      <c r="J233" s="67" t="s">
        <v>69</v>
      </c>
      <c r="K233" s="73">
        <f t="shared" si="71"/>
        <v>55</v>
      </c>
      <c r="L233" s="73">
        <f t="shared" si="72"/>
        <v>62.2</v>
      </c>
      <c r="M233" s="74"/>
      <c r="N233" s="59"/>
      <c r="O233" s="169">
        <v>3.5</v>
      </c>
      <c r="P233" s="170">
        <f t="shared" si="82"/>
        <v>0</v>
      </c>
      <c r="Q233" s="183"/>
      <c r="R233" s="175">
        <v>3.5</v>
      </c>
      <c r="S233" s="172">
        <v>0.2</v>
      </c>
      <c r="T233" s="66">
        <f t="shared" si="83"/>
        <v>7.2</v>
      </c>
      <c r="U233" s="67" t="s">
        <v>69</v>
      </c>
      <c r="V233" s="73">
        <f t="shared" si="73"/>
        <v>55</v>
      </c>
      <c r="W233" s="73">
        <f t="shared" si="79"/>
        <v>62.2</v>
      </c>
    </row>
    <row r="234" spans="1:23" ht="13.5" customHeight="1" x14ac:dyDescent="0.25">
      <c r="A234" s="60"/>
      <c r="B234" s="71" t="s">
        <v>290</v>
      </c>
      <c r="C234" s="72"/>
      <c r="D234" s="169">
        <v>4.2</v>
      </c>
      <c r="E234" s="170">
        <f t="shared" si="80"/>
        <v>0</v>
      </c>
      <c r="F234" s="183"/>
      <c r="G234" s="175">
        <v>4</v>
      </c>
      <c r="H234" s="172">
        <v>0.3</v>
      </c>
      <c r="I234" s="66">
        <f t="shared" si="81"/>
        <v>8.5</v>
      </c>
      <c r="J234" s="67" t="s">
        <v>69</v>
      </c>
      <c r="K234" s="73">
        <f t="shared" si="71"/>
        <v>55</v>
      </c>
      <c r="L234" s="73">
        <f t="shared" si="72"/>
        <v>63.5</v>
      </c>
      <c r="M234" s="74"/>
      <c r="N234" s="95"/>
      <c r="O234" s="169">
        <v>4.2</v>
      </c>
      <c r="P234" s="170">
        <f t="shared" si="82"/>
        <v>0</v>
      </c>
      <c r="Q234" s="183"/>
      <c r="R234" s="175">
        <v>4</v>
      </c>
      <c r="S234" s="172">
        <v>0.3</v>
      </c>
      <c r="T234" s="66">
        <f t="shared" si="83"/>
        <v>8.5</v>
      </c>
      <c r="U234" s="67" t="s">
        <v>69</v>
      </c>
      <c r="V234" s="73">
        <f t="shared" si="73"/>
        <v>55</v>
      </c>
      <c r="W234" s="73">
        <f t="shared" si="79"/>
        <v>63.5</v>
      </c>
    </row>
    <row r="235" spans="1:23" ht="13.5" customHeight="1" x14ac:dyDescent="0.25">
      <c r="A235" s="60"/>
      <c r="B235" s="71" t="s">
        <v>291</v>
      </c>
      <c r="D235" s="169">
        <v>5.4</v>
      </c>
      <c r="E235" s="170">
        <f t="shared" si="80"/>
        <v>0</v>
      </c>
      <c r="F235" s="183"/>
      <c r="G235" s="175">
        <v>5.3</v>
      </c>
      <c r="H235" s="172">
        <v>0.4</v>
      </c>
      <c r="I235" s="66">
        <f t="shared" si="81"/>
        <v>11.1</v>
      </c>
      <c r="J235" s="67" t="s">
        <v>69</v>
      </c>
      <c r="K235" s="73">
        <f t="shared" si="71"/>
        <v>55</v>
      </c>
      <c r="L235" s="73">
        <f t="shared" si="72"/>
        <v>66.099999999999994</v>
      </c>
      <c r="M235" s="74"/>
      <c r="N235" s="95"/>
      <c r="O235" s="169">
        <v>5.4</v>
      </c>
      <c r="P235" s="170">
        <f t="shared" si="82"/>
        <v>0</v>
      </c>
      <c r="Q235" s="183"/>
      <c r="R235" s="175">
        <v>5.3</v>
      </c>
      <c r="S235" s="172">
        <v>0.4</v>
      </c>
      <c r="T235" s="66">
        <f t="shared" si="83"/>
        <v>11.1</v>
      </c>
      <c r="U235" s="67" t="s">
        <v>69</v>
      </c>
      <c r="V235" s="73">
        <f t="shared" si="73"/>
        <v>55</v>
      </c>
      <c r="W235" s="73">
        <f t="shared" si="79"/>
        <v>66.099999999999994</v>
      </c>
    </row>
    <row r="236" spans="1:23" ht="13.5" customHeight="1" x14ac:dyDescent="0.25">
      <c r="A236" s="60"/>
      <c r="B236" s="71" t="s">
        <v>292</v>
      </c>
      <c r="C236" s="72"/>
      <c r="D236" s="169">
        <v>3.5</v>
      </c>
      <c r="E236" s="170">
        <f t="shared" si="80"/>
        <v>0</v>
      </c>
      <c r="F236" s="183"/>
      <c r="G236" s="175"/>
      <c r="H236" s="172">
        <v>0.2</v>
      </c>
      <c r="I236" s="66">
        <f t="shared" si="81"/>
        <v>3.7</v>
      </c>
      <c r="J236" s="67" t="s">
        <v>69</v>
      </c>
      <c r="K236" s="73">
        <f t="shared" si="71"/>
        <v>55</v>
      </c>
      <c r="L236" s="73">
        <f t="shared" si="72"/>
        <v>58.7</v>
      </c>
      <c r="M236" s="74"/>
      <c r="N236" s="95"/>
      <c r="O236" s="169">
        <v>3.5</v>
      </c>
      <c r="P236" s="170">
        <f t="shared" si="82"/>
        <v>0</v>
      </c>
      <c r="Q236" s="183"/>
      <c r="R236" s="175"/>
      <c r="S236" s="172">
        <v>0.2</v>
      </c>
      <c r="T236" s="66">
        <f t="shared" si="83"/>
        <v>3.7</v>
      </c>
      <c r="U236" s="67" t="s">
        <v>69</v>
      </c>
      <c r="V236" s="73">
        <f t="shared" si="73"/>
        <v>55</v>
      </c>
      <c r="W236" s="73">
        <f t="shared" si="79"/>
        <v>58.7</v>
      </c>
    </row>
    <row r="237" spans="1:23" ht="13.5" customHeight="1" x14ac:dyDescent="0.25">
      <c r="A237" s="60"/>
      <c r="B237" s="71" t="s">
        <v>293</v>
      </c>
      <c r="C237" s="72"/>
      <c r="D237" s="169">
        <v>5.8</v>
      </c>
      <c r="E237" s="170">
        <f t="shared" si="80"/>
        <v>0</v>
      </c>
      <c r="F237" s="186"/>
      <c r="G237" s="175">
        <v>5.8</v>
      </c>
      <c r="H237" s="172">
        <v>0.4</v>
      </c>
      <c r="I237" s="66">
        <f t="shared" si="81"/>
        <v>12</v>
      </c>
      <c r="J237" s="67" t="s">
        <v>69</v>
      </c>
      <c r="K237" s="73">
        <f t="shared" si="71"/>
        <v>55</v>
      </c>
      <c r="L237" s="73">
        <f t="shared" si="72"/>
        <v>67</v>
      </c>
      <c r="M237" s="74"/>
      <c r="N237" s="95"/>
      <c r="O237" s="169">
        <v>5.8</v>
      </c>
      <c r="P237" s="170">
        <f t="shared" si="82"/>
        <v>0</v>
      </c>
      <c r="Q237" s="186"/>
      <c r="R237" s="175">
        <v>5.8</v>
      </c>
      <c r="S237" s="172">
        <v>0.4</v>
      </c>
      <c r="T237" s="66">
        <f t="shared" si="83"/>
        <v>12</v>
      </c>
      <c r="U237" s="67" t="s">
        <v>69</v>
      </c>
      <c r="V237" s="73">
        <f t="shared" si="73"/>
        <v>55</v>
      </c>
      <c r="W237" s="73">
        <f t="shared" si="79"/>
        <v>67</v>
      </c>
    </row>
    <row r="238" spans="1:23" ht="13.5" customHeight="1" x14ac:dyDescent="0.25">
      <c r="A238" s="60"/>
      <c r="B238" s="61"/>
      <c r="C238" s="72"/>
      <c r="D238" s="62"/>
      <c r="E238" s="63"/>
      <c r="F238" s="64"/>
      <c r="G238" s="63"/>
      <c r="H238" s="65"/>
      <c r="I238" s="66"/>
      <c r="J238" s="67" t="s">
        <v>69</v>
      </c>
      <c r="K238" s="73">
        <f t="shared" si="71"/>
        <v>55</v>
      </c>
      <c r="L238" s="73">
        <f t="shared" si="72"/>
        <v>55</v>
      </c>
      <c r="M238" s="74"/>
      <c r="N238" s="95"/>
      <c r="O238" s="62"/>
      <c r="P238" s="63"/>
      <c r="Q238" s="64"/>
      <c r="R238" s="63"/>
      <c r="S238" s="65"/>
      <c r="T238" s="66"/>
      <c r="U238" s="67" t="s">
        <v>69</v>
      </c>
      <c r="V238" s="73">
        <f t="shared" si="73"/>
        <v>55</v>
      </c>
      <c r="W238" s="73">
        <f t="shared" si="79"/>
        <v>55</v>
      </c>
    </row>
    <row r="239" spans="1:23" ht="13.5" customHeight="1" x14ac:dyDescent="0.25">
      <c r="A239" s="60">
        <v>39</v>
      </c>
      <c r="B239" s="61" t="s">
        <v>294</v>
      </c>
      <c r="C239" s="72"/>
      <c r="D239" s="62"/>
      <c r="E239" s="63"/>
      <c r="F239" s="64"/>
      <c r="G239" s="63"/>
      <c r="H239" s="65"/>
      <c r="I239" s="66"/>
      <c r="J239" s="67" t="s">
        <v>69</v>
      </c>
      <c r="K239" s="73">
        <f t="shared" si="71"/>
        <v>55</v>
      </c>
      <c r="L239" s="73">
        <f t="shared" si="72"/>
        <v>55</v>
      </c>
      <c r="M239" s="74"/>
      <c r="N239" s="95"/>
      <c r="O239" s="62"/>
      <c r="P239" s="63"/>
      <c r="Q239" s="64"/>
      <c r="R239" s="63"/>
      <c r="S239" s="65"/>
      <c r="T239" s="66"/>
      <c r="U239" s="67" t="s">
        <v>69</v>
      </c>
      <c r="V239" s="73">
        <f t="shared" si="73"/>
        <v>55</v>
      </c>
      <c r="W239" s="73">
        <f t="shared" si="79"/>
        <v>55</v>
      </c>
    </row>
    <row r="240" spans="1:23" ht="13.5" customHeight="1" x14ac:dyDescent="0.25">
      <c r="A240" s="60"/>
      <c r="B240" s="71" t="s">
        <v>295</v>
      </c>
      <c r="D240" s="169">
        <v>9.8000000000000007</v>
      </c>
      <c r="E240" s="170">
        <f>+ROUND(F240*GO*(1+$I$5),1)</f>
        <v>0</v>
      </c>
      <c r="F240" s="183"/>
      <c r="G240" s="171">
        <v>22.7</v>
      </c>
      <c r="H240" s="172">
        <v>0.7</v>
      </c>
      <c r="I240" s="66">
        <f>D240+E240+G240+H240</f>
        <v>33.200000000000003</v>
      </c>
      <c r="J240" s="67" t="s">
        <v>69</v>
      </c>
      <c r="K240" s="73">
        <f t="shared" si="71"/>
        <v>55</v>
      </c>
      <c r="L240" s="73">
        <f t="shared" si="72"/>
        <v>88.2</v>
      </c>
      <c r="M240" s="74"/>
      <c r="N240" s="95"/>
      <c r="O240" s="169">
        <v>9.8000000000000007</v>
      </c>
      <c r="P240" s="170">
        <f>+ROUND(Q240*GO*(1+$I$5),1)</f>
        <v>0</v>
      </c>
      <c r="Q240" s="183"/>
      <c r="R240" s="171">
        <v>22.7</v>
      </c>
      <c r="S240" s="172">
        <v>0.7</v>
      </c>
      <c r="T240" s="66">
        <f>O240+P240+R240+S240</f>
        <v>33.200000000000003</v>
      </c>
      <c r="U240" s="67" t="s">
        <v>69</v>
      </c>
      <c r="V240" s="73">
        <f t="shared" si="73"/>
        <v>55</v>
      </c>
      <c r="W240" s="73">
        <f t="shared" si="79"/>
        <v>88.2</v>
      </c>
    </row>
    <row r="241" spans="1:23" ht="13.5" customHeight="1" x14ac:dyDescent="0.25">
      <c r="A241" s="60"/>
      <c r="B241" s="103" t="s">
        <v>296</v>
      </c>
      <c r="C241" s="72"/>
      <c r="D241" s="187">
        <v>38.1</v>
      </c>
      <c r="E241" s="170">
        <f>+ROUND(F241*GO*(1+$I$5),1)</f>
        <v>0</v>
      </c>
      <c r="F241" s="183"/>
      <c r="G241" s="171">
        <v>25.8</v>
      </c>
      <c r="H241" s="172">
        <v>2.6</v>
      </c>
      <c r="I241" s="66">
        <f>D241+E241+G241+H241</f>
        <v>66.5</v>
      </c>
      <c r="J241" s="67" t="s">
        <v>69</v>
      </c>
      <c r="K241" s="73">
        <f t="shared" si="71"/>
        <v>55</v>
      </c>
      <c r="L241" s="73">
        <f t="shared" si="72"/>
        <v>121.5</v>
      </c>
      <c r="M241" s="74"/>
      <c r="N241" s="95"/>
      <c r="O241" s="187">
        <v>38.1</v>
      </c>
      <c r="P241" s="170">
        <f>+ROUND(Q241*GO*(1+$I$5),1)</f>
        <v>0</v>
      </c>
      <c r="Q241" s="183"/>
      <c r="R241" s="171">
        <v>25.8</v>
      </c>
      <c r="S241" s="172">
        <v>2.6</v>
      </c>
      <c r="T241" s="66">
        <f>O241+P241+R241+S241</f>
        <v>66.5</v>
      </c>
      <c r="U241" s="67" t="s">
        <v>69</v>
      </c>
      <c r="V241" s="73">
        <f t="shared" si="73"/>
        <v>55</v>
      </c>
      <c r="W241" s="73">
        <f t="shared" si="79"/>
        <v>121.5</v>
      </c>
    </row>
    <row r="242" spans="1:23" ht="13.5" customHeight="1" x14ac:dyDescent="0.25">
      <c r="A242" s="60"/>
      <c r="B242" s="71"/>
      <c r="C242" s="72"/>
      <c r="D242" s="62"/>
      <c r="E242" s="63"/>
      <c r="F242" s="64"/>
      <c r="G242" s="63"/>
      <c r="H242" s="65"/>
      <c r="I242" s="66"/>
      <c r="J242" s="67" t="s">
        <v>69</v>
      </c>
      <c r="K242" s="73">
        <f t="shared" si="71"/>
        <v>55</v>
      </c>
      <c r="L242" s="73">
        <f t="shared" si="72"/>
        <v>55</v>
      </c>
      <c r="M242" s="74"/>
      <c r="N242" s="95"/>
      <c r="O242" s="62"/>
      <c r="P242" s="63"/>
      <c r="Q242" s="64"/>
      <c r="R242" s="63"/>
      <c r="S242" s="65"/>
      <c r="T242" s="66"/>
      <c r="U242" s="67" t="s">
        <v>69</v>
      </c>
      <c r="V242" s="73">
        <f t="shared" si="73"/>
        <v>55</v>
      </c>
      <c r="W242" s="73">
        <f t="shared" si="79"/>
        <v>55</v>
      </c>
    </row>
    <row r="243" spans="1:23" ht="13.5" customHeight="1" x14ac:dyDescent="0.25">
      <c r="A243" s="60">
        <v>40</v>
      </c>
      <c r="B243" s="61" t="s">
        <v>297</v>
      </c>
      <c r="C243" s="72"/>
      <c r="D243" s="62"/>
      <c r="E243" s="63"/>
      <c r="F243" s="64"/>
      <c r="G243" s="63"/>
      <c r="H243" s="65"/>
      <c r="I243" s="66"/>
      <c r="J243" s="67" t="s">
        <v>69</v>
      </c>
      <c r="K243" s="73">
        <f t="shared" si="71"/>
        <v>55</v>
      </c>
      <c r="L243" s="73">
        <f t="shared" si="72"/>
        <v>55</v>
      </c>
      <c r="M243" s="74"/>
      <c r="N243" s="95"/>
      <c r="O243" s="62"/>
      <c r="P243" s="63"/>
      <c r="Q243" s="64"/>
      <c r="R243" s="63"/>
      <c r="S243" s="65"/>
      <c r="T243" s="66"/>
      <c r="U243" s="67" t="s">
        <v>69</v>
      </c>
      <c r="V243" s="73">
        <f t="shared" si="73"/>
        <v>55</v>
      </c>
      <c r="W243" s="73">
        <f t="shared" si="79"/>
        <v>55</v>
      </c>
    </row>
    <row r="244" spans="1:23" ht="13.5" customHeight="1" x14ac:dyDescent="0.25">
      <c r="A244" s="60"/>
      <c r="B244" s="71" t="s">
        <v>298</v>
      </c>
      <c r="C244" s="77"/>
      <c r="D244" s="152">
        <v>1.5</v>
      </c>
      <c r="E244" s="153">
        <f>+ROUND(F244*FOD*(1+$I$5),1)</f>
        <v>2.2999999999999998</v>
      </c>
      <c r="F244" s="160">
        <v>1.6</v>
      </c>
      <c r="G244" s="154">
        <v>0.5</v>
      </c>
      <c r="H244" s="155">
        <v>0.1</v>
      </c>
      <c r="I244" s="66">
        <f>D244+E244+G244+H244</f>
        <v>4.3999999999999995</v>
      </c>
      <c r="J244" s="67" t="s">
        <v>69</v>
      </c>
      <c r="K244" s="73">
        <f t="shared" si="71"/>
        <v>55</v>
      </c>
      <c r="L244" s="73">
        <f t="shared" si="72"/>
        <v>59.4</v>
      </c>
      <c r="M244" s="74"/>
      <c r="N244" s="95"/>
      <c r="O244" s="152">
        <v>1.5</v>
      </c>
      <c r="P244" s="153">
        <f>+ROUND(Q244*FOD*(1+$I$5),1)</f>
        <v>2.2999999999999998</v>
      </c>
      <c r="Q244" s="160">
        <v>1.6</v>
      </c>
      <c r="R244" s="154">
        <v>0.5</v>
      </c>
      <c r="S244" s="155">
        <v>0.1</v>
      </c>
      <c r="T244" s="66">
        <f>O244+P244+R244+S244</f>
        <v>4.3999999999999995</v>
      </c>
      <c r="U244" s="67" t="s">
        <v>69</v>
      </c>
      <c r="V244" s="73">
        <f t="shared" si="73"/>
        <v>55</v>
      </c>
      <c r="W244" s="73">
        <f t="shared" si="79"/>
        <v>59.4</v>
      </c>
    </row>
    <row r="245" spans="1:23" ht="13.5" customHeight="1" x14ac:dyDescent="0.25">
      <c r="A245" s="60"/>
      <c r="B245" s="71" t="s">
        <v>299</v>
      </c>
      <c r="C245" s="77"/>
      <c r="D245" s="152">
        <v>8.6999999999999993</v>
      </c>
      <c r="E245" s="153">
        <f>+ROUND(F245*FOD*(1+$I$5),1)</f>
        <v>6.3</v>
      </c>
      <c r="F245" s="160">
        <v>4.3169398907103824</v>
      </c>
      <c r="G245" s="154">
        <v>8.1</v>
      </c>
      <c r="H245" s="155">
        <v>0.4</v>
      </c>
      <c r="I245" s="66">
        <f>D245+E245+G245+H245</f>
        <v>23.5</v>
      </c>
      <c r="J245" s="67" t="s">
        <v>69</v>
      </c>
      <c r="K245" s="73">
        <f t="shared" si="71"/>
        <v>55</v>
      </c>
      <c r="L245" s="73">
        <f t="shared" si="72"/>
        <v>78.5</v>
      </c>
      <c r="M245" s="74"/>
      <c r="N245" s="95"/>
      <c r="O245" s="152">
        <v>8.6999999999999993</v>
      </c>
      <c r="P245" s="153">
        <f>+ROUND(Q245*FOD*(1+$I$5),1)</f>
        <v>6.3</v>
      </c>
      <c r="Q245" s="160">
        <v>4.3169398907103824</v>
      </c>
      <c r="R245" s="154">
        <v>8.1</v>
      </c>
      <c r="S245" s="155">
        <v>0.4</v>
      </c>
      <c r="T245" s="66">
        <f>O245+P245+R245+S245</f>
        <v>23.5</v>
      </c>
      <c r="U245" s="67" t="s">
        <v>69</v>
      </c>
      <c r="V245" s="73">
        <f t="shared" si="73"/>
        <v>55</v>
      </c>
      <c r="W245" s="73">
        <f t="shared" si="79"/>
        <v>78.5</v>
      </c>
    </row>
    <row r="246" spans="1:23" ht="13.5" customHeight="1" x14ac:dyDescent="0.25">
      <c r="A246" s="60"/>
      <c r="B246" s="71" t="s">
        <v>300</v>
      </c>
      <c r="C246" s="77"/>
      <c r="D246" s="152">
        <v>1.3</v>
      </c>
      <c r="E246" s="153">
        <f>+ROUND(F246*FOD*(1+$I$5),1)</f>
        <v>0</v>
      </c>
      <c r="F246" s="160"/>
      <c r="G246" s="154">
        <v>0.8</v>
      </c>
      <c r="H246" s="155">
        <v>0.1</v>
      </c>
      <c r="I246" s="66">
        <f>D246+E246+G246+H246</f>
        <v>2.2000000000000002</v>
      </c>
      <c r="J246" s="67" t="s">
        <v>69</v>
      </c>
      <c r="K246" s="73">
        <f t="shared" si="71"/>
        <v>55</v>
      </c>
      <c r="L246" s="73">
        <f t="shared" si="72"/>
        <v>57.2</v>
      </c>
      <c r="M246" s="74"/>
      <c r="N246" s="95"/>
      <c r="O246" s="152">
        <v>1.3</v>
      </c>
      <c r="P246" s="153">
        <f>+ROUND(Q246*FOD*(1+$I$5),1)</f>
        <v>0</v>
      </c>
      <c r="Q246" s="160"/>
      <c r="R246" s="154">
        <v>0.8</v>
      </c>
      <c r="S246" s="155">
        <v>0.1</v>
      </c>
      <c r="T246" s="66">
        <f>O246+P246+R246+S246</f>
        <v>2.2000000000000002</v>
      </c>
      <c r="U246" s="67" t="s">
        <v>69</v>
      </c>
      <c r="V246" s="73">
        <f t="shared" si="73"/>
        <v>55</v>
      </c>
      <c r="W246" s="73">
        <f t="shared" si="79"/>
        <v>57.2</v>
      </c>
    </row>
    <row r="247" spans="1:23" ht="13.5" customHeight="1" x14ac:dyDescent="0.25">
      <c r="A247" s="60"/>
      <c r="B247" s="61"/>
      <c r="C247" s="77"/>
      <c r="D247" s="62"/>
      <c r="E247" s="63"/>
      <c r="F247" s="64"/>
      <c r="G247" s="63"/>
      <c r="H247" s="65"/>
      <c r="I247" s="66"/>
      <c r="J247" s="67" t="s">
        <v>69</v>
      </c>
      <c r="K247" s="73">
        <f t="shared" si="71"/>
        <v>55</v>
      </c>
      <c r="L247" s="73">
        <f t="shared" si="72"/>
        <v>55</v>
      </c>
      <c r="M247" s="74"/>
      <c r="N247" s="95"/>
      <c r="O247" s="62"/>
      <c r="P247" s="63"/>
      <c r="Q247" s="64"/>
      <c r="R247" s="63"/>
      <c r="S247" s="65"/>
      <c r="T247" s="66"/>
      <c r="U247" s="67" t="s">
        <v>69</v>
      </c>
      <c r="V247" s="73">
        <f t="shared" si="73"/>
        <v>55</v>
      </c>
      <c r="W247" s="73">
        <f t="shared" si="79"/>
        <v>55</v>
      </c>
    </row>
    <row r="248" spans="1:23" ht="13.5" customHeight="1" x14ac:dyDescent="0.25">
      <c r="A248" s="60">
        <v>41</v>
      </c>
      <c r="B248" s="61" t="s">
        <v>301</v>
      </c>
      <c r="C248" s="77"/>
      <c r="D248" s="62"/>
      <c r="E248" s="63"/>
      <c r="F248" s="64"/>
      <c r="G248" s="63"/>
      <c r="H248" s="65"/>
      <c r="I248" s="66"/>
      <c r="J248" s="67" t="s">
        <v>69</v>
      </c>
      <c r="K248" s="73">
        <f t="shared" si="71"/>
        <v>55</v>
      </c>
      <c r="L248" s="73">
        <f t="shared" si="72"/>
        <v>55</v>
      </c>
      <c r="M248" s="74"/>
      <c r="N248" s="95"/>
      <c r="O248" s="62"/>
      <c r="P248" s="63"/>
      <c r="Q248" s="64"/>
      <c r="R248" s="63"/>
      <c r="S248" s="65"/>
      <c r="T248" s="66"/>
      <c r="U248" s="67" t="s">
        <v>69</v>
      </c>
      <c r="V248" s="73">
        <f t="shared" si="73"/>
        <v>55</v>
      </c>
      <c r="W248" s="73">
        <f t="shared" si="79"/>
        <v>55</v>
      </c>
    </row>
    <row r="249" spans="1:23" ht="13.5" customHeight="1" x14ac:dyDescent="0.25">
      <c r="A249" s="60"/>
      <c r="B249" s="71" t="s">
        <v>302</v>
      </c>
      <c r="C249" s="77"/>
      <c r="D249" s="169">
        <v>3.7</v>
      </c>
      <c r="E249" s="170">
        <f>+ROUND(F249*FOD*(1+$I$5),1)</f>
        <v>8.6999999999999993</v>
      </c>
      <c r="F249" s="184">
        <v>6</v>
      </c>
      <c r="G249" s="171">
        <v>2.4</v>
      </c>
      <c r="H249" s="172">
        <v>0.3</v>
      </c>
      <c r="I249" s="66">
        <f>D249+E249+G249+H249</f>
        <v>15.1</v>
      </c>
      <c r="J249" s="67" t="s">
        <v>69</v>
      </c>
      <c r="K249" s="73">
        <f t="shared" si="71"/>
        <v>55</v>
      </c>
      <c r="L249" s="73">
        <f t="shared" si="72"/>
        <v>70.099999999999994</v>
      </c>
      <c r="M249" s="74"/>
      <c r="N249" s="95"/>
      <c r="O249" s="169">
        <v>3.7</v>
      </c>
      <c r="P249" s="170">
        <f>+ROUND(Q249*FOD*(1+$I$5),1)</f>
        <v>8.6999999999999993</v>
      </c>
      <c r="Q249" s="184">
        <v>6</v>
      </c>
      <c r="R249" s="171">
        <v>2.4</v>
      </c>
      <c r="S249" s="172">
        <v>0.3</v>
      </c>
      <c r="T249" s="66">
        <f>O249+P249+R249+S249</f>
        <v>15.1</v>
      </c>
      <c r="U249" s="67" t="s">
        <v>69</v>
      </c>
      <c r="V249" s="73">
        <f t="shared" si="73"/>
        <v>55</v>
      </c>
      <c r="W249" s="73">
        <f t="shared" si="79"/>
        <v>70.099999999999994</v>
      </c>
    </row>
    <row r="250" spans="1:23" ht="13.5" customHeight="1" x14ac:dyDescent="0.25">
      <c r="A250" s="60"/>
      <c r="B250" s="71" t="s">
        <v>303</v>
      </c>
      <c r="C250" s="77"/>
      <c r="D250" s="169">
        <v>1.5</v>
      </c>
      <c r="E250" s="170">
        <f>+ROUND(F250*FOD*(1+$I$5),1)</f>
        <v>2.2999999999999998</v>
      </c>
      <c r="F250" s="184">
        <v>1.6</v>
      </c>
      <c r="G250" s="171">
        <v>0.5</v>
      </c>
      <c r="H250" s="172">
        <v>0.1</v>
      </c>
      <c r="I250" s="66">
        <f>D250+E250+G250+H250</f>
        <v>4.3999999999999995</v>
      </c>
      <c r="J250" s="67" t="s">
        <v>69</v>
      </c>
      <c r="K250" s="73">
        <f t="shared" si="71"/>
        <v>55</v>
      </c>
      <c r="L250" s="73">
        <f t="shared" si="72"/>
        <v>59.4</v>
      </c>
      <c r="M250" s="74"/>
      <c r="N250" s="95"/>
      <c r="O250" s="169">
        <v>1.5</v>
      </c>
      <c r="P250" s="170">
        <f>+ROUND(Q250*FOD*(1+$I$5),1)</f>
        <v>2.2999999999999998</v>
      </c>
      <c r="Q250" s="184">
        <v>1.6</v>
      </c>
      <c r="R250" s="171">
        <v>0.5</v>
      </c>
      <c r="S250" s="172">
        <v>0.1</v>
      </c>
      <c r="T250" s="66">
        <f>O250+P250+R250+S250</f>
        <v>4.3999999999999995</v>
      </c>
      <c r="U250" s="67" t="s">
        <v>69</v>
      </c>
      <c r="V250" s="73">
        <f t="shared" si="73"/>
        <v>55</v>
      </c>
      <c r="W250" s="73">
        <f t="shared" si="79"/>
        <v>59.4</v>
      </c>
    </row>
    <row r="251" spans="1:23" ht="13.5" customHeight="1" x14ac:dyDescent="0.25">
      <c r="A251" s="60"/>
      <c r="B251" s="71"/>
      <c r="C251" s="72"/>
      <c r="D251" s="62"/>
      <c r="E251" s="63"/>
      <c r="F251" s="64"/>
      <c r="G251" s="63"/>
      <c r="H251" s="65"/>
      <c r="I251" s="66"/>
      <c r="J251" s="67" t="s">
        <v>69</v>
      </c>
      <c r="K251" s="73">
        <f t="shared" si="71"/>
        <v>55</v>
      </c>
      <c r="L251" s="73">
        <f t="shared" si="72"/>
        <v>55</v>
      </c>
      <c r="M251" s="74"/>
      <c r="N251" s="95"/>
      <c r="O251" s="62"/>
      <c r="P251" s="63"/>
      <c r="Q251" s="64"/>
      <c r="R251" s="63"/>
      <c r="S251" s="65"/>
      <c r="T251" s="66"/>
      <c r="U251" s="67" t="s">
        <v>69</v>
      </c>
      <c r="V251" s="73">
        <f t="shared" si="73"/>
        <v>55</v>
      </c>
      <c r="W251" s="73">
        <f t="shared" si="79"/>
        <v>55</v>
      </c>
    </row>
    <row r="252" spans="1:23" ht="13.5" customHeight="1" x14ac:dyDescent="0.25">
      <c r="A252" s="60">
        <v>48</v>
      </c>
      <c r="B252" s="61" t="s">
        <v>304</v>
      </c>
      <c r="C252" s="77"/>
      <c r="D252" s="62">
        <v>0.5</v>
      </c>
      <c r="E252" s="63"/>
      <c r="F252" s="64"/>
      <c r="G252" s="63">
        <v>0.1</v>
      </c>
      <c r="H252" s="104">
        <v>0</v>
      </c>
      <c r="I252" s="66">
        <f>D252+E252+G252+H252</f>
        <v>0.6</v>
      </c>
      <c r="J252" s="67" t="s">
        <v>69</v>
      </c>
      <c r="K252" s="73">
        <f t="shared" si="71"/>
        <v>55</v>
      </c>
      <c r="L252" s="73">
        <f t="shared" si="72"/>
        <v>55.6</v>
      </c>
      <c r="M252" s="74"/>
      <c r="N252" s="95"/>
      <c r="O252" s="62">
        <v>0.5</v>
      </c>
      <c r="P252" s="63"/>
      <c r="Q252" s="64"/>
      <c r="R252" s="63">
        <v>0.1</v>
      </c>
      <c r="S252" s="104">
        <v>0</v>
      </c>
      <c r="T252" s="66">
        <f>O252+P252+R252+S252</f>
        <v>0.6</v>
      </c>
      <c r="U252" s="67" t="s">
        <v>69</v>
      </c>
      <c r="V252" s="73">
        <f t="shared" si="73"/>
        <v>55</v>
      </c>
      <c r="W252" s="73">
        <f t="shared" si="79"/>
        <v>55.6</v>
      </c>
    </row>
    <row r="253" spans="1:23" ht="13.5" customHeight="1" x14ac:dyDescent="0.25">
      <c r="A253" s="60"/>
      <c r="B253" s="71"/>
      <c r="C253" s="72"/>
      <c r="D253" s="62"/>
      <c r="E253" s="63"/>
      <c r="F253" s="64"/>
      <c r="G253" s="63"/>
      <c r="H253" s="65"/>
      <c r="I253" s="66"/>
      <c r="J253" s="67" t="s">
        <v>69</v>
      </c>
      <c r="K253" s="73">
        <f t="shared" si="71"/>
        <v>55</v>
      </c>
      <c r="L253" s="73">
        <f t="shared" si="72"/>
        <v>55</v>
      </c>
      <c r="M253" s="74"/>
      <c r="N253" s="95"/>
      <c r="O253" s="62"/>
      <c r="P253" s="63"/>
      <c r="Q253" s="64"/>
      <c r="R253" s="63"/>
      <c r="S253" s="65"/>
      <c r="T253" s="66"/>
      <c r="U253" s="67" t="s">
        <v>69</v>
      </c>
      <c r="V253" s="73">
        <f t="shared" si="73"/>
        <v>55</v>
      </c>
      <c r="W253" s="73">
        <f t="shared" si="79"/>
        <v>55</v>
      </c>
    </row>
    <row r="254" spans="1:23" ht="13.5" customHeight="1" x14ac:dyDescent="0.25">
      <c r="A254" s="60">
        <v>49</v>
      </c>
      <c r="B254" s="61" t="s">
        <v>305</v>
      </c>
      <c r="C254" s="72"/>
      <c r="D254" s="62"/>
      <c r="E254" s="63"/>
      <c r="F254" s="64"/>
      <c r="G254" s="63"/>
      <c r="H254" s="65"/>
      <c r="I254" s="66"/>
      <c r="J254" s="67" t="s">
        <v>69</v>
      </c>
      <c r="K254" s="73">
        <f t="shared" si="71"/>
        <v>55</v>
      </c>
      <c r="L254" s="73">
        <f t="shared" si="72"/>
        <v>55</v>
      </c>
      <c r="M254" s="74"/>
      <c r="N254" s="95"/>
      <c r="O254" s="62"/>
      <c r="P254" s="63"/>
      <c r="Q254" s="64"/>
      <c r="R254" s="63"/>
      <c r="S254" s="65"/>
      <c r="T254" s="66"/>
      <c r="U254" s="67" t="s">
        <v>69</v>
      </c>
      <c r="V254" s="73">
        <f t="shared" si="73"/>
        <v>55</v>
      </c>
      <c r="W254" s="73">
        <f t="shared" si="79"/>
        <v>55</v>
      </c>
    </row>
    <row r="255" spans="1:23" ht="13.5" customHeight="1" x14ac:dyDescent="0.25">
      <c r="A255" s="60"/>
      <c r="B255" s="71" t="s">
        <v>306</v>
      </c>
      <c r="C255" s="72"/>
      <c r="D255" s="152">
        <v>0.1</v>
      </c>
      <c r="E255" s="153"/>
      <c r="F255" s="160"/>
      <c r="G255" s="154">
        <v>0.1</v>
      </c>
      <c r="H255" s="155">
        <v>0</v>
      </c>
      <c r="I255" s="66">
        <f>D255+E255+G255+H255</f>
        <v>0.2</v>
      </c>
      <c r="J255" s="67" t="s">
        <v>69</v>
      </c>
      <c r="K255" s="73">
        <f t="shared" si="71"/>
        <v>55</v>
      </c>
      <c r="L255" s="73">
        <f t="shared" si="72"/>
        <v>55.2</v>
      </c>
      <c r="M255" s="74"/>
      <c r="N255" s="95"/>
      <c r="O255" s="152">
        <v>0.1</v>
      </c>
      <c r="P255" s="153"/>
      <c r="Q255" s="160"/>
      <c r="R255" s="154">
        <v>0.1</v>
      </c>
      <c r="S255" s="155">
        <v>0</v>
      </c>
      <c r="T255" s="66">
        <f>O255+P255+R255+S255</f>
        <v>0.2</v>
      </c>
      <c r="U255" s="67" t="s">
        <v>69</v>
      </c>
      <c r="V255" s="73">
        <f t="shared" si="73"/>
        <v>55</v>
      </c>
      <c r="W255" s="73">
        <f t="shared" si="79"/>
        <v>55.2</v>
      </c>
    </row>
    <row r="256" spans="1:23" ht="13.5" customHeight="1" x14ac:dyDescent="0.25">
      <c r="A256" s="60"/>
      <c r="B256" s="71" t="s">
        <v>307</v>
      </c>
      <c r="C256" s="72"/>
      <c r="D256" s="152">
        <v>0.2</v>
      </c>
      <c r="E256" s="153"/>
      <c r="F256" s="160"/>
      <c r="G256" s="154">
        <v>0.1</v>
      </c>
      <c r="H256" s="155">
        <v>0</v>
      </c>
      <c r="I256" s="66">
        <f>D256+E256+G256+H256</f>
        <v>0.30000000000000004</v>
      </c>
      <c r="J256" s="67" t="s">
        <v>69</v>
      </c>
      <c r="K256" s="73">
        <f t="shared" si="71"/>
        <v>55</v>
      </c>
      <c r="L256" s="73">
        <f t="shared" si="72"/>
        <v>55.3</v>
      </c>
      <c r="M256" s="74"/>
      <c r="N256" s="95"/>
      <c r="O256" s="152">
        <v>0.2</v>
      </c>
      <c r="P256" s="153"/>
      <c r="Q256" s="160"/>
      <c r="R256" s="154">
        <v>0.1</v>
      </c>
      <c r="S256" s="155">
        <v>0</v>
      </c>
      <c r="T256" s="66">
        <f>O256+P256+R256+S256</f>
        <v>0.30000000000000004</v>
      </c>
      <c r="U256" s="67" t="s">
        <v>69</v>
      </c>
      <c r="V256" s="73">
        <f t="shared" si="73"/>
        <v>55</v>
      </c>
      <c r="W256" s="73">
        <f t="shared" si="79"/>
        <v>55.3</v>
      </c>
    </row>
    <row r="257" spans="1:23" ht="13.5" customHeight="1" x14ac:dyDescent="0.25">
      <c r="A257" s="60"/>
      <c r="B257" s="71"/>
      <c r="C257" s="72"/>
      <c r="D257" s="62"/>
      <c r="E257" s="63"/>
      <c r="F257" s="64"/>
      <c r="G257" s="63"/>
      <c r="H257" s="65"/>
      <c r="I257" s="66"/>
      <c r="J257" s="67" t="s">
        <v>69</v>
      </c>
      <c r="K257" s="73">
        <f t="shared" si="71"/>
        <v>55</v>
      </c>
      <c r="L257" s="73">
        <f t="shared" si="72"/>
        <v>55</v>
      </c>
      <c r="M257" s="74"/>
      <c r="N257" s="95"/>
      <c r="O257" s="62"/>
      <c r="P257" s="63"/>
      <c r="Q257" s="64"/>
      <c r="R257" s="63"/>
      <c r="S257" s="65"/>
      <c r="T257" s="66"/>
      <c r="U257" s="67" t="s">
        <v>69</v>
      </c>
      <c r="V257" s="73">
        <f t="shared" si="73"/>
        <v>55</v>
      </c>
      <c r="W257" s="73">
        <f t="shared" si="79"/>
        <v>55</v>
      </c>
    </row>
    <row r="258" spans="1:23" ht="13.5" customHeight="1" x14ac:dyDescent="0.25">
      <c r="A258" s="60">
        <v>50</v>
      </c>
      <c r="B258" s="71" t="s">
        <v>308</v>
      </c>
      <c r="C258" s="72"/>
      <c r="D258" s="152">
        <v>15</v>
      </c>
      <c r="E258" s="153">
        <f>+ROUND(F258*GO*(1+$I$5),1)</f>
        <v>10.199999999999999</v>
      </c>
      <c r="F258" s="160">
        <v>8.1998206774772893</v>
      </c>
      <c r="G258" s="154">
        <v>12.6</v>
      </c>
      <c r="H258" s="155">
        <v>1</v>
      </c>
      <c r="I258" s="66">
        <f>D258+E258+G258+H258</f>
        <v>38.799999999999997</v>
      </c>
      <c r="J258" s="67" t="s">
        <v>69</v>
      </c>
      <c r="K258" s="73">
        <f t="shared" si="71"/>
        <v>55</v>
      </c>
      <c r="L258" s="73">
        <f t="shared" si="72"/>
        <v>93.8</v>
      </c>
      <c r="M258" s="74"/>
      <c r="N258" s="95"/>
      <c r="O258" s="152">
        <v>15</v>
      </c>
      <c r="P258" s="153">
        <f>+ROUND(Q258*GO*(1+$I$5),1)</f>
        <v>10.199999999999999</v>
      </c>
      <c r="Q258" s="160">
        <v>8.1998206774772893</v>
      </c>
      <c r="R258" s="154">
        <v>12.6</v>
      </c>
      <c r="S258" s="155">
        <v>1</v>
      </c>
      <c r="T258" s="66">
        <f>O258+P258+R258+S258</f>
        <v>38.799999999999997</v>
      </c>
      <c r="U258" s="67" t="s">
        <v>69</v>
      </c>
      <c r="V258" s="73">
        <f t="shared" si="73"/>
        <v>55</v>
      </c>
      <c r="W258" s="73">
        <f t="shared" si="79"/>
        <v>93.8</v>
      </c>
    </row>
    <row r="259" spans="1:23" ht="13.5" customHeight="1" x14ac:dyDescent="0.25">
      <c r="A259" s="60"/>
      <c r="B259" s="71" t="s">
        <v>309</v>
      </c>
      <c r="C259" s="72"/>
      <c r="D259" s="152">
        <v>11.4</v>
      </c>
      <c r="E259" s="153">
        <f>+ROUND(F259*GO*(1+$I$5),1)</f>
        <v>7.3</v>
      </c>
      <c r="F259" s="160">
        <v>5.8117532141167034</v>
      </c>
      <c r="G259" s="154">
        <v>4.2</v>
      </c>
      <c r="H259" s="155">
        <v>0.7</v>
      </c>
      <c r="I259" s="66">
        <f>D259+E259+G259+H259</f>
        <v>23.599999999999998</v>
      </c>
      <c r="J259" s="67" t="s">
        <v>69</v>
      </c>
      <c r="K259" s="73">
        <f t="shared" si="71"/>
        <v>55</v>
      </c>
      <c r="L259" s="73">
        <f t="shared" si="72"/>
        <v>78.599999999999994</v>
      </c>
      <c r="M259" s="74"/>
      <c r="N259" s="95"/>
      <c r="O259" s="152">
        <v>11.4</v>
      </c>
      <c r="P259" s="153">
        <f>+ROUND(Q259*GO*(1+$I$5),1)</f>
        <v>7.3</v>
      </c>
      <c r="Q259" s="160">
        <v>5.8117532141167034</v>
      </c>
      <c r="R259" s="154">
        <v>4.2</v>
      </c>
      <c r="S259" s="155">
        <v>0.7</v>
      </c>
      <c r="T259" s="66">
        <f>O259+P259+R259+S259</f>
        <v>23.599999999999998</v>
      </c>
      <c r="U259" s="67" t="s">
        <v>69</v>
      </c>
      <c r="V259" s="73">
        <f t="shared" si="73"/>
        <v>55</v>
      </c>
      <c r="W259" s="73">
        <f t="shared" si="79"/>
        <v>78.599999999999994</v>
      </c>
    </row>
    <row r="260" spans="1:23" ht="13.5" customHeight="1" x14ac:dyDescent="0.25">
      <c r="A260" s="60"/>
      <c r="B260" s="71" t="s">
        <v>310</v>
      </c>
      <c r="C260" s="72"/>
      <c r="D260" s="152">
        <v>6</v>
      </c>
      <c r="E260" s="153">
        <f>+ROUND(F260*GO*(1+$I$5),1)</f>
        <v>1.4</v>
      </c>
      <c r="F260" s="160">
        <v>1.1499999999999999</v>
      </c>
      <c r="G260" s="154">
        <v>2.2999999999999998</v>
      </c>
      <c r="H260" s="155">
        <v>0.3</v>
      </c>
      <c r="I260" s="66">
        <f>D260+E260+G260+H260</f>
        <v>10</v>
      </c>
      <c r="J260" s="67" t="s">
        <v>69</v>
      </c>
      <c r="K260" s="73">
        <f t="shared" si="71"/>
        <v>55</v>
      </c>
      <c r="L260" s="73">
        <f t="shared" si="72"/>
        <v>65</v>
      </c>
      <c r="M260" s="74"/>
      <c r="N260" s="95"/>
      <c r="O260" s="152">
        <v>6</v>
      </c>
      <c r="P260" s="153">
        <f>+ROUND(Q260*GO*(1+$I$5),1)</f>
        <v>1.4</v>
      </c>
      <c r="Q260" s="160">
        <v>1.1499999999999999</v>
      </c>
      <c r="R260" s="154">
        <v>2.2999999999999998</v>
      </c>
      <c r="S260" s="155">
        <v>0.3</v>
      </c>
      <c r="T260" s="66">
        <f>O260+P260+R260+S260</f>
        <v>10</v>
      </c>
      <c r="U260" s="67" t="s">
        <v>69</v>
      </c>
      <c r="V260" s="73">
        <f t="shared" si="73"/>
        <v>55</v>
      </c>
      <c r="W260" s="73">
        <f t="shared" si="79"/>
        <v>65</v>
      </c>
    </row>
    <row r="261" spans="1:23" ht="13.5" customHeight="1" x14ac:dyDescent="0.25">
      <c r="A261" s="60"/>
      <c r="B261" s="71"/>
      <c r="C261" s="72"/>
      <c r="D261" s="62"/>
      <c r="E261" s="63"/>
      <c r="F261" s="64"/>
      <c r="G261" s="63"/>
      <c r="H261" s="65"/>
      <c r="I261" s="66"/>
      <c r="J261" s="67" t="s">
        <v>69</v>
      </c>
      <c r="K261" s="73">
        <f t="shared" si="71"/>
        <v>55</v>
      </c>
      <c r="L261" s="73">
        <f t="shared" si="72"/>
        <v>55</v>
      </c>
      <c r="M261" s="74"/>
      <c r="N261" s="95"/>
      <c r="O261" s="62"/>
      <c r="P261" s="63"/>
      <c r="Q261" s="64"/>
      <c r="R261" s="63"/>
      <c r="S261" s="65"/>
      <c r="T261" s="66"/>
      <c r="U261" s="67" t="s">
        <v>69</v>
      </c>
      <c r="V261" s="73">
        <f t="shared" si="73"/>
        <v>55</v>
      </c>
      <c r="W261" s="73">
        <f t="shared" si="79"/>
        <v>55</v>
      </c>
    </row>
    <row r="262" spans="1:23" ht="13.5" customHeight="1" x14ac:dyDescent="0.25">
      <c r="A262" s="60">
        <v>51</v>
      </c>
      <c r="B262" s="61" t="s">
        <v>311</v>
      </c>
      <c r="C262" s="72"/>
      <c r="D262" s="152">
        <v>0.2</v>
      </c>
      <c r="E262" s="153"/>
      <c r="F262" s="160"/>
      <c r="G262" s="154">
        <v>0.2</v>
      </c>
      <c r="H262" s="155">
        <v>0</v>
      </c>
      <c r="I262" s="66">
        <f>D262+E262+G262+H262</f>
        <v>0.4</v>
      </c>
      <c r="J262" s="67" t="s">
        <v>69</v>
      </c>
      <c r="K262" s="73">
        <f t="shared" si="71"/>
        <v>55</v>
      </c>
      <c r="L262" s="73">
        <f t="shared" si="72"/>
        <v>55.4</v>
      </c>
      <c r="M262" s="74"/>
      <c r="N262" s="95"/>
      <c r="O262" s="152">
        <v>0.2</v>
      </c>
      <c r="P262" s="153"/>
      <c r="Q262" s="160"/>
      <c r="R262" s="154">
        <v>0.2</v>
      </c>
      <c r="S262" s="155">
        <v>0</v>
      </c>
      <c r="T262" s="66">
        <f>O262+P262+R262+S262</f>
        <v>0.4</v>
      </c>
      <c r="U262" s="67" t="s">
        <v>69</v>
      </c>
      <c r="V262" s="73">
        <f t="shared" si="73"/>
        <v>55</v>
      </c>
      <c r="W262" s="73">
        <f t="shared" si="79"/>
        <v>55.4</v>
      </c>
    </row>
    <row r="263" spans="1:23" ht="13.5" customHeight="1" x14ac:dyDescent="0.25">
      <c r="A263" s="60"/>
      <c r="B263" s="71"/>
      <c r="C263" s="72"/>
      <c r="D263" s="62"/>
      <c r="E263" s="63"/>
      <c r="F263" s="64"/>
      <c r="G263" s="63"/>
      <c r="H263" s="65"/>
      <c r="I263" s="66"/>
      <c r="J263" s="67" t="s">
        <v>69</v>
      </c>
      <c r="K263" s="73">
        <f t="shared" si="71"/>
        <v>55</v>
      </c>
      <c r="L263" s="73">
        <f t="shared" si="72"/>
        <v>55</v>
      </c>
      <c r="M263" s="74"/>
      <c r="N263" s="95"/>
      <c r="O263" s="62"/>
      <c r="P263" s="63"/>
      <c r="Q263" s="64"/>
      <c r="R263" s="63"/>
      <c r="S263" s="65"/>
      <c r="T263" s="66"/>
      <c r="U263" s="67" t="s">
        <v>69</v>
      </c>
      <c r="V263" s="73">
        <f t="shared" si="73"/>
        <v>55</v>
      </c>
      <c r="W263" s="73">
        <f t="shared" si="79"/>
        <v>55</v>
      </c>
    </row>
    <row r="264" spans="1:23" ht="13.5" customHeight="1" x14ac:dyDescent="0.25">
      <c r="A264" s="60">
        <v>53</v>
      </c>
      <c r="B264" s="61" t="s">
        <v>312</v>
      </c>
      <c r="D264" s="62"/>
      <c r="E264" s="63"/>
      <c r="F264" s="64"/>
      <c r="G264" s="63"/>
      <c r="H264" s="65"/>
      <c r="I264" s="66"/>
      <c r="J264" s="67" t="s">
        <v>69</v>
      </c>
      <c r="K264" s="73">
        <f t="shared" si="71"/>
        <v>55</v>
      </c>
      <c r="L264" s="73">
        <f t="shared" si="72"/>
        <v>55</v>
      </c>
      <c r="M264" s="74"/>
      <c r="N264" s="95"/>
      <c r="O264" s="62"/>
      <c r="P264" s="63"/>
      <c r="Q264" s="64"/>
      <c r="R264" s="63"/>
      <c r="S264" s="65"/>
      <c r="T264" s="66"/>
      <c r="U264" s="67" t="s">
        <v>69</v>
      </c>
      <c r="V264" s="73">
        <f t="shared" si="73"/>
        <v>55</v>
      </c>
      <c r="W264" s="73">
        <f t="shared" si="79"/>
        <v>55</v>
      </c>
    </row>
    <row r="265" spans="1:23" ht="13.5" customHeight="1" x14ac:dyDescent="0.25">
      <c r="A265" s="60"/>
      <c r="B265" s="71" t="s">
        <v>313</v>
      </c>
      <c r="C265" s="86"/>
      <c r="D265" s="152">
        <v>0.4</v>
      </c>
      <c r="E265" s="153"/>
      <c r="F265" s="160"/>
      <c r="G265" s="154">
        <v>0.1</v>
      </c>
      <c r="H265" s="155">
        <v>0</v>
      </c>
      <c r="I265" s="66">
        <f>D265+E265+G265+H265</f>
        <v>0.5</v>
      </c>
      <c r="J265" s="67" t="s">
        <v>69</v>
      </c>
      <c r="K265" s="73">
        <f t="shared" si="71"/>
        <v>55</v>
      </c>
      <c r="L265" s="73">
        <f t="shared" si="72"/>
        <v>55.5</v>
      </c>
      <c r="M265" s="74"/>
      <c r="N265" s="95"/>
      <c r="O265" s="152">
        <v>0.4</v>
      </c>
      <c r="P265" s="153"/>
      <c r="Q265" s="160"/>
      <c r="R265" s="154">
        <v>0.1</v>
      </c>
      <c r="S265" s="155">
        <v>0</v>
      </c>
      <c r="T265" s="66">
        <f>O265+P265+R265+S265</f>
        <v>0.5</v>
      </c>
      <c r="U265" s="67" t="s">
        <v>69</v>
      </c>
      <c r="V265" s="73">
        <f t="shared" si="73"/>
        <v>55</v>
      </c>
      <c r="W265" s="73">
        <f t="shared" si="79"/>
        <v>55.5</v>
      </c>
    </row>
    <row r="266" spans="1:23" ht="13.5" customHeight="1" x14ac:dyDescent="0.25">
      <c r="A266" s="60"/>
      <c r="B266" s="71" t="s">
        <v>314</v>
      </c>
      <c r="C266" s="86"/>
      <c r="D266" s="152">
        <v>2.1</v>
      </c>
      <c r="E266" s="153"/>
      <c r="F266" s="160"/>
      <c r="G266" s="154">
        <v>0.5</v>
      </c>
      <c r="H266" s="155">
        <v>0.1</v>
      </c>
      <c r="I266" s="66">
        <f>D266+E266+G266+H266</f>
        <v>2.7</v>
      </c>
      <c r="J266" s="67" t="s">
        <v>69</v>
      </c>
      <c r="K266" s="73">
        <f t="shared" si="71"/>
        <v>55</v>
      </c>
      <c r="L266" s="73">
        <f t="shared" si="72"/>
        <v>57.7</v>
      </c>
      <c r="M266" s="74"/>
      <c r="N266" s="95"/>
      <c r="O266" s="152">
        <v>2.1</v>
      </c>
      <c r="P266" s="153"/>
      <c r="Q266" s="160"/>
      <c r="R266" s="154">
        <v>0.5</v>
      </c>
      <c r="S266" s="155">
        <v>0.1</v>
      </c>
      <c r="T266" s="66">
        <f>O266+P266+R266+S266</f>
        <v>2.7</v>
      </c>
      <c r="U266" s="67" t="s">
        <v>69</v>
      </c>
      <c r="V266" s="73">
        <f t="shared" si="73"/>
        <v>55</v>
      </c>
      <c r="W266" s="73">
        <f t="shared" si="79"/>
        <v>57.7</v>
      </c>
    </row>
    <row r="267" spans="1:23" ht="13.5" customHeight="1" x14ac:dyDescent="0.25">
      <c r="A267" s="60"/>
      <c r="B267" s="71" t="s">
        <v>315</v>
      </c>
      <c r="C267" s="77"/>
      <c r="D267" s="152">
        <v>14.5</v>
      </c>
      <c r="E267" s="153">
        <f>+ROUND(F267*GO*(1+$I$5),1)</f>
        <v>24.8</v>
      </c>
      <c r="F267" s="160">
        <v>19.882352941176471</v>
      </c>
      <c r="G267" s="154">
        <v>22.4</v>
      </c>
      <c r="H267" s="155">
        <v>0.9</v>
      </c>
      <c r="I267" s="66">
        <f>D267+E267+G267+H267</f>
        <v>62.599999999999994</v>
      </c>
      <c r="J267" s="67" t="s">
        <v>69</v>
      </c>
      <c r="K267" s="73">
        <f t="shared" si="71"/>
        <v>55</v>
      </c>
      <c r="L267" s="73">
        <f t="shared" si="72"/>
        <v>117.6</v>
      </c>
      <c r="M267" s="74"/>
      <c r="N267" s="95"/>
      <c r="O267" s="152">
        <v>14.5</v>
      </c>
      <c r="P267" s="153">
        <f>+ROUND(Q267*GO*(1+$I$5),1)</f>
        <v>24.8</v>
      </c>
      <c r="Q267" s="160">
        <v>19.882352941176471</v>
      </c>
      <c r="R267" s="154">
        <v>22.4</v>
      </c>
      <c r="S267" s="155">
        <v>0.9</v>
      </c>
      <c r="T267" s="66">
        <f>O267+P267+R267+S267</f>
        <v>62.599999999999994</v>
      </c>
      <c r="U267" s="67" t="s">
        <v>69</v>
      </c>
      <c r="V267" s="73">
        <f t="shared" si="73"/>
        <v>55</v>
      </c>
      <c r="W267" s="73">
        <f t="shared" si="79"/>
        <v>117.6</v>
      </c>
    </row>
    <row r="268" spans="1:23" ht="13.5" customHeight="1" x14ac:dyDescent="0.25">
      <c r="A268" s="60"/>
      <c r="B268" s="71"/>
      <c r="C268" s="72"/>
      <c r="D268" s="62"/>
      <c r="E268" s="63"/>
      <c r="F268" s="64"/>
      <c r="G268" s="63"/>
      <c r="H268" s="65"/>
      <c r="I268" s="66"/>
      <c r="J268" s="67" t="s">
        <v>69</v>
      </c>
      <c r="K268" s="73">
        <f t="shared" si="71"/>
        <v>55</v>
      </c>
      <c r="L268" s="73">
        <f t="shared" si="72"/>
        <v>55</v>
      </c>
      <c r="M268" s="74"/>
      <c r="N268" s="95"/>
      <c r="O268" s="62"/>
      <c r="P268" s="63"/>
      <c r="Q268" s="64"/>
      <c r="R268" s="63"/>
      <c r="S268" s="65"/>
      <c r="T268" s="66"/>
      <c r="U268" s="67" t="s">
        <v>69</v>
      </c>
      <c r="V268" s="73">
        <f t="shared" si="73"/>
        <v>55</v>
      </c>
      <c r="W268" s="73">
        <f t="shared" si="79"/>
        <v>55</v>
      </c>
    </row>
    <row r="269" spans="1:23" ht="13.5" customHeight="1" x14ac:dyDescent="0.25">
      <c r="A269" s="60">
        <v>54</v>
      </c>
      <c r="B269" s="61" t="s">
        <v>316</v>
      </c>
      <c r="C269" s="72"/>
      <c r="D269" s="62"/>
      <c r="E269" s="63"/>
      <c r="F269" s="64"/>
      <c r="G269" s="63"/>
      <c r="H269" s="65"/>
      <c r="I269" s="66"/>
      <c r="J269" s="67" t="s">
        <v>69</v>
      </c>
      <c r="K269" s="73">
        <f t="shared" si="71"/>
        <v>55</v>
      </c>
      <c r="L269" s="73">
        <f t="shared" si="72"/>
        <v>55</v>
      </c>
      <c r="M269" s="74"/>
      <c r="N269" s="95"/>
      <c r="O269" s="62"/>
      <c r="P269" s="63"/>
      <c r="Q269" s="64"/>
      <c r="R269" s="63"/>
      <c r="S269" s="65"/>
      <c r="T269" s="66"/>
      <c r="U269" s="67" t="s">
        <v>69</v>
      </c>
      <c r="V269" s="73">
        <f t="shared" si="73"/>
        <v>55</v>
      </c>
      <c r="W269" s="73">
        <f t="shared" si="79"/>
        <v>55</v>
      </c>
    </row>
    <row r="270" spans="1:23" ht="13.5" customHeight="1" x14ac:dyDescent="0.25">
      <c r="A270" s="60"/>
      <c r="B270" s="71" t="s">
        <v>317</v>
      </c>
      <c r="C270" s="77"/>
      <c r="D270" s="152">
        <v>0.4</v>
      </c>
      <c r="E270" s="153"/>
      <c r="F270" s="160"/>
      <c r="G270" s="154">
        <v>0.1</v>
      </c>
      <c r="H270" s="155">
        <v>0</v>
      </c>
      <c r="I270" s="66">
        <f>D270+E270+G270+H270</f>
        <v>0.5</v>
      </c>
      <c r="J270" s="67" t="s">
        <v>69</v>
      </c>
      <c r="K270" s="73">
        <f t="shared" si="71"/>
        <v>55</v>
      </c>
      <c r="L270" s="73">
        <f t="shared" si="72"/>
        <v>55.5</v>
      </c>
      <c r="M270" s="74"/>
      <c r="N270" s="95"/>
      <c r="O270" s="152">
        <v>0.4</v>
      </c>
      <c r="P270" s="153"/>
      <c r="Q270" s="160"/>
      <c r="R270" s="154">
        <v>0.1</v>
      </c>
      <c r="S270" s="155">
        <v>0</v>
      </c>
      <c r="T270" s="66">
        <f>O270+P270+R270+S270</f>
        <v>0.5</v>
      </c>
      <c r="U270" s="67" t="s">
        <v>69</v>
      </c>
      <c r="V270" s="73">
        <f t="shared" si="73"/>
        <v>55</v>
      </c>
      <c r="W270" s="73">
        <f t="shared" si="79"/>
        <v>55.5</v>
      </c>
    </row>
    <row r="271" spans="1:23" ht="13.5" customHeight="1" x14ac:dyDescent="0.25">
      <c r="A271" s="60"/>
      <c r="B271" s="71" t="s">
        <v>318</v>
      </c>
      <c r="C271" s="77"/>
      <c r="D271" s="152">
        <v>1.3</v>
      </c>
      <c r="E271" s="153"/>
      <c r="F271" s="160"/>
      <c r="G271" s="154">
        <v>0.3</v>
      </c>
      <c r="H271" s="155">
        <v>0</v>
      </c>
      <c r="I271" s="66">
        <f>D271+E271+G271+H271</f>
        <v>1.6</v>
      </c>
      <c r="J271" s="67" t="s">
        <v>69</v>
      </c>
      <c r="K271" s="73">
        <f t="shared" si="71"/>
        <v>55</v>
      </c>
      <c r="L271" s="73">
        <f t="shared" si="72"/>
        <v>56.6</v>
      </c>
      <c r="M271" s="74"/>
      <c r="N271" s="95"/>
      <c r="O271" s="152">
        <v>1.3</v>
      </c>
      <c r="P271" s="153"/>
      <c r="Q271" s="160"/>
      <c r="R271" s="154">
        <v>0.3</v>
      </c>
      <c r="S271" s="155">
        <v>0</v>
      </c>
      <c r="T271" s="66">
        <f>O271+P271+R271+S271</f>
        <v>1.6</v>
      </c>
      <c r="U271" s="67" t="s">
        <v>69</v>
      </c>
      <c r="V271" s="73">
        <f t="shared" si="73"/>
        <v>55</v>
      </c>
      <c r="W271" s="73">
        <f t="shared" si="79"/>
        <v>56.6</v>
      </c>
    </row>
    <row r="272" spans="1:23" ht="13.5" customHeight="1" x14ac:dyDescent="0.25">
      <c r="A272" s="60"/>
      <c r="B272" s="61"/>
      <c r="C272" s="77"/>
      <c r="D272" s="62"/>
      <c r="E272" s="63"/>
      <c r="F272" s="64"/>
      <c r="G272" s="63"/>
      <c r="H272" s="65"/>
      <c r="I272" s="66"/>
      <c r="J272" s="67" t="s">
        <v>69</v>
      </c>
      <c r="K272" s="73">
        <f t="shared" si="71"/>
        <v>55</v>
      </c>
      <c r="L272" s="73">
        <f t="shared" si="72"/>
        <v>55</v>
      </c>
      <c r="M272" s="74"/>
      <c r="N272" s="95"/>
      <c r="O272" s="62"/>
      <c r="P272" s="63"/>
      <c r="Q272" s="64"/>
      <c r="R272" s="63"/>
      <c r="S272" s="65"/>
      <c r="T272" s="66"/>
      <c r="U272" s="67" t="s">
        <v>69</v>
      </c>
      <c r="V272" s="73">
        <f t="shared" si="73"/>
        <v>55</v>
      </c>
      <c r="W272" s="73">
        <f t="shared" si="79"/>
        <v>55</v>
      </c>
    </row>
    <row r="273" spans="1:23" ht="13.5" customHeight="1" x14ac:dyDescent="0.25">
      <c r="A273" s="60">
        <v>55</v>
      </c>
      <c r="B273" s="61" t="s">
        <v>319</v>
      </c>
      <c r="C273" s="77"/>
      <c r="D273" s="152">
        <v>0.5</v>
      </c>
      <c r="E273" s="153"/>
      <c r="F273" s="160"/>
      <c r="G273" s="154">
        <v>0.1</v>
      </c>
      <c r="H273" s="155">
        <v>0</v>
      </c>
      <c r="I273" s="66">
        <f>D273+E273+G273+H273</f>
        <v>0.6</v>
      </c>
      <c r="J273" s="67" t="s">
        <v>69</v>
      </c>
      <c r="K273" s="73">
        <f t="shared" si="71"/>
        <v>55</v>
      </c>
      <c r="L273" s="73">
        <f t="shared" si="72"/>
        <v>55.6</v>
      </c>
      <c r="M273" s="74"/>
      <c r="N273" s="95"/>
      <c r="O273" s="152">
        <v>0.5</v>
      </c>
      <c r="P273" s="153"/>
      <c r="Q273" s="160"/>
      <c r="R273" s="154">
        <v>0.1</v>
      </c>
      <c r="S273" s="155">
        <v>0</v>
      </c>
      <c r="T273" s="66">
        <f>O273+P273+R273+S273</f>
        <v>0.6</v>
      </c>
      <c r="U273" s="67" t="s">
        <v>69</v>
      </c>
      <c r="V273" s="73">
        <f t="shared" si="73"/>
        <v>55</v>
      </c>
      <c r="W273" s="73">
        <f t="shared" si="79"/>
        <v>55.6</v>
      </c>
    </row>
    <row r="274" spans="1:23" ht="13.5" customHeight="1" x14ac:dyDescent="0.25">
      <c r="A274" s="60"/>
      <c r="B274" s="61"/>
      <c r="D274" s="62"/>
      <c r="E274" s="63"/>
      <c r="F274" s="64"/>
      <c r="G274" s="63"/>
      <c r="H274" s="65"/>
      <c r="I274" s="66"/>
      <c r="J274" s="67" t="s">
        <v>69</v>
      </c>
      <c r="K274" s="73">
        <f t="shared" si="71"/>
        <v>55</v>
      </c>
      <c r="L274" s="73">
        <f t="shared" si="72"/>
        <v>55</v>
      </c>
      <c r="M274" s="74"/>
      <c r="N274" s="95"/>
      <c r="O274" s="62"/>
      <c r="P274" s="63"/>
      <c r="Q274" s="64"/>
      <c r="R274" s="63"/>
      <c r="S274" s="65"/>
      <c r="T274" s="66"/>
      <c r="U274" s="67" t="s">
        <v>69</v>
      </c>
      <c r="V274" s="73">
        <f t="shared" si="73"/>
        <v>55</v>
      </c>
      <c r="W274" s="73">
        <f t="shared" si="79"/>
        <v>55</v>
      </c>
    </row>
    <row r="275" spans="1:23" ht="13.5" customHeight="1" x14ac:dyDescent="0.25">
      <c r="A275" s="60">
        <v>56</v>
      </c>
      <c r="B275" s="61" t="s">
        <v>320</v>
      </c>
      <c r="D275" s="152">
        <v>0.4</v>
      </c>
      <c r="E275" s="153">
        <f>+ROUND(F275*GO*(1+$I$5),1)</f>
        <v>2.7</v>
      </c>
      <c r="F275" s="160">
        <v>2.2000000000000002</v>
      </c>
      <c r="G275" s="154">
        <v>0.1</v>
      </c>
      <c r="H275" s="155">
        <v>0</v>
      </c>
      <c r="I275" s="66">
        <f>D275+E275+G275+H275</f>
        <v>3.2</v>
      </c>
      <c r="J275" s="67" t="s">
        <v>69</v>
      </c>
      <c r="K275" s="73">
        <f t="shared" si="71"/>
        <v>55</v>
      </c>
      <c r="L275" s="73">
        <f t="shared" si="72"/>
        <v>58.2</v>
      </c>
      <c r="M275" s="74"/>
      <c r="N275" s="95"/>
      <c r="O275" s="152">
        <v>0.4</v>
      </c>
      <c r="P275" s="153">
        <f>+ROUND(Q275*GO*(1+$I$5),1)</f>
        <v>2.7</v>
      </c>
      <c r="Q275" s="160">
        <v>2.2000000000000002</v>
      </c>
      <c r="R275" s="154">
        <v>0.1</v>
      </c>
      <c r="S275" s="155">
        <v>0</v>
      </c>
      <c r="T275" s="66">
        <f>O275+P275+R275+S275</f>
        <v>3.2</v>
      </c>
      <c r="U275" s="67" t="s">
        <v>69</v>
      </c>
      <c r="V275" s="73">
        <f t="shared" si="73"/>
        <v>55</v>
      </c>
      <c r="W275" s="73">
        <f t="shared" si="79"/>
        <v>58.2</v>
      </c>
    </row>
    <row r="276" spans="1:23" ht="13.5" customHeight="1" x14ac:dyDescent="0.25">
      <c r="A276" s="60"/>
      <c r="B276" s="61"/>
      <c r="D276" s="62"/>
      <c r="E276" s="63"/>
      <c r="F276" s="64"/>
      <c r="G276" s="63"/>
      <c r="H276" s="65"/>
      <c r="I276" s="66"/>
      <c r="J276" s="67" t="s">
        <v>69</v>
      </c>
      <c r="K276" s="73">
        <f t="shared" si="71"/>
        <v>55</v>
      </c>
      <c r="L276" s="73">
        <f t="shared" si="72"/>
        <v>55</v>
      </c>
      <c r="M276" s="74"/>
      <c r="N276" s="95"/>
      <c r="O276" s="62"/>
      <c r="P276" s="63"/>
      <c r="Q276" s="64"/>
      <c r="R276" s="63"/>
      <c r="S276" s="65"/>
      <c r="T276" s="66"/>
      <c r="U276" s="67" t="s">
        <v>69</v>
      </c>
      <c r="V276" s="73">
        <f t="shared" si="73"/>
        <v>55</v>
      </c>
      <c r="W276" s="73">
        <f t="shared" si="79"/>
        <v>55</v>
      </c>
    </row>
    <row r="277" spans="1:23" ht="13.5" customHeight="1" x14ac:dyDescent="0.25">
      <c r="A277" s="60"/>
      <c r="B277" s="71"/>
      <c r="D277" s="62"/>
      <c r="E277" s="63"/>
      <c r="F277" s="64"/>
      <c r="G277" s="63"/>
      <c r="H277" s="65"/>
      <c r="I277" s="66"/>
      <c r="J277" s="67" t="s">
        <v>69</v>
      </c>
      <c r="K277" s="73">
        <f t="shared" si="71"/>
        <v>55</v>
      </c>
      <c r="L277" s="73">
        <f t="shared" si="72"/>
        <v>55</v>
      </c>
      <c r="M277" s="74"/>
      <c r="N277" s="95"/>
      <c r="O277" s="62"/>
      <c r="P277" s="63"/>
      <c r="Q277" s="64"/>
      <c r="R277" s="63"/>
      <c r="S277" s="65"/>
      <c r="T277" s="66"/>
      <c r="U277" s="67" t="s">
        <v>69</v>
      </c>
      <c r="V277" s="73">
        <f t="shared" si="73"/>
        <v>55</v>
      </c>
      <c r="W277" s="73">
        <f t="shared" si="79"/>
        <v>55</v>
      </c>
    </row>
    <row r="278" spans="1:23" ht="13.5" customHeight="1" x14ac:dyDescent="0.25">
      <c r="A278" s="60">
        <v>67</v>
      </c>
      <c r="B278" s="61" t="s">
        <v>321</v>
      </c>
      <c r="D278" s="62"/>
      <c r="E278" s="63"/>
      <c r="F278" s="64"/>
      <c r="G278" s="63"/>
      <c r="H278" s="65"/>
      <c r="I278" s="66"/>
      <c r="J278" s="67" t="s">
        <v>69</v>
      </c>
      <c r="K278" s="73">
        <f t="shared" si="71"/>
        <v>55</v>
      </c>
      <c r="L278" s="73">
        <f t="shared" si="72"/>
        <v>55</v>
      </c>
      <c r="M278" s="74"/>
      <c r="N278" s="95"/>
      <c r="O278" s="62"/>
      <c r="P278" s="63"/>
      <c r="Q278" s="64"/>
      <c r="R278" s="63"/>
      <c r="S278" s="65"/>
      <c r="T278" s="66"/>
      <c r="U278" s="67" t="s">
        <v>69</v>
      </c>
      <c r="V278" s="73">
        <f t="shared" si="73"/>
        <v>55</v>
      </c>
      <c r="W278" s="73">
        <f t="shared" si="79"/>
        <v>55</v>
      </c>
    </row>
    <row r="279" spans="1:23" ht="13.5" customHeight="1" x14ac:dyDescent="0.25">
      <c r="A279" s="60"/>
      <c r="B279" s="71" t="s">
        <v>322</v>
      </c>
      <c r="D279" s="152">
        <v>14.2</v>
      </c>
      <c r="E279" s="153">
        <f>+ROUND(F279*FOD*(1+$I$5),1)</f>
        <v>10.199999999999999</v>
      </c>
      <c r="F279" s="160">
        <v>7</v>
      </c>
      <c r="G279" s="154">
        <v>16.100000000000001</v>
      </c>
      <c r="H279" s="155">
        <v>0.6</v>
      </c>
      <c r="I279" s="66">
        <f>D279+E279+G279+H279</f>
        <v>41.1</v>
      </c>
      <c r="J279" s="67" t="s">
        <v>69</v>
      </c>
      <c r="K279" s="73">
        <f t="shared" si="71"/>
        <v>55</v>
      </c>
      <c r="L279" s="73">
        <f t="shared" si="72"/>
        <v>96.1</v>
      </c>
      <c r="M279" s="74"/>
      <c r="N279" s="95"/>
      <c r="O279" s="152">
        <v>14.2</v>
      </c>
      <c r="P279" s="153">
        <f>+ROUND(Q279*FOD*(1+$I$5),1)</f>
        <v>10.199999999999999</v>
      </c>
      <c r="Q279" s="160">
        <v>7</v>
      </c>
      <c r="R279" s="154">
        <v>16.100000000000001</v>
      </c>
      <c r="S279" s="155">
        <v>0.6</v>
      </c>
      <c r="T279" s="66">
        <f>O279+P279+R279+S279</f>
        <v>41.1</v>
      </c>
      <c r="U279" s="67" t="s">
        <v>69</v>
      </c>
      <c r="V279" s="73">
        <f t="shared" si="73"/>
        <v>55</v>
      </c>
      <c r="W279" s="73">
        <f t="shared" si="79"/>
        <v>96.1</v>
      </c>
    </row>
    <row r="280" spans="1:23" ht="13.5" customHeight="1" x14ac:dyDescent="0.25">
      <c r="A280" s="60"/>
      <c r="B280" s="71" t="s">
        <v>323</v>
      </c>
      <c r="D280" s="152">
        <v>15.6</v>
      </c>
      <c r="E280" s="153">
        <f>+ROUND(F280*FOD*(1+$I$5),1)</f>
        <v>14.6</v>
      </c>
      <c r="F280" s="160">
        <v>10</v>
      </c>
      <c r="G280" s="154">
        <v>17.600000000000001</v>
      </c>
      <c r="H280" s="155">
        <v>0.7</v>
      </c>
      <c r="I280" s="66">
        <f>D280+E280+G280+H280</f>
        <v>48.5</v>
      </c>
      <c r="J280" s="67" t="s">
        <v>69</v>
      </c>
      <c r="K280" s="73">
        <f t="shared" si="71"/>
        <v>55</v>
      </c>
      <c r="L280" s="73">
        <f t="shared" si="72"/>
        <v>103.5</v>
      </c>
      <c r="M280" s="74"/>
      <c r="N280" s="95"/>
      <c r="O280" s="152">
        <v>15.6</v>
      </c>
      <c r="P280" s="153">
        <f>+ROUND(Q280*FOD*(1+$I$5),1)</f>
        <v>14.6</v>
      </c>
      <c r="Q280" s="160">
        <v>10</v>
      </c>
      <c r="R280" s="154">
        <v>17.600000000000001</v>
      </c>
      <c r="S280" s="155">
        <v>0.7</v>
      </c>
      <c r="T280" s="66">
        <f>O280+P280+R280+S280</f>
        <v>48.5</v>
      </c>
      <c r="U280" s="67" t="s">
        <v>69</v>
      </c>
      <c r="V280" s="73">
        <f t="shared" si="73"/>
        <v>55</v>
      </c>
      <c r="W280" s="73">
        <f t="shared" si="79"/>
        <v>103.5</v>
      </c>
    </row>
    <row r="281" spans="1:23" ht="13.5" customHeight="1" x14ac:dyDescent="0.25">
      <c r="A281" s="60"/>
      <c r="B281" s="71" t="s">
        <v>324</v>
      </c>
      <c r="C281" s="72"/>
      <c r="D281" s="152">
        <v>17.2</v>
      </c>
      <c r="E281" s="153">
        <f>+ROUND(F281*FOD*(1+$I$5),1)</f>
        <v>18.100000000000001</v>
      </c>
      <c r="F281" s="160">
        <v>12.424242424242422</v>
      </c>
      <c r="G281" s="154">
        <v>25.1</v>
      </c>
      <c r="H281" s="155">
        <v>0.7</v>
      </c>
      <c r="I281" s="66">
        <f>D281+E281+G281+H281</f>
        <v>61.1</v>
      </c>
      <c r="J281" s="67" t="s">
        <v>69</v>
      </c>
      <c r="K281" s="73">
        <f t="shared" si="71"/>
        <v>55</v>
      </c>
      <c r="L281" s="73">
        <f t="shared" si="72"/>
        <v>116.1</v>
      </c>
      <c r="M281" s="74"/>
      <c r="N281" s="95"/>
      <c r="O281" s="152">
        <v>17.2</v>
      </c>
      <c r="P281" s="153">
        <f>+ROUND(Q281*FOD*(1+$I$5),1)</f>
        <v>18.100000000000001</v>
      </c>
      <c r="Q281" s="160">
        <v>12.424242424242422</v>
      </c>
      <c r="R281" s="154">
        <v>25.1</v>
      </c>
      <c r="S281" s="155">
        <v>0.7</v>
      </c>
      <c r="T281" s="66">
        <f>O281+P281+R281+S281</f>
        <v>61.1</v>
      </c>
      <c r="U281" s="67" t="s">
        <v>69</v>
      </c>
      <c r="V281" s="73">
        <f t="shared" si="73"/>
        <v>55</v>
      </c>
      <c r="W281" s="73">
        <f t="shared" si="79"/>
        <v>116.1</v>
      </c>
    </row>
    <row r="282" spans="1:23" ht="13.5" customHeight="1" x14ac:dyDescent="0.25">
      <c r="A282" s="60"/>
      <c r="B282" s="71" t="s">
        <v>325</v>
      </c>
      <c r="C282" s="72"/>
      <c r="D282" s="152">
        <v>21.9</v>
      </c>
      <c r="E282" s="153">
        <f>+ROUND(F282*FOD*(1+$I$5),1)</f>
        <v>29.6</v>
      </c>
      <c r="F282" s="160">
        <v>20.303030303030301</v>
      </c>
      <c r="G282" s="154">
        <v>34.200000000000003</v>
      </c>
      <c r="H282" s="155">
        <v>0.9</v>
      </c>
      <c r="I282" s="66">
        <f>D282+E282+G282+H282</f>
        <v>86.600000000000009</v>
      </c>
      <c r="J282" s="67" t="s">
        <v>69</v>
      </c>
      <c r="K282" s="73">
        <f t="shared" si="71"/>
        <v>55</v>
      </c>
      <c r="L282" s="73">
        <f t="shared" si="72"/>
        <v>141.60000000000002</v>
      </c>
      <c r="M282" s="74"/>
      <c r="N282" s="95"/>
      <c r="O282" s="152">
        <v>21.9</v>
      </c>
      <c r="P282" s="153">
        <f>+ROUND(Q282*FOD*(1+$I$5),1)</f>
        <v>29.6</v>
      </c>
      <c r="Q282" s="160">
        <v>20.303030303030301</v>
      </c>
      <c r="R282" s="154">
        <v>34.200000000000003</v>
      </c>
      <c r="S282" s="155">
        <v>0.9</v>
      </c>
      <c r="T282" s="66">
        <f>O282+P282+R282+S282</f>
        <v>86.600000000000009</v>
      </c>
      <c r="U282" s="67" t="s">
        <v>69</v>
      </c>
      <c r="V282" s="73">
        <f t="shared" si="73"/>
        <v>55</v>
      </c>
      <c r="W282" s="73">
        <f t="shared" si="79"/>
        <v>141.60000000000002</v>
      </c>
    </row>
    <row r="283" spans="1:23" ht="13.5" customHeight="1" x14ac:dyDescent="0.25">
      <c r="A283" s="60"/>
      <c r="B283" s="87" t="s">
        <v>326</v>
      </c>
      <c r="C283" s="72"/>
      <c r="D283" s="62"/>
      <c r="E283" s="63"/>
      <c r="F283" s="64"/>
      <c r="G283" s="63"/>
      <c r="H283" s="65"/>
      <c r="I283" s="66"/>
      <c r="J283" s="67" t="s">
        <v>69</v>
      </c>
      <c r="K283" s="73">
        <f t="shared" ref="K283:K338" si="84">+$I$8</f>
        <v>55</v>
      </c>
      <c r="L283" s="73">
        <f t="shared" si="72"/>
        <v>55</v>
      </c>
      <c r="M283" s="74"/>
      <c r="N283" s="95"/>
      <c r="O283" s="62"/>
      <c r="P283" s="63"/>
      <c r="Q283" s="64"/>
      <c r="R283" s="63"/>
      <c r="S283" s="65"/>
      <c r="T283" s="66"/>
      <c r="U283" s="67" t="s">
        <v>69</v>
      </c>
      <c r="V283" s="73">
        <f t="shared" si="73"/>
        <v>55</v>
      </c>
      <c r="W283" s="73">
        <f t="shared" si="79"/>
        <v>55</v>
      </c>
    </row>
    <row r="284" spans="1:23" ht="13.5" customHeight="1" x14ac:dyDescent="0.25">
      <c r="A284" s="60"/>
      <c r="B284" s="71" t="s">
        <v>327</v>
      </c>
      <c r="C284" s="72"/>
      <c r="D284" s="152">
        <v>21.7</v>
      </c>
      <c r="E284" s="153"/>
      <c r="F284" s="160"/>
      <c r="G284" s="154">
        <v>15</v>
      </c>
      <c r="H284" s="155">
        <v>0.9</v>
      </c>
      <c r="I284" s="66">
        <f>D284+E284+G284+H284</f>
        <v>37.6</v>
      </c>
      <c r="J284" s="67" t="s">
        <v>69</v>
      </c>
      <c r="K284" s="73">
        <f t="shared" si="84"/>
        <v>55</v>
      </c>
      <c r="L284" s="73">
        <f t="shared" si="72"/>
        <v>92.6</v>
      </c>
      <c r="M284" s="74"/>
      <c r="N284" s="95"/>
      <c r="O284" s="152">
        <v>21.7</v>
      </c>
      <c r="P284" s="153"/>
      <c r="Q284" s="160"/>
      <c r="R284" s="154">
        <v>15</v>
      </c>
      <c r="S284" s="155">
        <v>0.9</v>
      </c>
      <c r="T284" s="66">
        <f>O284+P284+R284+S284</f>
        <v>37.6</v>
      </c>
      <c r="U284" s="67" t="s">
        <v>69</v>
      </c>
      <c r="V284" s="73">
        <f t="shared" si="73"/>
        <v>55</v>
      </c>
      <c r="W284" s="73">
        <f t="shared" si="79"/>
        <v>92.6</v>
      </c>
    </row>
    <row r="285" spans="1:23" ht="13.5" customHeight="1" x14ac:dyDescent="0.25">
      <c r="A285" s="60"/>
      <c r="B285" s="71" t="s">
        <v>328</v>
      </c>
      <c r="C285" s="72"/>
      <c r="D285" s="152">
        <v>21.9</v>
      </c>
      <c r="E285" s="153">
        <f>+ROUND(F285*FOD*(1+$I$5),1)</f>
        <v>29.6</v>
      </c>
      <c r="F285" s="160">
        <v>20.303030303030301</v>
      </c>
      <c r="G285" s="154">
        <v>34.200000000000003</v>
      </c>
      <c r="H285" s="155">
        <v>0.9</v>
      </c>
      <c r="I285" s="66">
        <f>D285+E285+G285+H285</f>
        <v>86.600000000000009</v>
      </c>
      <c r="J285" s="67" t="s">
        <v>69</v>
      </c>
      <c r="K285" s="73">
        <f t="shared" si="84"/>
        <v>55</v>
      </c>
      <c r="L285" s="73">
        <f t="shared" ref="L285:L338" si="85">+K285+I285</f>
        <v>141.60000000000002</v>
      </c>
      <c r="M285" s="74"/>
      <c r="N285" s="95"/>
      <c r="O285" s="152">
        <v>21.9</v>
      </c>
      <c r="P285" s="153">
        <f>+ROUND(Q285*FOD*(1+$I$5),1)</f>
        <v>29.6</v>
      </c>
      <c r="Q285" s="160">
        <v>20.303030303030301</v>
      </c>
      <c r="R285" s="154">
        <v>34.200000000000003</v>
      </c>
      <c r="S285" s="155">
        <v>0.9</v>
      </c>
      <c r="T285" s="66">
        <f>O285+P285+R285+S285</f>
        <v>86.600000000000009</v>
      </c>
      <c r="U285" s="67" t="s">
        <v>69</v>
      </c>
      <c r="V285" s="73">
        <f t="shared" ref="V285:V338" si="86">+$I$8</f>
        <v>55</v>
      </c>
      <c r="W285" s="73">
        <f t="shared" si="79"/>
        <v>141.60000000000002</v>
      </c>
    </row>
    <row r="286" spans="1:23" ht="13.5" customHeight="1" x14ac:dyDescent="0.25">
      <c r="A286" s="60"/>
      <c r="B286" s="71"/>
      <c r="D286" s="62"/>
      <c r="E286" s="63"/>
      <c r="F286" s="64"/>
      <c r="G286" s="63"/>
      <c r="H286" s="65"/>
      <c r="I286" s="66"/>
      <c r="J286" s="67" t="s">
        <v>69</v>
      </c>
      <c r="K286" s="73">
        <f t="shared" si="84"/>
        <v>55</v>
      </c>
      <c r="L286" s="73">
        <f t="shared" si="85"/>
        <v>55</v>
      </c>
      <c r="M286" s="74"/>
      <c r="N286" s="95"/>
      <c r="O286" s="62"/>
      <c r="P286" s="63"/>
      <c r="Q286" s="64"/>
      <c r="R286" s="63"/>
      <c r="S286" s="65"/>
      <c r="T286" s="66"/>
      <c r="U286" s="67" t="s">
        <v>69</v>
      </c>
      <c r="V286" s="73">
        <f t="shared" si="86"/>
        <v>55</v>
      </c>
      <c r="W286" s="73">
        <f t="shared" si="79"/>
        <v>55</v>
      </c>
    </row>
    <row r="287" spans="1:23" ht="13.5" customHeight="1" x14ac:dyDescent="0.25">
      <c r="A287" s="60"/>
      <c r="B287" s="71"/>
      <c r="C287" s="72"/>
      <c r="D287" s="62"/>
      <c r="E287" s="63"/>
      <c r="F287" s="64"/>
      <c r="G287" s="63"/>
      <c r="H287" s="65"/>
      <c r="I287" s="66"/>
      <c r="J287" s="67" t="s">
        <v>69</v>
      </c>
      <c r="K287" s="73">
        <f t="shared" si="84"/>
        <v>55</v>
      </c>
      <c r="L287" s="73">
        <f t="shared" si="85"/>
        <v>55</v>
      </c>
      <c r="M287" s="74"/>
      <c r="N287" s="95"/>
      <c r="O287" s="62"/>
      <c r="P287" s="63"/>
      <c r="Q287" s="64"/>
      <c r="R287" s="63"/>
      <c r="S287" s="65"/>
      <c r="T287" s="66"/>
      <c r="U287" s="67" t="s">
        <v>69</v>
      </c>
      <c r="V287" s="73">
        <f t="shared" si="86"/>
        <v>55</v>
      </c>
      <c r="W287" s="73">
        <f t="shared" si="79"/>
        <v>55</v>
      </c>
    </row>
    <row r="288" spans="1:23" ht="13.5" customHeight="1" x14ac:dyDescent="0.25">
      <c r="A288" s="60">
        <v>80</v>
      </c>
      <c r="B288" s="61" t="s">
        <v>329</v>
      </c>
      <c r="C288" s="72"/>
      <c r="D288" s="62"/>
      <c r="E288" s="63"/>
      <c r="F288" s="64"/>
      <c r="G288" s="63"/>
      <c r="H288" s="65"/>
      <c r="I288" s="66"/>
      <c r="J288" s="67" t="s">
        <v>69</v>
      </c>
      <c r="K288" s="73">
        <f t="shared" si="84"/>
        <v>55</v>
      </c>
      <c r="L288" s="73">
        <f t="shared" si="85"/>
        <v>55</v>
      </c>
      <c r="M288" s="74"/>
      <c r="N288" s="95"/>
      <c r="O288" s="62"/>
      <c r="P288" s="63"/>
      <c r="Q288" s="64"/>
      <c r="R288" s="63"/>
      <c r="S288" s="65"/>
      <c r="T288" s="66"/>
      <c r="U288" s="67" t="s">
        <v>69</v>
      </c>
      <c r="V288" s="73">
        <f t="shared" si="86"/>
        <v>55</v>
      </c>
      <c r="W288" s="73">
        <f t="shared" si="79"/>
        <v>55</v>
      </c>
    </row>
    <row r="289" spans="1:23" ht="13.5" customHeight="1" x14ac:dyDescent="0.25">
      <c r="A289" s="60"/>
      <c r="B289" s="71" t="s">
        <v>330</v>
      </c>
      <c r="C289" s="77"/>
      <c r="D289" s="152">
        <v>0.3</v>
      </c>
      <c r="E289" s="153">
        <f>+ROUND(F289*FOD*(1+$I$5),1)</f>
        <v>0.7</v>
      </c>
      <c r="F289" s="160">
        <v>0.48387096774193544</v>
      </c>
      <c r="G289" s="154">
        <v>0.1</v>
      </c>
      <c r="H289" s="155">
        <v>0</v>
      </c>
      <c r="I289" s="66">
        <f>D289+E289+G289+H289</f>
        <v>1.1000000000000001</v>
      </c>
      <c r="J289" s="67" t="s">
        <v>69</v>
      </c>
      <c r="K289" s="73">
        <f t="shared" si="84"/>
        <v>55</v>
      </c>
      <c r="L289" s="73">
        <f t="shared" si="85"/>
        <v>56.1</v>
      </c>
      <c r="M289" s="74"/>
      <c r="N289" s="95"/>
      <c r="O289" s="152">
        <v>0.3</v>
      </c>
      <c r="P289" s="153">
        <f>+ROUND(Q289*FOD*(1+$I$5),1)</f>
        <v>0.7</v>
      </c>
      <c r="Q289" s="160">
        <v>0.48387096774193544</v>
      </c>
      <c r="R289" s="154">
        <v>0.1</v>
      </c>
      <c r="S289" s="155">
        <v>0</v>
      </c>
      <c r="T289" s="66">
        <f>O289+P289+R289+S289</f>
        <v>1.1000000000000001</v>
      </c>
      <c r="U289" s="67" t="s">
        <v>69</v>
      </c>
      <c r="V289" s="73">
        <f t="shared" si="86"/>
        <v>55</v>
      </c>
      <c r="W289" s="73">
        <f t="shared" si="79"/>
        <v>56.1</v>
      </c>
    </row>
    <row r="290" spans="1:23" ht="13.5" customHeight="1" x14ac:dyDescent="0.25">
      <c r="A290" s="60"/>
      <c r="B290" s="71" t="s">
        <v>331</v>
      </c>
      <c r="C290" s="77"/>
      <c r="D290" s="152">
        <v>1.3</v>
      </c>
      <c r="E290" s="153">
        <f>+ROUND(F290*FOD*(1+$I$5),1)</f>
        <v>2.2999999999999998</v>
      </c>
      <c r="F290" s="160">
        <v>1.6129032258064517</v>
      </c>
      <c r="G290" s="154">
        <v>0.2</v>
      </c>
      <c r="H290" s="155">
        <v>0</v>
      </c>
      <c r="I290" s="66">
        <f>D290+E290+G290+H290</f>
        <v>3.8</v>
      </c>
      <c r="J290" s="67" t="s">
        <v>69</v>
      </c>
      <c r="K290" s="73">
        <f t="shared" si="84"/>
        <v>55</v>
      </c>
      <c r="L290" s="73">
        <f t="shared" si="85"/>
        <v>58.8</v>
      </c>
      <c r="M290" s="74"/>
      <c r="N290" s="95"/>
      <c r="O290" s="152">
        <v>1.3</v>
      </c>
      <c r="P290" s="153">
        <f>+ROUND(Q290*FOD*(1+$I$5),1)</f>
        <v>2.2999999999999998</v>
      </c>
      <c r="Q290" s="160">
        <v>1.6129032258064517</v>
      </c>
      <c r="R290" s="154">
        <v>0.2</v>
      </c>
      <c r="S290" s="155">
        <v>0</v>
      </c>
      <c r="T290" s="66">
        <f>O290+P290+R290+S290</f>
        <v>3.8</v>
      </c>
      <c r="U290" s="67" t="s">
        <v>69</v>
      </c>
      <c r="V290" s="73">
        <f t="shared" si="86"/>
        <v>55</v>
      </c>
      <c r="W290" s="73">
        <f t="shared" si="79"/>
        <v>58.8</v>
      </c>
    </row>
    <row r="291" spans="1:23" ht="13.5" customHeight="1" x14ac:dyDescent="0.25">
      <c r="A291" s="60"/>
      <c r="B291" s="71" t="s">
        <v>332</v>
      </c>
      <c r="C291" s="77"/>
      <c r="D291" s="152">
        <v>1.5</v>
      </c>
      <c r="E291" s="153">
        <f>+ROUND(F291*FOD*(1+$I$5),1)</f>
        <v>4.5</v>
      </c>
      <c r="F291" s="160">
        <v>3.064516129032258</v>
      </c>
      <c r="G291" s="154">
        <v>0.3</v>
      </c>
      <c r="H291" s="155">
        <v>0.1</v>
      </c>
      <c r="I291" s="66">
        <f>D291+E291+G291+H291</f>
        <v>6.3999999999999995</v>
      </c>
      <c r="J291" s="67" t="s">
        <v>69</v>
      </c>
      <c r="K291" s="73">
        <f t="shared" si="84"/>
        <v>55</v>
      </c>
      <c r="L291" s="73">
        <f t="shared" si="85"/>
        <v>61.4</v>
      </c>
      <c r="M291" s="74"/>
      <c r="N291" s="95"/>
      <c r="O291" s="152">
        <v>1.5</v>
      </c>
      <c r="P291" s="153">
        <f>+ROUND(Q291*FOD*(1+$I$5),1)</f>
        <v>4.5</v>
      </c>
      <c r="Q291" s="160">
        <v>3.064516129032258</v>
      </c>
      <c r="R291" s="154">
        <v>0.3</v>
      </c>
      <c r="S291" s="155">
        <v>0.1</v>
      </c>
      <c r="T291" s="66">
        <f>O291+P291+R291+S291</f>
        <v>6.3999999999999995</v>
      </c>
      <c r="U291" s="67" t="s">
        <v>69</v>
      </c>
      <c r="V291" s="73">
        <f t="shared" si="86"/>
        <v>55</v>
      </c>
      <c r="W291" s="73">
        <f t="shared" si="79"/>
        <v>61.4</v>
      </c>
    </row>
    <row r="292" spans="1:23" ht="13.5" customHeight="1" x14ac:dyDescent="0.25">
      <c r="A292" s="60"/>
      <c r="B292" s="71" t="s">
        <v>333</v>
      </c>
      <c r="C292" s="77"/>
      <c r="D292" s="152">
        <v>1.5</v>
      </c>
      <c r="E292" s="153">
        <f>+ROUND(F292*FOD*(1+$I$5),1)</f>
        <v>4.4000000000000004</v>
      </c>
      <c r="F292" s="160">
        <v>3</v>
      </c>
      <c r="G292" s="154">
        <v>0.3</v>
      </c>
      <c r="H292" s="155">
        <v>0.1</v>
      </c>
      <c r="I292" s="66">
        <f>D292+E292+G292+H292</f>
        <v>6.3</v>
      </c>
      <c r="J292" s="67" t="s">
        <v>69</v>
      </c>
      <c r="K292" s="73">
        <f t="shared" si="84"/>
        <v>55</v>
      </c>
      <c r="L292" s="73">
        <f t="shared" si="85"/>
        <v>61.3</v>
      </c>
      <c r="M292" s="74"/>
      <c r="N292" s="95"/>
      <c r="O292" s="152">
        <v>1.5</v>
      </c>
      <c r="P292" s="153">
        <f>+ROUND(Q292*FOD*(1+$I$5),1)</f>
        <v>4.4000000000000004</v>
      </c>
      <c r="Q292" s="160">
        <v>3</v>
      </c>
      <c r="R292" s="154">
        <v>0.3</v>
      </c>
      <c r="S292" s="155">
        <v>0.1</v>
      </c>
      <c r="T292" s="66">
        <f>O292+P292+R292+S292</f>
        <v>6.3</v>
      </c>
      <c r="U292" s="67" t="s">
        <v>69</v>
      </c>
      <c r="V292" s="73">
        <f t="shared" si="86"/>
        <v>55</v>
      </c>
      <c r="W292" s="73">
        <f t="shared" si="79"/>
        <v>61.3</v>
      </c>
    </row>
    <row r="293" spans="1:23" ht="13.5" customHeight="1" x14ac:dyDescent="0.25">
      <c r="A293" s="60"/>
      <c r="B293" s="71"/>
      <c r="D293" s="62"/>
      <c r="E293" s="63"/>
      <c r="F293" s="64"/>
      <c r="G293" s="63"/>
      <c r="H293" s="65"/>
      <c r="I293" s="66"/>
      <c r="J293" s="67" t="s">
        <v>69</v>
      </c>
      <c r="K293" s="73">
        <f t="shared" si="84"/>
        <v>55</v>
      </c>
      <c r="L293" s="73">
        <f t="shared" si="85"/>
        <v>55</v>
      </c>
      <c r="M293" s="74"/>
      <c r="N293" s="95"/>
      <c r="O293" s="62"/>
      <c r="P293" s="63"/>
      <c r="Q293" s="64"/>
      <c r="R293" s="63"/>
      <c r="S293" s="65"/>
      <c r="T293" s="66"/>
      <c r="U293" s="67" t="s">
        <v>69</v>
      </c>
      <c r="V293" s="73">
        <f t="shared" si="86"/>
        <v>55</v>
      </c>
      <c r="W293" s="73">
        <f t="shared" si="79"/>
        <v>55</v>
      </c>
    </row>
    <row r="294" spans="1:23" ht="13.5" customHeight="1" x14ac:dyDescent="0.25">
      <c r="A294" s="60">
        <v>83</v>
      </c>
      <c r="B294" s="61" t="s">
        <v>334</v>
      </c>
      <c r="D294" s="62"/>
      <c r="E294" s="63"/>
      <c r="F294" s="64"/>
      <c r="G294" s="63"/>
      <c r="H294" s="65"/>
      <c r="I294" s="66"/>
      <c r="J294" s="67" t="s">
        <v>69</v>
      </c>
      <c r="K294" s="73">
        <f t="shared" si="84"/>
        <v>55</v>
      </c>
      <c r="L294" s="73">
        <f t="shared" si="85"/>
        <v>55</v>
      </c>
      <c r="M294" s="74"/>
      <c r="N294" s="95"/>
      <c r="O294" s="62"/>
      <c r="P294" s="63"/>
      <c r="Q294" s="64"/>
      <c r="R294" s="63"/>
      <c r="S294" s="65"/>
      <c r="T294" s="66"/>
      <c r="U294" s="67" t="s">
        <v>69</v>
      </c>
      <c r="V294" s="73">
        <f t="shared" si="86"/>
        <v>55</v>
      </c>
      <c r="W294" s="73">
        <f t="shared" si="79"/>
        <v>55</v>
      </c>
    </row>
    <row r="295" spans="1:23" ht="13.5" customHeight="1" x14ac:dyDescent="0.25">
      <c r="A295" s="60"/>
      <c r="B295" s="71" t="s">
        <v>335</v>
      </c>
      <c r="C295" s="3"/>
      <c r="D295" s="152">
        <v>0.8</v>
      </c>
      <c r="E295" s="153"/>
      <c r="F295" s="160"/>
      <c r="G295" s="154">
        <v>0.1</v>
      </c>
      <c r="H295" s="155">
        <v>0</v>
      </c>
      <c r="I295" s="66">
        <f>D295+E295+G295+H295</f>
        <v>0.9</v>
      </c>
      <c r="J295" s="67" t="s">
        <v>69</v>
      </c>
      <c r="K295" s="73">
        <f t="shared" si="84"/>
        <v>55</v>
      </c>
      <c r="L295" s="73">
        <f t="shared" si="85"/>
        <v>55.9</v>
      </c>
      <c r="M295" s="74"/>
      <c r="N295" s="95"/>
      <c r="O295" s="152">
        <v>0.8</v>
      </c>
      <c r="P295" s="153"/>
      <c r="Q295" s="160"/>
      <c r="R295" s="154">
        <v>0.1</v>
      </c>
      <c r="S295" s="155">
        <v>0</v>
      </c>
      <c r="T295" s="66">
        <f>O295+P295+R295+S295</f>
        <v>0.9</v>
      </c>
      <c r="U295" s="67" t="s">
        <v>69</v>
      </c>
      <c r="V295" s="73">
        <f t="shared" si="86"/>
        <v>55</v>
      </c>
      <c r="W295" s="73">
        <f t="shared" ref="W295:W338" si="87">+V295+T295</f>
        <v>55.9</v>
      </c>
    </row>
    <row r="296" spans="1:23" ht="13.5" customHeight="1" x14ac:dyDescent="0.25">
      <c r="A296" s="60"/>
      <c r="B296" s="71" t="s">
        <v>336</v>
      </c>
      <c r="C296" s="3"/>
      <c r="D296" s="152">
        <v>0.8</v>
      </c>
      <c r="E296" s="153"/>
      <c r="F296" s="160"/>
      <c r="G296" s="154">
        <v>0.1</v>
      </c>
      <c r="H296" s="155">
        <v>0</v>
      </c>
      <c r="I296" s="66">
        <f>D296+E296+G296+H296</f>
        <v>0.9</v>
      </c>
      <c r="J296" s="67" t="s">
        <v>69</v>
      </c>
      <c r="K296" s="73">
        <f t="shared" si="84"/>
        <v>55</v>
      </c>
      <c r="L296" s="73">
        <f t="shared" si="85"/>
        <v>55.9</v>
      </c>
      <c r="M296" s="74"/>
      <c r="N296" s="95"/>
      <c r="O296" s="152">
        <v>0.8</v>
      </c>
      <c r="P296" s="153"/>
      <c r="Q296" s="160"/>
      <c r="R296" s="154">
        <v>0.1</v>
      </c>
      <c r="S296" s="155">
        <v>0</v>
      </c>
      <c r="T296" s="66">
        <f>O296+P296+R296+S296</f>
        <v>0.9</v>
      </c>
      <c r="U296" s="67" t="s">
        <v>69</v>
      </c>
      <c r="V296" s="73">
        <f t="shared" si="86"/>
        <v>55</v>
      </c>
      <c r="W296" s="73">
        <f t="shared" si="87"/>
        <v>55.9</v>
      </c>
    </row>
    <row r="297" spans="1:23" ht="13.5" customHeight="1" x14ac:dyDescent="0.25">
      <c r="A297" s="60"/>
      <c r="B297" s="61"/>
      <c r="C297" s="3"/>
      <c r="D297" s="62"/>
      <c r="E297" s="63"/>
      <c r="F297" s="64"/>
      <c r="G297" s="63"/>
      <c r="H297" s="65"/>
      <c r="I297" s="66"/>
      <c r="J297" s="67" t="s">
        <v>69</v>
      </c>
      <c r="K297" s="73">
        <f t="shared" si="84"/>
        <v>55</v>
      </c>
      <c r="L297" s="73">
        <f t="shared" si="85"/>
        <v>55</v>
      </c>
      <c r="M297" s="74"/>
      <c r="N297" s="95"/>
      <c r="O297" s="62"/>
      <c r="P297" s="63"/>
      <c r="Q297" s="64"/>
      <c r="R297" s="63"/>
      <c r="S297" s="65"/>
      <c r="T297" s="66"/>
      <c r="U297" s="67" t="s">
        <v>69</v>
      </c>
      <c r="V297" s="73">
        <f t="shared" si="86"/>
        <v>55</v>
      </c>
      <c r="W297" s="73">
        <f t="shared" si="87"/>
        <v>55</v>
      </c>
    </row>
    <row r="298" spans="1:23" ht="13.5" customHeight="1" x14ac:dyDescent="0.25">
      <c r="A298" s="60">
        <v>84</v>
      </c>
      <c r="B298" s="61" t="s">
        <v>337</v>
      </c>
      <c r="C298" s="3"/>
      <c r="D298" s="152">
        <v>0.3</v>
      </c>
      <c r="E298" s="153"/>
      <c r="F298" s="160"/>
      <c r="G298" s="154">
        <v>0.1</v>
      </c>
      <c r="H298" s="155">
        <v>0</v>
      </c>
      <c r="I298" s="66">
        <f>D298+E298+G298+H298</f>
        <v>0.4</v>
      </c>
      <c r="J298" s="67" t="s">
        <v>69</v>
      </c>
      <c r="K298" s="73">
        <f t="shared" si="84"/>
        <v>55</v>
      </c>
      <c r="L298" s="73">
        <f t="shared" si="85"/>
        <v>55.4</v>
      </c>
      <c r="M298" s="74"/>
      <c r="N298" s="95"/>
      <c r="O298" s="152">
        <v>0.3</v>
      </c>
      <c r="P298" s="153"/>
      <c r="Q298" s="160"/>
      <c r="R298" s="154">
        <v>0.1</v>
      </c>
      <c r="S298" s="155">
        <v>0</v>
      </c>
      <c r="T298" s="66">
        <f>O298+P298+R298+S298</f>
        <v>0.4</v>
      </c>
      <c r="U298" s="67" t="s">
        <v>69</v>
      </c>
      <c r="V298" s="73">
        <f t="shared" si="86"/>
        <v>55</v>
      </c>
      <c r="W298" s="73">
        <f t="shared" si="87"/>
        <v>55.4</v>
      </c>
    </row>
    <row r="299" spans="1:23" ht="13.5" customHeight="1" x14ac:dyDescent="0.25">
      <c r="A299" s="60"/>
      <c r="B299" s="61"/>
      <c r="C299" s="3"/>
      <c r="D299" s="62"/>
      <c r="E299" s="63"/>
      <c r="F299" s="64"/>
      <c r="G299" s="63"/>
      <c r="H299" s="65"/>
      <c r="I299" s="66"/>
      <c r="J299" s="67" t="s">
        <v>69</v>
      </c>
      <c r="K299" s="73">
        <f t="shared" si="84"/>
        <v>55</v>
      </c>
      <c r="L299" s="73">
        <f t="shared" si="85"/>
        <v>55</v>
      </c>
      <c r="M299" s="74"/>
      <c r="N299" s="95"/>
      <c r="O299" s="62"/>
      <c r="P299" s="63"/>
      <c r="Q299" s="64"/>
      <c r="R299" s="63"/>
      <c r="S299" s="65"/>
      <c r="T299" s="66"/>
      <c r="U299" s="67" t="s">
        <v>69</v>
      </c>
      <c r="V299" s="73">
        <f t="shared" si="86"/>
        <v>55</v>
      </c>
      <c r="W299" s="73">
        <f t="shared" si="87"/>
        <v>55</v>
      </c>
    </row>
    <row r="300" spans="1:23" ht="13.5" customHeight="1" x14ac:dyDescent="0.25">
      <c r="A300" s="60">
        <v>86</v>
      </c>
      <c r="B300" s="61" t="s">
        <v>338</v>
      </c>
      <c r="C300" s="3"/>
      <c r="D300" s="152">
        <v>0.5</v>
      </c>
      <c r="E300" s="153">
        <v>0.4</v>
      </c>
      <c r="F300" s="160"/>
      <c r="G300" s="154">
        <v>0.1</v>
      </c>
      <c r="H300" s="155">
        <v>0</v>
      </c>
      <c r="I300" s="66">
        <f>D300+E300+G300+H300</f>
        <v>1</v>
      </c>
      <c r="J300" s="67" t="s">
        <v>69</v>
      </c>
      <c r="K300" s="73">
        <f t="shared" si="84"/>
        <v>55</v>
      </c>
      <c r="L300" s="73">
        <f t="shared" si="85"/>
        <v>56</v>
      </c>
      <c r="M300" s="74"/>
      <c r="N300" s="95"/>
      <c r="O300" s="152">
        <v>0.5</v>
      </c>
      <c r="P300" s="153">
        <v>0.4</v>
      </c>
      <c r="Q300" s="160"/>
      <c r="R300" s="154">
        <v>0.1</v>
      </c>
      <c r="S300" s="155">
        <v>0</v>
      </c>
      <c r="T300" s="66">
        <f>O300+P300+R300+S300</f>
        <v>1</v>
      </c>
      <c r="U300" s="67" t="s">
        <v>69</v>
      </c>
      <c r="V300" s="73">
        <f t="shared" si="86"/>
        <v>55</v>
      </c>
      <c r="W300" s="73">
        <f t="shared" si="87"/>
        <v>56</v>
      </c>
    </row>
    <row r="301" spans="1:23" ht="13.5" customHeight="1" x14ac:dyDescent="0.25">
      <c r="A301" s="60"/>
      <c r="B301" s="61"/>
      <c r="C301" s="3"/>
      <c r="D301" s="62"/>
      <c r="E301" s="63"/>
      <c r="F301" s="64"/>
      <c r="G301" s="63"/>
      <c r="H301" s="65"/>
      <c r="I301" s="66"/>
      <c r="J301" s="67" t="s">
        <v>69</v>
      </c>
      <c r="K301" s="73">
        <f t="shared" si="84"/>
        <v>55</v>
      </c>
      <c r="L301" s="73">
        <f t="shared" si="85"/>
        <v>55</v>
      </c>
      <c r="M301" s="74"/>
      <c r="N301" s="95"/>
      <c r="O301" s="62"/>
      <c r="P301" s="63"/>
      <c r="Q301" s="64"/>
      <c r="R301" s="63"/>
      <c r="S301" s="65"/>
      <c r="T301" s="66"/>
      <c r="U301" s="67" t="s">
        <v>69</v>
      </c>
      <c r="V301" s="73">
        <f t="shared" si="86"/>
        <v>55</v>
      </c>
      <c r="W301" s="73">
        <f t="shared" si="87"/>
        <v>55</v>
      </c>
    </row>
    <row r="302" spans="1:23" ht="13.5" customHeight="1" x14ac:dyDescent="0.25">
      <c r="A302" s="60">
        <v>87</v>
      </c>
      <c r="B302" s="61" t="s">
        <v>339</v>
      </c>
      <c r="C302" s="3"/>
      <c r="D302" s="62"/>
      <c r="E302" s="63"/>
      <c r="F302" s="64"/>
      <c r="G302" s="63"/>
      <c r="H302" s="65"/>
      <c r="I302" s="66"/>
      <c r="J302" s="67" t="s">
        <v>69</v>
      </c>
      <c r="K302" s="73">
        <f t="shared" si="84"/>
        <v>55</v>
      </c>
      <c r="L302" s="73">
        <f t="shared" si="85"/>
        <v>55</v>
      </c>
      <c r="M302" s="74"/>
      <c r="N302" s="95"/>
      <c r="O302" s="62"/>
      <c r="P302" s="63"/>
      <c r="Q302" s="64"/>
      <c r="R302" s="63"/>
      <c r="S302" s="65"/>
      <c r="T302" s="66"/>
      <c r="U302" s="67" t="s">
        <v>69</v>
      </c>
      <c r="V302" s="73">
        <f t="shared" si="86"/>
        <v>55</v>
      </c>
      <c r="W302" s="73">
        <f t="shared" si="87"/>
        <v>55</v>
      </c>
    </row>
    <row r="303" spans="1:23" ht="13.5" hidden="1" customHeight="1" x14ac:dyDescent="0.25">
      <c r="A303" s="60"/>
      <c r="B303" s="71" t="s">
        <v>340</v>
      </c>
      <c r="C303" s="3"/>
      <c r="D303" s="62"/>
      <c r="E303" s="63"/>
      <c r="F303" s="64"/>
      <c r="G303" s="63"/>
      <c r="H303" s="65"/>
      <c r="I303" s="66"/>
      <c r="J303" s="67" t="s">
        <v>69</v>
      </c>
      <c r="K303" s="73">
        <f t="shared" si="84"/>
        <v>55</v>
      </c>
      <c r="L303" s="73">
        <f t="shared" si="85"/>
        <v>55</v>
      </c>
      <c r="M303" s="74"/>
      <c r="N303" s="95"/>
      <c r="O303" s="62"/>
      <c r="P303" s="63"/>
      <c r="Q303" s="64"/>
      <c r="R303" s="63"/>
      <c r="S303" s="65"/>
      <c r="T303" s="66"/>
      <c r="U303" s="67" t="s">
        <v>69</v>
      </c>
      <c r="V303" s="73">
        <f t="shared" si="86"/>
        <v>55</v>
      </c>
      <c r="W303" s="73">
        <f t="shared" si="87"/>
        <v>55</v>
      </c>
    </row>
    <row r="304" spans="1:23" ht="13.5" hidden="1" customHeight="1" x14ac:dyDescent="0.25">
      <c r="A304" s="60"/>
      <c r="B304" s="71" t="s">
        <v>341</v>
      </c>
      <c r="C304" s="3"/>
      <c r="D304" s="62"/>
      <c r="E304" s="63"/>
      <c r="F304" s="64"/>
      <c r="G304" s="63"/>
      <c r="H304" s="65"/>
      <c r="I304" s="66"/>
      <c r="J304" s="67" t="s">
        <v>69</v>
      </c>
      <c r="K304" s="73">
        <f t="shared" si="84"/>
        <v>55</v>
      </c>
      <c r="L304" s="73">
        <f t="shared" si="85"/>
        <v>55</v>
      </c>
      <c r="M304" s="74"/>
      <c r="N304" s="95"/>
      <c r="O304" s="62"/>
      <c r="P304" s="63"/>
      <c r="Q304" s="64"/>
      <c r="R304" s="63"/>
      <c r="S304" s="65"/>
      <c r="T304" s="66"/>
      <c r="U304" s="67" t="s">
        <v>69</v>
      </c>
      <c r="V304" s="73">
        <f t="shared" si="86"/>
        <v>55</v>
      </c>
      <c r="W304" s="73">
        <f t="shared" si="87"/>
        <v>55</v>
      </c>
    </row>
    <row r="305" spans="1:23" ht="13.5" customHeight="1" x14ac:dyDescent="0.25">
      <c r="A305" s="60"/>
      <c r="B305" s="71" t="s">
        <v>342</v>
      </c>
      <c r="C305" s="3"/>
      <c r="D305" s="152">
        <v>0.5</v>
      </c>
      <c r="E305" s="153">
        <v>0.4</v>
      </c>
      <c r="F305" s="160"/>
      <c r="G305" s="154">
        <v>0.1</v>
      </c>
      <c r="H305" s="155">
        <v>0</v>
      </c>
      <c r="I305" s="66">
        <f>D305+E305+G305+H305</f>
        <v>1</v>
      </c>
      <c r="J305" s="67" t="s">
        <v>69</v>
      </c>
      <c r="K305" s="73">
        <f t="shared" si="84"/>
        <v>55</v>
      </c>
      <c r="L305" s="73">
        <f t="shared" si="85"/>
        <v>56</v>
      </c>
      <c r="M305" s="74"/>
      <c r="N305" s="95"/>
      <c r="O305" s="152">
        <v>0.5</v>
      </c>
      <c r="P305" s="153">
        <v>0.4</v>
      </c>
      <c r="Q305" s="160"/>
      <c r="R305" s="154">
        <v>0.1</v>
      </c>
      <c r="S305" s="155">
        <v>0</v>
      </c>
      <c r="T305" s="66">
        <f>O305+P305+R305+S305</f>
        <v>1</v>
      </c>
      <c r="U305" s="67" t="s">
        <v>69</v>
      </c>
      <c r="V305" s="73">
        <f t="shared" si="86"/>
        <v>55</v>
      </c>
      <c r="W305" s="73">
        <f t="shared" si="87"/>
        <v>56</v>
      </c>
    </row>
    <row r="306" spans="1:23" ht="13.5" customHeight="1" x14ac:dyDescent="0.25">
      <c r="A306" s="60"/>
      <c r="B306" s="71" t="s">
        <v>343</v>
      </c>
      <c r="C306" s="3"/>
      <c r="D306" s="152">
        <v>0.1</v>
      </c>
      <c r="E306" s="153"/>
      <c r="F306" s="160"/>
      <c r="G306" s="154">
        <v>0.1</v>
      </c>
      <c r="H306" s="155">
        <v>0</v>
      </c>
      <c r="I306" s="66">
        <f>D306+E306+G306+H306</f>
        <v>0.2</v>
      </c>
      <c r="J306" s="67" t="s">
        <v>69</v>
      </c>
      <c r="K306" s="73">
        <f t="shared" si="84"/>
        <v>55</v>
      </c>
      <c r="L306" s="73">
        <f t="shared" si="85"/>
        <v>55.2</v>
      </c>
      <c r="M306" s="74"/>
      <c r="N306" s="95"/>
      <c r="O306" s="152">
        <v>0.1</v>
      </c>
      <c r="P306" s="153"/>
      <c r="Q306" s="160"/>
      <c r="R306" s="154">
        <v>0.1</v>
      </c>
      <c r="S306" s="155">
        <v>0</v>
      </c>
      <c r="T306" s="66">
        <f>O306+P306+R306+S306</f>
        <v>0.2</v>
      </c>
      <c r="U306" s="67" t="s">
        <v>69</v>
      </c>
      <c r="V306" s="73">
        <f t="shared" si="86"/>
        <v>55</v>
      </c>
      <c r="W306" s="73">
        <f t="shared" si="87"/>
        <v>55.2</v>
      </c>
    </row>
    <row r="307" spans="1:23" ht="13.5" customHeight="1" x14ac:dyDescent="0.25">
      <c r="A307" s="60"/>
      <c r="B307" s="71" t="s">
        <v>344</v>
      </c>
      <c r="C307" s="3"/>
      <c r="D307" s="152">
        <v>0.1</v>
      </c>
      <c r="E307" s="153"/>
      <c r="F307" s="160"/>
      <c r="G307" s="154">
        <v>0.1</v>
      </c>
      <c r="H307" s="155">
        <v>0</v>
      </c>
      <c r="I307" s="66">
        <f>D307+E307+G307+H307</f>
        <v>0.2</v>
      </c>
      <c r="J307" s="67" t="s">
        <v>69</v>
      </c>
      <c r="K307" s="73">
        <f t="shared" si="84"/>
        <v>55</v>
      </c>
      <c r="L307" s="73">
        <f t="shared" si="85"/>
        <v>55.2</v>
      </c>
      <c r="M307" s="74"/>
      <c r="N307" s="95"/>
      <c r="O307" s="152">
        <v>0.1</v>
      </c>
      <c r="P307" s="153"/>
      <c r="Q307" s="160"/>
      <c r="R307" s="154">
        <v>0.1</v>
      </c>
      <c r="S307" s="155">
        <v>0</v>
      </c>
      <c r="T307" s="66">
        <f>O307+P307+R307+S307</f>
        <v>0.2</v>
      </c>
      <c r="U307" s="67" t="s">
        <v>69</v>
      </c>
      <c r="V307" s="73">
        <f t="shared" si="86"/>
        <v>55</v>
      </c>
      <c r="W307" s="73">
        <f t="shared" si="87"/>
        <v>55.2</v>
      </c>
    </row>
    <row r="308" spans="1:23" ht="13.5" customHeight="1" x14ac:dyDescent="0.25">
      <c r="A308" s="60"/>
      <c r="B308" s="71" t="s">
        <v>345</v>
      </c>
      <c r="C308" s="3"/>
      <c r="D308" s="152">
        <v>0.1</v>
      </c>
      <c r="E308" s="153"/>
      <c r="F308" s="160"/>
      <c r="G308" s="154">
        <v>0.1</v>
      </c>
      <c r="H308" s="155">
        <v>0</v>
      </c>
      <c r="I308" s="66">
        <f>D308+E308+G308+H308</f>
        <v>0.2</v>
      </c>
      <c r="J308" s="67" t="s">
        <v>69</v>
      </c>
      <c r="K308" s="73">
        <f t="shared" si="84"/>
        <v>55</v>
      </c>
      <c r="L308" s="73">
        <f t="shared" si="85"/>
        <v>55.2</v>
      </c>
      <c r="M308" s="74"/>
      <c r="N308" s="95"/>
      <c r="O308" s="152">
        <v>0.1</v>
      </c>
      <c r="P308" s="153"/>
      <c r="Q308" s="160"/>
      <c r="R308" s="154">
        <v>0.1</v>
      </c>
      <c r="S308" s="155">
        <v>0</v>
      </c>
      <c r="T308" s="66">
        <f>O308+P308+R308+S308</f>
        <v>0.2</v>
      </c>
      <c r="U308" s="67" t="s">
        <v>69</v>
      </c>
      <c r="V308" s="73">
        <f t="shared" si="86"/>
        <v>55</v>
      </c>
      <c r="W308" s="73">
        <f t="shared" si="87"/>
        <v>55.2</v>
      </c>
    </row>
    <row r="309" spans="1:23" ht="13.5" customHeight="1" x14ac:dyDescent="0.25">
      <c r="A309" s="60"/>
      <c r="B309" s="71" t="s">
        <v>346</v>
      </c>
      <c r="C309" s="3"/>
      <c r="D309" s="152">
        <v>0.1</v>
      </c>
      <c r="E309" s="153">
        <v>0.1</v>
      </c>
      <c r="F309" s="160"/>
      <c r="G309" s="154">
        <v>0.1</v>
      </c>
      <c r="H309" s="155">
        <v>0</v>
      </c>
      <c r="I309" s="66">
        <f>D309+E309+G309+H309</f>
        <v>0.30000000000000004</v>
      </c>
      <c r="J309" s="67" t="s">
        <v>69</v>
      </c>
      <c r="K309" s="73">
        <f t="shared" si="84"/>
        <v>55</v>
      </c>
      <c r="L309" s="73">
        <f t="shared" si="85"/>
        <v>55.3</v>
      </c>
      <c r="M309" s="74"/>
      <c r="N309" s="95"/>
      <c r="O309" s="152">
        <v>0.1</v>
      </c>
      <c r="P309" s="153">
        <v>0.1</v>
      </c>
      <c r="Q309" s="160"/>
      <c r="R309" s="154">
        <v>0.1</v>
      </c>
      <c r="S309" s="155">
        <v>0</v>
      </c>
      <c r="T309" s="66">
        <f>O309+P309+R309+S309</f>
        <v>0.30000000000000004</v>
      </c>
      <c r="U309" s="67" t="s">
        <v>69</v>
      </c>
      <c r="V309" s="73">
        <f t="shared" si="86"/>
        <v>55</v>
      </c>
      <c r="W309" s="73">
        <f t="shared" si="87"/>
        <v>55.3</v>
      </c>
    </row>
    <row r="310" spans="1:23" ht="13.5" customHeight="1" x14ac:dyDescent="0.25">
      <c r="A310" s="60"/>
      <c r="B310" s="71" t="s">
        <v>347</v>
      </c>
      <c r="C310" s="3"/>
      <c r="D310" s="62"/>
      <c r="E310" s="63"/>
      <c r="F310" s="64"/>
      <c r="G310" s="63"/>
      <c r="H310" s="65"/>
      <c r="I310" s="66"/>
      <c r="J310" s="67" t="s">
        <v>69</v>
      </c>
      <c r="K310" s="73">
        <f t="shared" si="84"/>
        <v>55</v>
      </c>
      <c r="L310" s="73">
        <f t="shared" si="85"/>
        <v>55</v>
      </c>
      <c r="M310" s="74"/>
      <c r="N310" s="95"/>
      <c r="O310" s="62"/>
      <c r="P310" s="63"/>
      <c r="Q310" s="64"/>
      <c r="R310" s="63"/>
      <c r="S310" s="65"/>
      <c r="T310" s="66"/>
      <c r="U310" s="67" t="s">
        <v>69</v>
      </c>
      <c r="V310" s="73">
        <f t="shared" si="86"/>
        <v>55</v>
      </c>
      <c r="W310" s="73">
        <f t="shared" si="87"/>
        <v>55</v>
      </c>
    </row>
    <row r="311" spans="1:23" ht="13.5" customHeight="1" x14ac:dyDescent="0.25">
      <c r="A311" s="60"/>
      <c r="B311" s="71" t="s">
        <v>348</v>
      </c>
      <c r="C311" s="3"/>
      <c r="D311" s="152">
        <v>0.1</v>
      </c>
      <c r="E311" s="153"/>
      <c r="F311" s="160"/>
      <c r="G311" s="154">
        <v>0.1</v>
      </c>
      <c r="H311" s="155">
        <v>0</v>
      </c>
      <c r="I311" s="66">
        <f>D311+E311+G311+H311</f>
        <v>0.2</v>
      </c>
      <c r="J311" s="67" t="s">
        <v>69</v>
      </c>
      <c r="K311" s="73">
        <f t="shared" si="84"/>
        <v>55</v>
      </c>
      <c r="L311" s="73">
        <f t="shared" si="85"/>
        <v>55.2</v>
      </c>
      <c r="M311" s="74"/>
      <c r="N311" s="95"/>
      <c r="O311" s="152">
        <v>0.1</v>
      </c>
      <c r="P311" s="153"/>
      <c r="Q311" s="160"/>
      <c r="R311" s="154">
        <v>0.1</v>
      </c>
      <c r="S311" s="155">
        <v>0</v>
      </c>
      <c r="T311" s="66">
        <f>O311+P311+R311+S311</f>
        <v>0.2</v>
      </c>
      <c r="U311" s="67" t="s">
        <v>69</v>
      </c>
      <c r="V311" s="73">
        <f t="shared" si="86"/>
        <v>55</v>
      </c>
      <c r="W311" s="73">
        <f t="shared" si="87"/>
        <v>55.2</v>
      </c>
    </row>
    <row r="312" spans="1:23" ht="13.5" customHeight="1" x14ac:dyDescent="0.25">
      <c r="A312" s="60"/>
      <c r="B312" s="71" t="s">
        <v>349</v>
      </c>
      <c r="C312" s="3"/>
      <c r="D312" s="152">
        <v>0.3</v>
      </c>
      <c r="E312" s="153"/>
      <c r="F312" s="160"/>
      <c r="G312" s="154">
        <v>0.1</v>
      </c>
      <c r="H312" s="155">
        <v>0</v>
      </c>
      <c r="I312" s="66">
        <f>D312+E312+G312+H312</f>
        <v>0.4</v>
      </c>
      <c r="J312" s="67" t="s">
        <v>69</v>
      </c>
      <c r="K312" s="73">
        <f t="shared" si="84"/>
        <v>55</v>
      </c>
      <c r="L312" s="73">
        <f t="shared" si="85"/>
        <v>55.4</v>
      </c>
      <c r="M312" s="74"/>
      <c r="N312" s="95"/>
      <c r="O312" s="152">
        <v>0.3</v>
      </c>
      <c r="P312" s="153"/>
      <c r="Q312" s="160"/>
      <c r="R312" s="154">
        <v>0.1</v>
      </c>
      <c r="S312" s="155">
        <v>0</v>
      </c>
      <c r="T312" s="66">
        <f>O312+P312+R312+S312</f>
        <v>0.4</v>
      </c>
      <c r="U312" s="67" t="s">
        <v>69</v>
      </c>
      <c r="V312" s="73">
        <f t="shared" si="86"/>
        <v>55</v>
      </c>
      <c r="W312" s="73">
        <f t="shared" si="87"/>
        <v>55.4</v>
      </c>
    </row>
    <row r="313" spans="1:23" ht="13.5" customHeight="1" x14ac:dyDescent="0.25">
      <c r="A313" s="60"/>
      <c r="B313" s="71" t="s">
        <v>350</v>
      </c>
      <c r="C313" s="3"/>
      <c r="D313" s="152">
        <v>4</v>
      </c>
      <c r="E313" s="153"/>
      <c r="F313" s="160"/>
      <c r="G313" s="154">
        <v>4.5</v>
      </c>
      <c r="H313" s="155">
        <v>0</v>
      </c>
      <c r="I313" s="66">
        <f>D313+E313+G313+H313</f>
        <v>8.5</v>
      </c>
      <c r="J313" s="67" t="s">
        <v>69</v>
      </c>
      <c r="K313" s="73">
        <f t="shared" si="84"/>
        <v>55</v>
      </c>
      <c r="L313" s="73">
        <f t="shared" si="85"/>
        <v>63.5</v>
      </c>
      <c r="M313" s="74"/>
      <c r="N313" s="95"/>
      <c r="O313" s="152">
        <v>4</v>
      </c>
      <c r="P313" s="153"/>
      <c r="Q313" s="160"/>
      <c r="R313" s="154">
        <v>4.5</v>
      </c>
      <c r="S313" s="155">
        <v>0</v>
      </c>
      <c r="T313" s="66">
        <f>O313+P313+R313+S313</f>
        <v>8.5</v>
      </c>
      <c r="U313" s="67" t="s">
        <v>69</v>
      </c>
      <c r="V313" s="73">
        <f t="shared" si="86"/>
        <v>55</v>
      </c>
      <c r="W313" s="73">
        <f t="shared" si="87"/>
        <v>63.5</v>
      </c>
    </row>
    <row r="314" spans="1:23" ht="13.5" customHeight="1" x14ac:dyDescent="0.25">
      <c r="A314" s="60"/>
      <c r="B314" s="71"/>
      <c r="C314" s="3"/>
      <c r="D314" s="81"/>
      <c r="E314" s="100"/>
      <c r="F314" s="82"/>
      <c r="G314" s="100"/>
      <c r="H314" s="105"/>
      <c r="I314" s="66"/>
      <c r="J314" s="67" t="s">
        <v>69</v>
      </c>
      <c r="K314" s="73">
        <f t="shared" si="84"/>
        <v>55</v>
      </c>
      <c r="L314" s="73">
        <f t="shared" si="85"/>
        <v>55</v>
      </c>
      <c r="M314" s="74"/>
      <c r="N314" s="95"/>
      <c r="O314" s="81"/>
      <c r="P314" s="100"/>
      <c r="Q314" s="82"/>
      <c r="R314" s="100"/>
      <c r="S314" s="105"/>
      <c r="T314" s="66"/>
      <c r="U314" s="67" t="s">
        <v>69</v>
      </c>
      <c r="V314" s="73">
        <f t="shared" si="86"/>
        <v>55</v>
      </c>
      <c r="W314" s="73">
        <f t="shared" si="87"/>
        <v>55</v>
      </c>
    </row>
    <row r="315" spans="1:23" ht="13.5" customHeight="1" x14ac:dyDescent="0.25">
      <c r="A315" s="60"/>
      <c r="B315" s="106" t="s">
        <v>351</v>
      </c>
      <c r="C315" s="3"/>
      <c r="D315" s="81"/>
      <c r="E315" s="100"/>
      <c r="F315" s="82"/>
      <c r="G315" s="100"/>
      <c r="H315" s="105"/>
      <c r="I315" s="66"/>
      <c r="J315" s="67" t="s">
        <v>69</v>
      </c>
      <c r="K315" s="73">
        <f t="shared" si="84"/>
        <v>55</v>
      </c>
      <c r="L315" s="73">
        <f t="shared" si="85"/>
        <v>55</v>
      </c>
      <c r="M315" s="74"/>
      <c r="N315" s="95"/>
      <c r="O315" s="81"/>
      <c r="P315" s="100"/>
      <c r="Q315" s="82"/>
      <c r="R315" s="100"/>
      <c r="S315" s="105"/>
      <c r="T315" s="66"/>
      <c r="U315" s="67" t="s">
        <v>69</v>
      </c>
      <c r="V315" s="73">
        <f t="shared" si="86"/>
        <v>55</v>
      </c>
      <c r="W315" s="73">
        <f t="shared" si="87"/>
        <v>55</v>
      </c>
    </row>
    <row r="316" spans="1:23" ht="13.5" customHeight="1" x14ac:dyDescent="0.25">
      <c r="A316" s="60"/>
      <c r="B316" s="71" t="s">
        <v>352</v>
      </c>
      <c r="C316" s="3"/>
      <c r="D316" s="81">
        <v>0.3</v>
      </c>
      <c r="E316" s="100"/>
      <c r="F316" s="82"/>
      <c r="G316" s="100">
        <v>0.5</v>
      </c>
      <c r="H316" s="104">
        <v>0</v>
      </c>
      <c r="I316" s="66">
        <f t="shared" ref="I316:I329" si="88">D316+E316+G316+H316</f>
        <v>0.8</v>
      </c>
      <c r="J316" s="67" t="s">
        <v>69</v>
      </c>
      <c r="K316" s="73">
        <f t="shared" si="84"/>
        <v>55</v>
      </c>
      <c r="L316" s="73">
        <f t="shared" si="85"/>
        <v>55.8</v>
      </c>
      <c r="M316" s="74"/>
      <c r="N316" s="95"/>
      <c r="O316" s="81">
        <v>0.3</v>
      </c>
      <c r="P316" s="100"/>
      <c r="Q316" s="82"/>
      <c r="R316" s="100">
        <v>0.5</v>
      </c>
      <c r="S316" s="104">
        <v>0</v>
      </c>
      <c r="T316" s="66">
        <f t="shared" ref="T316:T329" si="89">O316+P316+R316+S316</f>
        <v>0.8</v>
      </c>
      <c r="U316" s="67" t="s">
        <v>69</v>
      </c>
      <c r="V316" s="73">
        <f t="shared" si="86"/>
        <v>55</v>
      </c>
      <c r="W316" s="73">
        <f t="shared" si="87"/>
        <v>55.8</v>
      </c>
    </row>
    <row r="317" spans="1:23" ht="13.5" customHeight="1" x14ac:dyDescent="0.25">
      <c r="A317" s="60"/>
      <c r="B317" s="71" t="s">
        <v>353</v>
      </c>
      <c r="C317" s="3"/>
      <c r="D317" s="152">
        <v>14.3</v>
      </c>
      <c r="E317" s="153"/>
      <c r="F317" s="160"/>
      <c r="G317" s="154">
        <v>2</v>
      </c>
      <c r="H317" s="155">
        <v>0</v>
      </c>
      <c r="I317" s="66">
        <f t="shared" si="88"/>
        <v>16.3</v>
      </c>
      <c r="J317" s="67" t="s">
        <v>69</v>
      </c>
      <c r="K317" s="73">
        <f t="shared" si="84"/>
        <v>55</v>
      </c>
      <c r="L317" s="73">
        <f t="shared" si="85"/>
        <v>71.3</v>
      </c>
      <c r="M317" s="74"/>
      <c r="N317" s="95"/>
      <c r="O317" s="152">
        <v>14.3</v>
      </c>
      <c r="P317" s="153"/>
      <c r="Q317" s="160"/>
      <c r="R317" s="154">
        <v>2</v>
      </c>
      <c r="S317" s="155">
        <v>0</v>
      </c>
      <c r="T317" s="66">
        <f t="shared" si="89"/>
        <v>16.3</v>
      </c>
      <c r="U317" s="67" t="s">
        <v>69</v>
      </c>
      <c r="V317" s="73">
        <f t="shared" si="86"/>
        <v>55</v>
      </c>
      <c r="W317" s="73">
        <f t="shared" si="87"/>
        <v>71.3</v>
      </c>
    </row>
    <row r="318" spans="1:23" ht="13.5" customHeight="1" x14ac:dyDescent="0.25">
      <c r="A318" s="60"/>
      <c r="B318" s="71" t="s">
        <v>354</v>
      </c>
      <c r="C318" s="3"/>
      <c r="D318" s="152">
        <v>2.6</v>
      </c>
      <c r="E318" s="153"/>
      <c r="F318" s="160"/>
      <c r="G318" s="154">
        <v>3.9</v>
      </c>
      <c r="H318" s="155">
        <v>0</v>
      </c>
      <c r="I318" s="66">
        <f t="shared" si="88"/>
        <v>6.5</v>
      </c>
      <c r="J318" s="67" t="s">
        <v>69</v>
      </c>
      <c r="K318" s="73">
        <f t="shared" si="84"/>
        <v>55</v>
      </c>
      <c r="L318" s="73">
        <f t="shared" si="85"/>
        <v>61.5</v>
      </c>
      <c r="M318" s="74"/>
      <c r="N318" s="95"/>
      <c r="O318" s="152">
        <v>2.6</v>
      </c>
      <c r="P318" s="153"/>
      <c r="Q318" s="160"/>
      <c r="R318" s="154">
        <v>3.9</v>
      </c>
      <c r="S318" s="155">
        <v>0</v>
      </c>
      <c r="T318" s="66">
        <f t="shared" si="89"/>
        <v>6.5</v>
      </c>
      <c r="U318" s="67" t="s">
        <v>69</v>
      </c>
      <c r="V318" s="73">
        <f t="shared" si="86"/>
        <v>55</v>
      </c>
      <c r="W318" s="73">
        <f t="shared" si="87"/>
        <v>61.5</v>
      </c>
    </row>
    <row r="319" spans="1:23" ht="13.5" customHeight="1" x14ac:dyDescent="0.25">
      <c r="A319" s="60"/>
      <c r="B319" s="71" t="s">
        <v>355</v>
      </c>
      <c r="C319" s="3"/>
      <c r="D319" s="152">
        <v>1.5</v>
      </c>
      <c r="E319" s="153"/>
      <c r="F319" s="160"/>
      <c r="G319" s="154">
        <v>0.6</v>
      </c>
      <c r="H319" s="155">
        <v>0</v>
      </c>
      <c r="I319" s="66">
        <f t="shared" si="88"/>
        <v>2.1</v>
      </c>
      <c r="J319" s="67" t="s">
        <v>69</v>
      </c>
      <c r="K319" s="73">
        <f t="shared" si="84"/>
        <v>55</v>
      </c>
      <c r="L319" s="73">
        <f t="shared" si="85"/>
        <v>57.1</v>
      </c>
      <c r="M319" s="74"/>
      <c r="N319" s="95"/>
      <c r="O319" s="152">
        <v>1.5</v>
      </c>
      <c r="P319" s="153"/>
      <c r="Q319" s="160"/>
      <c r="R319" s="154">
        <v>0.6</v>
      </c>
      <c r="S319" s="155">
        <v>0</v>
      </c>
      <c r="T319" s="66">
        <f t="shared" si="89"/>
        <v>2.1</v>
      </c>
      <c r="U319" s="67" t="s">
        <v>69</v>
      </c>
      <c r="V319" s="73">
        <f t="shared" si="86"/>
        <v>55</v>
      </c>
      <c r="W319" s="73">
        <f t="shared" si="87"/>
        <v>57.1</v>
      </c>
    </row>
    <row r="320" spans="1:23" ht="13.5" customHeight="1" x14ac:dyDescent="0.25">
      <c r="A320" s="60"/>
      <c r="B320" s="71" t="s">
        <v>356</v>
      </c>
      <c r="C320" s="3"/>
      <c r="D320" s="152">
        <v>0.8</v>
      </c>
      <c r="E320" s="153"/>
      <c r="F320" s="160"/>
      <c r="G320" s="154">
        <v>0.3</v>
      </c>
      <c r="H320" s="155">
        <v>0</v>
      </c>
      <c r="I320" s="66">
        <f t="shared" si="88"/>
        <v>1.1000000000000001</v>
      </c>
      <c r="J320" s="67" t="s">
        <v>69</v>
      </c>
      <c r="K320" s="73">
        <f t="shared" si="84"/>
        <v>55</v>
      </c>
      <c r="L320" s="73">
        <f t="shared" si="85"/>
        <v>56.1</v>
      </c>
      <c r="M320" s="74"/>
      <c r="N320" s="95"/>
      <c r="O320" s="152">
        <v>0.8</v>
      </c>
      <c r="P320" s="153"/>
      <c r="Q320" s="160"/>
      <c r="R320" s="154">
        <v>0.3</v>
      </c>
      <c r="S320" s="155">
        <v>0</v>
      </c>
      <c r="T320" s="66">
        <f t="shared" si="89"/>
        <v>1.1000000000000001</v>
      </c>
      <c r="U320" s="67" t="s">
        <v>69</v>
      </c>
      <c r="V320" s="73">
        <f t="shared" si="86"/>
        <v>55</v>
      </c>
      <c r="W320" s="73">
        <f t="shared" si="87"/>
        <v>56.1</v>
      </c>
    </row>
    <row r="321" spans="1:23" ht="13.5" customHeight="1" x14ac:dyDescent="0.25">
      <c r="A321" s="60"/>
      <c r="B321" s="71" t="s">
        <v>357</v>
      </c>
      <c r="C321" s="3"/>
      <c r="D321" s="152">
        <v>0.6</v>
      </c>
      <c r="E321" s="153"/>
      <c r="F321" s="160"/>
      <c r="G321" s="154">
        <v>1.6</v>
      </c>
      <c r="H321" s="155">
        <v>0</v>
      </c>
      <c r="I321" s="66">
        <f t="shared" si="88"/>
        <v>2.2000000000000002</v>
      </c>
      <c r="J321" s="67" t="s">
        <v>69</v>
      </c>
      <c r="K321" s="73">
        <f t="shared" si="84"/>
        <v>55</v>
      </c>
      <c r="L321" s="73">
        <f t="shared" si="85"/>
        <v>57.2</v>
      </c>
      <c r="M321" s="74"/>
      <c r="N321" s="95"/>
      <c r="O321" s="152">
        <v>0.6</v>
      </c>
      <c r="P321" s="153"/>
      <c r="Q321" s="160"/>
      <c r="R321" s="154">
        <v>1.6</v>
      </c>
      <c r="S321" s="155">
        <v>0</v>
      </c>
      <c r="T321" s="66">
        <f t="shared" si="89"/>
        <v>2.2000000000000002</v>
      </c>
      <c r="U321" s="67" t="s">
        <v>69</v>
      </c>
      <c r="V321" s="73">
        <f t="shared" si="86"/>
        <v>55</v>
      </c>
      <c r="W321" s="73">
        <f t="shared" si="87"/>
        <v>57.2</v>
      </c>
    </row>
    <row r="322" spans="1:23" ht="13.5" customHeight="1" x14ac:dyDescent="0.25">
      <c r="A322" s="60"/>
      <c r="B322" s="71" t="s">
        <v>358</v>
      </c>
      <c r="C322" s="3"/>
      <c r="D322" s="152">
        <v>0.3</v>
      </c>
      <c r="E322" s="153"/>
      <c r="F322" s="160"/>
      <c r="G322" s="154">
        <v>0.5</v>
      </c>
      <c r="H322" s="155">
        <v>0</v>
      </c>
      <c r="I322" s="66">
        <f t="shared" si="88"/>
        <v>0.8</v>
      </c>
      <c r="J322" s="67" t="s">
        <v>69</v>
      </c>
      <c r="K322" s="73">
        <f t="shared" si="84"/>
        <v>55</v>
      </c>
      <c r="L322" s="73">
        <f t="shared" si="85"/>
        <v>55.8</v>
      </c>
      <c r="M322" s="74"/>
      <c r="N322" s="95"/>
      <c r="O322" s="152">
        <v>0.3</v>
      </c>
      <c r="P322" s="153"/>
      <c r="Q322" s="160"/>
      <c r="R322" s="154">
        <v>0.5</v>
      </c>
      <c r="S322" s="155">
        <v>0</v>
      </c>
      <c r="T322" s="66">
        <f t="shared" si="89"/>
        <v>0.8</v>
      </c>
      <c r="U322" s="67" t="s">
        <v>69</v>
      </c>
      <c r="V322" s="73">
        <f t="shared" si="86"/>
        <v>55</v>
      </c>
      <c r="W322" s="73">
        <f t="shared" si="87"/>
        <v>55.8</v>
      </c>
    </row>
    <row r="323" spans="1:23" ht="13.5" customHeight="1" x14ac:dyDescent="0.25">
      <c r="A323" s="60"/>
      <c r="B323" s="71" t="s">
        <v>359</v>
      </c>
      <c r="C323" s="3"/>
      <c r="D323" s="152">
        <v>0.7</v>
      </c>
      <c r="E323" s="153"/>
      <c r="F323" s="160"/>
      <c r="G323" s="154">
        <v>1.6</v>
      </c>
      <c r="H323" s="155">
        <v>0</v>
      </c>
      <c r="I323" s="66">
        <f t="shared" si="88"/>
        <v>2.2999999999999998</v>
      </c>
      <c r="J323" s="67" t="s">
        <v>69</v>
      </c>
      <c r="K323" s="73">
        <f t="shared" si="84"/>
        <v>55</v>
      </c>
      <c r="L323" s="73">
        <f t="shared" si="85"/>
        <v>57.3</v>
      </c>
      <c r="M323" s="74"/>
      <c r="N323" s="95"/>
      <c r="O323" s="152">
        <v>0.7</v>
      </c>
      <c r="P323" s="153"/>
      <c r="Q323" s="160"/>
      <c r="R323" s="154">
        <v>1.6</v>
      </c>
      <c r="S323" s="155">
        <v>0</v>
      </c>
      <c r="T323" s="66">
        <f t="shared" si="89"/>
        <v>2.2999999999999998</v>
      </c>
      <c r="U323" s="67" t="s">
        <v>69</v>
      </c>
      <c r="V323" s="73">
        <f t="shared" si="86"/>
        <v>55</v>
      </c>
      <c r="W323" s="73">
        <f t="shared" si="87"/>
        <v>57.3</v>
      </c>
    </row>
    <row r="324" spans="1:23" ht="13.5" customHeight="1" x14ac:dyDescent="0.25">
      <c r="A324" s="60"/>
      <c r="B324" s="71" t="s">
        <v>360</v>
      </c>
      <c r="C324" s="3"/>
      <c r="D324" s="152">
        <v>0.8</v>
      </c>
      <c r="E324" s="153"/>
      <c r="F324" s="160"/>
      <c r="G324" s="154">
        <v>1.6</v>
      </c>
      <c r="H324" s="155">
        <v>0</v>
      </c>
      <c r="I324" s="66">
        <f t="shared" si="88"/>
        <v>2.4000000000000004</v>
      </c>
      <c r="J324" s="67" t="s">
        <v>69</v>
      </c>
      <c r="K324" s="73">
        <f t="shared" si="84"/>
        <v>55</v>
      </c>
      <c r="L324" s="73">
        <f t="shared" si="85"/>
        <v>57.4</v>
      </c>
      <c r="M324" s="74"/>
      <c r="N324" s="95"/>
      <c r="O324" s="152">
        <v>0.8</v>
      </c>
      <c r="P324" s="153"/>
      <c r="Q324" s="160"/>
      <c r="R324" s="154">
        <v>1.6</v>
      </c>
      <c r="S324" s="155">
        <v>0</v>
      </c>
      <c r="T324" s="66">
        <f t="shared" si="89"/>
        <v>2.4000000000000004</v>
      </c>
      <c r="U324" s="67" t="s">
        <v>69</v>
      </c>
      <c r="V324" s="73">
        <f t="shared" si="86"/>
        <v>55</v>
      </c>
      <c r="W324" s="73">
        <f t="shared" si="87"/>
        <v>57.4</v>
      </c>
    </row>
    <row r="325" spans="1:23" ht="13.5" customHeight="1" x14ac:dyDescent="0.25">
      <c r="A325" s="60"/>
      <c r="B325" s="71" t="s">
        <v>361</v>
      </c>
      <c r="C325" s="3"/>
      <c r="D325" s="152">
        <v>0.6</v>
      </c>
      <c r="E325" s="153"/>
      <c r="F325" s="160"/>
      <c r="G325" s="154">
        <v>0.3</v>
      </c>
      <c r="H325" s="155">
        <v>0</v>
      </c>
      <c r="I325" s="66">
        <f t="shared" si="88"/>
        <v>0.89999999999999991</v>
      </c>
      <c r="J325" s="67" t="s">
        <v>69</v>
      </c>
      <c r="K325" s="73">
        <f t="shared" si="84"/>
        <v>55</v>
      </c>
      <c r="L325" s="73">
        <f t="shared" si="85"/>
        <v>55.9</v>
      </c>
      <c r="M325" s="74"/>
      <c r="N325" s="95"/>
      <c r="O325" s="152">
        <v>0.6</v>
      </c>
      <c r="P325" s="153"/>
      <c r="Q325" s="160"/>
      <c r="R325" s="154">
        <v>0.3</v>
      </c>
      <c r="S325" s="155">
        <v>0</v>
      </c>
      <c r="T325" s="66">
        <f t="shared" si="89"/>
        <v>0.89999999999999991</v>
      </c>
      <c r="U325" s="67" t="s">
        <v>69</v>
      </c>
      <c r="V325" s="73">
        <f t="shared" si="86"/>
        <v>55</v>
      </c>
      <c r="W325" s="73">
        <f t="shared" si="87"/>
        <v>55.9</v>
      </c>
    </row>
    <row r="326" spans="1:23" ht="13.5" customHeight="1" x14ac:dyDescent="0.25">
      <c r="A326" s="60"/>
      <c r="B326" s="71" t="s">
        <v>362</v>
      </c>
      <c r="C326" s="3"/>
      <c r="D326" s="152">
        <v>1.2</v>
      </c>
      <c r="E326" s="153"/>
      <c r="F326" s="160"/>
      <c r="G326" s="154">
        <v>0.3</v>
      </c>
      <c r="H326" s="155">
        <v>0</v>
      </c>
      <c r="I326" s="66">
        <f t="shared" si="88"/>
        <v>1.5</v>
      </c>
      <c r="J326" s="67" t="s">
        <v>69</v>
      </c>
      <c r="K326" s="73">
        <f t="shared" si="84"/>
        <v>55</v>
      </c>
      <c r="L326" s="73">
        <f t="shared" si="85"/>
        <v>56.5</v>
      </c>
      <c r="M326" s="74"/>
      <c r="N326" s="95"/>
      <c r="O326" s="152">
        <v>1.2</v>
      </c>
      <c r="P326" s="153"/>
      <c r="Q326" s="160"/>
      <c r="R326" s="154">
        <v>0.3</v>
      </c>
      <c r="S326" s="155">
        <v>0</v>
      </c>
      <c r="T326" s="66">
        <f t="shared" si="89"/>
        <v>1.5</v>
      </c>
      <c r="U326" s="67" t="s">
        <v>69</v>
      </c>
      <c r="V326" s="73">
        <f t="shared" si="86"/>
        <v>55</v>
      </c>
      <c r="W326" s="73">
        <f t="shared" si="87"/>
        <v>56.5</v>
      </c>
    </row>
    <row r="327" spans="1:23" ht="13.5" customHeight="1" x14ac:dyDescent="0.25">
      <c r="A327" s="60"/>
      <c r="B327" s="71" t="s">
        <v>363</v>
      </c>
      <c r="C327" s="3"/>
      <c r="D327" s="152">
        <v>1.7</v>
      </c>
      <c r="E327" s="153"/>
      <c r="F327" s="160"/>
      <c r="G327" s="154">
        <v>1</v>
      </c>
      <c r="H327" s="155">
        <v>0</v>
      </c>
      <c r="I327" s="66">
        <f t="shared" si="88"/>
        <v>2.7</v>
      </c>
      <c r="J327" s="67" t="s">
        <v>69</v>
      </c>
      <c r="K327" s="73">
        <f t="shared" si="84"/>
        <v>55</v>
      </c>
      <c r="L327" s="73">
        <f t="shared" si="85"/>
        <v>57.7</v>
      </c>
      <c r="M327" s="74"/>
      <c r="N327" s="95"/>
      <c r="O327" s="152">
        <v>1.7</v>
      </c>
      <c r="P327" s="153"/>
      <c r="Q327" s="160"/>
      <c r="R327" s="154">
        <v>1</v>
      </c>
      <c r="S327" s="155">
        <v>0</v>
      </c>
      <c r="T327" s="66">
        <f t="shared" si="89"/>
        <v>2.7</v>
      </c>
      <c r="U327" s="67" t="s">
        <v>69</v>
      </c>
      <c r="V327" s="73">
        <f t="shared" si="86"/>
        <v>55</v>
      </c>
      <c r="W327" s="73">
        <f t="shared" si="87"/>
        <v>57.7</v>
      </c>
    </row>
    <row r="328" spans="1:23" ht="13.5" customHeight="1" x14ac:dyDescent="0.25">
      <c r="A328" s="60"/>
      <c r="B328" s="71" t="s">
        <v>364</v>
      </c>
      <c r="C328" s="3"/>
      <c r="D328" s="152">
        <v>0.7</v>
      </c>
      <c r="E328" s="153"/>
      <c r="F328" s="160"/>
      <c r="G328" s="154">
        <v>1</v>
      </c>
      <c r="H328" s="155">
        <v>0</v>
      </c>
      <c r="I328" s="66">
        <f t="shared" si="88"/>
        <v>1.7</v>
      </c>
      <c r="J328" s="67" t="s">
        <v>69</v>
      </c>
      <c r="K328" s="73">
        <f t="shared" si="84"/>
        <v>55</v>
      </c>
      <c r="L328" s="73">
        <f t="shared" si="85"/>
        <v>56.7</v>
      </c>
      <c r="M328" s="74"/>
      <c r="N328" s="95"/>
      <c r="O328" s="152">
        <v>0.7</v>
      </c>
      <c r="P328" s="153"/>
      <c r="Q328" s="160"/>
      <c r="R328" s="154">
        <v>1</v>
      </c>
      <c r="S328" s="155">
        <v>0</v>
      </c>
      <c r="T328" s="66">
        <f t="shared" si="89"/>
        <v>1.7</v>
      </c>
      <c r="U328" s="67" t="s">
        <v>69</v>
      </c>
      <c r="V328" s="73">
        <f t="shared" si="86"/>
        <v>55</v>
      </c>
      <c r="W328" s="73">
        <f t="shared" si="87"/>
        <v>56.7</v>
      </c>
    </row>
    <row r="329" spans="1:23" ht="13.5" customHeight="1" x14ac:dyDescent="0.25">
      <c r="A329" s="60"/>
      <c r="B329" s="71" t="s">
        <v>365</v>
      </c>
      <c r="C329" s="3"/>
      <c r="D329" s="152">
        <v>0.9</v>
      </c>
      <c r="E329" s="153"/>
      <c r="F329" s="160"/>
      <c r="G329" s="154">
        <v>0.5</v>
      </c>
      <c r="H329" s="155">
        <v>0</v>
      </c>
      <c r="I329" s="66">
        <f t="shared" si="88"/>
        <v>1.4</v>
      </c>
      <c r="J329" s="67" t="s">
        <v>69</v>
      </c>
      <c r="K329" s="73">
        <f t="shared" si="84"/>
        <v>55</v>
      </c>
      <c r="L329" s="73">
        <f t="shared" si="85"/>
        <v>56.4</v>
      </c>
      <c r="M329" s="74"/>
      <c r="N329" s="95"/>
      <c r="O329" s="152">
        <v>0.9</v>
      </c>
      <c r="P329" s="153"/>
      <c r="Q329" s="160"/>
      <c r="R329" s="154">
        <v>0.5</v>
      </c>
      <c r="S329" s="155">
        <v>0</v>
      </c>
      <c r="T329" s="66">
        <f t="shared" si="89"/>
        <v>1.4</v>
      </c>
      <c r="U329" s="67" t="s">
        <v>69</v>
      </c>
      <c r="V329" s="73">
        <f t="shared" si="86"/>
        <v>55</v>
      </c>
      <c r="W329" s="73">
        <f t="shared" si="87"/>
        <v>56.4</v>
      </c>
    </row>
    <row r="330" spans="1:23" ht="13.5" customHeight="1" x14ac:dyDescent="0.25">
      <c r="A330" s="60"/>
      <c r="B330" s="61"/>
      <c r="C330" s="3"/>
      <c r="D330" s="62"/>
      <c r="E330" s="63"/>
      <c r="F330" s="64"/>
      <c r="G330" s="63"/>
      <c r="H330" s="65"/>
      <c r="I330" s="66"/>
      <c r="J330" s="67" t="s">
        <v>69</v>
      </c>
      <c r="K330" s="73">
        <f t="shared" si="84"/>
        <v>55</v>
      </c>
      <c r="L330" s="73">
        <f t="shared" si="85"/>
        <v>55</v>
      </c>
      <c r="M330" s="74"/>
      <c r="N330" s="95"/>
      <c r="O330" s="62"/>
      <c r="P330" s="63"/>
      <c r="Q330" s="64"/>
      <c r="R330" s="63"/>
      <c r="S330" s="65"/>
      <c r="T330" s="66"/>
      <c r="U330" s="67" t="s">
        <v>69</v>
      </c>
      <c r="V330" s="73">
        <f t="shared" si="86"/>
        <v>55</v>
      </c>
      <c r="W330" s="73">
        <f t="shared" si="87"/>
        <v>55</v>
      </c>
    </row>
    <row r="331" spans="1:23" ht="13.5" customHeight="1" x14ac:dyDescent="0.25">
      <c r="A331" s="60">
        <v>88</v>
      </c>
      <c r="B331" s="61" t="s">
        <v>366</v>
      </c>
      <c r="C331" s="3"/>
      <c r="D331" s="62"/>
      <c r="E331" s="63"/>
      <c r="F331" s="64"/>
      <c r="G331" s="63"/>
      <c r="H331" s="65"/>
      <c r="I331" s="66"/>
      <c r="J331" s="67" t="s">
        <v>69</v>
      </c>
      <c r="K331" s="73">
        <f t="shared" si="84"/>
        <v>55</v>
      </c>
      <c r="L331" s="73">
        <f t="shared" si="85"/>
        <v>55</v>
      </c>
      <c r="M331" s="74"/>
      <c r="N331" s="95"/>
      <c r="O331" s="62"/>
      <c r="P331" s="63"/>
      <c r="Q331" s="64"/>
      <c r="R331" s="63"/>
      <c r="S331" s="65"/>
      <c r="T331" s="66"/>
      <c r="U331" s="67" t="s">
        <v>69</v>
      </c>
      <c r="V331" s="73">
        <f t="shared" si="86"/>
        <v>55</v>
      </c>
      <c r="W331" s="73">
        <f t="shared" si="87"/>
        <v>55</v>
      </c>
    </row>
    <row r="332" spans="1:23" ht="13.5" customHeight="1" x14ac:dyDescent="0.25">
      <c r="A332" s="60"/>
      <c r="B332" s="71" t="s">
        <v>367</v>
      </c>
      <c r="C332" s="3"/>
      <c r="D332" s="152">
        <v>0.1</v>
      </c>
      <c r="E332" s="153"/>
      <c r="F332" s="160"/>
      <c r="G332" s="154">
        <v>0.1</v>
      </c>
      <c r="H332" s="155">
        <v>0</v>
      </c>
      <c r="I332" s="66">
        <f t="shared" ref="I332:I338" si="90">D332+E332+G332+H332</f>
        <v>0.2</v>
      </c>
      <c r="J332" s="67" t="s">
        <v>69</v>
      </c>
      <c r="K332" s="73">
        <f t="shared" si="84"/>
        <v>55</v>
      </c>
      <c r="L332" s="73">
        <f t="shared" si="85"/>
        <v>55.2</v>
      </c>
      <c r="M332" s="74"/>
      <c r="N332" s="95"/>
      <c r="O332" s="152">
        <v>0.1</v>
      </c>
      <c r="P332" s="153"/>
      <c r="Q332" s="160"/>
      <c r="R332" s="154">
        <v>0.1</v>
      </c>
      <c r="S332" s="155">
        <v>0</v>
      </c>
      <c r="T332" s="66">
        <f t="shared" ref="T332:T338" si="91">O332+P332+R332+S332</f>
        <v>0.2</v>
      </c>
      <c r="U332" s="67" t="s">
        <v>69</v>
      </c>
      <c r="V332" s="73">
        <f t="shared" si="86"/>
        <v>55</v>
      </c>
      <c r="W332" s="73">
        <f t="shared" si="87"/>
        <v>55.2</v>
      </c>
    </row>
    <row r="333" spans="1:23" ht="13.5" customHeight="1" x14ac:dyDescent="0.25">
      <c r="A333" s="60"/>
      <c r="B333" s="71" t="s">
        <v>368</v>
      </c>
      <c r="C333" s="3"/>
      <c r="D333" s="152">
        <v>0.1</v>
      </c>
      <c r="E333" s="153"/>
      <c r="F333" s="160"/>
      <c r="G333" s="154">
        <v>0.1</v>
      </c>
      <c r="H333" s="155">
        <v>0</v>
      </c>
      <c r="I333" s="66">
        <f t="shared" si="90"/>
        <v>0.2</v>
      </c>
      <c r="J333" s="67" t="s">
        <v>69</v>
      </c>
      <c r="K333" s="73">
        <f t="shared" si="84"/>
        <v>55</v>
      </c>
      <c r="L333" s="73">
        <f t="shared" si="85"/>
        <v>55.2</v>
      </c>
      <c r="M333" s="74"/>
      <c r="N333" s="95"/>
      <c r="O333" s="152">
        <v>0.1</v>
      </c>
      <c r="P333" s="153"/>
      <c r="Q333" s="160"/>
      <c r="R333" s="154">
        <v>0.1</v>
      </c>
      <c r="S333" s="155">
        <v>0</v>
      </c>
      <c r="T333" s="66">
        <f t="shared" si="91"/>
        <v>0.2</v>
      </c>
      <c r="U333" s="67" t="s">
        <v>69</v>
      </c>
      <c r="V333" s="73">
        <f t="shared" si="86"/>
        <v>55</v>
      </c>
      <c r="W333" s="73">
        <f t="shared" si="87"/>
        <v>55.2</v>
      </c>
    </row>
    <row r="334" spans="1:23" ht="13.5" customHeight="1" x14ac:dyDescent="0.25">
      <c r="A334" s="60"/>
      <c r="B334" s="71" t="s">
        <v>369</v>
      </c>
      <c r="C334" s="3"/>
      <c r="D334" s="152">
        <v>0.2</v>
      </c>
      <c r="E334" s="153"/>
      <c r="F334" s="160"/>
      <c r="G334" s="154">
        <v>0.1</v>
      </c>
      <c r="H334" s="155">
        <v>0</v>
      </c>
      <c r="I334" s="66">
        <f t="shared" si="90"/>
        <v>0.30000000000000004</v>
      </c>
      <c r="J334" s="67" t="s">
        <v>69</v>
      </c>
      <c r="K334" s="73">
        <f t="shared" si="84"/>
        <v>55</v>
      </c>
      <c r="L334" s="73">
        <f t="shared" si="85"/>
        <v>55.3</v>
      </c>
      <c r="M334" s="74"/>
      <c r="N334" s="95"/>
      <c r="O334" s="152">
        <v>0.2</v>
      </c>
      <c r="P334" s="153"/>
      <c r="Q334" s="160"/>
      <c r="R334" s="154">
        <v>0.1</v>
      </c>
      <c r="S334" s="155">
        <v>0</v>
      </c>
      <c r="T334" s="66">
        <f t="shared" si="91"/>
        <v>0.30000000000000004</v>
      </c>
      <c r="U334" s="67" t="s">
        <v>69</v>
      </c>
      <c r="V334" s="73">
        <f t="shared" si="86"/>
        <v>55</v>
      </c>
      <c r="W334" s="73">
        <f t="shared" si="87"/>
        <v>55.3</v>
      </c>
    </row>
    <row r="335" spans="1:23" ht="13.5" customHeight="1" x14ac:dyDescent="0.25">
      <c r="A335" s="60"/>
      <c r="B335" s="71" t="s">
        <v>370</v>
      </c>
      <c r="C335" s="3"/>
      <c r="D335" s="152">
        <v>0.3</v>
      </c>
      <c r="E335" s="153"/>
      <c r="F335" s="160"/>
      <c r="G335" s="154">
        <v>0.3</v>
      </c>
      <c r="H335" s="155">
        <v>0</v>
      </c>
      <c r="I335" s="66">
        <f t="shared" si="90"/>
        <v>0.6</v>
      </c>
      <c r="J335" s="67" t="s">
        <v>69</v>
      </c>
      <c r="K335" s="73">
        <f t="shared" si="84"/>
        <v>55</v>
      </c>
      <c r="L335" s="73">
        <f t="shared" si="85"/>
        <v>55.6</v>
      </c>
      <c r="M335" s="74"/>
      <c r="N335" s="95"/>
      <c r="O335" s="152">
        <v>0.3</v>
      </c>
      <c r="P335" s="153"/>
      <c r="Q335" s="160"/>
      <c r="R335" s="154">
        <v>0.3</v>
      </c>
      <c r="S335" s="155">
        <v>0</v>
      </c>
      <c r="T335" s="66">
        <f t="shared" si="91"/>
        <v>0.6</v>
      </c>
      <c r="U335" s="67" t="s">
        <v>69</v>
      </c>
      <c r="V335" s="73">
        <f t="shared" si="86"/>
        <v>55</v>
      </c>
      <c r="W335" s="73">
        <f t="shared" si="87"/>
        <v>55.6</v>
      </c>
    </row>
    <row r="336" spans="1:23" ht="13.5" customHeight="1" x14ac:dyDescent="0.25">
      <c r="A336" s="60"/>
      <c r="B336" s="71" t="s">
        <v>371</v>
      </c>
      <c r="C336" s="3"/>
      <c r="D336" s="152">
        <v>12.9</v>
      </c>
      <c r="E336" s="153"/>
      <c r="F336" s="160"/>
      <c r="G336" s="154">
        <v>9.6999999999999993</v>
      </c>
      <c r="H336" s="155">
        <v>0.6</v>
      </c>
      <c r="I336" s="66">
        <f t="shared" si="90"/>
        <v>23.200000000000003</v>
      </c>
      <c r="J336" s="67" t="s">
        <v>69</v>
      </c>
      <c r="K336" s="73">
        <f t="shared" si="84"/>
        <v>55</v>
      </c>
      <c r="L336" s="73">
        <f t="shared" si="85"/>
        <v>78.2</v>
      </c>
      <c r="M336" s="74"/>
      <c r="N336" s="95"/>
      <c r="O336" s="152">
        <v>12.9</v>
      </c>
      <c r="P336" s="153"/>
      <c r="Q336" s="160"/>
      <c r="R336" s="154">
        <v>9.6999999999999993</v>
      </c>
      <c r="S336" s="155">
        <v>0.6</v>
      </c>
      <c r="T336" s="66">
        <f t="shared" si="91"/>
        <v>23.200000000000003</v>
      </c>
      <c r="U336" s="67" t="s">
        <v>69</v>
      </c>
      <c r="V336" s="73">
        <f t="shared" si="86"/>
        <v>55</v>
      </c>
      <c r="W336" s="73">
        <f t="shared" si="87"/>
        <v>78.2</v>
      </c>
    </row>
    <row r="337" spans="1:23" ht="13.5" customHeight="1" x14ac:dyDescent="0.25">
      <c r="A337" s="60"/>
      <c r="B337" s="71" t="s">
        <v>372</v>
      </c>
      <c r="C337" s="3"/>
      <c r="D337" s="152">
        <v>0.6</v>
      </c>
      <c r="E337" s="153"/>
      <c r="F337" s="160"/>
      <c r="G337" s="154">
        <v>0.1</v>
      </c>
      <c r="H337" s="155">
        <v>0</v>
      </c>
      <c r="I337" s="66">
        <f t="shared" si="90"/>
        <v>0.7</v>
      </c>
      <c r="J337" s="67" t="s">
        <v>69</v>
      </c>
      <c r="K337" s="73">
        <f t="shared" si="84"/>
        <v>55</v>
      </c>
      <c r="L337" s="73">
        <f t="shared" si="85"/>
        <v>55.7</v>
      </c>
      <c r="M337" s="74"/>
      <c r="N337" s="95"/>
      <c r="O337" s="152">
        <v>0.6</v>
      </c>
      <c r="P337" s="153"/>
      <c r="Q337" s="160"/>
      <c r="R337" s="154">
        <v>0.1</v>
      </c>
      <c r="S337" s="155">
        <v>0</v>
      </c>
      <c r="T337" s="66">
        <f t="shared" si="91"/>
        <v>0.7</v>
      </c>
      <c r="U337" s="67" t="s">
        <v>69</v>
      </c>
      <c r="V337" s="73">
        <f t="shared" si="86"/>
        <v>55</v>
      </c>
      <c r="W337" s="73">
        <f t="shared" si="87"/>
        <v>55.7</v>
      </c>
    </row>
    <row r="338" spans="1:23" ht="13.5" customHeight="1" x14ac:dyDescent="0.25">
      <c r="A338" s="60"/>
      <c r="B338" s="71" t="s">
        <v>373</v>
      </c>
      <c r="C338" s="3"/>
      <c r="D338" s="152">
        <v>1.4</v>
      </c>
      <c r="E338" s="153"/>
      <c r="F338" s="160"/>
      <c r="G338" s="154">
        <v>0.3</v>
      </c>
      <c r="H338" s="155">
        <v>0</v>
      </c>
      <c r="I338" s="66">
        <f t="shared" si="90"/>
        <v>1.7</v>
      </c>
      <c r="J338" s="67" t="s">
        <v>69</v>
      </c>
      <c r="K338" s="73">
        <f t="shared" si="84"/>
        <v>55</v>
      </c>
      <c r="L338" s="73">
        <f t="shared" si="85"/>
        <v>56.7</v>
      </c>
      <c r="M338" s="74"/>
      <c r="N338" s="95"/>
      <c r="O338" s="152">
        <v>1.4</v>
      </c>
      <c r="P338" s="153"/>
      <c r="Q338" s="160"/>
      <c r="R338" s="154">
        <v>0.3</v>
      </c>
      <c r="S338" s="155">
        <v>0</v>
      </c>
      <c r="T338" s="66">
        <f t="shared" si="91"/>
        <v>1.7</v>
      </c>
      <c r="U338" s="67" t="s">
        <v>69</v>
      </c>
      <c r="V338" s="73">
        <f t="shared" si="86"/>
        <v>55</v>
      </c>
      <c r="W338" s="73">
        <f t="shared" si="87"/>
        <v>56.7</v>
      </c>
    </row>
    <row r="339" spans="1:23" ht="13.5" customHeight="1" x14ac:dyDescent="0.25">
      <c r="A339" s="60"/>
      <c r="B339" s="61"/>
      <c r="C339" s="3"/>
      <c r="D339" s="62"/>
      <c r="E339" s="63"/>
      <c r="F339" s="64"/>
      <c r="G339" s="63"/>
      <c r="H339" s="104"/>
      <c r="I339" s="66"/>
      <c r="J339" s="67" t="s">
        <v>69</v>
      </c>
      <c r="K339" s="22"/>
      <c r="L339" s="22"/>
      <c r="M339" s="95"/>
      <c r="N339" s="95"/>
      <c r="O339" s="62"/>
      <c r="P339" s="63"/>
      <c r="Q339" s="64"/>
      <c r="R339" s="63"/>
      <c r="S339" s="104"/>
      <c r="T339" s="66"/>
      <c r="U339" s="67" t="s">
        <v>69</v>
      </c>
      <c r="V339" s="22"/>
      <c r="W339" s="22"/>
    </row>
    <row r="340" spans="1:23" ht="13.5" customHeight="1" x14ac:dyDescent="0.25">
      <c r="A340" s="60">
        <v>90</v>
      </c>
      <c r="B340" s="61" t="s">
        <v>374</v>
      </c>
      <c r="C340" s="3"/>
      <c r="D340" s="152">
        <v>0.4</v>
      </c>
      <c r="E340" s="153"/>
      <c r="F340" s="160"/>
      <c r="G340" s="154">
        <v>0.1</v>
      </c>
      <c r="H340" s="155">
        <v>0</v>
      </c>
      <c r="I340" s="66">
        <f>D340+E340+G340+H340</f>
        <v>0.5</v>
      </c>
      <c r="J340" s="67" t="s">
        <v>69</v>
      </c>
      <c r="K340" s="22"/>
      <c r="L340" s="22"/>
      <c r="M340" s="95"/>
      <c r="N340" s="95"/>
      <c r="O340" s="152">
        <v>0.4</v>
      </c>
      <c r="P340" s="153"/>
      <c r="Q340" s="160"/>
      <c r="R340" s="154">
        <v>0.1</v>
      </c>
      <c r="S340" s="155">
        <v>0</v>
      </c>
      <c r="T340" s="66">
        <f>O340+P340+R340+S340</f>
        <v>0.5</v>
      </c>
      <c r="U340" s="67" t="s">
        <v>69</v>
      </c>
      <c r="V340" s="22"/>
      <c r="W340" s="22"/>
    </row>
    <row r="341" spans="1:23" ht="13.5" customHeight="1" x14ac:dyDescent="0.25">
      <c r="A341" s="60"/>
      <c r="B341" s="61"/>
      <c r="C341" s="3"/>
      <c r="D341" s="62"/>
      <c r="E341" s="63"/>
      <c r="F341" s="64"/>
      <c r="G341" s="63"/>
      <c r="H341" s="104"/>
      <c r="I341" s="66"/>
      <c r="J341" s="67" t="s">
        <v>69</v>
      </c>
      <c r="K341" s="22"/>
      <c r="L341" s="22"/>
      <c r="M341" s="95"/>
      <c r="N341" s="95"/>
      <c r="O341" s="62"/>
      <c r="P341" s="63"/>
      <c r="Q341" s="64"/>
      <c r="R341" s="63"/>
      <c r="S341" s="104"/>
      <c r="T341" s="66"/>
      <c r="U341" s="67" t="s">
        <v>69</v>
      </c>
      <c r="V341" s="22"/>
      <c r="W341" s="22"/>
    </row>
    <row r="342" spans="1:23" ht="13.5" customHeight="1" thickBot="1" x14ac:dyDescent="0.3">
      <c r="A342" s="107"/>
      <c r="B342" s="108"/>
      <c r="C342" s="3"/>
      <c r="D342" s="109"/>
      <c r="E342" s="110"/>
      <c r="F342" s="110"/>
      <c r="G342" s="110"/>
      <c r="H342" s="111"/>
      <c r="I342" s="112"/>
      <c r="J342" s="67" t="s">
        <v>69</v>
      </c>
      <c r="K342" s="22"/>
      <c r="L342" s="22"/>
      <c r="M342" s="95"/>
      <c r="N342" s="95"/>
      <c r="O342" s="109"/>
      <c r="P342" s="110"/>
      <c r="Q342" s="110"/>
      <c r="R342" s="110"/>
      <c r="S342" s="111"/>
      <c r="T342" s="112"/>
      <c r="U342" s="67" t="s">
        <v>69</v>
      </c>
      <c r="V342" s="22"/>
      <c r="W342" s="22"/>
    </row>
    <row r="343" spans="1:23" ht="18" customHeight="1" x14ac:dyDescent="0.25">
      <c r="A343" s="60"/>
      <c r="B343" s="71"/>
      <c r="D343" s="62"/>
      <c r="E343" s="63"/>
      <c r="F343" s="64"/>
      <c r="G343" s="63"/>
      <c r="H343" s="65"/>
      <c r="I343" s="66"/>
      <c r="J343" s="67" t="s">
        <v>69</v>
      </c>
      <c r="K343" s="68"/>
      <c r="L343" s="68"/>
      <c r="M343" s="66"/>
      <c r="N343" s="70"/>
      <c r="O343" s="62"/>
      <c r="P343" s="63"/>
      <c r="Q343" s="64"/>
      <c r="R343" s="63"/>
      <c r="S343" s="65"/>
      <c r="T343" s="66"/>
      <c r="U343" s="67" t="s">
        <v>69</v>
      </c>
      <c r="V343" s="68"/>
      <c r="W343" s="68"/>
    </row>
    <row r="344" spans="1:23" ht="18" customHeight="1" x14ac:dyDescent="0.25">
      <c r="A344" s="113"/>
      <c r="B344" s="71"/>
      <c r="D344" s="62"/>
      <c r="E344" s="63"/>
      <c r="F344" s="64"/>
      <c r="G344" s="63"/>
      <c r="H344" s="65"/>
      <c r="I344" s="66"/>
      <c r="J344" s="67" t="s">
        <v>69</v>
      </c>
      <c r="K344" s="68"/>
      <c r="L344" s="68"/>
      <c r="M344" s="66"/>
      <c r="N344" s="70"/>
      <c r="O344" s="62"/>
      <c r="P344" s="63"/>
      <c r="Q344" s="64"/>
      <c r="R344" s="63"/>
      <c r="S344" s="65"/>
      <c r="T344" s="66"/>
      <c r="U344" s="67" t="s">
        <v>69</v>
      </c>
      <c r="V344" s="68"/>
      <c r="W344" s="68"/>
    </row>
    <row r="345" spans="1:23" s="3" customFormat="1" ht="18" customHeight="1" x14ac:dyDescent="0.25">
      <c r="A345" s="60"/>
      <c r="B345" s="114"/>
      <c r="D345" s="62"/>
      <c r="E345" s="63"/>
      <c r="F345" s="115"/>
      <c r="G345" s="63"/>
      <c r="H345" s="65"/>
      <c r="I345" s="66"/>
      <c r="J345" s="67" t="s">
        <v>69</v>
      </c>
      <c r="K345" s="68"/>
      <c r="L345" s="68"/>
      <c r="M345" s="66"/>
      <c r="N345" s="70"/>
      <c r="O345" s="62"/>
      <c r="P345" s="63"/>
      <c r="Q345" s="115"/>
      <c r="R345" s="63"/>
      <c r="S345" s="65"/>
      <c r="T345" s="66"/>
      <c r="U345" s="67" t="s">
        <v>69</v>
      </c>
      <c r="V345" s="68"/>
      <c r="W345" s="68"/>
    </row>
    <row r="346" spans="1:23" ht="13.5" customHeight="1" x14ac:dyDescent="0.25">
      <c r="A346" s="60"/>
      <c r="B346" s="71"/>
      <c r="C346" s="72"/>
      <c r="D346" s="81"/>
      <c r="E346" s="63"/>
      <c r="F346" s="82"/>
      <c r="G346" s="63"/>
      <c r="H346" s="65"/>
      <c r="I346" s="66"/>
      <c r="J346" s="67" t="s">
        <v>69</v>
      </c>
      <c r="K346" s="101"/>
      <c r="L346" s="101"/>
      <c r="M346" s="59"/>
      <c r="N346" s="59"/>
      <c r="O346" s="81"/>
      <c r="P346" s="63"/>
      <c r="Q346" s="82"/>
      <c r="R346" s="63"/>
      <c r="S346" s="65"/>
      <c r="T346" s="66"/>
      <c r="U346" s="67" t="s">
        <v>69</v>
      </c>
      <c r="V346" s="101"/>
      <c r="W346" s="101"/>
    </row>
    <row r="347" spans="1:23" ht="13.5" customHeight="1" x14ac:dyDescent="0.25">
      <c r="J347" s="67" t="s">
        <v>69</v>
      </c>
      <c r="K347" s="22"/>
      <c r="L347" s="22"/>
      <c r="M347" s="95"/>
      <c r="N347" s="95"/>
      <c r="U347" s="67" t="s">
        <v>69</v>
      </c>
      <c r="V347" s="22"/>
      <c r="W347" s="22"/>
    </row>
    <row r="348" spans="1:23" ht="13.5" customHeight="1" x14ac:dyDescent="0.25">
      <c r="B348" s="116"/>
      <c r="D348" s="4"/>
      <c r="G348" s="117"/>
      <c r="H348" s="117"/>
      <c r="J348" s="67" t="s">
        <v>69</v>
      </c>
      <c r="K348" s="22"/>
      <c r="L348" s="22"/>
      <c r="M348" s="95"/>
      <c r="N348" s="95"/>
      <c r="O348" s="4"/>
      <c r="R348" s="117"/>
      <c r="S348" s="117"/>
      <c r="U348" s="67" t="s">
        <v>69</v>
      </c>
      <c r="V348" s="22"/>
      <c r="W348" s="22"/>
    </row>
    <row r="349" spans="1:23" ht="13.5" customHeight="1" x14ac:dyDescent="0.25">
      <c r="D349" s="51"/>
      <c r="G349" s="117"/>
      <c r="H349" s="117"/>
      <c r="J349" s="67" t="s">
        <v>69</v>
      </c>
      <c r="K349" s="22"/>
      <c r="L349" s="22"/>
      <c r="M349" s="95"/>
      <c r="N349" s="95"/>
      <c r="O349" s="51"/>
      <c r="R349" s="117"/>
      <c r="S349" s="117"/>
      <c r="U349" s="67" t="s">
        <v>69</v>
      </c>
      <c r="V349" s="22"/>
      <c r="W349" s="22"/>
    </row>
    <row r="350" spans="1:23" ht="13.5" customHeight="1" thickBot="1" x14ac:dyDescent="0.3">
      <c r="E350" s="4"/>
      <c r="F350" s="4"/>
      <c r="J350" s="67" t="s">
        <v>69</v>
      </c>
      <c r="K350" s="22"/>
      <c r="L350" s="22"/>
      <c r="M350" s="95"/>
      <c r="N350" s="95"/>
      <c r="P350" s="4"/>
      <c r="Q350" s="4"/>
      <c r="U350" s="67" t="s">
        <v>69</v>
      </c>
      <c r="V350" s="22"/>
      <c r="W350" s="22"/>
    </row>
    <row r="351" spans="1:23" ht="13.5" customHeight="1" thickBot="1" x14ac:dyDescent="0.3">
      <c r="D351" s="4"/>
      <c r="E351" s="4"/>
      <c r="F351" s="4"/>
      <c r="I351" s="118">
        <v>1.0493916332822018</v>
      </c>
      <c r="J351" s="67" t="s">
        <v>69</v>
      </c>
      <c r="K351" s="22"/>
      <c r="L351" s="22"/>
      <c r="M351" s="95"/>
      <c r="N351" s="95"/>
      <c r="O351" s="4"/>
      <c r="P351" s="4"/>
      <c r="Q351" s="4"/>
      <c r="T351" s="118">
        <v>1.0493916332822018</v>
      </c>
      <c r="U351" s="67" t="s">
        <v>69</v>
      </c>
      <c r="V351" s="22"/>
      <c r="W351" s="22"/>
    </row>
    <row r="352" spans="1:23" ht="13.5" customHeight="1" x14ac:dyDescent="0.25">
      <c r="D352" s="4"/>
      <c r="E352" s="4"/>
      <c r="F352" s="4"/>
      <c r="J352" s="67" t="s">
        <v>69</v>
      </c>
      <c r="K352" s="22"/>
      <c r="L352" s="22"/>
      <c r="M352" s="95"/>
      <c r="N352" s="95"/>
      <c r="O352" s="4"/>
      <c r="P352" s="4"/>
      <c r="Q352" s="4"/>
      <c r="U352" s="67" t="s">
        <v>69</v>
      </c>
      <c r="V352" s="22"/>
      <c r="W352" s="22"/>
    </row>
    <row r="353" spans="4:23" ht="13.5" customHeight="1" x14ac:dyDescent="0.25">
      <c r="D353" s="4"/>
      <c r="E353" s="4"/>
      <c r="F353" s="4"/>
      <c r="J353" s="67" t="s">
        <v>69</v>
      </c>
      <c r="K353" s="22"/>
      <c r="L353" s="22"/>
      <c r="M353" s="95"/>
      <c r="N353" s="95"/>
      <c r="O353" s="4"/>
      <c r="P353" s="4"/>
      <c r="Q353" s="4"/>
      <c r="U353" s="67" t="s">
        <v>69</v>
      </c>
      <c r="V353" s="22"/>
      <c r="W353" s="22"/>
    </row>
    <row r="354" spans="4:23" ht="13.5" customHeight="1" x14ac:dyDescent="0.25">
      <c r="D354" s="4"/>
      <c r="E354" s="4"/>
      <c r="F354" s="4"/>
      <c r="J354" s="67" t="s">
        <v>69</v>
      </c>
      <c r="K354" s="22"/>
      <c r="L354" s="22"/>
      <c r="M354" s="95"/>
      <c r="N354" s="95"/>
      <c r="O354" s="4"/>
      <c r="P354" s="4"/>
      <c r="Q354" s="4"/>
      <c r="U354" s="67" t="s">
        <v>69</v>
      </c>
      <c r="V354" s="22"/>
      <c r="W354" s="22"/>
    </row>
    <row r="355" spans="4:23" ht="13.5" customHeight="1" x14ac:dyDescent="0.25">
      <c r="D355" s="4"/>
      <c r="E355" s="4"/>
      <c r="F355" s="4"/>
      <c r="J355" s="67" t="s">
        <v>69</v>
      </c>
      <c r="K355" s="22"/>
      <c r="L355" s="22"/>
      <c r="M355" s="95"/>
      <c r="N355" s="95"/>
      <c r="O355" s="4"/>
      <c r="P355" s="4"/>
      <c r="Q355" s="4"/>
      <c r="U355" s="67" t="s">
        <v>69</v>
      </c>
      <c r="V355" s="22"/>
      <c r="W355" s="22"/>
    </row>
    <row r="356" spans="4:23" ht="13.5" customHeight="1" x14ac:dyDescent="0.25">
      <c r="D356" s="4"/>
      <c r="E356" s="4"/>
      <c r="F356" s="4"/>
      <c r="J356" s="67" t="s">
        <v>69</v>
      </c>
      <c r="K356" s="22"/>
      <c r="L356" s="22"/>
      <c r="M356" s="95"/>
      <c r="N356" s="95"/>
      <c r="O356" s="4"/>
      <c r="P356" s="4"/>
      <c r="Q356" s="4"/>
      <c r="U356" s="67" t="s">
        <v>69</v>
      </c>
      <c r="V356" s="22"/>
      <c r="W356" s="22"/>
    </row>
    <row r="357" spans="4:23" ht="13.5" customHeight="1" x14ac:dyDescent="0.25">
      <c r="D357" s="4"/>
      <c r="E357" s="4"/>
      <c r="F357" s="4"/>
      <c r="J357" s="67" t="s">
        <v>69</v>
      </c>
      <c r="K357" s="22"/>
      <c r="L357" s="22"/>
      <c r="M357" s="95"/>
      <c r="N357" s="95"/>
      <c r="O357" s="4"/>
      <c r="P357" s="4"/>
      <c r="Q357" s="4"/>
      <c r="U357" s="67" t="s">
        <v>69</v>
      </c>
      <c r="V357" s="22"/>
      <c r="W357" s="22"/>
    </row>
    <row r="358" spans="4:23" ht="13.5" customHeight="1" x14ac:dyDescent="0.25">
      <c r="D358" s="4"/>
      <c r="E358" s="4"/>
      <c r="F358" s="4"/>
      <c r="J358" s="67" t="s">
        <v>69</v>
      </c>
      <c r="K358" s="22"/>
      <c r="L358" s="22"/>
      <c r="M358" s="95"/>
      <c r="N358" s="95"/>
      <c r="O358" s="4"/>
      <c r="P358" s="4"/>
      <c r="Q358" s="4"/>
      <c r="U358" s="67" t="s">
        <v>69</v>
      </c>
      <c r="V358" s="22"/>
      <c r="W358" s="22"/>
    </row>
    <row r="359" spans="4:23" ht="13.5" customHeight="1" x14ac:dyDescent="0.25">
      <c r="D359" s="4"/>
      <c r="E359" s="4"/>
      <c r="F359" s="4"/>
      <c r="J359" s="67" t="s">
        <v>69</v>
      </c>
      <c r="K359" s="22"/>
      <c r="L359" s="22"/>
      <c r="M359" s="95"/>
      <c r="N359" s="95"/>
      <c r="O359" s="4"/>
      <c r="P359" s="4"/>
      <c r="Q359" s="4"/>
      <c r="U359" s="67" t="s">
        <v>69</v>
      </c>
      <c r="V359" s="22"/>
      <c r="W359" s="22"/>
    </row>
    <row r="360" spans="4:23" ht="13.5" customHeight="1" x14ac:dyDescent="0.25">
      <c r="D360" s="4"/>
      <c r="E360" s="4"/>
      <c r="F360" s="4"/>
      <c r="J360" s="67" t="s">
        <v>69</v>
      </c>
      <c r="K360" s="22"/>
      <c r="L360" s="22"/>
      <c r="M360" s="95"/>
      <c r="N360" s="95"/>
      <c r="O360" s="4"/>
      <c r="P360" s="4"/>
      <c r="Q360" s="4"/>
      <c r="U360" s="67" t="s">
        <v>69</v>
      </c>
      <c r="V360" s="22"/>
      <c r="W360" s="22"/>
    </row>
    <row r="361" spans="4:23" ht="13.5" customHeight="1" x14ac:dyDescent="0.25">
      <c r="D361" s="4"/>
      <c r="E361" s="4"/>
      <c r="F361" s="4"/>
      <c r="J361" s="67" t="s">
        <v>69</v>
      </c>
      <c r="K361" s="22"/>
      <c r="L361" s="22"/>
      <c r="M361" s="95"/>
      <c r="N361" s="95"/>
      <c r="O361" s="4"/>
      <c r="P361" s="4"/>
      <c r="Q361" s="4"/>
      <c r="U361" s="67" t="s">
        <v>69</v>
      </c>
      <c r="V361" s="22"/>
      <c r="W361" s="22"/>
    </row>
    <row r="362" spans="4:23" ht="13.5" customHeight="1" x14ac:dyDescent="0.25">
      <c r="D362" s="4"/>
      <c r="E362" s="4"/>
      <c r="F362" s="4"/>
      <c r="J362" s="67" t="s">
        <v>69</v>
      </c>
      <c r="K362" s="22"/>
      <c r="L362" s="22"/>
      <c r="M362" s="95"/>
      <c r="N362" s="95"/>
      <c r="O362" s="4"/>
      <c r="P362" s="4"/>
      <c r="Q362" s="4"/>
      <c r="U362" s="67" t="s">
        <v>69</v>
      </c>
      <c r="V362" s="22"/>
      <c r="W362" s="22"/>
    </row>
    <row r="363" spans="4:23" ht="13.5" customHeight="1" x14ac:dyDescent="0.25">
      <c r="D363" s="4"/>
      <c r="E363" s="4"/>
      <c r="F363" s="4"/>
      <c r="J363" s="67" t="s">
        <v>69</v>
      </c>
      <c r="K363" s="22"/>
      <c r="L363" s="22"/>
      <c r="M363" s="95"/>
      <c r="N363" s="95"/>
      <c r="O363" s="4"/>
      <c r="P363" s="4"/>
      <c r="Q363" s="4"/>
      <c r="U363" s="67" t="s">
        <v>69</v>
      </c>
      <c r="V363" s="22"/>
      <c r="W363" s="22"/>
    </row>
    <row r="364" spans="4:23" ht="13.5" customHeight="1" x14ac:dyDescent="0.25">
      <c r="D364" s="4"/>
      <c r="E364" s="4"/>
      <c r="F364" s="4"/>
      <c r="J364" s="67" t="s">
        <v>69</v>
      </c>
      <c r="K364" s="22"/>
      <c r="L364" s="22"/>
      <c r="M364" s="95"/>
      <c r="N364" s="95"/>
      <c r="O364" s="4"/>
      <c r="P364" s="4"/>
      <c r="Q364" s="4"/>
      <c r="U364" s="67" t="s">
        <v>69</v>
      </c>
      <c r="V364" s="22"/>
      <c r="W364" s="22"/>
    </row>
    <row r="365" spans="4:23" ht="13.5" customHeight="1" x14ac:dyDescent="0.25">
      <c r="D365" s="4"/>
      <c r="E365" s="4"/>
      <c r="F365" s="4"/>
      <c r="J365" s="67" t="s">
        <v>69</v>
      </c>
      <c r="K365" s="22"/>
      <c r="L365" s="22"/>
      <c r="M365" s="95"/>
      <c r="N365" s="95"/>
      <c r="O365" s="4"/>
      <c r="P365" s="4"/>
      <c r="Q365" s="4"/>
      <c r="U365" s="67" t="s">
        <v>69</v>
      </c>
      <c r="V365" s="22"/>
      <c r="W365" s="22"/>
    </row>
    <row r="366" spans="4:23" ht="13.5" customHeight="1" x14ac:dyDescent="0.25">
      <c r="D366" s="4"/>
      <c r="E366" s="4"/>
      <c r="F366" s="4"/>
      <c r="J366" s="67" t="s">
        <v>69</v>
      </c>
      <c r="K366" s="22"/>
      <c r="L366" s="22"/>
      <c r="M366" s="95"/>
      <c r="N366" s="95"/>
      <c r="O366" s="4"/>
      <c r="P366" s="4"/>
      <c r="Q366" s="4"/>
      <c r="U366" s="67" t="s">
        <v>69</v>
      </c>
      <c r="V366" s="22"/>
      <c r="W366" s="22"/>
    </row>
    <row r="367" spans="4:23" ht="13.5" customHeight="1" x14ac:dyDescent="0.25">
      <c r="D367" s="4"/>
      <c r="E367" s="4"/>
      <c r="F367" s="4"/>
      <c r="J367" s="67" t="s">
        <v>69</v>
      </c>
      <c r="K367" s="22"/>
      <c r="L367" s="22"/>
      <c r="M367" s="95"/>
      <c r="N367" s="95"/>
      <c r="O367" s="4"/>
      <c r="P367" s="4"/>
      <c r="Q367" s="4"/>
      <c r="U367" s="67" t="s">
        <v>69</v>
      </c>
      <c r="V367" s="22"/>
      <c r="W367" s="22"/>
    </row>
    <row r="368" spans="4:23" ht="13.5" customHeight="1" x14ac:dyDescent="0.25">
      <c r="D368" s="4"/>
      <c r="E368" s="4"/>
      <c r="F368" s="4"/>
      <c r="J368" s="67" t="s">
        <v>69</v>
      </c>
      <c r="K368" s="22"/>
      <c r="L368" s="22"/>
      <c r="M368" s="95"/>
      <c r="N368" s="95"/>
      <c r="O368" s="4"/>
      <c r="P368" s="4"/>
      <c r="Q368" s="4"/>
      <c r="U368" s="67" t="s">
        <v>69</v>
      </c>
      <c r="V368" s="22"/>
      <c r="W368" s="22"/>
    </row>
    <row r="369" spans="4:23" ht="13.5" customHeight="1" x14ac:dyDescent="0.25">
      <c r="D369" s="4"/>
      <c r="E369" s="4"/>
      <c r="F369" s="4"/>
      <c r="J369" s="67" t="s">
        <v>69</v>
      </c>
      <c r="K369" s="22"/>
      <c r="L369" s="22"/>
      <c r="M369" s="95"/>
      <c r="N369" s="95"/>
      <c r="O369" s="4"/>
      <c r="P369" s="4"/>
      <c r="Q369" s="4"/>
      <c r="U369" s="67" t="s">
        <v>69</v>
      </c>
      <c r="V369" s="22"/>
      <c r="W369" s="22"/>
    </row>
    <row r="370" spans="4:23" ht="13.5" customHeight="1" x14ac:dyDescent="0.25">
      <c r="D370" s="4"/>
      <c r="E370" s="4"/>
      <c r="F370" s="4"/>
      <c r="J370" s="67" t="s">
        <v>69</v>
      </c>
      <c r="K370" s="22"/>
      <c r="L370" s="22"/>
      <c r="M370" s="95"/>
      <c r="N370" s="95"/>
      <c r="O370" s="4"/>
      <c r="P370" s="4"/>
      <c r="Q370" s="4"/>
      <c r="U370" s="67" t="s">
        <v>69</v>
      </c>
      <c r="V370" s="22"/>
      <c r="W370" s="22"/>
    </row>
    <row r="371" spans="4:23" ht="13.5" customHeight="1" x14ac:dyDescent="0.25">
      <c r="D371" s="4"/>
      <c r="E371" s="4"/>
      <c r="F371" s="4"/>
      <c r="J371" s="67" t="s">
        <v>69</v>
      </c>
      <c r="K371" s="22"/>
      <c r="L371" s="22"/>
      <c r="M371" s="95"/>
      <c r="N371" s="95"/>
      <c r="O371" s="4"/>
      <c r="P371" s="4"/>
      <c r="Q371" s="4"/>
      <c r="U371" s="67" t="s">
        <v>69</v>
      </c>
      <c r="V371" s="22"/>
      <c r="W371" s="22"/>
    </row>
    <row r="372" spans="4:23" ht="13.5" customHeight="1" x14ac:dyDescent="0.25">
      <c r="D372" s="4"/>
      <c r="E372" s="4"/>
      <c r="F372" s="4"/>
      <c r="J372" s="67" t="s">
        <v>69</v>
      </c>
      <c r="K372" s="22"/>
      <c r="L372" s="22"/>
      <c r="M372" s="95"/>
      <c r="N372" s="95"/>
      <c r="O372" s="4"/>
      <c r="P372" s="4"/>
      <c r="Q372" s="4"/>
      <c r="U372" s="67" t="s">
        <v>69</v>
      </c>
      <c r="V372" s="22"/>
      <c r="W372" s="22"/>
    </row>
    <row r="373" spans="4:23" ht="13.5" customHeight="1" x14ac:dyDescent="0.25">
      <c r="D373" s="4"/>
      <c r="E373" s="4"/>
      <c r="F373" s="4"/>
      <c r="J373" s="67" t="s">
        <v>69</v>
      </c>
      <c r="K373" s="22"/>
      <c r="L373" s="22"/>
      <c r="M373" s="95"/>
      <c r="N373" s="95"/>
      <c r="O373" s="4"/>
      <c r="P373" s="4"/>
      <c r="Q373" s="4"/>
      <c r="U373" s="67" t="s">
        <v>69</v>
      </c>
      <c r="V373" s="22"/>
      <c r="W373" s="22"/>
    </row>
    <row r="374" spans="4:23" ht="13.5" customHeight="1" x14ac:dyDescent="0.25">
      <c r="D374" s="4"/>
      <c r="E374" s="4"/>
      <c r="F374" s="4"/>
      <c r="J374" s="67" t="s">
        <v>69</v>
      </c>
      <c r="K374" s="22"/>
      <c r="L374" s="22"/>
      <c r="M374" s="95"/>
      <c r="N374" s="95"/>
      <c r="O374" s="4"/>
      <c r="P374" s="4"/>
      <c r="Q374" s="4"/>
      <c r="U374" s="67" t="s">
        <v>69</v>
      </c>
      <c r="V374" s="22"/>
      <c r="W374" s="22"/>
    </row>
    <row r="375" spans="4:23" ht="13.5" customHeight="1" x14ac:dyDescent="0.25">
      <c r="D375" s="4"/>
      <c r="E375" s="4"/>
      <c r="F375" s="4"/>
      <c r="J375" s="67" t="s">
        <v>69</v>
      </c>
      <c r="K375" s="22"/>
      <c r="L375" s="22"/>
      <c r="M375" s="95"/>
      <c r="N375" s="95"/>
      <c r="O375" s="4"/>
      <c r="P375" s="4"/>
      <c r="Q375" s="4"/>
      <c r="U375" s="67" t="s">
        <v>69</v>
      </c>
      <c r="V375" s="22"/>
      <c r="W375" s="22"/>
    </row>
    <row r="376" spans="4:23" ht="13.5" customHeight="1" x14ac:dyDescent="0.25">
      <c r="D376" s="4"/>
      <c r="E376" s="4"/>
      <c r="F376" s="4"/>
      <c r="J376" s="67" t="s">
        <v>69</v>
      </c>
      <c r="K376" s="22"/>
      <c r="L376" s="22"/>
      <c r="M376" s="95"/>
      <c r="N376" s="95"/>
      <c r="O376" s="4"/>
      <c r="P376" s="4"/>
      <c r="Q376" s="4"/>
      <c r="U376" s="67" t="s">
        <v>69</v>
      </c>
      <c r="V376" s="22"/>
      <c r="W376" s="22"/>
    </row>
    <row r="377" spans="4:23" ht="13.5" customHeight="1" x14ac:dyDescent="0.25">
      <c r="D377" s="4"/>
      <c r="E377" s="4"/>
      <c r="F377" s="4"/>
      <c r="J377" s="67" t="s">
        <v>69</v>
      </c>
      <c r="K377" s="22"/>
      <c r="L377" s="22"/>
      <c r="M377" s="95"/>
      <c r="N377" s="95"/>
      <c r="O377" s="4"/>
      <c r="P377" s="4"/>
      <c r="Q377" s="4"/>
      <c r="U377" s="67" t="s">
        <v>69</v>
      </c>
      <c r="V377" s="22"/>
      <c r="W377" s="22"/>
    </row>
    <row r="378" spans="4:23" ht="13.5" customHeight="1" x14ac:dyDescent="0.25">
      <c r="D378" s="4"/>
      <c r="E378" s="4"/>
      <c r="F378" s="4"/>
      <c r="J378" s="67" t="s">
        <v>69</v>
      </c>
      <c r="K378" s="22"/>
      <c r="L378" s="22"/>
      <c r="M378" s="95"/>
      <c r="N378" s="95"/>
      <c r="O378" s="4"/>
      <c r="P378" s="4"/>
      <c r="Q378" s="4"/>
      <c r="U378" s="67" t="s">
        <v>69</v>
      </c>
      <c r="V378" s="22"/>
      <c r="W378" s="22"/>
    </row>
    <row r="379" spans="4:23" ht="13.5" customHeight="1" x14ac:dyDescent="0.25">
      <c r="D379" s="4"/>
      <c r="E379" s="4"/>
      <c r="F379" s="4"/>
      <c r="J379" s="67" t="s">
        <v>69</v>
      </c>
      <c r="K379" s="22"/>
      <c r="L379" s="22"/>
      <c r="M379" s="95"/>
      <c r="N379" s="95"/>
      <c r="O379" s="4"/>
      <c r="P379" s="4"/>
      <c r="Q379" s="4"/>
      <c r="U379" s="67" t="s">
        <v>69</v>
      </c>
      <c r="V379" s="22"/>
      <c r="W379" s="22"/>
    </row>
    <row r="380" spans="4:23" ht="13.5" customHeight="1" x14ac:dyDescent="0.25">
      <c r="D380" s="4"/>
      <c r="E380" s="4"/>
      <c r="F380" s="4"/>
      <c r="J380" s="67" t="s">
        <v>69</v>
      </c>
      <c r="K380" s="22"/>
      <c r="L380" s="22"/>
      <c r="M380" s="95"/>
      <c r="N380" s="95"/>
      <c r="O380" s="4"/>
      <c r="P380" s="4"/>
      <c r="Q380" s="4"/>
      <c r="U380" s="67" t="s">
        <v>69</v>
      </c>
      <c r="V380" s="22"/>
      <c r="W380" s="22"/>
    </row>
    <row r="381" spans="4:23" ht="13.5" customHeight="1" x14ac:dyDescent="0.25">
      <c r="D381" s="4"/>
      <c r="E381" s="4"/>
      <c r="F381" s="4"/>
      <c r="J381" s="67" t="s">
        <v>69</v>
      </c>
      <c r="K381" s="22"/>
      <c r="L381" s="22"/>
      <c r="M381" s="95"/>
      <c r="N381" s="95"/>
      <c r="O381" s="4"/>
      <c r="P381" s="4"/>
      <c r="Q381" s="4"/>
      <c r="U381" s="67" t="s">
        <v>69</v>
      </c>
      <c r="V381" s="22"/>
      <c r="W381" s="22"/>
    </row>
    <row r="382" spans="4:23" ht="13.5" customHeight="1" x14ac:dyDescent="0.25">
      <c r="D382" s="4"/>
      <c r="E382" s="4"/>
      <c r="F382" s="4"/>
      <c r="J382" s="67" t="s">
        <v>69</v>
      </c>
      <c r="K382" s="22"/>
      <c r="L382" s="22"/>
      <c r="M382" s="95"/>
      <c r="N382" s="95"/>
      <c r="O382" s="4"/>
      <c r="P382" s="4"/>
      <c r="Q382" s="4"/>
      <c r="U382" s="67" t="s">
        <v>69</v>
      </c>
      <c r="V382" s="22"/>
      <c r="W382" s="22"/>
    </row>
    <row r="383" spans="4:23" ht="13.5" customHeight="1" x14ac:dyDescent="0.25">
      <c r="D383" s="4"/>
      <c r="E383" s="4"/>
      <c r="F383" s="4"/>
      <c r="J383" s="67" t="s">
        <v>69</v>
      </c>
      <c r="K383" s="22"/>
      <c r="L383" s="22"/>
      <c r="M383" s="95"/>
      <c r="N383" s="95"/>
      <c r="O383" s="4"/>
      <c r="P383" s="4"/>
      <c r="Q383" s="4"/>
      <c r="U383" s="67" t="s">
        <v>69</v>
      </c>
      <c r="V383" s="22"/>
      <c r="W383" s="22"/>
    </row>
    <row r="384" spans="4:23" ht="13.5" customHeight="1" x14ac:dyDescent="0.25">
      <c r="D384" s="4"/>
      <c r="E384" s="4"/>
      <c r="F384" s="4"/>
      <c r="J384" s="67" t="s">
        <v>69</v>
      </c>
      <c r="K384" s="22"/>
      <c r="L384" s="22"/>
      <c r="M384" s="95"/>
      <c r="N384" s="95"/>
      <c r="O384" s="4"/>
      <c r="P384" s="4"/>
      <c r="Q384" s="4"/>
      <c r="U384" s="67" t="s">
        <v>69</v>
      </c>
      <c r="V384" s="22"/>
      <c r="W384" s="22"/>
    </row>
    <row r="385" spans="4:23" ht="13.5" customHeight="1" x14ac:dyDescent="0.25">
      <c r="D385" s="4"/>
      <c r="E385" s="4"/>
      <c r="F385" s="4"/>
      <c r="J385" s="67" t="s">
        <v>69</v>
      </c>
      <c r="K385" s="22"/>
      <c r="L385" s="22"/>
      <c r="M385" s="95"/>
      <c r="N385" s="95"/>
      <c r="O385" s="4"/>
      <c r="P385" s="4"/>
      <c r="Q385" s="4"/>
      <c r="U385" s="67" t="s">
        <v>69</v>
      </c>
      <c r="V385" s="22"/>
      <c r="W385" s="22"/>
    </row>
    <row r="386" spans="4:23" ht="13.5" customHeight="1" x14ac:dyDescent="0.25">
      <c r="D386" s="4"/>
      <c r="E386" s="4"/>
      <c r="F386" s="4"/>
      <c r="J386" s="67" t="s">
        <v>69</v>
      </c>
      <c r="K386" s="22"/>
      <c r="L386" s="22"/>
      <c r="M386" s="95"/>
      <c r="N386" s="95"/>
      <c r="O386" s="4"/>
      <c r="P386" s="4"/>
      <c r="Q386" s="4"/>
      <c r="U386" s="67" t="s">
        <v>69</v>
      </c>
      <c r="V386" s="22"/>
      <c r="W386" s="22"/>
    </row>
    <row r="387" spans="4:23" ht="13.5" customHeight="1" x14ac:dyDescent="0.25">
      <c r="D387" s="4"/>
      <c r="E387" s="4"/>
      <c r="F387" s="4"/>
      <c r="J387" s="67" t="s">
        <v>69</v>
      </c>
      <c r="K387" s="22"/>
      <c r="L387" s="22"/>
      <c r="M387" s="95"/>
      <c r="N387" s="95"/>
      <c r="O387" s="4"/>
      <c r="P387" s="4"/>
      <c r="Q387" s="4"/>
      <c r="U387" s="67" t="s">
        <v>69</v>
      </c>
      <c r="V387" s="22"/>
      <c r="W387" s="22"/>
    </row>
    <row r="388" spans="4:23" ht="13.5" customHeight="1" x14ac:dyDescent="0.25">
      <c r="D388" s="4"/>
      <c r="E388" s="4"/>
      <c r="F388" s="4"/>
      <c r="J388" s="67" t="s">
        <v>69</v>
      </c>
      <c r="K388" s="22"/>
      <c r="L388" s="22"/>
      <c r="M388" s="95"/>
      <c r="N388" s="95"/>
      <c r="O388" s="4"/>
      <c r="P388" s="4"/>
      <c r="Q388" s="4"/>
      <c r="U388" s="67" t="s">
        <v>69</v>
      </c>
      <c r="V388" s="22"/>
      <c r="W388" s="22"/>
    </row>
    <row r="389" spans="4:23" ht="13.5" customHeight="1" x14ac:dyDescent="0.25">
      <c r="D389" s="4"/>
      <c r="E389" s="4"/>
      <c r="F389" s="4"/>
      <c r="J389" s="67" t="s">
        <v>69</v>
      </c>
      <c r="K389" s="22"/>
      <c r="L389" s="22"/>
      <c r="M389" s="95"/>
      <c r="N389" s="95"/>
      <c r="O389" s="4"/>
      <c r="P389" s="4"/>
      <c r="Q389" s="4"/>
      <c r="U389" s="67" t="s">
        <v>69</v>
      </c>
      <c r="V389" s="22"/>
      <c r="W389" s="22"/>
    </row>
    <row r="390" spans="4:23" ht="13.5" customHeight="1" x14ac:dyDescent="0.25">
      <c r="D390" s="4"/>
      <c r="E390" s="4"/>
      <c r="F390" s="4"/>
      <c r="J390" s="67" t="s">
        <v>69</v>
      </c>
      <c r="K390" s="22"/>
      <c r="L390" s="22"/>
      <c r="M390" s="95"/>
      <c r="N390" s="95"/>
      <c r="O390" s="4"/>
      <c r="P390" s="4"/>
      <c r="Q390" s="4"/>
      <c r="U390" s="67" t="s">
        <v>69</v>
      </c>
      <c r="V390" s="22"/>
      <c r="W390" s="22"/>
    </row>
    <row r="391" spans="4:23" ht="13.5" customHeight="1" x14ac:dyDescent="0.25">
      <c r="D391" s="4"/>
      <c r="E391" s="4"/>
      <c r="F391" s="4"/>
      <c r="J391" s="67" t="s">
        <v>69</v>
      </c>
      <c r="K391" s="22"/>
      <c r="L391" s="22"/>
      <c r="M391" s="95"/>
      <c r="N391" s="95"/>
      <c r="O391" s="4"/>
      <c r="P391" s="4"/>
      <c r="Q391" s="4"/>
      <c r="U391" s="67" t="s">
        <v>69</v>
      </c>
      <c r="V391" s="22"/>
      <c r="W391" s="22"/>
    </row>
    <row r="392" spans="4:23" ht="13.5" customHeight="1" x14ac:dyDescent="0.25">
      <c r="D392" s="4"/>
      <c r="E392" s="4"/>
      <c r="F392" s="4"/>
      <c r="J392" s="67" t="s">
        <v>69</v>
      </c>
      <c r="K392" s="22"/>
      <c r="L392" s="22"/>
      <c r="M392" s="95"/>
      <c r="N392" s="95"/>
      <c r="O392" s="4"/>
      <c r="P392" s="4"/>
      <c r="Q392" s="4"/>
      <c r="U392" s="67" t="s">
        <v>69</v>
      </c>
      <c r="V392" s="22"/>
      <c r="W392" s="22"/>
    </row>
    <row r="393" spans="4:23" ht="13.5" customHeight="1" x14ac:dyDescent="0.25">
      <c r="D393" s="4"/>
      <c r="E393" s="4"/>
      <c r="F393" s="4"/>
      <c r="J393" s="67" t="s">
        <v>69</v>
      </c>
      <c r="K393" s="22"/>
      <c r="L393" s="22"/>
      <c r="M393" s="95"/>
      <c r="N393" s="95"/>
      <c r="O393" s="4"/>
      <c r="P393" s="4"/>
      <c r="Q393" s="4"/>
      <c r="U393" s="67" t="s">
        <v>69</v>
      </c>
      <c r="V393" s="22"/>
      <c r="W393" s="22"/>
    </row>
    <row r="394" spans="4:23" ht="13.5" customHeight="1" x14ac:dyDescent="0.25">
      <c r="D394" s="4"/>
      <c r="E394" s="4"/>
      <c r="F394" s="4"/>
      <c r="J394" s="67" t="s">
        <v>69</v>
      </c>
      <c r="K394" s="22"/>
      <c r="L394" s="22"/>
      <c r="M394" s="95"/>
      <c r="N394" s="95"/>
      <c r="O394" s="4"/>
      <c r="P394" s="4"/>
      <c r="Q394" s="4"/>
      <c r="U394" s="67" t="s">
        <v>69</v>
      </c>
      <c r="V394" s="22"/>
      <c r="W394" s="22"/>
    </row>
    <row r="395" spans="4:23" ht="13.5" customHeight="1" x14ac:dyDescent="0.25">
      <c r="D395" s="4"/>
      <c r="E395" s="4"/>
      <c r="F395" s="4"/>
      <c r="J395" s="67" t="s">
        <v>69</v>
      </c>
      <c r="K395" s="22"/>
      <c r="L395" s="22"/>
      <c r="M395" s="95"/>
      <c r="N395" s="95"/>
      <c r="O395" s="4"/>
      <c r="P395" s="4"/>
      <c r="Q395" s="4"/>
      <c r="U395" s="67" t="s">
        <v>69</v>
      </c>
      <c r="V395" s="22"/>
      <c r="W395" s="22"/>
    </row>
    <row r="396" spans="4:23" ht="13.5" customHeight="1" x14ac:dyDescent="0.25">
      <c r="D396" s="4"/>
      <c r="E396" s="4"/>
      <c r="F396" s="4"/>
      <c r="J396" s="67" t="s">
        <v>69</v>
      </c>
      <c r="K396" s="22"/>
      <c r="L396" s="22"/>
      <c r="M396" s="95"/>
      <c r="N396" s="95"/>
      <c r="O396" s="4"/>
      <c r="P396" s="4"/>
      <c r="Q396" s="4"/>
      <c r="U396" s="67" t="s">
        <v>69</v>
      </c>
      <c r="V396" s="22"/>
      <c r="W396" s="22"/>
    </row>
    <row r="397" spans="4:23" ht="13.5" customHeight="1" x14ac:dyDescent="0.25">
      <c r="D397" s="4"/>
      <c r="E397" s="4"/>
      <c r="F397" s="4"/>
      <c r="J397" s="67" t="s">
        <v>69</v>
      </c>
      <c r="K397" s="22"/>
      <c r="L397" s="22"/>
      <c r="M397" s="95"/>
      <c r="N397" s="95"/>
      <c r="O397" s="4"/>
      <c r="P397" s="4"/>
      <c r="Q397" s="4"/>
      <c r="U397" s="67" t="s">
        <v>69</v>
      </c>
      <c r="V397" s="22"/>
      <c r="W397" s="22"/>
    </row>
    <row r="398" spans="4:23" ht="13.5" customHeight="1" x14ac:dyDescent="0.25">
      <c r="D398" s="4"/>
      <c r="E398" s="4"/>
      <c r="F398" s="4"/>
      <c r="J398" s="67" t="s">
        <v>69</v>
      </c>
      <c r="K398" s="22"/>
      <c r="L398" s="22"/>
      <c r="M398" s="95"/>
      <c r="N398" s="95"/>
      <c r="O398" s="4"/>
      <c r="P398" s="4"/>
      <c r="Q398" s="4"/>
      <c r="U398" s="67" t="s">
        <v>69</v>
      </c>
      <c r="V398" s="22"/>
      <c r="W398" s="22"/>
    </row>
    <row r="399" spans="4:23" ht="13.5" customHeight="1" x14ac:dyDescent="0.25">
      <c r="D399" s="4"/>
      <c r="E399" s="4"/>
      <c r="F399" s="4"/>
      <c r="J399" s="67" t="s">
        <v>69</v>
      </c>
      <c r="K399" s="22"/>
      <c r="L399" s="22"/>
      <c r="M399" s="95"/>
      <c r="N399" s="95"/>
      <c r="O399" s="4"/>
      <c r="P399" s="4"/>
      <c r="Q399" s="4"/>
      <c r="U399" s="67" t="s">
        <v>69</v>
      </c>
      <c r="V399" s="22"/>
      <c r="W399" s="22"/>
    </row>
    <row r="400" spans="4:23" ht="13.5" customHeight="1" x14ac:dyDescent="0.25">
      <c r="D400" s="4"/>
      <c r="E400" s="4"/>
      <c r="F400" s="4"/>
      <c r="J400" s="67" t="s">
        <v>69</v>
      </c>
      <c r="K400" s="22"/>
      <c r="L400" s="22"/>
      <c r="M400" s="95"/>
      <c r="N400" s="95"/>
      <c r="O400" s="4"/>
      <c r="P400" s="4"/>
      <c r="Q400" s="4"/>
      <c r="U400" s="67" t="s">
        <v>69</v>
      </c>
      <c r="V400" s="22"/>
      <c r="W400" s="22"/>
    </row>
    <row r="401" spans="4:23" ht="13.5" customHeight="1" x14ac:dyDescent="0.25">
      <c r="D401" s="4"/>
      <c r="E401" s="4"/>
      <c r="F401" s="4"/>
      <c r="J401" s="67" t="s">
        <v>69</v>
      </c>
      <c r="K401" s="22"/>
      <c r="L401" s="22"/>
      <c r="M401" s="95"/>
      <c r="N401" s="95"/>
      <c r="O401" s="4"/>
      <c r="P401" s="4"/>
      <c r="Q401" s="4"/>
      <c r="U401" s="67" t="s">
        <v>69</v>
      </c>
      <c r="V401" s="22"/>
      <c r="W401" s="22"/>
    </row>
    <row r="402" spans="4:23" ht="13.5" customHeight="1" x14ac:dyDescent="0.25">
      <c r="D402" s="4"/>
      <c r="E402" s="4"/>
      <c r="F402" s="4"/>
      <c r="J402" s="67" t="s">
        <v>69</v>
      </c>
      <c r="K402" s="22"/>
      <c r="L402" s="22"/>
      <c r="M402" s="95"/>
      <c r="N402" s="95"/>
      <c r="O402" s="4"/>
      <c r="P402" s="4"/>
      <c r="Q402" s="4"/>
      <c r="U402" s="67" t="s">
        <v>69</v>
      </c>
      <c r="V402" s="22"/>
      <c r="W402" s="22"/>
    </row>
    <row r="403" spans="4:23" ht="13.5" customHeight="1" x14ac:dyDescent="0.25">
      <c r="D403" s="4"/>
      <c r="E403" s="4"/>
      <c r="F403" s="4"/>
      <c r="J403" s="67" t="s">
        <v>69</v>
      </c>
      <c r="K403" s="22"/>
      <c r="L403" s="22"/>
      <c r="M403" s="95"/>
      <c r="N403" s="95"/>
      <c r="O403" s="4"/>
      <c r="P403" s="4"/>
      <c r="Q403" s="4"/>
      <c r="U403" s="67" t="s">
        <v>69</v>
      </c>
      <c r="V403" s="22"/>
      <c r="W403" s="22"/>
    </row>
    <row r="404" spans="4:23" ht="13.5" customHeight="1" x14ac:dyDescent="0.25">
      <c r="D404" s="4"/>
      <c r="E404" s="4"/>
      <c r="F404" s="4"/>
      <c r="J404" s="67" t="s">
        <v>69</v>
      </c>
      <c r="K404" s="22"/>
      <c r="L404" s="22"/>
      <c r="M404" s="95"/>
      <c r="N404" s="95"/>
      <c r="O404" s="4"/>
      <c r="P404" s="4"/>
      <c r="Q404" s="4"/>
      <c r="U404" s="67" t="s">
        <v>69</v>
      </c>
      <c r="V404" s="22"/>
      <c r="W404" s="22"/>
    </row>
    <row r="405" spans="4:23" ht="13.5" customHeight="1" x14ac:dyDescent="0.25">
      <c r="D405" s="4"/>
      <c r="E405" s="4"/>
      <c r="F405" s="4"/>
      <c r="J405" s="67" t="s">
        <v>69</v>
      </c>
      <c r="K405" s="22"/>
      <c r="L405" s="22"/>
      <c r="M405" s="95"/>
      <c r="N405" s="95"/>
      <c r="O405" s="4"/>
      <c r="P405" s="4"/>
      <c r="Q405" s="4"/>
      <c r="U405" s="67" t="s">
        <v>69</v>
      </c>
      <c r="V405" s="22"/>
      <c r="W405" s="22"/>
    </row>
    <row r="406" spans="4:23" ht="13.5" customHeight="1" x14ac:dyDescent="0.25">
      <c r="D406" s="4"/>
      <c r="E406" s="4"/>
      <c r="F406" s="4"/>
      <c r="J406" s="67" t="s">
        <v>69</v>
      </c>
      <c r="K406" s="22"/>
      <c r="L406" s="22"/>
      <c r="M406" s="95"/>
      <c r="N406" s="95"/>
      <c r="O406" s="4"/>
      <c r="P406" s="4"/>
      <c r="Q406" s="4"/>
      <c r="U406" s="67" t="s">
        <v>69</v>
      </c>
      <c r="V406" s="22"/>
      <c r="W406" s="22"/>
    </row>
    <row r="407" spans="4:23" ht="13.5" customHeight="1" x14ac:dyDescent="0.25">
      <c r="D407" s="4"/>
      <c r="E407" s="4"/>
      <c r="F407" s="4"/>
      <c r="J407" s="67" t="s">
        <v>69</v>
      </c>
      <c r="K407" s="22"/>
      <c r="L407" s="22"/>
      <c r="M407" s="95"/>
      <c r="N407" s="95"/>
      <c r="O407" s="4"/>
      <c r="P407" s="4"/>
      <c r="Q407" s="4"/>
      <c r="U407" s="67" t="s">
        <v>69</v>
      </c>
      <c r="V407" s="22"/>
      <c r="W407" s="22"/>
    </row>
    <row r="408" spans="4:23" ht="13.5" customHeight="1" x14ac:dyDescent="0.25">
      <c r="D408" s="4"/>
      <c r="E408" s="4"/>
      <c r="F408" s="4"/>
      <c r="J408" s="67" t="s">
        <v>69</v>
      </c>
      <c r="K408" s="22"/>
      <c r="L408" s="22"/>
      <c r="M408" s="95"/>
      <c r="N408" s="95"/>
      <c r="O408" s="4"/>
      <c r="P408" s="4"/>
      <c r="Q408" s="4"/>
      <c r="U408" s="67" t="s">
        <v>69</v>
      </c>
      <c r="V408" s="22"/>
      <c r="W408" s="22"/>
    </row>
    <row r="409" spans="4:23" ht="13.5" customHeight="1" x14ac:dyDescent="0.25">
      <c r="D409" s="4"/>
      <c r="E409" s="4"/>
      <c r="F409" s="4"/>
      <c r="J409" s="67" t="s">
        <v>69</v>
      </c>
      <c r="K409" s="22"/>
      <c r="L409" s="22"/>
      <c r="M409" s="95"/>
      <c r="N409" s="95"/>
      <c r="O409" s="4"/>
      <c r="P409" s="4"/>
      <c r="Q409" s="4"/>
      <c r="U409" s="67" t="s">
        <v>69</v>
      </c>
      <c r="V409" s="22"/>
      <c r="W409" s="22"/>
    </row>
    <row r="410" spans="4:23" ht="13.5" customHeight="1" x14ac:dyDescent="0.25">
      <c r="D410" s="4"/>
      <c r="E410" s="4"/>
      <c r="F410" s="4"/>
      <c r="J410" s="67" t="s">
        <v>69</v>
      </c>
      <c r="K410" s="22"/>
      <c r="L410" s="22"/>
      <c r="M410" s="95"/>
      <c r="N410" s="95"/>
      <c r="O410" s="4"/>
      <c r="P410" s="4"/>
      <c r="Q410" s="4"/>
      <c r="U410" s="67" t="s">
        <v>69</v>
      </c>
      <c r="V410" s="22"/>
      <c r="W410" s="22"/>
    </row>
    <row r="411" spans="4:23" ht="13.5" customHeight="1" x14ac:dyDescent="0.25">
      <c r="D411" s="4"/>
      <c r="E411" s="4"/>
      <c r="F411" s="4"/>
      <c r="J411" s="67" t="s">
        <v>69</v>
      </c>
      <c r="K411" s="22"/>
      <c r="L411" s="22"/>
      <c r="M411" s="95"/>
      <c r="N411" s="95"/>
      <c r="O411" s="4"/>
      <c r="P411" s="4"/>
      <c r="Q411" s="4"/>
      <c r="U411" s="67" t="s">
        <v>69</v>
      </c>
      <c r="V411" s="22"/>
      <c r="W411" s="22"/>
    </row>
    <row r="412" spans="4:23" ht="13.5" customHeight="1" x14ac:dyDescent="0.25">
      <c r="D412" s="4"/>
      <c r="E412" s="4"/>
      <c r="F412" s="4"/>
      <c r="J412" s="67" t="s">
        <v>69</v>
      </c>
      <c r="K412" s="22"/>
      <c r="L412" s="22"/>
      <c r="M412" s="95"/>
      <c r="N412" s="95"/>
      <c r="O412" s="4"/>
      <c r="P412" s="4"/>
      <c r="Q412" s="4"/>
      <c r="U412" s="67" t="s">
        <v>69</v>
      </c>
      <c r="V412" s="22"/>
      <c r="W412" s="22"/>
    </row>
    <row r="413" spans="4:23" ht="13.5" customHeight="1" x14ac:dyDescent="0.25">
      <c r="D413" s="4"/>
      <c r="E413" s="4"/>
      <c r="F413" s="4"/>
      <c r="J413" s="67" t="s">
        <v>69</v>
      </c>
      <c r="K413" s="22"/>
      <c r="L413" s="22"/>
      <c r="M413" s="95"/>
      <c r="N413" s="95"/>
      <c r="O413" s="4"/>
      <c r="P413" s="4"/>
      <c r="Q413" s="4"/>
      <c r="U413" s="67" t="s">
        <v>69</v>
      </c>
      <c r="V413" s="22"/>
      <c r="W413" s="22"/>
    </row>
    <row r="414" spans="4:23" ht="13.5" customHeight="1" x14ac:dyDescent="0.25">
      <c r="D414" s="4"/>
      <c r="E414" s="4"/>
      <c r="F414" s="4"/>
      <c r="J414" s="67" t="s">
        <v>69</v>
      </c>
      <c r="K414" s="22"/>
      <c r="L414" s="22"/>
      <c r="M414" s="95"/>
      <c r="N414" s="95"/>
      <c r="O414" s="4"/>
      <c r="P414" s="4"/>
      <c r="Q414" s="4"/>
      <c r="U414" s="67" t="s">
        <v>69</v>
      </c>
      <c r="V414" s="22"/>
      <c r="W414" s="22"/>
    </row>
    <row r="415" spans="4:23" ht="13.5" customHeight="1" x14ac:dyDescent="0.25">
      <c r="D415" s="4"/>
      <c r="E415" s="4"/>
      <c r="F415" s="4"/>
      <c r="J415" s="67" t="s">
        <v>69</v>
      </c>
      <c r="K415" s="22"/>
      <c r="L415" s="22"/>
      <c r="M415" s="95"/>
      <c r="N415" s="95"/>
      <c r="O415" s="4"/>
      <c r="P415" s="4"/>
      <c r="Q415" s="4"/>
      <c r="U415" s="67" t="s">
        <v>69</v>
      </c>
      <c r="V415" s="22"/>
      <c r="W415" s="22"/>
    </row>
    <row r="416" spans="4:23" ht="13.5" customHeight="1" x14ac:dyDescent="0.25">
      <c r="D416" s="4"/>
      <c r="E416" s="4"/>
      <c r="F416" s="4"/>
      <c r="J416" s="67" t="s">
        <v>69</v>
      </c>
      <c r="K416" s="22"/>
      <c r="L416" s="22"/>
      <c r="M416" s="95"/>
      <c r="N416" s="95"/>
      <c r="O416" s="4"/>
      <c r="P416" s="4"/>
      <c r="Q416" s="4"/>
      <c r="U416" s="67" t="s">
        <v>69</v>
      </c>
      <c r="V416" s="22"/>
      <c r="W416" s="22"/>
    </row>
    <row r="417" spans="4:23" ht="13.5" customHeight="1" x14ac:dyDescent="0.25">
      <c r="D417" s="4"/>
      <c r="E417" s="4"/>
      <c r="F417" s="4"/>
      <c r="J417" s="67" t="s">
        <v>69</v>
      </c>
      <c r="K417" s="22"/>
      <c r="L417" s="22"/>
      <c r="M417" s="95"/>
      <c r="N417" s="95"/>
      <c r="O417" s="4"/>
      <c r="P417" s="4"/>
      <c r="Q417" s="4"/>
      <c r="U417" s="67" t="s">
        <v>69</v>
      </c>
      <c r="V417" s="22"/>
      <c r="W417" s="22"/>
    </row>
    <row r="418" spans="4:23" ht="13.5" customHeight="1" x14ac:dyDescent="0.25">
      <c r="D418" s="4"/>
      <c r="E418" s="4"/>
      <c r="F418" s="4"/>
      <c r="J418" s="67" t="s">
        <v>69</v>
      </c>
      <c r="K418" s="22"/>
      <c r="L418" s="22"/>
      <c r="M418" s="95"/>
      <c r="N418" s="95"/>
      <c r="O418" s="4"/>
      <c r="P418" s="4"/>
      <c r="Q418" s="4"/>
      <c r="U418" s="67" t="s">
        <v>69</v>
      </c>
      <c r="V418" s="22"/>
      <c r="W418" s="22"/>
    </row>
    <row r="419" spans="4:23" ht="13.5" customHeight="1" x14ac:dyDescent="0.25">
      <c r="D419" s="4"/>
      <c r="E419" s="4"/>
      <c r="F419" s="4"/>
      <c r="J419" s="67" t="s">
        <v>69</v>
      </c>
      <c r="K419" s="22"/>
      <c r="L419" s="22"/>
      <c r="M419" s="95"/>
      <c r="N419" s="95"/>
      <c r="O419" s="4"/>
      <c r="P419" s="4"/>
      <c r="Q419" s="4"/>
      <c r="U419" s="67" t="s">
        <v>69</v>
      </c>
      <c r="V419" s="22"/>
      <c r="W419" s="22"/>
    </row>
    <row r="420" spans="4:23" ht="13.5" customHeight="1" x14ac:dyDescent="0.25">
      <c r="D420" s="4"/>
      <c r="E420" s="4"/>
      <c r="F420" s="4"/>
      <c r="J420" s="67" t="s">
        <v>69</v>
      </c>
      <c r="K420" s="22"/>
      <c r="L420" s="22"/>
      <c r="M420" s="95"/>
      <c r="N420" s="95"/>
      <c r="O420" s="4"/>
      <c r="P420" s="4"/>
      <c r="Q420" s="4"/>
      <c r="U420" s="67" t="s">
        <v>69</v>
      </c>
      <c r="V420" s="22"/>
      <c r="W420" s="22"/>
    </row>
    <row r="421" spans="4:23" ht="13.5" customHeight="1" x14ac:dyDescent="0.25">
      <c r="D421" s="4"/>
      <c r="E421" s="4"/>
      <c r="F421" s="4"/>
      <c r="J421" s="67" t="s">
        <v>69</v>
      </c>
      <c r="K421" s="22"/>
      <c r="L421" s="22"/>
      <c r="M421" s="95"/>
      <c r="N421" s="95"/>
      <c r="O421" s="4"/>
      <c r="P421" s="4"/>
      <c r="Q421" s="4"/>
      <c r="U421" s="67" t="s">
        <v>69</v>
      </c>
      <c r="V421" s="22"/>
      <c r="W421" s="22"/>
    </row>
    <row r="422" spans="4:23" ht="13.5" customHeight="1" x14ac:dyDescent="0.25">
      <c r="D422" s="4"/>
      <c r="E422" s="4"/>
      <c r="F422" s="4"/>
      <c r="J422" s="67" t="s">
        <v>69</v>
      </c>
      <c r="K422" s="22"/>
      <c r="L422" s="22"/>
      <c r="M422" s="95"/>
      <c r="N422" s="95"/>
      <c r="O422" s="4"/>
      <c r="P422" s="4"/>
      <c r="Q422" s="4"/>
      <c r="U422" s="67" t="s">
        <v>69</v>
      </c>
      <c r="V422" s="22"/>
      <c r="W422" s="22"/>
    </row>
    <row r="423" spans="4:23" ht="13.5" customHeight="1" x14ac:dyDescent="0.25">
      <c r="D423" s="4"/>
      <c r="E423" s="4"/>
      <c r="F423" s="4"/>
      <c r="J423" s="67" t="s">
        <v>69</v>
      </c>
      <c r="K423" s="22"/>
      <c r="L423" s="22"/>
      <c r="M423" s="95"/>
      <c r="N423" s="95"/>
      <c r="O423" s="4"/>
      <c r="P423" s="4"/>
      <c r="Q423" s="4"/>
      <c r="U423" s="67" t="s">
        <v>69</v>
      </c>
      <c r="V423" s="22"/>
      <c r="W423" s="22"/>
    </row>
    <row r="424" spans="4:23" ht="13.5" customHeight="1" x14ac:dyDescent="0.25">
      <c r="D424" s="4"/>
      <c r="E424" s="4"/>
      <c r="F424" s="4"/>
      <c r="J424" s="67" t="s">
        <v>69</v>
      </c>
      <c r="K424" s="22"/>
      <c r="L424" s="22"/>
      <c r="M424" s="95"/>
      <c r="N424" s="95"/>
      <c r="O424" s="4"/>
      <c r="P424" s="4"/>
      <c r="Q424" s="4"/>
      <c r="U424" s="67" t="s">
        <v>69</v>
      </c>
      <c r="V424" s="22"/>
      <c r="W424" s="22"/>
    </row>
    <row r="425" spans="4:23" ht="13.5" customHeight="1" x14ac:dyDescent="0.25">
      <c r="D425" s="4"/>
      <c r="E425" s="4"/>
      <c r="F425" s="4"/>
      <c r="J425" s="67" t="s">
        <v>69</v>
      </c>
      <c r="K425" s="22"/>
      <c r="L425" s="22"/>
      <c r="M425" s="95"/>
      <c r="N425" s="95"/>
      <c r="O425" s="4"/>
      <c r="P425" s="4"/>
      <c r="Q425" s="4"/>
      <c r="U425" s="67" t="s">
        <v>69</v>
      </c>
      <c r="V425" s="22"/>
      <c r="W425" s="22"/>
    </row>
    <row r="426" spans="4:23" ht="13.5" customHeight="1" x14ac:dyDescent="0.25">
      <c r="D426" s="4"/>
      <c r="E426" s="4"/>
      <c r="F426" s="4"/>
      <c r="J426" s="67" t="s">
        <v>69</v>
      </c>
      <c r="K426" s="22"/>
      <c r="L426" s="22"/>
      <c r="M426" s="95"/>
      <c r="N426" s="95"/>
      <c r="O426" s="4"/>
      <c r="P426" s="4"/>
      <c r="Q426" s="4"/>
      <c r="U426" s="67" t="s">
        <v>69</v>
      </c>
      <c r="V426" s="22"/>
      <c r="W426" s="22"/>
    </row>
    <row r="427" spans="4:23" ht="13.5" customHeight="1" x14ac:dyDescent="0.25">
      <c r="D427" s="4"/>
      <c r="E427" s="4"/>
      <c r="F427" s="4"/>
      <c r="J427" s="67" t="s">
        <v>69</v>
      </c>
      <c r="K427" s="22"/>
      <c r="L427" s="22"/>
      <c r="M427" s="95"/>
      <c r="N427" s="95"/>
      <c r="O427" s="4"/>
      <c r="P427" s="4"/>
      <c r="Q427" s="4"/>
      <c r="U427" s="67" t="s">
        <v>69</v>
      </c>
      <c r="V427" s="22"/>
      <c r="W427" s="22"/>
    </row>
    <row r="428" spans="4:23" ht="13.5" customHeight="1" x14ac:dyDescent="0.25">
      <c r="D428" s="4"/>
      <c r="E428" s="4"/>
      <c r="F428" s="4"/>
      <c r="J428" s="67" t="s">
        <v>69</v>
      </c>
      <c r="K428" s="22"/>
      <c r="L428" s="22"/>
      <c r="M428" s="95"/>
      <c r="N428" s="95"/>
      <c r="O428" s="4"/>
      <c r="P428" s="4"/>
      <c r="Q428" s="4"/>
      <c r="U428" s="67" t="s">
        <v>69</v>
      </c>
      <c r="V428" s="22"/>
      <c r="W428" s="22"/>
    </row>
    <row r="429" spans="4:23" ht="13.5" customHeight="1" x14ac:dyDescent="0.25">
      <c r="D429" s="4"/>
      <c r="E429" s="4"/>
      <c r="F429" s="4"/>
      <c r="J429" s="67" t="s">
        <v>69</v>
      </c>
      <c r="K429" s="22"/>
      <c r="L429" s="22"/>
      <c r="M429" s="95"/>
      <c r="N429" s="95"/>
      <c r="O429" s="4"/>
      <c r="P429" s="4"/>
      <c r="Q429" s="4"/>
      <c r="U429" s="67" t="s">
        <v>69</v>
      </c>
      <c r="V429" s="22"/>
      <c r="W429" s="22"/>
    </row>
    <row r="430" spans="4:23" ht="13.5" customHeight="1" x14ac:dyDescent="0.25">
      <c r="D430" s="4"/>
      <c r="E430" s="4"/>
      <c r="F430" s="4"/>
      <c r="J430" s="67" t="s">
        <v>69</v>
      </c>
      <c r="K430" s="22"/>
      <c r="L430" s="22"/>
      <c r="M430" s="95"/>
      <c r="N430" s="95"/>
      <c r="O430" s="4"/>
      <c r="P430" s="4"/>
      <c r="Q430" s="4"/>
      <c r="U430" s="67" t="s">
        <v>69</v>
      </c>
      <c r="V430" s="22"/>
      <c r="W430" s="22"/>
    </row>
    <row r="431" spans="4:23" ht="13.5" customHeight="1" x14ac:dyDescent="0.25">
      <c r="D431" s="4"/>
      <c r="E431" s="4"/>
      <c r="F431" s="4"/>
      <c r="J431" s="67" t="s">
        <v>69</v>
      </c>
      <c r="K431" s="22"/>
      <c r="L431" s="22"/>
      <c r="M431" s="95"/>
      <c r="N431" s="95"/>
      <c r="O431" s="4"/>
      <c r="P431" s="4"/>
      <c r="Q431" s="4"/>
      <c r="U431" s="67" t="s">
        <v>69</v>
      </c>
      <c r="V431" s="22"/>
      <c r="W431" s="22"/>
    </row>
    <row r="432" spans="4:23" ht="13.5" customHeight="1" x14ac:dyDescent="0.25">
      <c r="D432" s="4"/>
      <c r="E432" s="4"/>
      <c r="F432" s="4"/>
      <c r="J432" s="67" t="s">
        <v>69</v>
      </c>
      <c r="K432" s="22"/>
      <c r="L432" s="22"/>
      <c r="M432" s="95"/>
      <c r="N432" s="95"/>
      <c r="O432" s="4"/>
      <c r="P432" s="4"/>
      <c r="Q432" s="4"/>
      <c r="U432" s="67" t="s">
        <v>69</v>
      </c>
      <c r="V432" s="22"/>
      <c r="W432" s="22"/>
    </row>
    <row r="433" spans="4:23" ht="13.5" customHeight="1" x14ac:dyDescent="0.25">
      <c r="D433" s="4"/>
      <c r="E433" s="4"/>
      <c r="F433" s="4"/>
      <c r="K433" s="22"/>
      <c r="L433" s="22"/>
      <c r="M433" s="95"/>
      <c r="N433" s="95"/>
      <c r="O433" s="4"/>
      <c r="P433" s="4"/>
      <c r="Q433" s="4"/>
      <c r="V433" s="22"/>
      <c r="W433" s="22"/>
    </row>
    <row r="434" spans="4:23" ht="13.5" customHeight="1" x14ac:dyDescent="0.25">
      <c r="D434" s="4"/>
      <c r="E434" s="4"/>
      <c r="F434" s="4"/>
      <c r="K434" s="22"/>
      <c r="L434" s="22"/>
      <c r="M434" s="95"/>
      <c r="N434" s="95"/>
      <c r="O434" s="4"/>
      <c r="P434" s="4"/>
      <c r="Q434" s="4"/>
      <c r="V434" s="22"/>
      <c r="W434" s="22"/>
    </row>
    <row r="435" spans="4:23" ht="13.5" customHeight="1" x14ac:dyDescent="0.25">
      <c r="D435" s="4"/>
      <c r="E435" s="4"/>
      <c r="F435" s="4"/>
      <c r="K435" s="22"/>
      <c r="L435" s="22"/>
      <c r="M435" s="95"/>
      <c r="N435" s="95"/>
      <c r="O435" s="4"/>
      <c r="P435" s="4"/>
      <c r="Q435" s="4"/>
      <c r="V435" s="22"/>
      <c r="W435" s="22"/>
    </row>
    <row r="436" spans="4:23" ht="13.5" customHeight="1" x14ac:dyDescent="0.25">
      <c r="D436" s="4"/>
      <c r="E436" s="4"/>
      <c r="F436" s="4"/>
      <c r="K436" s="22"/>
      <c r="L436" s="22"/>
      <c r="M436" s="95"/>
      <c r="N436" s="95"/>
      <c r="O436" s="4"/>
      <c r="P436" s="4"/>
      <c r="Q436" s="4"/>
      <c r="V436" s="22"/>
      <c r="W436" s="22"/>
    </row>
    <row r="437" spans="4:23" ht="13.5" customHeight="1" x14ac:dyDescent="0.25">
      <c r="D437" s="4"/>
      <c r="E437" s="4"/>
      <c r="F437" s="4"/>
      <c r="K437" s="22"/>
      <c r="L437" s="22"/>
      <c r="M437" s="95"/>
      <c r="N437" s="95"/>
      <c r="O437" s="4"/>
      <c r="P437" s="4"/>
      <c r="Q437" s="4"/>
      <c r="V437" s="22"/>
      <c r="W437" s="22"/>
    </row>
    <row r="438" spans="4:23" ht="13.5" customHeight="1" x14ac:dyDescent="0.25">
      <c r="D438" s="4"/>
      <c r="E438" s="4"/>
      <c r="F438" s="4"/>
      <c r="K438" s="22"/>
      <c r="L438" s="22"/>
      <c r="M438" s="95"/>
      <c r="N438" s="95"/>
      <c r="O438" s="4"/>
      <c r="P438" s="4"/>
      <c r="Q438" s="4"/>
      <c r="V438" s="22"/>
      <c r="W438" s="22"/>
    </row>
    <row r="439" spans="4:23" ht="13.5" customHeight="1" x14ac:dyDescent="0.25">
      <c r="D439" s="4"/>
      <c r="E439" s="4"/>
      <c r="F439" s="4"/>
      <c r="K439" s="22"/>
      <c r="L439" s="22"/>
      <c r="M439" s="95"/>
      <c r="N439" s="95"/>
      <c r="O439" s="4"/>
      <c r="P439" s="4"/>
      <c r="Q439" s="4"/>
      <c r="V439" s="22"/>
      <c r="W439" s="22"/>
    </row>
    <row r="440" spans="4:23" ht="13.5" customHeight="1" x14ac:dyDescent="0.25">
      <c r="D440" s="4"/>
      <c r="E440" s="4"/>
      <c r="F440" s="4"/>
      <c r="K440" s="22"/>
      <c r="L440" s="22"/>
      <c r="M440" s="95"/>
      <c r="N440" s="95"/>
      <c r="O440" s="4"/>
      <c r="P440" s="4"/>
      <c r="Q440" s="4"/>
      <c r="V440" s="22"/>
      <c r="W440" s="22"/>
    </row>
    <row r="441" spans="4:23" ht="13.5" customHeight="1" x14ac:dyDescent="0.25">
      <c r="D441" s="4"/>
      <c r="E441" s="4"/>
      <c r="F441" s="4"/>
      <c r="K441" s="22"/>
      <c r="L441" s="22"/>
      <c r="M441" s="95"/>
      <c r="N441" s="95"/>
      <c r="O441" s="4"/>
      <c r="P441" s="4"/>
      <c r="Q441" s="4"/>
      <c r="V441" s="22"/>
      <c r="W441" s="22"/>
    </row>
    <row r="442" spans="4:23" ht="13.5" customHeight="1" x14ac:dyDescent="0.25">
      <c r="K442" s="22"/>
      <c r="L442" s="22"/>
      <c r="M442" s="95"/>
      <c r="N442" s="95"/>
      <c r="V442" s="22"/>
      <c r="W442" s="22"/>
    </row>
    <row r="443" spans="4:23" ht="13.5" customHeight="1" x14ac:dyDescent="0.25">
      <c r="K443" s="22"/>
      <c r="L443" s="22"/>
      <c r="M443" s="95"/>
      <c r="N443" s="95"/>
      <c r="V443" s="22"/>
      <c r="W443" s="22"/>
    </row>
    <row r="444" spans="4:23" ht="13.5" customHeight="1" x14ac:dyDescent="0.25">
      <c r="K444" s="22"/>
      <c r="L444" s="22"/>
      <c r="M444" s="95"/>
      <c r="N444" s="95"/>
      <c r="V444" s="22"/>
      <c r="W444" s="22"/>
    </row>
    <row r="445" spans="4:23" ht="13.5" customHeight="1" x14ac:dyDescent="0.25">
      <c r="K445" s="22"/>
      <c r="L445" s="22"/>
      <c r="M445" s="95"/>
      <c r="N445" s="95"/>
      <c r="V445" s="22"/>
      <c r="W445" s="22"/>
    </row>
    <row r="446" spans="4:23" ht="13.5" customHeight="1" x14ac:dyDescent="0.25">
      <c r="K446" s="22"/>
      <c r="L446" s="22"/>
      <c r="M446" s="95"/>
      <c r="N446" s="95"/>
      <c r="V446" s="22"/>
      <c r="W446" s="22"/>
    </row>
    <row r="447" spans="4:23" ht="13.5" customHeight="1" x14ac:dyDescent="0.25">
      <c r="K447" s="22"/>
      <c r="L447" s="22"/>
      <c r="M447" s="95"/>
      <c r="N447" s="95"/>
      <c r="V447" s="22"/>
      <c r="W447" s="22"/>
    </row>
    <row r="448" spans="4:23" ht="13.5" customHeight="1" x14ac:dyDescent="0.25">
      <c r="K448" s="22"/>
      <c r="L448" s="22"/>
      <c r="M448" s="95"/>
      <c r="N448" s="95"/>
      <c r="V448" s="22"/>
      <c r="W448" s="22"/>
    </row>
    <row r="449" spans="11:23" ht="13.5" customHeight="1" x14ac:dyDescent="0.25">
      <c r="K449" s="22"/>
      <c r="L449" s="22"/>
      <c r="M449" s="95"/>
      <c r="N449" s="95"/>
      <c r="V449" s="22"/>
      <c r="W449" s="22"/>
    </row>
    <row r="450" spans="11:23" ht="13.5" customHeight="1" x14ac:dyDescent="0.25">
      <c r="K450" s="22"/>
      <c r="L450" s="22"/>
      <c r="M450" s="95"/>
      <c r="N450" s="95"/>
      <c r="V450" s="22"/>
      <c r="W450" s="22"/>
    </row>
    <row r="451" spans="11:23" ht="13.5" customHeight="1" x14ac:dyDescent="0.25">
      <c r="K451" s="22"/>
      <c r="L451" s="22"/>
      <c r="M451" s="95"/>
      <c r="N451" s="95"/>
      <c r="V451" s="22"/>
      <c r="W451" s="22"/>
    </row>
    <row r="452" spans="11:23" ht="13.5" customHeight="1" x14ac:dyDescent="0.25">
      <c r="K452" s="22"/>
      <c r="L452" s="22"/>
      <c r="M452" s="95"/>
      <c r="N452" s="95"/>
      <c r="V452" s="22"/>
      <c r="W452" s="22"/>
    </row>
    <row r="453" spans="11:23" ht="13.5" customHeight="1" x14ac:dyDescent="0.25">
      <c r="K453" s="22"/>
      <c r="L453" s="22"/>
      <c r="M453" s="95"/>
      <c r="N453" s="95"/>
      <c r="V453" s="22"/>
      <c r="W453" s="22"/>
    </row>
    <row r="454" spans="11:23" ht="13.5" customHeight="1" x14ac:dyDescent="0.25">
      <c r="K454" s="22"/>
      <c r="L454" s="22"/>
      <c r="M454" s="95"/>
      <c r="N454" s="95"/>
      <c r="V454" s="22"/>
      <c r="W454" s="22"/>
    </row>
    <row r="455" spans="11:23" ht="13.5" customHeight="1" x14ac:dyDescent="0.25">
      <c r="K455" s="22"/>
      <c r="L455" s="22"/>
      <c r="M455" s="95"/>
      <c r="N455" s="95"/>
      <c r="V455" s="22"/>
      <c r="W455" s="22"/>
    </row>
    <row r="456" spans="11:23" ht="13.5" customHeight="1" x14ac:dyDescent="0.25">
      <c r="K456" s="22"/>
      <c r="L456" s="22"/>
      <c r="M456" s="95"/>
      <c r="N456" s="95"/>
      <c r="V456" s="22"/>
      <c r="W456" s="22"/>
    </row>
    <row r="457" spans="11:23" ht="13.5" customHeight="1" x14ac:dyDescent="0.25">
      <c r="K457" s="22"/>
      <c r="L457" s="22"/>
      <c r="M457" s="95"/>
      <c r="N457" s="95"/>
      <c r="V457" s="22"/>
      <c r="W457" s="22"/>
    </row>
    <row r="458" spans="11:23" ht="13.5" customHeight="1" x14ac:dyDescent="0.25">
      <c r="K458" s="22"/>
      <c r="L458" s="22"/>
      <c r="M458" s="95"/>
      <c r="N458" s="95"/>
      <c r="V458" s="22"/>
      <c r="W458" s="22"/>
    </row>
    <row r="459" spans="11:23" ht="13.5" customHeight="1" x14ac:dyDescent="0.25">
      <c r="K459" s="22"/>
      <c r="L459" s="22"/>
      <c r="M459" s="95"/>
      <c r="N459" s="95"/>
      <c r="V459" s="22"/>
      <c r="W459" s="22"/>
    </row>
    <row r="460" spans="11:23" ht="13.5" customHeight="1" x14ac:dyDescent="0.25">
      <c r="K460" s="22"/>
      <c r="L460" s="22"/>
      <c r="M460" s="95"/>
      <c r="N460" s="95"/>
      <c r="V460" s="22"/>
      <c r="W460" s="22"/>
    </row>
    <row r="461" spans="11:23" ht="13.5" customHeight="1" x14ac:dyDescent="0.25">
      <c r="K461" s="22"/>
      <c r="L461" s="22"/>
      <c r="M461" s="95"/>
      <c r="N461" s="95"/>
      <c r="V461" s="22"/>
      <c r="W461" s="22"/>
    </row>
    <row r="462" spans="11:23" ht="13.5" customHeight="1" x14ac:dyDescent="0.25">
      <c r="K462" s="22"/>
      <c r="L462" s="22"/>
      <c r="M462" s="95"/>
      <c r="N462" s="95"/>
      <c r="V462" s="22"/>
      <c r="W462" s="22"/>
    </row>
    <row r="463" spans="11:23" ht="13.5" customHeight="1" x14ac:dyDescent="0.25">
      <c r="K463" s="22"/>
      <c r="L463" s="22"/>
      <c r="M463" s="95"/>
      <c r="N463" s="95"/>
      <c r="V463" s="22"/>
      <c r="W463" s="22"/>
    </row>
    <row r="464" spans="11:23" ht="13.5" customHeight="1" x14ac:dyDescent="0.25">
      <c r="K464" s="22"/>
      <c r="L464" s="22"/>
      <c r="M464" s="95"/>
      <c r="N464" s="95"/>
      <c r="V464" s="22"/>
      <c r="W464" s="22"/>
    </row>
    <row r="465" spans="11:23" ht="13.5" customHeight="1" x14ac:dyDescent="0.25">
      <c r="K465" s="22"/>
      <c r="L465" s="22"/>
      <c r="M465" s="95"/>
      <c r="N465" s="95"/>
      <c r="V465" s="22"/>
      <c r="W465" s="22"/>
    </row>
    <row r="466" spans="11:23" ht="13.5" customHeight="1" x14ac:dyDescent="0.25">
      <c r="K466" s="22"/>
      <c r="L466" s="22"/>
      <c r="M466" s="95"/>
      <c r="N466" s="95"/>
      <c r="V466" s="22"/>
      <c r="W466" s="22"/>
    </row>
    <row r="467" spans="11:23" ht="13.5" customHeight="1" x14ac:dyDescent="0.25">
      <c r="K467" s="22"/>
      <c r="L467" s="22"/>
      <c r="M467" s="95"/>
      <c r="N467" s="95"/>
      <c r="V467" s="22"/>
      <c r="W467" s="22"/>
    </row>
    <row r="468" spans="11:23" ht="13.5" customHeight="1" x14ac:dyDescent="0.25">
      <c r="K468" s="22"/>
      <c r="L468" s="22"/>
      <c r="M468" s="95"/>
      <c r="N468" s="95"/>
      <c r="V468" s="22"/>
      <c r="W468" s="22"/>
    </row>
    <row r="469" spans="11:23" ht="13.5" customHeight="1" x14ac:dyDescent="0.25">
      <c r="K469" s="22"/>
      <c r="L469" s="22"/>
      <c r="M469" s="95"/>
      <c r="N469" s="95"/>
      <c r="V469" s="22"/>
      <c r="W469" s="22"/>
    </row>
    <row r="470" spans="11:23" ht="13.5" customHeight="1" x14ac:dyDescent="0.25">
      <c r="K470" s="22"/>
      <c r="L470" s="22"/>
      <c r="M470" s="95"/>
      <c r="N470" s="95"/>
      <c r="V470" s="22"/>
      <c r="W470" s="22"/>
    </row>
    <row r="471" spans="11:23" ht="13.5" customHeight="1" x14ac:dyDescent="0.25">
      <c r="K471" s="22"/>
      <c r="L471" s="22"/>
      <c r="M471" s="95"/>
      <c r="N471" s="95"/>
      <c r="V471" s="22"/>
      <c r="W471" s="22"/>
    </row>
    <row r="472" spans="11:23" ht="13.5" customHeight="1" x14ac:dyDescent="0.25">
      <c r="K472" s="22"/>
      <c r="L472" s="22"/>
      <c r="M472" s="95"/>
      <c r="N472" s="95"/>
      <c r="V472" s="22"/>
      <c r="W472" s="22"/>
    </row>
    <row r="473" spans="11:23" ht="13.5" customHeight="1" x14ac:dyDescent="0.25">
      <c r="K473" s="22"/>
      <c r="L473" s="22"/>
      <c r="M473" s="95"/>
      <c r="N473" s="95"/>
      <c r="V473" s="22"/>
      <c r="W473" s="22"/>
    </row>
    <row r="474" spans="11:23" ht="13.5" customHeight="1" x14ac:dyDescent="0.25">
      <c r="K474" s="22"/>
      <c r="L474" s="22"/>
      <c r="M474" s="95"/>
      <c r="N474" s="95"/>
      <c r="V474" s="22"/>
      <c r="W474" s="22"/>
    </row>
    <row r="475" spans="11:23" ht="13.5" customHeight="1" x14ac:dyDescent="0.25">
      <c r="K475" s="22"/>
      <c r="L475" s="22"/>
      <c r="M475" s="95"/>
      <c r="N475" s="95"/>
      <c r="V475" s="22"/>
      <c r="W475" s="22"/>
    </row>
    <row r="476" spans="11:23" ht="13.5" customHeight="1" x14ac:dyDescent="0.25">
      <c r="K476" s="22"/>
      <c r="L476" s="22"/>
      <c r="M476" s="95"/>
      <c r="N476" s="95"/>
      <c r="V476" s="22"/>
      <c r="W476" s="22"/>
    </row>
    <row r="477" spans="11:23" ht="13.5" customHeight="1" x14ac:dyDescent="0.25">
      <c r="K477" s="22"/>
      <c r="L477" s="22"/>
      <c r="M477" s="95"/>
      <c r="N477" s="95"/>
      <c r="V477" s="22"/>
      <c r="W477" s="22"/>
    </row>
    <row r="478" spans="11:23" ht="13.5" customHeight="1" x14ac:dyDescent="0.25">
      <c r="K478" s="22"/>
      <c r="L478" s="22"/>
      <c r="M478" s="95"/>
      <c r="N478" s="95"/>
      <c r="V478" s="22"/>
      <c r="W478" s="22"/>
    </row>
    <row r="479" spans="11:23" ht="13.5" customHeight="1" x14ac:dyDescent="0.25">
      <c r="K479" s="22"/>
      <c r="L479" s="22"/>
      <c r="M479" s="95"/>
      <c r="N479" s="95"/>
      <c r="V479" s="22"/>
      <c r="W479" s="22"/>
    </row>
    <row r="480" spans="11:23" ht="13.5" customHeight="1" x14ac:dyDescent="0.25">
      <c r="K480" s="22"/>
      <c r="L480" s="22"/>
      <c r="M480" s="95"/>
      <c r="N480" s="95"/>
      <c r="V480" s="22"/>
      <c r="W480" s="22"/>
    </row>
    <row r="481" spans="11:23" ht="13.5" customHeight="1" x14ac:dyDescent="0.25">
      <c r="K481" s="22"/>
      <c r="L481" s="22"/>
      <c r="M481" s="95"/>
      <c r="N481" s="95"/>
      <c r="V481" s="22"/>
      <c r="W481" s="22"/>
    </row>
    <row r="482" spans="11:23" ht="13.5" customHeight="1" x14ac:dyDescent="0.25">
      <c r="K482" s="22"/>
      <c r="L482" s="22"/>
      <c r="M482" s="95"/>
      <c r="N482" s="95"/>
      <c r="V482" s="22"/>
      <c r="W482" s="22"/>
    </row>
    <row r="483" spans="11:23" ht="13.5" customHeight="1" x14ac:dyDescent="0.25">
      <c r="K483" s="22"/>
      <c r="L483" s="22"/>
      <c r="M483" s="95"/>
      <c r="N483" s="95"/>
      <c r="V483" s="22"/>
      <c r="W483" s="22"/>
    </row>
    <row r="484" spans="11:23" ht="13.5" customHeight="1" x14ac:dyDescent="0.25">
      <c r="K484" s="22"/>
      <c r="L484" s="22"/>
      <c r="M484" s="95"/>
      <c r="N484" s="95"/>
      <c r="V484" s="22"/>
      <c r="W484" s="22"/>
    </row>
    <row r="485" spans="11:23" ht="13.5" customHeight="1" x14ac:dyDescent="0.25">
      <c r="K485" s="22"/>
      <c r="L485" s="22"/>
      <c r="M485" s="95"/>
      <c r="N485" s="95"/>
      <c r="V485" s="22"/>
      <c r="W485" s="22"/>
    </row>
    <row r="486" spans="11:23" ht="13.5" customHeight="1" x14ac:dyDescent="0.25">
      <c r="K486" s="22"/>
      <c r="L486" s="22"/>
      <c r="M486" s="95"/>
      <c r="N486" s="95"/>
      <c r="V486" s="22"/>
      <c r="W486" s="22"/>
    </row>
    <row r="487" spans="11:23" ht="13.5" customHeight="1" x14ac:dyDescent="0.25">
      <c r="K487" s="22"/>
      <c r="L487" s="22"/>
      <c r="M487" s="95"/>
      <c r="N487" s="95"/>
      <c r="V487" s="22"/>
      <c r="W487" s="22"/>
    </row>
    <row r="488" spans="11:23" ht="13.5" customHeight="1" x14ac:dyDescent="0.25">
      <c r="K488" s="22"/>
      <c r="L488" s="22"/>
      <c r="M488" s="95"/>
      <c r="N488" s="95"/>
      <c r="V488" s="22"/>
      <c r="W488" s="22"/>
    </row>
    <row r="489" spans="11:23" ht="13.5" customHeight="1" x14ac:dyDescent="0.25">
      <c r="K489" s="22"/>
      <c r="L489" s="22"/>
      <c r="M489" s="95"/>
      <c r="N489" s="95"/>
      <c r="V489" s="22"/>
      <c r="W489" s="22"/>
    </row>
    <row r="490" spans="11:23" ht="13.5" customHeight="1" x14ac:dyDescent="0.25">
      <c r="K490" s="22"/>
      <c r="L490" s="22"/>
      <c r="M490" s="95"/>
      <c r="N490" s="95"/>
      <c r="V490" s="22"/>
      <c r="W490" s="22"/>
    </row>
    <row r="491" spans="11:23" ht="13.5" customHeight="1" x14ac:dyDescent="0.25">
      <c r="K491" s="22"/>
      <c r="L491" s="22"/>
      <c r="M491" s="95"/>
      <c r="N491" s="95"/>
      <c r="V491" s="22"/>
      <c r="W491" s="22"/>
    </row>
    <row r="492" spans="11:23" ht="13.5" customHeight="1" x14ac:dyDescent="0.25">
      <c r="K492" s="22"/>
      <c r="L492" s="22"/>
      <c r="M492" s="95"/>
      <c r="N492" s="95"/>
      <c r="V492" s="22"/>
      <c r="W492" s="22"/>
    </row>
    <row r="493" spans="11:23" ht="13.5" customHeight="1" x14ac:dyDescent="0.25">
      <c r="K493" s="22"/>
      <c r="L493" s="22"/>
      <c r="M493" s="95"/>
      <c r="N493" s="95"/>
      <c r="V493" s="22"/>
      <c r="W493" s="22"/>
    </row>
    <row r="494" spans="11:23" ht="13.5" customHeight="1" x14ac:dyDescent="0.25">
      <c r="K494" s="22"/>
      <c r="L494" s="22"/>
      <c r="M494" s="95"/>
      <c r="N494" s="95"/>
      <c r="V494" s="22"/>
      <c r="W494" s="22"/>
    </row>
    <row r="495" spans="11:23" ht="13.5" customHeight="1" x14ac:dyDescent="0.25">
      <c r="K495" s="22"/>
      <c r="L495" s="22"/>
      <c r="M495" s="95"/>
      <c r="N495" s="95"/>
      <c r="V495" s="22"/>
      <c r="W495" s="22"/>
    </row>
    <row r="496" spans="11:23" ht="13.5" customHeight="1" x14ac:dyDescent="0.25">
      <c r="K496" s="22"/>
      <c r="L496" s="22"/>
      <c r="M496" s="95"/>
      <c r="N496" s="95"/>
      <c r="V496" s="22"/>
      <c r="W496" s="22"/>
    </row>
    <row r="497" spans="11:23" ht="13.5" customHeight="1" x14ac:dyDescent="0.25">
      <c r="K497" s="22"/>
      <c r="L497" s="22"/>
      <c r="M497" s="95"/>
      <c r="N497" s="95"/>
      <c r="V497" s="22"/>
      <c r="W497" s="22"/>
    </row>
    <row r="498" spans="11:23" ht="13.5" customHeight="1" x14ac:dyDescent="0.25">
      <c r="K498" s="22"/>
      <c r="L498" s="22"/>
      <c r="M498" s="95"/>
      <c r="N498" s="95"/>
      <c r="V498" s="22"/>
      <c r="W498" s="22"/>
    </row>
    <row r="499" spans="11:23" ht="13.5" customHeight="1" x14ac:dyDescent="0.25">
      <c r="K499" s="22"/>
      <c r="L499" s="22"/>
      <c r="M499" s="95"/>
      <c r="N499" s="95"/>
      <c r="V499" s="22"/>
      <c r="W499" s="22"/>
    </row>
    <row r="500" spans="11:23" ht="13.5" customHeight="1" x14ac:dyDescent="0.25">
      <c r="K500" s="22"/>
      <c r="L500" s="22"/>
      <c r="M500" s="95"/>
      <c r="N500" s="95"/>
      <c r="V500" s="22"/>
      <c r="W500" s="22"/>
    </row>
    <row r="501" spans="11:23" ht="13.5" customHeight="1" x14ac:dyDescent="0.25">
      <c r="K501" s="22"/>
      <c r="L501" s="22"/>
      <c r="M501" s="95"/>
      <c r="N501" s="95"/>
      <c r="V501" s="22"/>
      <c r="W501" s="22"/>
    </row>
    <row r="502" spans="11:23" ht="13.5" customHeight="1" x14ac:dyDescent="0.25">
      <c r="K502" s="22"/>
      <c r="L502" s="22"/>
      <c r="M502" s="95"/>
      <c r="N502" s="95"/>
      <c r="V502" s="22"/>
      <c r="W502" s="22"/>
    </row>
    <row r="503" spans="11:23" ht="13.5" customHeight="1" x14ac:dyDescent="0.25">
      <c r="K503" s="22"/>
      <c r="L503" s="22"/>
      <c r="M503" s="95"/>
      <c r="N503" s="95"/>
      <c r="V503" s="22"/>
      <c r="W503" s="22"/>
    </row>
    <row r="504" spans="11:23" ht="13.5" customHeight="1" x14ac:dyDescent="0.25">
      <c r="K504" s="22"/>
      <c r="L504" s="22"/>
      <c r="M504" s="95"/>
      <c r="N504" s="95"/>
      <c r="V504" s="22"/>
      <c r="W504" s="22"/>
    </row>
    <row r="505" spans="11:23" ht="13.5" customHeight="1" x14ac:dyDescent="0.25">
      <c r="K505" s="22"/>
      <c r="L505" s="22"/>
      <c r="M505" s="95"/>
      <c r="N505" s="95"/>
      <c r="V505" s="22"/>
      <c r="W505" s="22"/>
    </row>
    <row r="506" spans="11:23" ht="13.5" customHeight="1" x14ac:dyDescent="0.25">
      <c r="K506" s="22"/>
      <c r="L506" s="22"/>
      <c r="M506" s="95"/>
      <c r="N506" s="95"/>
      <c r="V506" s="22"/>
      <c r="W506" s="22"/>
    </row>
    <row r="507" spans="11:23" ht="13.5" customHeight="1" x14ac:dyDescent="0.25">
      <c r="K507" s="22"/>
      <c r="L507" s="22"/>
      <c r="M507" s="95"/>
      <c r="N507" s="95"/>
      <c r="V507" s="22"/>
      <c r="W507" s="22"/>
    </row>
    <row r="508" spans="11:23" ht="13.5" customHeight="1" x14ac:dyDescent="0.25">
      <c r="K508" s="22"/>
      <c r="L508" s="22"/>
      <c r="M508" s="95"/>
      <c r="N508" s="95"/>
      <c r="V508" s="22"/>
      <c r="W508" s="22"/>
    </row>
    <row r="509" spans="11:23" ht="13.5" customHeight="1" x14ac:dyDescent="0.25">
      <c r="K509" s="22"/>
      <c r="L509" s="22"/>
      <c r="M509" s="95"/>
      <c r="N509" s="95"/>
      <c r="V509" s="22"/>
      <c r="W509" s="22"/>
    </row>
    <row r="510" spans="11:23" ht="13.5" customHeight="1" x14ac:dyDescent="0.25">
      <c r="K510" s="22"/>
      <c r="L510" s="22"/>
      <c r="M510" s="95"/>
      <c r="N510" s="95"/>
      <c r="V510" s="22"/>
      <c r="W510" s="22"/>
    </row>
    <row r="511" spans="11:23" ht="13.5" customHeight="1" x14ac:dyDescent="0.25">
      <c r="K511" s="22"/>
      <c r="L511" s="22"/>
      <c r="M511" s="95"/>
      <c r="N511" s="95"/>
      <c r="V511" s="22"/>
      <c r="W511" s="22"/>
    </row>
    <row r="512" spans="11:23" ht="13.5" customHeight="1" x14ac:dyDescent="0.25">
      <c r="K512" s="22"/>
      <c r="L512" s="22"/>
      <c r="M512" s="95"/>
      <c r="N512" s="95"/>
      <c r="V512" s="22"/>
      <c r="W512" s="22"/>
    </row>
    <row r="513" spans="11:23" ht="13.5" customHeight="1" x14ac:dyDescent="0.25">
      <c r="K513" s="22"/>
      <c r="L513" s="22"/>
      <c r="M513" s="95"/>
      <c r="N513" s="95"/>
      <c r="V513" s="22"/>
      <c r="W513" s="22"/>
    </row>
    <row r="514" spans="11:23" ht="13.5" customHeight="1" x14ac:dyDescent="0.25">
      <c r="K514" s="22"/>
      <c r="L514" s="22"/>
      <c r="M514" s="95"/>
      <c r="N514" s="95"/>
      <c r="V514" s="22"/>
      <c r="W514" s="22"/>
    </row>
    <row r="515" spans="11:23" ht="13.5" customHeight="1" x14ac:dyDescent="0.25">
      <c r="K515" s="22"/>
      <c r="L515" s="22"/>
      <c r="M515" s="95"/>
      <c r="N515" s="95"/>
      <c r="V515" s="22"/>
      <c r="W515" s="22"/>
    </row>
    <row r="516" spans="11:23" ht="13.5" customHeight="1" x14ac:dyDescent="0.25">
      <c r="K516" s="22"/>
      <c r="L516" s="22"/>
      <c r="M516" s="95"/>
      <c r="N516" s="95"/>
      <c r="V516" s="22"/>
      <c r="W516" s="22"/>
    </row>
    <row r="517" spans="11:23" ht="13.5" customHeight="1" x14ac:dyDescent="0.25">
      <c r="K517" s="22"/>
      <c r="L517" s="22"/>
      <c r="M517" s="95"/>
      <c r="N517" s="95"/>
      <c r="V517" s="22"/>
      <c r="W517" s="22"/>
    </row>
    <row r="518" spans="11:23" ht="13.5" customHeight="1" x14ac:dyDescent="0.25">
      <c r="K518" s="22"/>
      <c r="L518" s="22"/>
      <c r="M518" s="95"/>
      <c r="N518" s="95"/>
      <c r="V518" s="22"/>
      <c r="W518" s="22"/>
    </row>
    <row r="519" spans="11:23" ht="13.5" customHeight="1" x14ac:dyDescent="0.25">
      <c r="K519" s="22"/>
      <c r="L519" s="22"/>
      <c r="M519" s="95"/>
      <c r="N519" s="95"/>
      <c r="V519" s="22"/>
      <c r="W519" s="22"/>
    </row>
    <row r="520" spans="11:23" ht="13.5" customHeight="1" x14ac:dyDescent="0.25">
      <c r="K520" s="22"/>
      <c r="L520" s="22"/>
      <c r="M520" s="95"/>
      <c r="N520" s="95"/>
      <c r="V520" s="22"/>
      <c r="W520" s="22"/>
    </row>
    <row r="521" spans="11:23" ht="13.5" customHeight="1" x14ac:dyDescent="0.25">
      <c r="K521" s="22"/>
      <c r="L521" s="22"/>
      <c r="M521" s="95"/>
      <c r="N521" s="95"/>
      <c r="V521" s="22"/>
      <c r="W521" s="22"/>
    </row>
    <row r="522" spans="11:23" ht="13.5" customHeight="1" x14ac:dyDescent="0.25">
      <c r="K522" s="22"/>
      <c r="L522" s="22"/>
      <c r="M522" s="95"/>
      <c r="N522" s="95"/>
      <c r="V522" s="22"/>
      <c r="W522" s="22"/>
    </row>
    <row r="523" spans="11:23" ht="13.5" customHeight="1" x14ac:dyDescent="0.25">
      <c r="K523" s="22"/>
      <c r="L523" s="22"/>
      <c r="M523" s="95"/>
      <c r="N523" s="95"/>
      <c r="V523" s="22"/>
      <c r="W523" s="22"/>
    </row>
    <row r="524" spans="11:23" ht="13.5" customHeight="1" x14ac:dyDescent="0.25">
      <c r="K524" s="22"/>
      <c r="L524" s="22"/>
      <c r="M524" s="95"/>
      <c r="N524" s="95"/>
      <c r="V524" s="22"/>
      <c r="W524" s="22"/>
    </row>
    <row r="525" spans="11:23" ht="13.5" customHeight="1" x14ac:dyDescent="0.25">
      <c r="K525" s="22"/>
      <c r="L525" s="22"/>
      <c r="M525" s="95"/>
      <c r="N525" s="95"/>
      <c r="V525" s="22"/>
      <c r="W525" s="22"/>
    </row>
    <row r="526" spans="11:23" ht="13.5" customHeight="1" x14ac:dyDescent="0.25">
      <c r="K526" s="22"/>
      <c r="L526" s="22"/>
      <c r="M526" s="95"/>
      <c r="N526" s="95"/>
      <c r="V526" s="22"/>
      <c r="W526" s="22"/>
    </row>
    <row r="527" spans="11:23" ht="13.5" customHeight="1" x14ac:dyDescent="0.25">
      <c r="K527" s="22"/>
      <c r="L527" s="22"/>
      <c r="M527" s="95"/>
      <c r="N527" s="95"/>
      <c r="V527" s="22"/>
      <c r="W527" s="22"/>
    </row>
    <row r="528" spans="11:23" ht="13.5" customHeight="1" x14ac:dyDescent="0.25">
      <c r="K528" s="22"/>
      <c r="L528" s="22"/>
      <c r="M528" s="95"/>
      <c r="N528" s="95"/>
      <c r="V528" s="22"/>
      <c r="W528" s="22"/>
    </row>
    <row r="529" spans="11:23" ht="13.5" customHeight="1" x14ac:dyDescent="0.25">
      <c r="K529" s="22"/>
      <c r="L529" s="22"/>
      <c r="M529" s="95"/>
      <c r="N529" s="95"/>
      <c r="V529" s="22"/>
      <c r="W529" s="22"/>
    </row>
    <row r="530" spans="11:23" ht="13.5" customHeight="1" x14ac:dyDescent="0.25">
      <c r="K530" s="22"/>
      <c r="L530" s="22"/>
      <c r="M530" s="95"/>
      <c r="N530" s="95"/>
      <c r="V530" s="22"/>
      <c r="W530" s="22"/>
    </row>
    <row r="531" spans="11:23" ht="13.5" customHeight="1" x14ac:dyDescent="0.25">
      <c r="K531" s="22"/>
      <c r="L531" s="22"/>
      <c r="M531" s="95"/>
      <c r="N531" s="95"/>
      <c r="V531" s="22"/>
      <c r="W531" s="22"/>
    </row>
    <row r="532" spans="11:23" ht="13.5" customHeight="1" x14ac:dyDescent="0.25">
      <c r="K532" s="22"/>
      <c r="L532" s="22"/>
      <c r="M532" s="95"/>
      <c r="N532" s="95"/>
      <c r="V532" s="22"/>
      <c r="W532" s="22"/>
    </row>
    <row r="533" spans="11:23" ht="13.5" customHeight="1" x14ac:dyDescent="0.25">
      <c r="K533" s="22"/>
      <c r="L533" s="22"/>
      <c r="M533" s="95"/>
      <c r="N533" s="95"/>
      <c r="V533" s="22"/>
      <c r="W533" s="22"/>
    </row>
    <row r="534" spans="11:23" ht="13.5" customHeight="1" x14ac:dyDescent="0.25">
      <c r="K534" s="22"/>
      <c r="L534" s="22"/>
      <c r="M534" s="95"/>
      <c r="N534" s="95"/>
      <c r="V534" s="22"/>
      <c r="W534" s="22"/>
    </row>
    <row r="535" spans="11:23" ht="13.5" customHeight="1" x14ac:dyDescent="0.25">
      <c r="K535" s="22"/>
      <c r="L535" s="22"/>
      <c r="M535" s="95"/>
      <c r="N535" s="95"/>
      <c r="V535" s="22"/>
      <c r="W535" s="22"/>
    </row>
    <row r="536" spans="11:23" ht="13.5" customHeight="1" x14ac:dyDescent="0.25">
      <c r="K536" s="22"/>
      <c r="L536" s="22"/>
      <c r="M536" s="95"/>
      <c r="N536" s="95"/>
      <c r="V536" s="22"/>
      <c r="W536" s="22"/>
    </row>
    <row r="537" spans="11:23" ht="13.5" customHeight="1" x14ac:dyDescent="0.25">
      <c r="K537" s="22"/>
      <c r="L537" s="22"/>
      <c r="M537" s="95"/>
      <c r="N537" s="95"/>
      <c r="V537" s="22"/>
      <c r="W537" s="22"/>
    </row>
    <row r="538" spans="11:23" ht="13.5" customHeight="1" x14ac:dyDescent="0.25">
      <c r="K538" s="22"/>
      <c r="L538" s="22"/>
      <c r="M538" s="95"/>
      <c r="N538" s="95"/>
      <c r="V538" s="22"/>
      <c r="W538" s="22"/>
    </row>
    <row r="539" spans="11:23" ht="13.5" customHeight="1" x14ac:dyDescent="0.25">
      <c r="K539" s="22"/>
      <c r="L539" s="22"/>
      <c r="M539" s="95"/>
      <c r="N539" s="95"/>
      <c r="V539" s="22"/>
      <c r="W539" s="22"/>
    </row>
    <row r="540" spans="11:23" ht="13.5" customHeight="1" x14ac:dyDescent="0.25">
      <c r="K540" s="22"/>
      <c r="L540" s="22"/>
      <c r="M540" s="95"/>
      <c r="N540" s="95"/>
      <c r="V540" s="22"/>
      <c r="W540" s="22"/>
    </row>
    <row r="541" spans="11:23" ht="13.5" customHeight="1" x14ac:dyDescent="0.25">
      <c r="K541" s="22"/>
      <c r="L541" s="22"/>
      <c r="M541" s="95"/>
      <c r="N541" s="95"/>
      <c r="V541" s="22"/>
      <c r="W541" s="22"/>
    </row>
    <row r="542" spans="11:23" ht="13.5" customHeight="1" x14ac:dyDescent="0.25">
      <c r="K542" s="22"/>
      <c r="L542" s="22"/>
      <c r="M542" s="95"/>
      <c r="N542" s="95"/>
      <c r="V542" s="22"/>
      <c r="W542" s="22"/>
    </row>
    <row r="543" spans="11:23" ht="13.5" customHeight="1" x14ac:dyDescent="0.25">
      <c r="K543" s="22"/>
      <c r="L543" s="22"/>
      <c r="M543" s="95"/>
      <c r="N543" s="95"/>
      <c r="V543" s="22"/>
      <c r="W543" s="22"/>
    </row>
    <row r="544" spans="11:23" ht="13.5" customHeight="1" x14ac:dyDescent="0.25">
      <c r="K544" s="22"/>
      <c r="L544" s="22"/>
      <c r="M544" s="95"/>
      <c r="N544" s="95"/>
      <c r="V544" s="22"/>
      <c r="W544" s="22"/>
    </row>
    <row r="545" spans="11:23" ht="13.5" customHeight="1" x14ac:dyDescent="0.25">
      <c r="K545" s="22"/>
      <c r="L545" s="22"/>
      <c r="M545" s="95"/>
      <c r="N545" s="95"/>
      <c r="V545" s="22"/>
      <c r="W545" s="22"/>
    </row>
    <row r="546" spans="11:23" ht="13.5" customHeight="1" x14ac:dyDescent="0.25">
      <c r="K546" s="22"/>
      <c r="L546" s="22"/>
      <c r="M546" s="95"/>
      <c r="N546" s="95"/>
      <c r="V546" s="22"/>
      <c r="W546" s="22"/>
    </row>
    <row r="547" spans="11:23" ht="13.5" customHeight="1" x14ac:dyDescent="0.25">
      <c r="K547" s="22"/>
      <c r="L547" s="22"/>
      <c r="M547" s="95"/>
      <c r="N547" s="95"/>
      <c r="V547" s="22"/>
      <c r="W547" s="22"/>
    </row>
    <row r="548" spans="11:23" ht="13.5" customHeight="1" x14ac:dyDescent="0.25">
      <c r="K548" s="22"/>
      <c r="L548" s="22"/>
      <c r="M548" s="95"/>
      <c r="N548" s="95"/>
      <c r="V548" s="22"/>
      <c r="W548" s="22"/>
    </row>
    <row r="549" spans="11:23" ht="13.5" customHeight="1" x14ac:dyDescent="0.25">
      <c r="K549" s="22"/>
      <c r="L549" s="22"/>
      <c r="M549" s="95"/>
      <c r="N549" s="95"/>
      <c r="V549" s="22"/>
      <c r="W549" s="22"/>
    </row>
    <row r="550" spans="11:23" ht="13.5" customHeight="1" x14ac:dyDescent="0.25">
      <c r="K550" s="22"/>
      <c r="L550" s="22"/>
      <c r="M550" s="95"/>
      <c r="N550" s="95"/>
      <c r="V550" s="22"/>
      <c r="W550" s="22"/>
    </row>
    <row r="551" spans="11:23" ht="13.5" customHeight="1" x14ac:dyDescent="0.25">
      <c r="K551" s="22"/>
      <c r="L551" s="22"/>
      <c r="M551" s="95"/>
      <c r="N551" s="95"/>
      <c r="V551" s="22"/>
      <c r="W551" s="22"/>
    </row>
    <row r="552" spans="11:23" ht="13.5" customHeight="1" x14ac:dyDescent="0.25">
      <c r="K552" s="22"/>
      <c r="L552" s="22"/>
      <c r="M552" s="95"/>
      <c r="N552" s="95"/>
      <c r="V552" s="22"/>
      <c r="W552" s="22"/>
    </row>
    <row r="553" spans="11:23" ht="13.5" customHeight="1" x14ac:dyDescent="0.25">
      <c r="K553" s="22"/>
      <c r="L553" s="22"/>
      <c r="M553" s="95"/>
      <c r="N553" s="95"/>
      <c r="V553" s="22"/>
      <c r="W553" s="22"/>
    </row>
    <row r="554" spans="11:23" ht="13.5" customHeight="1" x14ac:dyDescent="0.25">
      <c r="K554" s="22"/>
      <c r="L554" s="22"/>
      <c r="M554" s="95"/>
      <c r="N554" s="95"/>
      <c r="V554" s="22"/>
      <c r="W554" s="22"/>
    </row>
    <row r="555" spans="11:23" ht="13.5" customHeight="1" x14ac:dyDescent="0.25">
      <c r="K555" s="22"/>
      <c r="L555" s="22"/>
      <c r="M555" s="95"/>
      <c r="N555" s="95"/>
      <c r="V555" s="22"/>
      <c r="W555" s="22"/>
    </row>
    <row r="556" spans="11:23" ht="13.5" customHeight="1" x14ac:dyDescent="0.25">
      <c r="K556" s="22"/>
      <c r="L556" s="22"/>
      <c r="M556" s="95"/>
      <c r="N556" s="95"/>
      <c r="V556" s="22"/>
      <c r="W556" s="22"/>
    </row>
    <row r="557" spans="11:23" ht="13.5" customHeight="1" x14ac:dyDescent="0.25">
      <c r="K557" s="22"/>
      <c r="L557" s="22"/>
      <c r="M557" s="95"/>
      <c r="N557" s="95"/>
      <c r="V557" s="22"/>
      <c r="W557" s="22"/>
    </row>
    <row r="558" spans="11:23" ht="13.5" customHeight="1" x14ac:dyDescent="0.25">
      <c r="K558" s="22"/>
      <c r="L558" s="22"/>
      <c r="M558" s="95"/>
      <c r="N558" s="95"/>
      <c r="V558" s="22"/>
      <c r="W558" s="22"/>
    </row>
    <row r="559" spans="11:23" ht="13.5" customHeight="1" x14ac:dyDescent="0.25">
      <c r="K559" s="22"/>
      <c r="L559" s="22"/>
      <c r="M559" s="95"/>
      <c r="N559" s="95"/>
      <c r="V559" s="22"/>
      <c r="W559" s="22"/>
    </row>
    <row r="560" spans="11:23" ht="13.5" customHeight="1" x14ac:dyDescent="0.25">
      <c r="K560" s="22"/>
      <c r="L560" s="22"/>
      <c r="M560" s="95"/>
      <c r="N560" s="95"/>
      <c r="V560" s="22"/>
      <c r="W560" s="22"/>
    </row>
    <row r="561" spans="11:23" ht="13.5" customHeight="1" x14ac:dyDescent="0.25">
      <c r="K561" s="22"/>
      <c r="L561" s="22"/>
      <c r="M561" s="95"/>
      <c r="N561" s="95"/>
      <c r="V561" s="22"/>
      <c r="W561" s="22"/>
    </row>
    <row r="562" spans="11:23" ht="13.5" customHeight="1" x14ac:dyDescent="0.25">
      <c r="K562" s="22"/>
      <c r="L562" s="22"/>
      <c r="M562" s="95"/>
      <c r="N562" s="95"/>
      <c r="V562" s="22"/>
      <c r="W562" s="22"/>
    </row>
    <row r="563" spans="11:23" ht="13.5" customHeight="1" x14ac:dyDescent="0.25">
      <c r="K563" s="22"/>
      <c r="L563" s="22"/>
      <c r="M563" s="95"/>
      <c r="N563" s="95"/>
      <c r="V563" s="22"/>
      <c r="W563" s="22"/>
    </row>
    <row r="564" spans="11:23" ht="13.5" customHeight="1" x14ac:dyDescent="0.25">
      <c r="K564" s="22"/>
      <c r="L564" s="22"/>
      <c r="M564" s="95"/>
      <c r="N564" s="95"/>
      <c r="V564" s="22"/>
      <c r="W564" s="22"/>
    </row>
    <row r="565" spans="11:23" ht="13.5" customHeight="1" x14ac:dyDescent="0.25">
      <c r="K565" s="22"/>
      <c r="L565" s="22"/>
      <c r="M565" s="95"/>
      <c r="N565" s="95"/>
      <c r="V565" s="22"/>
      <c r="W565" s="22"/>
    </row>
    <row r="566" spans="11:23" ht="13.5" customHeight="1" x14ac:dyDescent="0.25">
      <c r="K566" s="22"/>
      <c r="L566" s="22"/>
      <c r="M566" s="95"/>
      <c r="N566" s="95"/>
      <c r="V566" s="22"/>
      <c r="W566" s="22"/>
    </row>
    <row r="567" spans="11:23" ht="13.5" customHeight="1" x14ac:dyDescent="0.25">
      <c r="K567" s="22"/>
      <c r="L567" s="22"/>
      <c r="M567" s="95"/>
      <c r="N567" s="95"/>
      <c r="V567" s="22"/>
      <c r="W567" s="22"/>
    </row>
    <row r="568" spans="11:23" ht="13.5" customHeight="1" x14ac:dyDescent="0.25">
      <c r="K568" s="22"/>
      <c r="L568" s="22"/>
      <c r="M568" s="95"/>
      <c r="N568" s="95"/>
      <c r="V568" s="22"/>
      <c r="W568" s="22"/>
    </row>
    <row r="569" spans="11:23" ht="13.5" customHeight="1" x14ac:dyDescent="0.25">
      <c r="K569" s="22"/>
      <c r="L569" s="22"/>
      <c r="M569" s="95"/>
      <c r="N569" s="95"/>
      <c r="V569" s="22"/>
      <c r="W569" s="22"/>
    </row>
    <row r="570" spans="11:23" ht="13.5" customHeight="1" x14ac:dyDescent="0.25">
      <c r="K570" s="22"/>
      <c r="L570" s="22"/>
      <c r="M570" s="95"/>
      <c r="N570" s="95"/>
      <c r="V570" s="22"/>
      <c r="W570" s="22"/>
    </row>
    <row r="571" spans="11:23" ht="13.5" customHeight="1" x14ac:dyDescent="0.25">
      <c r="K571" s="22"/>
      <c r="L571" s="22"/>
      <c r="M571" s="95"/>
      <c r="N571" s="95"/>
      <c r="V571" s="22"/>
      <c r="W571" s="22"/>
    </row>
    <row r="572" spans="11:23" ht="13.5" customHeight="1" x14ac:dyDescent="0.25">
      <c r="K572" s="22"/>
      <c r="L572" s="22"/>
      <c r="M572" s="95"/>
      <c r="N572" s="95"/>
      <c r="V572" s="22"/>
      <c r="W572" s="22"/>
    </row>
    <row r="573" spans="11:23" ht="13.5" customHeight="1" x14ac:dyDescent="0.25">
      <c r="K573" s="22"/>
      <c r="L573" s="22"/>
      <c r="M573" s="95"/>
      <c r="N573" s="95"/>
      <c r="V573" s="22"/>
      <c r="W573" s="22"/>
    </row>
    <row r="574" spans="11:23" ht="13.5" customHeight="1" x14ac:dyDescent="0.25">
      <c r="K574" s="22"/>
      <c r="L574" s="22"/>
      <c r="M574" s="95"/>
      <c r="N574" s="95"/>
      <c r="V574" s="22"/>
      <c r="W574" s="22"/>
    </row>
    <row r="575" spans="11:23" ht="13.5" customHeight="1" x14ac:dyDescent="0.25">
      <c r="K575" s="22"/>
      <c r="L575" s="22"/>
      <c r="M575" s="95"/>
      <c r="N575" s="95"/>
      <c r="V575" s="22"/>
      <c r="W575" s="22"/>
    </row>
    <row r="576" spans="11:23" ht="13.5" customHeight="1" x14ac:dyDescent="0.25">
      <c r="K576" s="22"/>
      <c r="L576" s="22"/>
      <c r="M576" s="95"/>
      <c r="N576" s="95"/>
      <c r="V576" s="22"/>
      <c r="W576" s="22"/>
    </row>
    <row r="577" spans="11:23" ht="13.5" customHeight="1" x14ac:dyDescent="0.25">
      <c r="K577" s="22"/>
      <c r="L577" s="22"/>
      <c r="M577" s="95"/>
      <c r="N577" s="95"/>
      <c r="V577" s="22"/>
      <c r="W577" s="22"/>
    </row>
    <row r="578" spans="11:23" ht="13.5" customHeight="1" x14ac:dyDescent="0.25">
      <c r="K578" s="22"/>
      <c r="L578" s="22"/>
      <c r="M578" s="95"/>
      <c r="N578" s="95"/>
      <c r="V578" s="22"/>
      <c r="W578" s="22"/>
    </row>
    <row r="579" spans="11:23" ht="13.5" customHeight="1" x14ac:dyDescent="0.25">
      <c r="K579" s="22"/>
      <c r="L579" s="22"/>
      <c r="M579" s="95"/>
      <c r="N579" s="95"/>
      <c r="V579" s="22"/>
      <c r="W579" s="22"/>
    </row>
    <row r="580" spans="11:23" ht="13.5" customHeight="1" x14ac:dyDescent="0.25">
      <c r="K580" s="22"/>
      <c r="L580" s="22"/>
      <c r="M580" s="95"/>
      <c r="N580" s="95"/>
      <c r="V580" s="22"/>
      <c r="W580" s="22"/>
    </row>
    <row r="581" spans="11:23" ht="13.5" customHeight="1" x14ac:dyDescent="0.25">
      <c r="K581" s="22"/>
      <c r="L581" s="22"/>
      <c r="M581" s="95"/>
      <c r="N581" s="95"/>
      <c r="V581" s="22"/>
      <c r="W581" s="22"/>
    </row>
    <row r="582" spans="11:23" ht="13.5" customHeight="1" x14ac:dyDescent="0.25">
      <c r="K582" s="22"/>
      <c r="L582" s="22"/>
      <c r="M582" s="95"/>
      <c r="N582" s="95"/>
      <c r="V582" s="22"/>
      <c r="W582" s="22"/>
    </row>
    <row r="583" spans="11:23" ht="13.5" customHeight="1" x14ac:dyDescent="0.25">
      <c r="K583" s="22"/>
      <c r="L583" s="22"/>
      <c r="M583" s="95"/>
      <c r="N583" s="95"/>
      <c r="V583" s="22"/>
      <c r="W583" s="22"/>
    </row>
    <row r="584" spans="11:23" ht="13.5" customHeight="1" x14ac:dyDescent="0.25">
      <c r="K584" s="22"/>
      <c r="L584" s="22"/>
      <c r="M584" s="95"/>
      <c r="N584" s="95"/>
      <c r="V584" s="22"/>
      <c r="W584" s="22"/>
    </row>
    <row r="585" spans="11:23" ht="13.5" customHeight="1" x14ac:dyDescent="0.25">
      <c r="K585" s="22"/>
      <c r="L585" s="22"/>
      <c r="M585" s="95"/>
      <c r="N585" s="95"/>
      <c r="V585" s="22"/>
      <c r="W585" s="22"/>
    </row>
    <row r="586" spans="11:23" ht="13.5" customHeight="1" x14ac:dyDescent="0.25">
      <c r="K586" s="22"/>
      <c r="L586" s="22"/>
      <c r="M586" s="95"/>
      <c r="N586" s="95"/>
      <c r="V586" s="22"/>
      <c r="W586" s="22"/>
    </row>
    <row r="587" spans="11:23" ht="13.5" customHeight="1" x14ac:dyDescent="0.25">
      <c r="K587" s="22"/>
      <c r="L587" s="22"/>
      <c r="M587" s="95"/>
      <c r="N587" s="95"/>
      <c r="V587" s="22"/>
      <c r="W587" s="22"/>
    </row>
    <row r="588" spans="11:23" ht="13.5" customHeight="1" x14ac:dyDescent="0.25">
      <c r="K588" s="22"/>
      <c r="L588" s="22"/>
      <c r="M588" s="95"/>
      <c r="N588" s="95"/>
      <c r="V588" s="22"/>
      <c r="W588" s="22"/>
    </row>
    <row r="589" spans="11:23" ht="13.5" customHeight="1" x14ac:dyDescent="0.25">
      <c r="K589" s="22"/>
      <c r="L589" s="22"/>
      <c r="M589" s="95"/>
      <c r="N589" s="95"/>
      <c r="V589" s="22"/>
      <c r="W589" s="22"/>
    </row>
    <row r="590" spans="11:23" ht="13.5" customHeight="1" x14ac:dyDescent="0.25">
      <c r="K590" s="22"/>
      <c r="L590" s="22"/>
      <c r="M590" s="95"/>
      <c r="N590" s="95"/>
      <c r="V590" s="22"/>
      <c r="W590" s="22"/>
    </row>
    <row r="591" spans="11:23" ht="13.5" customHeight="1" x14ac:dyDescent="0.25">
      <c r="K591" s="22"/>
      <c r="L591" s="22"/>
      <c r="M591" s="95"/>
      <c r="N591" s="95"/>
      <c r="V591" s="22"/>
      <c r="W591" s="22"/>
    </row>
    <row r="592" spans="11:23" ht="13.5" customHeight="1" x14ac:dyDescent="0.25">
      <c r="K592" s="22"/>
      <c r="L592" s="22"/>
      <c r="M592" s="95"/>
      <c r="N592" s="95"/>
      <c r="V592" s="22"/>
      <c r="W592" s="22"/>
    </row>
    <row r="593" spans="11:23" ht="13.5" customHeight="1" x14ac:dyDescent="0.25">
      <c r="K593" s="22"/>
      <c r="L593" s="22"/>
      <c r="M593" s="95"/>
      <c r="N593" s="95"/>
      <c r="V593" s="22"/>
      <c r="W593" s="22"/>
    </row>
    <row r="594" spans="11:23" ht="13.5" customHeight="1" x14ac:dyDescent="0.25">
      <c r="K594" s="22"/>
      <c r="L594" s="22"/>
      <c r="M594" s="95"/>
      <c r="N594" s="95"/>
      <c r="V594" s="22"/>
      <c r="W594" s="22"/>
    </row>
    <row r="595" spans="11:23" ht="13.5" customHeight="1" x14ac:dyDescent="0.25">
      <c r="K595" s="22"/>
      <c r="L595" s="22"/>
      <c r="M595" s="95"/>
      <c r="N595" s="95"/>
      <c r="V595" s="22"/>
      <c r="W595" s="22"/>
    </row>
    <row r="596" spans="11:23" ht="13.5" customHeight="1" x14ac:dyDescent="0.25">
      <c r="K596" s="22"/>
      <c r="L596" s="22"/>
      <c r="M596" s="95"/>
      <c r="N596" s="95"/>
      <c r="V596" s="22"/>
      <c r="W596" s="22"/>
    </row>
    <row r="597" spans="11:23" ht="13.5" customHeight="1" x14ac:dyDescent="0.25">
      <c r="K597" s="22"/>
      <c r="L597" s="22"/>
      <c r="M597" s="95"/>
      <c r="N597" s="95"/>
      <c r="V597" s="22"/>
      <c r="W597" s="22"/>
    </row>
    <row r="598" spans="11:23" ht="13.5" customHeight="1" x14ac:dyDescent="0.25">
      <c r="K598" s="22"/>
      <c r="L598" s="22"/>
      <c r="M598" s="95"/>
      <c r="N598" s="95"/>
      <c r="V598" s="22"/>
      <c r="W598" s="22"/>
    </row>
    <row r="599" spans="11:23" ht="13.5" customHeight="1" x14ac:dyDescent="0.25">
      <c r="K599" s="22"/>
      <c r="L599" s="22"/>
      <c r="M599" s="95"/>
      <c r="N599" s="95"/>
      <c r="V599" s="22"/>
      <c r="W599" s="22"/>
    </row>
    <row r="600" spans="11:23" ht="13.5" customHeight="1" x14ac:dyDescent="0.25">
      <c r="K600" s="22"/>
      <c r="L600" s="22"/>
      <c r="M600" s="95"/>
      <c r="N600" s="95"/>
      <c r="V600" s="22"/>
      <c r="W600" s="22"/>
    </row>
    <row r="601" spans="11:23" ht="13.5" customHeight="1" x14ac:dyDescent="0.25">
      <c r="K601" s="22"/>
      <c r="L601" s="22"/>
      <c r="M601" s="95"/>
      <c r="N601" s="95"/>
      <c r="V601" s="22"/>
      <c r="W601" s="22"/>
    </row>
    <row r="602" spans="11:23" ht="13.5" customHeight="1" x14ac:dyDescent="0.25">
      <c r="K602" s="22"/>
      <c r="L602" s="22"/>
      <c r="M602" s="95"/>
      <c r="N602" s="95"/>
      <c r="V602" s="22"/>
      <c r="W602" s="22"/>
    </row>
    <row r="603" spans="11:23" ht="13.5" customHeight="1" x14ac:dyDescent="0.25">
      <c r="K603" s="22"/>
      <c r="L603" s="22"/>
      <c r="M603" s="95"/>
      <c r="N603" s="95"/>
      <c r="V603" s="22"/>
      <c r="W603" s="22"/>
    </row>
    <row r="604" spans="11:23" ht="13.5" customHeight="1" x14ac:dyDescent="0.25">
      <c r="K604" s="22"/>
      <c r="L604" s="22"/>
      <c r="M604" s="95"/>
      <c r="N604" s="95"/>
      <c r="V604" s="22"/>
      <c r="W604" s="22"/>
    </row>
    <row r="605" spans="11:23" ht="13.5" customHeight="1" x14ac:dyDescent="0.25">
      <c r="K605" s="22"/>
      <c r="L605" s="22"/>
      <c r="M605" s="95"/>
      <c r="N605" s="95"/>
      <c r="V605" s="22"/>
      <c r="W605" s="22"/>
    </row>
    <row r="606" spans="11:23" ht="13.5" customHeight="1" x14ac:dyDescent="0.25">
      <c r="K606" s="22"/>
      <c r="L606" s="22"/>
      <c r="M606" s="95"/>
      <c r="N606" s="95"/>
      <c r="V606" s="22"/>
      <c r="W606" s="22"/>
    </row>
    <row r="607" spans="11:23" ht="13.5" customHeight="1" x14ac:dyDescent="0.25">
      <c r="K607" s="22"/>
      <c r="L607" s="22"/>
      <c r="M607" s="95"/>
      <c r="N607" s="95"/>
      <c r="V607" s="22"/>
      <c r="W607" s="22"/>
    </row>
    <row r="608" spans="11:23" ht="13.5" customHeight="1" x14ac:dyDescent="0.25">
      <c r="K608" s="22"/>
      <c r="L608" s="22"/>
      <c r="M608" s="95"/>
      <c r="N608" s="95"/>
      <c r="V608" s="22"/>
      <c r="W608" s="22"/>
    </row>
    <row r="609" spans="11:23" ht="13.5" customHeight="1" x14ac:dyDescent="0.25">
      <c r="K609" s="22"/>
      <c r="L609" s="22"/>
      <c r="M609" s="95"/>
      <c r="N609" s="95"/>
      <c r="V609" s="22"/>
      <c r="W609" s="22"/>
    </row>
    <row r="610" spans="11:23" ht="13.5" customHeight="1" x14ac:dyDescent="0.25">
      <c r="K610" s="22"/>
      <c r="L610" s="22"/>
      <c r="M610" s="95"/>
      <c r="N610" s="95"/>
      <c r="V610" s="22"/>
      <c r="W610" s="22"/>
    </row>
    <row r="611" spans="11:23" ht="13.5" customHeight="1" x14ac:dyDescent="0.25">
      <c r="K611" s="22"/>
      <c r="L611" s="22"/>
      <c r="M611" s="95"/>
      <c r="N611" s="95"/>
      <c r="V611" s="22"/>
      <c r="W611" s="22"/>
    </row>
    <row r="612" spans="11:23" ht="13.5" customHeight="1" x14ac:dyDescent="0.25">
      <c r="K612" s="22"/>
      <c r="L612" s="22"/>
      <c r="M612" s="95"/>
      <c r="N612" s="95"/>
      <c r="V612" s="22"/>
      <c r="W612" s="22"/>
    </row>
    <row r="613" spans="11:23" ht="13.5" customHeight="1" x14ac:dyDescent="0.25">
      <c r="K613" s="22"/>
      <c r="L613" s="22"/>
      <c r="M613" s="95"/>
      <c r="N613" s="95"/>
      <c r="V613" s="22"/>
      <c r="W613" s="22"/>
    </row>
    <row r="614" spans="11:23" ht="13.5" customHeight="1" x14ac:dyDescent="0.25">
      <c r="K614" s="22"/>
      <c r="L614" s="22"/>
      <c r="M614" s="95"/>
      <c r="N614" s="95"/>
      <c r="V614" s="22"/>
      <c r="W614" s="22"/>
    </row>
    <row r="615" spans="11:23" ht="13.5" customHeight="1" x14ac:dyDescent="0.25">
      <c r="K615" s="22"/>
      <c r="L615" s="22"/>
      <c r="M615" s="95"/>
      <c r="N615" s="95"/>
      <c r="V615" s="22"/>
      <c r="W615" s="22"/>
    </row>
    <row r="616" spans="11:23" ht="13.5" customHeight="1" x14ac:dyDescent="0.25">
      <c r="K616" s="22"/>
      <c r="L616" s="22"/>
      <c r="M616" s="95"/>
      <c r="N616" s="95"/>
      <c r="V616" s="22"/>
      <c r="W616" s="22"/>
    </row>
    <row r="617" spans="11:23" ht="13.5" customHeight="1" x14ac:dyDescent="0.25">
      <c r="K617" s="22"/>
      <c r="L617" s="22"/>
      <c r="M617" s="95"/>
      <c r="N617" s="95"/>
      <c r="V617" s="22"/>
      <c r="W617" s="22"/>
    </row>
    <row r="618" spans="11:23" ht="13.5" customHeight="1" x14ac:dyDescent="0.25">
      <c r="K618" s="22"/>
      <c r="L618" s="22"/>
      <c r="M618" s="95"/>
      <c r="N618" s="95"/>
      <c r="V618" s="22"/>
      <c r="W618" s="22"/>
    </row>
    <row r="619" spans="11:23" ht="13.5" customHeight="1" x14ac:dyDescent="0.25">
      <c r="K619" s="22"/>
      <c r="L619" s="22"/>
      <c r="M619" s="95"/>
      <c r="N619" s="95"/>
      <c r="V619" s="22"/>
      <c r="W619" s="22"/>
    </row>
    <row r="620" spans="11:23" ht="13.5" customHeight="1" x14ac:dyDescent="0.25">
      <c r="K620" s="22"/>
      <c r="L620" s="22"/>
      <c r="M620" s="95"/>
      <c r="N620" s="95"/>
      <c r="V620" s="22"/>
      <c r="W620" s="22"/>
    </row>
  </sheetData>
  <mergeCells count="13">
    <mergeCell ref="B2:B4"/>
    <mergeCell ref="M2:M3"/>
    <mergeCell ref="K11:K12"/>
    <mergeCell ref="L11:L12"/>
    <mergeCell ref="M11:M12"/>
    <mergeCell ref="I11:I12"/>
    <mergeCell ref="G11:G12"/>
    <mergeCell ref="D10:I10"/>
    <mergeCell ref="O10:T10"/>
    <mergeCell ref="R11:R12"/>
    <mergeCell ref="T11:T12"/>
    <mergeCell ref="V11:V12"/>
    <mergeCell ref="W11:W12"/>
  </mergeCells>
  <phoneticPr fontId="1" type="noConversion"/>
  <printOptions horizontalCentered="1"/>
  <pageMargins left="0" right="0" top="0.33" bottom="0.81" header="0.63" footer="0.37"/>
  <pageSetup paperSize="9" scale="42" fitToHeight="20" orientation="landscape" r:id="rId1"/>
  <headerFooter alignWithMargins="0">
    <oddFooter>&amp;L&amp;"Arial,Gras"CHARIER  GT Confidentiel&amp;RPage &amp;P sur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53920-E599-404B-8D19-600B189D3B98}">
  <sheetPr codeName="Feuil26">
    <tabColor indexed="52"/>
    <pageSetUpPr fitToPage="1"/>
  </sheetPr>
  <dimension ref="A2:I383"/>
  <sheetViews>
    <sheetView showZeros="0" zoomScale="85" zoomScaleNormal="100" workbookViewId="0">
      <pane xSplit="3" ySplit="12" topLeftCell="D17" activePane="bottomRight" state="frozen"/>
      <selection pane="topRight" activeCell="D1" sqref="D1"/>
      <selection pane="bottomLeft" activeCell="A13" sqref="A13"/>
      <selection pane="bottomRight" activeCell="B31" sqref="B31"/>
    </sheetView>
  </sheetViews>
  <sheetFormatPr baseColWidth="10" defaultColWidth="11.42578125" defaultRowHeight="13.5" customHeight="1" x14ac:dyDescent="0.25"/>
  <cols>
    <col min="1" max="1" width="5" style="3" customWidth="1"/>
    <col min="2" max="2" width="68.28515625" style="4" bestFit="1" customWidth="1"/>
    <col min="3" max="3" width="6.28515625" style="225" customWidth="1"/>
    <col min="4" max="5" width="21.5703125" style="16" customWidth="1"/>
    <col min="6" max="16384" width="11.42578125" style="4"/>
  </cols>
  <sheetData>
    <row r="2" spans="1:5" ht="24" customHeight="1" x14ac:dyDescent="0.25">
      <c r="B2" s="449" t="s">
        <v>1</v>
      </c>
      <c r="D2" s="450" t="s">
        <v>60</v>
      </c>
      <c r="E2" s="8"/>
    </row>
    <row r="3" spans="1:5" ht="13.5" customHeight="1" x14ac:dyDescent="0.25">
      <c r="B3" s="449"/>
      <c r="D3" s="450"/>
      <c r="E3" s="8"/>
    </row>
    <row r="4" spans="1:5" ht="13.5" customHeight="1" x14ac:dyDescent="0.25">
      <c r="B4" s="449"/>
    </row>
    <row r="5" spans="1:5" ht="15.75" customHeight="1" x14ac:dyDescent="0.25">
      <c r="D5" s="165"/>
      <c r="E5" s="4"/>
    </row>
    <row r="6" spans="1:5" ht="15.75" customHeight="1" x14ac:dyDescent="0.25">
      <c r="D6" s="165"/>
      <c r="E6" s="4"/>
    </row>
    <row r="7" spans="1:5" ht="15.75" customHeight="1" x14ac:dyDescent="0.25"/>
    <row r="8" spans="1:5" ht="15.75" customHeight="1" thickBot="1" x14ac:dyDescent="0.3"/>
    <row r="9" spans="1:5" ht="23.25" customHeight="1" x14ac:dyDescent="0.25">
      <c r="D9" s="34" t="s">
        <v>375</v>
      </c>
      <c r="E9" s="35"/>
    </row>
    <row r="10" spans="1:5" ht="19.5" customHeight="1" thickBot="1" x14ac:dyDescent="0.3">
      <c r="D10" s="36"/>
      <c r="E10" s="37"/>
    </row>
    <row r="11" spans="1:5" ht="26.25" customHeight="1" x14ac:dyDescent="0.25">
      <c r="A11" s="38"/>
      <c r="C11" s="226"/>
      <c r="D11" s="462"/>
      <c r="E11" s="43"/>
    </row>
    <row r="12" spans="1:5" ht="20.25" customHeight="1" x14ac:dyDescent="0.25">
      <c r="A12" s="38"/>
      <c r="C12" s="226"/>
      <c r="D12" s="463"/>
      <c r="E12" s="48"/>
    </row>
    <row r="13" spans="1:5" ht="18" customHeight="1" x14ac:dyDescent="0.25">
      <c r="A13" s="132"/>
      <c r="B13" s="137"/>
      <c r="C13" s="223"/>
      <c r="D13" s="190" t="s">
        <v>376</v>
      </c>
      <c r="E13" s="59"/>
    </row>
    <row r="14" spans="1:5" ht="18" customHeight="1" x14ac:dyDescent="0.25">
      <c r="A14" s="125"/>
      <c r="B14" s="138" t="s">
        <v>7</v>
      </c>
      <c r="C14" s="224"/>
      <c r="D14" s="191" t="s">
        <v>377</v>
      </c>
      <c r="E14" s="70"/>
    </row>
    <row r="15" spans="1:5" ht="18" customHeight="1" thickBot="1" x14ac:dyDescent="0.3">
      <c r="A15" s="125"/>
      <c r="B15" s="139"/>
      <c r="C15" s="227"/>
      <c r="D15" s="166"/>
      <c r="E15" s="70"/>
    </row>
    <row r="16" spans="1:5" ht="18" customHeight="1" thickBot="1" x14ac:dyDescent="0.3">
      <c r="A16" s="125"/>
      <c r="B16" s="222"/>
      <c r="C16" s="228" t="s">
        <v>76</v>
      </c>
      <c r="D16" s="166"/>
      <c r="E16" s="70"/>
    </row>
    <row r="17" spans="1:9" ht="18" customHeight="1" x14ac:dyDescent="0.25">
      <c r="A17" s="125"/>
      <c r="B17" s="126"/>
      <c r="C17" s="229"/>
      <c r="D17" s="167"/>
      <c r="E17" s="92"/>
    </row>
    <row r="18" spans="1:9" ht="18" customHeight="1" x14ac:dyDescent="0.25">
      <c r="A18" s="125"/>
      <c r="B18" s="128"/>
      <c r="C18" s="230"/>
      <c r="D18" s="167"/>
      <c r="E18" s="92"/>
    </row>
    <row r="19" spans="1:9" ht="18" customHeight="1" x14ac:dyDescent="0.25">
      <c r="A19" s="125"/>
      <c r="B19" s="128"/>
      <c r="C19" s="230"/>
      <c r="D19" s="167"/>
      <c r="E19" s="92"/>
    </row>
    <row r="20" spans="1:9" ht="18" customHeight="1" x14ac:dyDescent="0.25">
      <c r="A20" s="125"/>
      <c r="B20" s="128"/>
      <c r="C20" s="230"/>
      <c r="D20" s="192"/>
      <c r="E20" s="93"/>
    </row>
    <row r="21" spans="1:9" ht="18" customHeight="1" x14ac:dyDescent="0.25">
      <c r="A21" s="125"/>
      <c r="B21" s="128"/>
      <c r="C21" s="230"/>
      <c r="D21" s="167"/>
      <c r="E21" s="93"/>
    </row>
    <row r="22" spans="1:9" ht="18" customHeight="1" x14ac:dyDescent="0.25">
      <c r="A22" s="125"/>
      <c r="B22" s="128"/>
      <c r="C22" s="230"/>
      <c r="D22" s="167"/>
      <c r="E22" s="93"/>
    </row>
    <row r="23" spans="1:9" ht="18" customHeight="1" x14ac:dyDescent="0.25">
      <c r="A23" s="125"/>
      <c r="B23" s="128"/>
      <c r="C23" s="230"/>
      <c r="D23" s="167"/>
      <c r="E23" s="93"/>
    </row>
    <row r="24" spans="1:9" ht="18" customHeight="1" x14ac:dyDescent="0.25">
      <c r="A24" s="125"/>
      <c r="B24" s="128"/>
      <c r="C24" s="230"/>
      <c r="D24" s="167"/>
      <c r="E24" s="93"/>
    </row>
    <row r="25" spans="1:9" ht="18" customHeight="1" x14ac:dyDescent="0.25">
      <c r="A25" s="125"/>
      <c r="B25" s="326" t="s">
        <v>378</v>
      </c>
      <c r="C25" s="327" t="s">
        <v>379</v>
      </c>
      <c r="D25" s="328">
        <v>3</v>
      </c>
      <c r="E25" s="92"/>
    </row>
    <row r="26" spans="1:9" ht="18" customHeight="1" x14ac:dyDescent="0.25">
      <c r="A26" s="125"/>
      <c r="B26" s="326" t="s">
        <v>380</v>
      </c>
      <c r="C26" s="327" t="s">
        <v>3</v>
      </c>
      <c r="D26" s="328">
        <v>9.1999999999999993</v>
      </c>
      <c r="E26" s="92"/>
    </row>
    <row r="27" spans="1:9" ht="18" customHeight="1" x14ac:dyDescent="0.25">
      <c r="A27" s="125"/>
      <c r="B27" s="326" t="s">
        <v>381</v>
      </c>
      <c r="C27" s="327" t="s">
        <v>3</v>
      </c>
      <c r="D27" s="328">
        <v>11.23</v>
      </c>
      <c r="E27" s="92"/>
      <c r="I27" s="329" t="e">
        <f>#REF!</f>
        <v>#REF!</v>
      </c>
    </row>
    <row r="28" spans="1:9" ht="18" customHeight="1" x14ac:dyDescent="0.25">
      <c r="A28" s="125"/>
      <c r="B28" s="326" t="s">
        <v>382</v>
      </c>
      <c r="C28" s="327" t="s">
        <v>3</v>
      </c>
      <c r="D28" s="328">
        <v>12.3</v>
      </c>
      <c r="E28" s="92"/>
    </row>
    <row r="29" spans="1:9" ht="18" customHeight="1" x14ac:dyDescent="0.25">
      <c r="A29" s="125"/>
      <c r="B29" s="326" t="s">
        <v>383</v>
      </c>
      <c r="C29" s="327" t="s">
        <v>3</v>
      </c>
      <c r="D29" s="328">
        <v>19.82</v>
      </c>
      <c r="E29" s="92"/>
      <c r="I29" s="329" t="e">
        <f>#REF!</f>
        <v>#REF!</v>
      </c>
    </row>
    <row r="30" spans="1:9" ht="18" customHeight="1" x14ac:dyDescent="0.25">
      <c r="A30" s="125"/>
      <c r="B30" s="326" t="s">
        <v>384</v>
      </c>
      <c r="C30" s="327" t="s">
        <v>3</v>
      </c>
      <c r="D30" s="328">
        <v>17.22</v>
      </c>
      <c r="E30" s="92"/>
      <c r="I30" s="329" t="e">
        <f>#REF!</f>
        <v>#REF!</v>
      </c>
    </row>
    <row r="31" spans="1:9" ht="18" customHeight="1" x14ac:dyDescent="0.25">
      <c r="A31" s="125"/>
      <c r="B31" s="128" t="s">
        <v>385</v>
      </c>
      <c r="C31" s="231" t="s">
        <v>3</v>
      </c>
      <c r="D31" s="192">
        <v>7.8</v>
      </c>
      <c r="E31" s="92"/>
    </row>
    <row r="32" spans="1:9" ht="18" customHeight="1" x14ac:dyDescent="0.25">
      <c r="A32" s="125"/>
      <c r="B32" s="128" t="s">
        <v>386</v>
      </c>
      <c r="C32" s="230" t="s">
        <v>76</v>
      </c>
      <c r="D32" s="167">
        <f>3*85</f>
        <v>255</v>
      </c>
      <c r="E32" s="92"/>
    </row>
    <row r="33" spans="1:5" ht="18" customHeight="1" x14ac:dyDescent="0.25">
      <c r="A33" s="125"/>
      <c r="B33" s="128" t="s">
        <v>387</v>
      </c>
      <c r="C33" s="230" t="s">
        <v>76</v>
      </c>
      <c r="D33" s="167">
        <f>3*120</f>
        <v>360</v>
      </c>
      <c r="E33" s="92"/>
    </row>
    <row r="34" spans="1:5" ht="18" customHeight="1" x14ac:dyDescent="0.25">
      <c r="A34" s="125"/>
      <c r="B34" s="128" t="s">
        <v>388</v>
      </c>
      <c r="C34" s="230" t="s">
        <v>76</v>
      </c>
      <c r="D34" s="167">
        <v>1000</v>
      </c>
      <c r="E34" s="92"/>
    </row>
    <row r="35" spans="1:5" ht="18" customHeight="1" x14ac:dyDescent="0.25">
      <c r="A35" s="125"/>
      <c r="B35" s="128" t="s">
        <v>389</v>
      </c>
      <c r="C35" s="231" t="s">
        <v>76</v>
      </c>
      <c r="D35" s="167">
        <v>300</v>
      </c>
      <c r="E35" s="22"/>
    </row>
    <row r="36" spans="1:5" ht="18" customHeight="1" x14ac:dyDescent="0.25">
      <c r="A36" s="125"/>
      <c r="B36" s="128" t="s">
        <v>390</v>
      </c>
      <c r="C36" s="231" t="s">
        <v>391</v>
      </c>
      <c r="D36" s="167">
        <v>200</v>
      </c>
      <c r="E36" s="22"/>
    </row>
    <row r="37" spans="1:5" ht="18" customHeight="1" x14ac:dyDescent="0.25">
      <c r="A37" s="125"/>
      <c r="B37" s="128" t="s">
        <v>392</v>
      </c>
      <c r="C37" s="231" t="s">
        <v>391</v>
      </c>
      <c r="D37" s="192">
        <v>1160</v>
      </c>
      <c r="E37" s="22"/>
    </row>
    <row r="38" spans="1:5" ht="18" customHeight="1" x14ac:dyDescent="0.25">
      <c r="A38" s="125"/>
      <c r="B38" s="128" t="s">
        <v>393</v>
      </c>
      <c r="C38" s="231" t="s">
        <v>394</v>
      </c>
      <c r="D38" s="167">
        <v>0.75</v>
      </c>
      <c r="E38" s="93"/>
    </row>
    <row r="39" spans="1:5" ht="18" customHeight="1" x14ac:dyDescent="0.25">
      <c r="A39" s="125"/>
      <c r="B39" s="128" t="s">
        <v>395</v>
      </c>
      <c r="C39" s="230" t="s">
        <v>76</v>
      </c>
      <c r="D39" s="167">
        <v>3300</v>
      </c>
      <c r="E39" s="93"/>
    </row>
    <row r="40" spans="1:5" ht="18" customHeight="1" x14ac:dyDescent="0.25">
      <c r="A40" s="125"/>
      <c r="B40" s="128" t="s">
        <v>396</v>
      </c>
      <c r="C40" s="230" t="s">
        <v>76</v>
      </c>
      <c r="D40" s="167">
        <v>450</v>
      </c>
      <c r="E40" s="93"/>
    </row>
    <row r="41" spans="1:5" ht="18" customHeight="1" x14ac:dyDescent="0.25">
      <c r="A41" s="125"/>
      <c r="B41" s="128" t="s">
        <v>397</v>
      </c>
      <c r="C41" s="230" t="s">
        <v>76</v>
      </c>
      <c r="D41" s="167">
        <v>940</v>
      </c>
      <c r="E41" s="93"/>
    </row>
    <row r="42" spans="1:5" ht="18" customHeight="1" x14ac:dyDescent="0.25">
      <c r="A42" s="125"/>
      <c r="B42" s="128" t="s">
        <v>398</v>
      </c>
      <c r="C42" s="230" t="s">
        <v>76</v>
      </c>
      <c r="D42" s="167">
        <v>13000</v>
      </c>
      <c r="E42" s="93"/>
    </row>
    <row r="43" spans="1:5" ht="18" customHeight="1" x14ac:dyDescent="0.25">
      <c r="A43" s="125"/>
      <c r="B43" s="128" t="s">
        <v>399</v>
      </c>
      <c r="C43" s="230" t="s">
        <v>394</v>
      </c>
      <c r="D43" s="192">
        <v>2.5</v>
      </c>
      <c r="E43" s="93"/>
    </row>
    <row r="44" spans="1:5" ht="18" customHeight="1" x14ac:dyDescent="0.25">
      <c r="A44" s="125"/>
      <c r="B44" s="128" t="s">
        <v>400</v>
      </c>
      <c r="C44" s="230" t="s">
        <v>394</v>
      </c>
      <c r="D44" s="167">
        <v>4.2</v>
      </c>
      <c r="E44" s="93"/>
    </row>
    <row r="45" spans="1:5" ht="18" customHeight="1" x14ac:dyDescent="0.25">
      <c r="A45" s="125"/>
      <c r="B45" s="128" t="s">
        <v>401</v>
      </c>
      <c r="C45" s="230" t="s">
        <v>394</v>
      </c>
      <c r="D45" s="167">
        <v>8.5500000000000007</v>
      </c>
      <c r="E45" s="93"/>
    </row>
    <row r="46" spans="1:5" ht="18" customHeight="1" x14ac:dyDescent="0.25">
      <c r="A46" s="125"/>
      <c r="B46" s="128" t="s">
        <v>402</v>
      </c>
      <c r="C46" s="230" t="s">
        <v>403</v>
      </c>
      <c r="D46" s="192">
        <v>0.52</v>
      </c>
      <c r="E46" s="93"/>
    </row>
    <row r="47" spans="1:5" ht="18" customHeight="1" x14ac:dyDescent="0.25">
      <c r="A47" s="125"/>
      <c r="B47" s="128" t="s">
        <v>404</v>
      </c>
      <c r="C47" s="230" t="s">
        <v>403</v>
      </c>
      <c r="D47" s="192">
        <v>0.95</v>
      </c>
      <c r="E47" s="93"/>
    </row>
    <row r="48" spans="1:5" ht="18" customHeight="1" x14ac:dyDescent="0.25">
      <c r="A48" s="125"/>
      <c r="B48" s="128" t="s">
        <v>405</v>
      </c>
      <c r="C48" s="230" t="s">
        <v>403</v>
      </c>
      <c r="D48" s="167">
        <v>0.95</v>
      </c>
      <c r="E48" s="93"/>
    </row>
    <row r="49" spans="1:5" ht="18" customHeight="1" x14ac:dyDescent="0.25">
      <c r="A49" s="125"/>
      <c r="B49" s="128" t="s">
        <v>406</v>
      </c>
      <c r="C49" s="230" t="s">
        <v>394</v>
      </c>
      <c r="D49" s="167">
        <v>27</v>
      </c>
      <c r="E49" s="93"/>
    </row>
    <row r="50" spans="1:5" ht="18" customHeight="1" x14ac:dyDescent="0.25">
      <c r="A50" s="125"/>
      <c r="B50" s="128" t="s">
        <v>407</v>
      </c>
      <c r="C50" s="230" t="s">
        <v>394</v>
      </c>
      <c r="D50" s="192">
        <v>4.66</v>
      </c>
      <c r="E50" s="93"/>
    </row>
    <row r="51" spans="1:5" ht="18" customHeight="1" x14ac:dyDescent="0.25">
      <c r="A51" s="125"/>
      <c r="B51" s="128" t="s">
        <v>408</v>
      </c>
      <c r="C51" s="230" t="s">
        <v>394</v>
      </c>
      <c r="D51" s="192">
        <v>10.55</v>
      </c>
      <c r="E51" s="93"/>
    </row>
    <row r="52" spans="1:5" ht="18" customHeight="1" x14ac:dyDescent="0.25">
      <c r="A52" s="125"/>
      <c r="B52" s="128" t="s">
        <v>409</v>
      </c>
      <c r="C52" s="230" t="s">
        <v>394</v>
      </c>
      <c r="D52" s="192">
        <v>17.95</v>
      </c>
      <c r="E52" s="93"/>
    </row>
    <row r="53" spans="1:5" ht="18" customHeight="1" x14ac:dyDescent="0.25">
      <c r="A53" s="125"/>
      <c r="B53" s="128" t="s">
        <v>410</v>
      </c>
      <c r="C53" s="230" t="s">
        <v>76</v>
      </c>
      <c r="D53" s="167">
        <v>43.7</v>
      </c>
      <c r="E53" s="93"/>
    </row>
    <row r="54" spans="1:5" ht="18" customHeight="1" x14ac:dyDescent="0.25">
      <c r="A54" s="125"/>
      <c r="B54" s="128" t="s">
        <v>411</v>
      </c>
      <c r="C54" s="230" t="s">
        <v>76</v>
      </c>
      <c r="D54" s="167">
        <v>17.43</v>
      </c>
      <c r="E54" s="93"/>
    </row>
    <row r="55" spans="1:5" ht="18" customHeight="1" x14ac:dyDescent="0.25">
      <c r="A55" s="125"/>
      <c r="B55" s="128" t="s">
        <v>412</v>
      </c>
      <c r="C55" s="230" t="s">
        <v>394</v>
      </c>
      <c r="D55" s="167">
        <v>11.44</v>
      </c>
      <c r="E55" s="93"/>
    </row>
    <row r="56" spans="1:5" ht="18" customHeight="1" x14ac:dyDescent="0.25">
      <c r="A56" s="125"/>
      <c r="B56" s="128" t="s">
        <v>413</v>
      </c>
      <c r="C56" s="230" t="s">
        <v>76</v>
      </c>
      <c r="D56" s="167">
        <v>7.19</v>
      </c>
      <c r="E56" s="93"/>
    </row>
    <row r="57" spans="1:5" ht="18" customHeight="1" x14ac:dyDescent="0.25">
      <c r="A57" s="125"/>
      <c r="B57" s="128" t="s">
        <v>414</v>
      </c>
      <c r="C57" s="230" t="s">
        <v>76</v>
      </c>
      <c r="D57" s="192">
        <v>16.5</v>
      </c>
      <c r="E57" s="93"/>
    </row>
    <row r="58" spans="1:5" ht="18" customHeight="1" x14ac:dyDescent="0.25">
      <c r="A58" s="125"/>
      <c r="B58" s="128" t="s">
        <v>415</v>
      </c>
      <c r="C58" s="230" t="s">
        <v>394</v>
      </c>
      <c r="D58" s="192">
        <v>10.57</v>
      </c>
      <c r="E58" s="93"/>
    </row>
    <row r="59" spans="1:5" ht="18" customHeight="1" x14ac:dyDescent="0.25">
      <c r="A59" s="125"/>
      <c r="B59" s="128" t="s">
        <v>416</v>
      </c>
      <c r="C59" s="230" t="s">
        <v>76</v>
      </c>
      <c r="D59" s="167">
        <v>13.77</v>
      </c>
      <c r="E59" s="93"/>
    </row>
    <row r="60" spans="1:5" ht="18" customHeight="1" x14ac:dyDescent="0.25">
      <c r="A60" s="125"/>
      <c r="B60" s="128" t="s">
        <v>417</v>
      </c>
      <c r="C60" s="230" t="s">
        <v>394</v>
      </c>
      <c r="D60" s="167">
        <v>22.04</v>
      </c>
      <c r="E60" s="93"/>
    </row>
    <row r="61" spans="1:5" ht="18" customHeight="1" x14ac:dyDescent="0.25">
      <c r="A61" s="125"/>
      <c r="B61" s="128" t="s">
        <v>418</v>
      </c>
      <c r="C61" s="230" t="s">
        <v>76</v>
      </c>
      <c r="D61" s="167">
        <v>19.95</v>
      </c>
      <c r="E61" s="93"/>
    </row>
    <row r="62" spans="1:5" ht="18" customHeight="1" x14ac:dyDescent="0.25">
      <c r="A62" s="125"/>
      <c r="B62" s="128" t="s">
        <v>419</v>
      </c>
      <c r="C62" s="230" t="s">
        <v>76</v>
      </c>
      <c r="D62" s="167">
        <v>32.58</v>
      </c>
      <c r="E62" s="93"/>
    </row>
    <row r="63" spans="1:5" ht="18" customHeight="1" x14ac:dyDescent="0.25">
      <c r="A63" s="125"/>
      <c r="B63" s="128" t="s">
        <v>420</v>
      </c>
      <c r="C63" s="230" t="s">
        <v>76</v>
      </c>
      <c r="D63" s="192">
        <v>106.94</v>
      </c>
      <c r="E63" s="93"/>
    </row>
    <row r="64" spans="1:5" ht="18" customHeight="1" x14ac:dyDescent="0.25">
      <c r="A64" s="125"/>
      <c r="B64" s="128" t="s">
        <v>421</v>
      </c>
      <c r="C64" s="230" t="s">
        <v>76</v>
      </c>
      <c r="D64" s="192">
        <v>142.22999999999999</v>
      </c>
      <c r="E64" s="93"/>
    </row>
    <row r="65" spans="1:5" ht="18" customHeight="1" x14ac:dyDescent="0.25">
      <c r="A65" s="125"/>
      <c r="B65" s="128" t="s">
        <v>422</v>
      </c>
      <c r="C65" s="230" t="s">
        <v>76</v>
      </c>
      <c r="D65" s="192">
        <v>142.22999999999999</v>
      </c>
      <c r="E65" s="93"/>
    </row>
    <row r="66" spans="1:5" ht="18" customHeight="1" x14ac:dyDescent="0.25">
      <c r="A66" s="125"/>
      <c r="B66" s="128" t="s">
        <v>423</v>
      </c>
      <c r="C66" s="230" t="s">
        <v>76</v>
      </c>
      <c r="D66" s="192">
        <v>74.02</v>
      </c>
      <c r="E66" s="93"/>
    </row>
    <row r="67" spans="1:5" ht="18" customHeight="1" x14ac:dyDescent="0.25">
      <c r="A67" s="125"/>
      <c r="B67" s="128" t="s">
        <v>424</v>
      </c>
      <c r="C67" s="230" t="s">
        <v>394</v>
      </c>
      <c r="D67" s="192">
        <v>912</v>
      </c>
      <c r="E67" s="93"/>
    </row>
    <row r="68" spans="1:5" ht="18" customHeight="1" x14ac:dyDescent="0.25">
      <c r="A68" s="125"/>
      <c r="B68" s="128" t="s">
        <v>425</v>
      </c>
      <c r="C68" s="230" t="s">
        <v>76</v>
      </c>
      <c r="D68" s="192">
        <v>927.57</v>
      </c>
      <c r="E68" s="93"/>
    </row>
    <row r="69" spans="1:5" ht="18" customHeight="1" x14ac:dyDescent="0.25">
      <c r="A69" s="125"/>
      <c r="B69" s="128" t="s">
        <v>426</v>
      </c>
      <c r="C69" s="230" t="s">
        <v>76</v>
      </c>
      <c r="D69" s="192">
        <v>1046.8800000000001</v>
      </c>
      <c r="E69" s="93"/>
    </row>
    <row r="70" spans="1:5" ht="18" customHeight="1" x14ac:dyDescent="0.25">
      <c r="A70" s="125"/>
      <c r="B70" s="128" t="s">
        <v>427</v>
      </c>
      <c r="C70" s="230" t="s">
        <v>394</v>
      </c>
      <c r="D70" s="192">
        <v>14.5</v>
      </c>
      <c r="E70" s="93"/>
    </row>
    <row r="71" spans="1:5" ht="18" customHeight="1" x14ac:dyDescent="0.25">
      <c r="A71" s="125"/>
      <c r="B71" s="128" t="s">
        <v>428</v>
      </c>
      <c r="C71" s="230" t="s">
        <v>394</v>
      </c>
      <c r="D71" s="192">
        <v>20.8</v>
      </c>
      <c r="E71" s="93"/>
    </row>
    <row r="72" spans="1:5" ht="18" customHeight="1" x14ac:dyDescent="0.25">
      <c r="A72" s="125"/>
      <c r="B72" s="128" t="s">
        <v>429</v>
      </c>
      <c r="C72" s="230" t="s">
        <v>394</v>
      </c>
      <c r="D72" s="167">
        <v>31.3</v>
      </c>
      <c r="E72" s="93"/>
    </row>
    <row r="73" spans="1:5" ht="18" customHeight="1" x14ac:dyDescent="0.25">
      <c r="A73" s="125"/>
      <c r="B73" s="128" t="s">
        <v>430</v>
      </c>
      <c r="C73" s="230" t="s">
        <v>394</v>
      </c>
      <c r="D73" s="192">
        <v>41.8</v>
      </c>
      <c r="E73" s="93"/>
    </row>
    <row r="74" spans="1:5" ht="18" customHeight="1" x14ac:dyDescent="0.25">
      <c r="A74" s="125"/>
      <c r="B74" s="128" t="s">
        <v>431</v>
      </c>
      <c r="C74" s="230" t="s">
        <v>394</v>
      </c>
      <c r="D74" s="192">
        <v>75.849999999999994</v>
      </c>
      <c r="E74" s="93"/>
    </row>
    <row r="75" spans="1:5" ht="18" customHeight="1" x14ac:dyDescent="0.25">
      <c r="A75" s="125"/>
      <c r="B75" s="128" t="s">
        <v>432</v>
      </c>
      <c r="C75" s="230" t="s">
        <v>394</v>
      </c>
      <c r="D75" s="167">
        <v>115.5</v>
      </c>
      <c r="E75" s="93"/>
    </row>
    <row r="76" spans="1:5" ht="18" customHeight="1" x14ac:dyDescent="0.25">
      <c r="A76" s="125"/>
      <c r="B76" s="128" t="s">
        <v>433</v>
      </c>
      <c r="C76" s="230" t="s">
        <v>76</v>
      </c>
      <c r="D76" s="192">
        <v>62.3</v>
      </c>
      <c r="E76" s="93"/>
    </row>
    <row r="77" spans="1:5" ht="18" customHeight="1" x14ac:dyDescent="0.25">
      <c r="A77" s="125"/>
      <c r="B77" s="128" t="s">
        <v>434</v>
      </c>
      <c r="C77" s="230" t="s">
        <v>76</v>
      </c>
      <c r="D77" s="192">
        <v>140</v>
      </c>
      <c r="E77" s="93"/>
    </row>
    <row r="78" spans="1:5" ht="18" customHeight="1" x14ac:dyDescent="0.25">
      <c r="A78" s="125"/>
      <c r="B78" s="128" t="s">
        <v>435</v>
      </c>
      <c r="C78" s="230" t="s">
        <v>76</v>
      </c>
      <c r="D78" s="192">
        <v>220</v>
      </c>
      <c r="E78" s="93"/>
    </row>
    <row r="79" spans="1:5" ht="18" customHeight="1" x14ac:dyDescent="0.25">
      <c r="A79" s="125"/>
      <c r="B79" s="128" t="s">
        <v>436</v>
      </c>
      <c r="C79" s="230" t="s">
        <v>76</v>
      </c>
      <c r="D79" s="192">
        <v>32</v>
      </c>
      <c r="E79" s="93"/>
    </row>
    <row r="80" spans="1:5" ht="18" customHeight="1" x14ac:dyDescent="0.25">
      <c r="A80" s="125"/>
      <c r="B80" s="128" t="s">
        <v>437</v>
      </c>
      <c r="C80" s="230" t="s">
        <v>76</v>
      </c>
      <c r="D80" s="192">
        <v>62.3</v>
      </c>
      <c r="E80" s="93"/>
    </row>
    <row r="81" spans="1:5" ht="18" customHeight="1" x14ac:dyDescent="0.25">
      <c r="A81" s="125"/>
      <c r="B81" s="128" t="s">
        <v>438</v>
      </c>
      <c r="C81" s="230" t="s">
        <v>76</v>
      </c>
      <c r="D81" s="192">
        <v>140</v>
      </c>
      <c r="E81" s="93"/>
    </row>
    <row r="82" spans="1:5" ht="18" customHeight="1" x14ac:dyDescent="0.25">
      <c r="A82" s="125"/>
      <c r="B82" s="128" t="s">
        <v>439</v>
      </c>
      <c r="C82" s="230" t="s">
        <v>76</v>
      </c>
      <c r="D82" s="192">
        <v>220</v>
      </c>
      <c r="E82" s="93"/>
    </row>
    <row r="83" spans="1:5" ht="18" customHeight="1" x14ac:dyDescent="0.25">
      <c r="A83" s="125"/>
      <c r="B83" s="128" t="s">
        <v>440</v>
      </c>
      <c r="C83" s="230" t="s">
        <v>76</v>
      </c>
      <c r="D83" s="192">
        <v>88.75</v>
      </c>
      <c r="E83" s="93"/>
    </row>
    <row r="84" spans="1:5" ht="18" customHeight="1" x14ac:dyDescent="0.25">
      <c r="A84" s="125"/>
      <c r="B84" s="128" t="s">
        <v>441</v>
      </c>
      <c r="C84" s="230" t="s">
        <v>76</v>
      </c>
      <c r="D84" s="192">
        <v>88.75</v>
      </c>
      <c r="E84" s="93"/>
    </row>
    <row r="85" spans="1:5" ht="18" customHeight="1" x14ac:dyDescent="0.25">
      <c r="A85" s="125"/>
      <c r="B85" s="128" t="s">
        <v>442</v>
      </c>
      <c r="C85" s="230" t="s">
        <v>76</v>
      </c>
      <c r="D85" s="167">
        <v>174</v>
      </c>
      <c r="E85" s="93"/>
    </row>
    <row r="86" spans="1:5" ht="18" customHeight="1" x14ac:dyDescent="0.25">
      <c r="A86" s="125"/>
      <c r="B86" s="128" t="s">
        <v>443</v>
      </c>
      <c r="C86" s="230" t="s">
        <v>76</v>
      </c>
      <c r="D86" s="192">
        <v>232</v>
      </c>
      <c r="E86" s="93"/>
    </row>
    <row r="87" spans="1:5" ht="18" customHeight="1" x14ac:dyDescent="0.25">
      <c r="A87" s="125"/>
      <c r="B87" s="128" t="s">
        <v>444</v>
      </c>
      <c r="C87" s="230" t="s">
        <v>76</v>
      </c>
      <c r="D87" s="167">
        <v>590</v>
      </c>
      <c r="E87" s="93"/>
    </row>
    <row r="88" spans="1:5" ht="18" customHeight="1" x14ac:dyDescent="0.25">
      <c r="A88" s="125"/>
      <c r="B88" s="128" t="s">
        <v>445</v>
      </c>
      <c r="C88" s="230" t="s">
        <v>76</v>
      </c>
      <c r="D88" s="167">
        <v>96</v>
      </c>
      <c r="E88" s="93"/>
    </row>
    <row r="89" spans="1:5" ht="18" customHeight="1" x14ac:dyDescent="0.25">
      <c r="A89" s="125"/>
      <c r="B89" s="128" t="s">
        <v>446</v>
      </c>
      <c r="C89" s="230" t="s">
        <v>76</v>
      </c>
      <c r="D89" s="167">
        <v>136</v>
      </c>
      <c r="E89" s="93"/>
    </row>
    <row r="90" spans="1:5" ht="18" customHeight="1" x14ac:dyDescent="0.25">
      <c r="A90" s="125"/>
      <c r="B90" s="128" t="s">
        <v>447</v>
      </c>
      <c r="C90" s="230" t="s">
        <v>76</v>
      </c>
      <c r="D90" s="167">
        <v>43.84</v>
      </c>
      <c r="E90" s="93"/>
    </row>
    <row r="91" spans="1:5" ht="18" customHeight="1" x14ac:dyDescent="0.25">
      <c r="A91" s="125"/>
      <c r="B91" s="128" t="s">
        <v>448</v>
      </c>
      <c r="C91" s="230" t="s">
        <v>76</v>
      </c>
      <c r="D91" s="167">
        <v>51.41</v>
      </c>
      <c r="E91" s="93"/>
    </row>
    <row r="92" spans="1:5" ht="18" customHeight="1" x14ac:dyDescent="0.25">
      <c r="A92" s="125"/>
      <c r="B92" s="128" t="s">
        <v>449</v>
      </c>
      <c r="C92" s="230" t="s">
        <v>76</v>
      </c>
      <c r="D92" s="167">
        <v>64.849999999999994</v>
      </c>
      <c r="E92" s="93"/>
    </row>
    <row r="93" spans="1:5" ht="18" customHeight="1" x14ac:dyDescent="0.25">
      <c r="A93" s="125"/>
      <c r="B93" s="128" t="s">
        <v>450</v>
      </c>
      <c r="C93" s="230" t="s">
        <v>76</v>
      </c>
      <c r="D93" s="167">
        <v>86.37</v>
      </c>
      <c r="E93" s="93"/>
    </row>
    <row r="94" spans="1:5" ht="18" customHeight="1" x14ac:dyDescent="0.25">
      <c r="A94" s="125"/>
      <c r="B94" s="128" t="s">
        <v>451</v>
      </c>
      <c r="C94" s="230" t="s">
        <v>76</v>
      </c>
      <c r="D94" s="167">
        <v>50.3</v>
      </c>
      <c r="E94" s="93"/>
    </row>
    <row r="95" spans="1:5" ht="18" customHeight="1" x14ac:dyDescent="0.25">
      <c r="A95" s="125"/>
      <c r="B95" s="128" t="s">
        <v>452</v>
      </c>
      <c r="C95" s="230" t="s">
        <v>76</v>
      </c>
      <c r="D95" s="167">
        <v>65.760000000000005</v>
      </c>
      <c r="E95" s="93"/>
    </row>
    <row r="96" spans="1:5" ht="18" customHeight="1" x14ac:dyDescent="0.25">
      <c r="A96" s="125"/>
      <c r="B96" s="128" t="s">
        <v>453</v>
      </c>
      <c r="C96" s="230" t="s">
        <v>76</v>
      </c>
      <c r="D96" s="167">
        <v>57.71</v>
      </c>
      <c r="E96" s="93"/>
    </row>
    <row r="97" spans="1:5" ht="18" customHeight="1" x14ac:dyDescent="0.25">
      <c r="A97" s="125"/>
      <c r="B97" s="128" t="s">
        <v>454</v>
      </c>
      <c r="C97" s="230" t="s">
        <v>76</v>
      </c>
      <c r="D97" s="167">
        <v>50.6</v>
      </c>
      <c r="E97" s="93"/>
    </row>
    <row r="98" spans="1:5" ht="18" customHeight="1" x14ac:dyDescent="0.25">
      <c r="A98" s="125"/>
      <c r="B98" s="128" t="s">
        <v>455</v>
      </c>
      <c r="C98" s="230" t="s">
        <v>76</v>
      </c>
      <c r="D98" s="167">
        <v>72.5</v>
      </c>
      <c r="E98" s="93"/>
    </row>
    <row r="99" spans="1:5" ht="18" customHeight="1" x14ac:dyDescent="0.25">
      <c r="A99" s="125"/>
      <c r="B99" s="128" t="s">
        <v>456</v>
      </c>
      <c r="C99" s="230" t="s">
        <v>76</v>
      </c>
      <c r="D99" s="167">
        <v>74.400000000000006</v>
      </c>
      <c r="E99" s="93"/>
    </row>
    <row r="100" spans="1:5" ht="18" customHeight="1" x14ac:dyDescent="0.25">
      <c r="A100" s="125"/>
      <c r="B100" s="128" t="s">
        <v>457</v>
      </c>
      <c r="C100" s="230" t="s">
        <v>76</v>
      </c>
      <c r="D100" s="167">
        <v>85.6</v>
      </c>
      <c r="E100" s="93"/>
    </row>
    <row r="101" spans="1:5" ht="18" customHeight="1" x14ac:dyDescent="0.25">
      <c r="A101" s="125"/>
      <c r="B101" s="128" t="s">
        <v>458</v>
      </c>
      <c r="C101" s="230" t="s">
        <v>76</v>
      </c>
      <c r="D101" s="167">
        <v>3750</v>
      </c>
      <c r="E101" s="93"/>
    </row>
    <row r="102" spans="1:5" ht="18" customHeight="1" x14ac:dyDescent="0.25">
      <c r="A102" s="125"/>
      <c r="B102" s="128" t="s">
        <v>459</v>
      </c>
      <c r="C102" s="230" t="s">
        <v>76</v>
      </c>
      <c r="D102" s="167">
        <v>3670</v>
      </c>
      <c r="E102" s="93"/>
    </row>
    <row r="103" spans="1:5" ht="18" customHeight="1" x14ac:dyDescent="0.25">
      <c r="A103" s="125"/>
      <c r="B103" s="128" t="s">
        <v>460</v>
      </c>
      <c r="C103" s="230" t="s">
        <v>76</v>
      </c>
      <c r="D103" s="167">
        <v>4385</v>
      </c>
      <c r="E103" s="93"/>
    </row>
    <row r="104" spans="1:5" ht="18" customHeight="1" x14ac:dyDescent="0.25">
      <c r="A104" s="125"/>
      <c r="B104" s="128" t="s">
        <v>461</v>
      </c>
      <c r="C104" s="230" t="s">
        <v>76</v>
      </c>
      <c r="D104" s="192">
        <v>3750</v>
      </c>
      <c r="E104" s="93"/>
    </row>
    <row r="105" spans="1:5" ht="18" customHeight="1" x14ac:dyDescent="0.25">
      <c r="A105" s="125"/>
      <c r="B105" s="128" t="s">
        <v>462</v>
      </c>
      <c r="C105" s="230" t="s">
        <v>394</v>
      </c>
      <c r="D105" s="192">
        <v>675</v>
      </c>
      <c r="E105" s="93"/>
    </row>
    <row r="106" spans="1:5" ht="18" customHeight="1" x14ac:dyDescent="0.25">
      <c r="A106" s="125"/>
      <c r="B106" s="128" t="s">
        <v>463</v>
      </c>
      <c r="C106" s="230" t="s">
        <v>76</v>
      </c>
      <c r="D106" s="192">
        <v>650</v>
      </c>
      <c r="E106" s="93"/>
    </row>
    <row r="107" spans="1:5" ht="18" customHeight="1" x14ac:dyDescent="0.25">
      <c r="A107" s="125"/>
      <c r="B107" s="128" t="s">
        <v>464</v>
      </c>
      <c r="C107" s="230" t="s">
        <v>394</v>
      </c>
      <c r="D107" s="192">
        <v>675</v>
      </c>
      <c r="E107" s="93"/>
    </row>
    <row r="108" spans="1:5" ht="18" customHeight="1" x14ac:dyDescent="0.25">
      <c r="A108" s="125"/>
      <c r="B108" s="128" t="s">
        <v>465</v>
      </c>
      <c r="C108" s="230" t="s">
        <v>76</v>
      </c>
      <c r="D108" s="167">
        <v>8500</v>
      </c>
      <c r="E108" s="93"/>
    </row>
    <row r="109" spans="1:5" ht="18" customHeight="1" x14ac:dyDescent="0.25">
      <c r="A109" s="125"/>
      <c r="B109" s="128" t="s">
        <v>466</v>
      </c>
      <c r="C109" s="230" t="s">
        <v>76</v>
      </c>
      <c r="D109" s="167">
        <v>5150</v>
      </c>
      <c r="E109" s="93"/>
    </row>
    <row r="110" spans="1:5" ht="18" customHeight="1" x14ac:dyDescent="0.25">
      <c r="A110" s="125"/>
      <c r="B110" s="128" t="s">
        <v>467</v>
      </c>
      <c r="C110" s="230" t="s">
        <v>3</v>
      </c>
      <c r="D110" s="192">
        <v>14.85</v>
      </c>
      <c r="E110" s="93"/>
    </row>
    <row r="111" spans="1:5" ht="18" customHeight="1" x14ac:dyDescent="0.25">
      <c r="A111" s="125"/>
      <c r="B111" s="128" t="s">
        <v>468</v>
      </c>
      <c r="C111" s="230" t="s">
        <v>3</v>
      </c>
      <c r="D111" s="167">
        <v>3.65</v>
      </c>
      <c r="E111" s="93"/>
    </row>
    <row r="112" spans="1:5" ht="18" customHeight="1" x14ac:dyDescent="0.25">
      <c r="A112" s="125"/>
      <c r="B112" s="128" t="s">
        <v>469</v>
      </c>
      <c r="C112" s="230" t="s">
        <v>3</v>
      </c>
      <c r="D112" s="167">
        <v>45</v>
      </c>
      <c r="E112" s="93"/>
    </row>
    <row r="113" spans="1:5" ht="18" customHeight="1" x14ac:dyDescent="0.25">
      <c r="A113" s="125"/>
      <c r="B113" s="128" t="s">
        <v>470</v>
      </c>
      <c r="C113" s="230" t="s">
        <v>76</v>
      </c>
      <c r="D113" s="167">
        <v>75</v>
      </c>
      <c r="E113" s="93"/>
    </row>
    <row r="114" spans="1:5" ht="18" customHeight="1" thickBot="1" x14ac:dyDescent="0.3">
      <c r="A114" s="125"/>
      <c r="B114" s="129" t="s">
        <v>471</v>
      </c>
      <c r="C114" s="232" t="s">
        <v>79</v>
      </c>
      <c r="D114" s="164">
        <v>450</v>
      </c>
      <c r="E114" s="93"/>
    </row>
    <row r="115" spans="1:5" ht="13.5" customHeight="1" x14ac:dyDescent="0.25">
      <c r="D115" s="95"/>
      <c r="E115" s="95"/>
    </row>
    <row r="116" spans="1:5" ht="13.5" customHeight="1" x14ac:dyDescent="0.25">
      <c r="D116" s="95"/>
      <c r="E116" s="95"/>
    </row>
    <row r="117" spans="1:5" ht="13.5" customHeight="1" x14ac:dyDescent="0.25">
      <c r="D117" s="95"/>
      <c r="E117" s="95"/>
    </row>
    <row r="118" spans="1:5" ht="13.5" customHeight="1" x14ac:dyDescent="0.25">
      <c r="D118" s="95"/>
      <c r="E118" s="95"/>
    </row>
    <row r="119" spans="1:5" ht="13.5" customHeight="1" x14ac:dyDescent="0.25">
      <c r="D119" s="95"/>
      <c r="E119" s="95"/>
    </row>
    <row r="120" spans="1:5" ht="13.5" customHeight="1" x14ac:dyDescent="0.25">
      <c r="D120" s="95"/>
      <c r="E120" s="95"/>
    </row>
    <row r="121" spans="1:5" ht="13.5" customHeight="1" x14ac:dyDescent="0.25">
      <c r="D121" s="95"/>
      <c r="E121" s="95"/>
    </row>
    <row r="122" spans="1:5" ht="13.5" customHeight="1" x14ac:dyDescent="0.25">
      <c r="D122" s="95"/>
      <c r="E122" s="95"/>
    </row>
    <row r="123" spans="1:5" ht="13.5" customHeight="1" x14ac:dyDescent="0.25">
      <c r="D123" s="95"/>
      <c r="E123" s="95"/>
    </row>
    <row r="124" spans="1:5" ht="13.5" customHeight="1" x14ac:dyDescent="0.25">
      <c r="D124" s="95"/>
      <c r="E124" s="95"/>
    </row>
    <row r="125" spans="1:5" ht="13.5" customHeight="1" x14ac:dyDescent="0.25">
      <c r="D125" s="95"/>
      <c r="E125" s="95"/>
    </row>
    <row r="126" spans="1:5" ht="13.5" customHeight="1" x14ac:dyDescent="0.25">
      <c r="D126" s="95"/>
      <c r="E126" s="95"/>
    </row>
    <row r="127" spans="1:5" ht="13.5" customHeight="1" x14ac:dyDescent="0.25">
      <c r="D127" s="95"/>
      <c r="E127" s="95"/>
    </row>
    <row r="128" spans="1:5" ht="13.5" customHeight="1" x14ac:dyDescent="0.25">
      <c r="D128" s="95"/>
      <c r="E128" s="95"/>
    </row>
    <row r="129" spans="4:5" ht="13.5" customHeight="1" x14ac:dyDescent="0.25">
      <c r="D129" s="95"/>
      <c r="E129" s="95"/>
    </row>
    <row r="130" spans="4:5" ht="13.5" customHeight="1" x14ac:dyDescent="0.25">
      <c r="D130" s="95"/>
      <c r="E130" s="95"/>
    </row>
    <row r="131" spans="4:5" ht="13.5" customHeight="1" x14ac:dyDescent="0.25">
      <c r="D131" s="95"/>
      <c r="E131" s="95"/>
    </row>
    <row r="132" spans="4:5" ht="13.5" customHeight="1" x14ac:dyDescent="0.25">
      <c r="D132" s="95"/>
      <c r="E132" s="95"/>
    </row>
    <row r="133" spans="4:5" ht="13.5" customHeight="1" x14ac:dyDescent="0.25">
      <c r="D133" s="95"/>
      <c r="E133" s="95"/>
    </row>
    <row r="134" spans="4:5" ht="13.5" customHeight="1" x14ac:dyDescent="0.25">
      <c r="D134" s="95"/>
      <c r="E134" s="95"/>
    </row>
    <row r="135" spans="4:5" ht="13.5" customHeight="1" x14ac:dyDescent="0.25">
      <c r="D135" s="95"/>
      <c r="E135" s="95"/>
    </row>
    <row r="136" spans="4:5" ht="13.5" customHeight="1" x14ac:dyDescent="0.25">
      <c r="D136" s="95"/>
      <c r="E136" s="95"/>
    </row>
    <row r="137" spans="4:5" ht="13.5" customHeight="1" x14ac:dyDescent="0.25">
      <c r="D137" s="95"/>
      <c r="E137" s="95"/>
    </row>
    <row r="138" spans="4:5" ht="13.5" customHeight="1" x14ac:dyDescent="0.25">
      <c r="D138" s="95"/>
      <c r="E138" s="95"/>
    </row>
    <row r="139" spans="4:5" ht="13.5" customHeight="1" x14ac:dyDescent="0.25">
      <c r="D139" s="95"/>
      <c r="E139" s="95"/>
    </row>
    <row r="140" spans="4:5" ht="13.5" customHeight="1" x14ac:dyDescent="0.25">
      <c r="D140" s="95"/>
      <c r="E140" s="95"/>
    </row>
    <row r="141" spans="4:5" ht="13.5" customHeight="1" x14ac:dyDescent="0.25">
      <c r="D141" s="95"/>
      <c r="E141" s="95"/>
    </row>
    <row r="142" spans="4:5" ht="13.5" customHeight="1" x14ac:dyDescent="0.25">
      <c r="D142" s="95"/>
      <c r="E142" s="95"/>
    </row>
    <row r="143" spans="4:5" ht="13.5" customHeight="1" x14ac:dyDescent="0.25">
      <c r="D143" s="95"/>
      <c r="E143" s="95"/>
    </row>
    <row r="144" spans="4:5" ht="13.5" customHeight="1" x14ac:dyDescent="0.25">
      <c r="D144" s="95"/>
      <c r="E144" s="95"/>
    </row>
    <row r="145" spans="4:5" ht="13.5" customHeight="1" x14ac:dyDescent="0.25">
      <c r="D145" s="95"/>
      <c r="E145" s="95"/>
    </row>
    <row r="146" spans="4:5" ht="13.5" customHeight="1" x14ac:dyDescent="0.25">
      <c r="D146" s="95"/>
      <c r="E146" s="95"/>
    </row>
    <row r="147" spans="4:5" ht="13.5" customHeight="1" x14ac:dyDescent="0.25">
      <c r="D147" s="95"/>
      <c r="E147" s="95"/>
    </row>
    <row r="148" spans="4:5" ht="13.5" customHeight="1" x14ac:dyDescent="0.25">
      <c r="D148" s="95"/>
      <c r="E148" s="95"/>
    </row>
    <row r="149" spans="4:5" ht="13.5" customHeight="1" x14ac:dyDescent="0.25">
      <c r="D149" s="95"/>
      <c r="E149" s="95"/>
    </row>
    <row r="150" spans="4:5" ht="13.5" customHeight="1" x14ac:dyDescent="0.25">
      <c r="D150" s="95"/>
      <c r="E150" s="95"/>
    </row>
    <row r="151" spans="4:5" ht="13.5" customHeight="1" x14ac:dyDescent="0.25">
      <c r="D151" s="95"/>
      <c r="E151" s="95"/>
    </row>
    <row r="152" spans="4:5" ht="13.5" customHeight="1" x14ac:dyDescent="0.25">
      <c r="D152" s="95"/>
      <c r="E152" s="95"/>
    </row>
    <row r="153" spans="4:5" ht="13.5" customHeight="1" x14ac:dyDescent="0.25">
      <c r="D153" s="95"/>
      <c r="E153" s="95"/>
    </row>
    <row r="154" spans="4:5" ht="13.5" customHeight="1" x14ac:dyDescent="0.25">
      <c r="D154" s="95"/>
      <c r="E154" s="95"/>
    </row>
    <row r="155" spans="4:5" ht="13.5" customHeight="1" x14ac:dyDescent="0.25">
      <c r="D155" s="95"/>
      <c r="E155" s="95"/>
    </row>
    <row r="156" spans="4:5" ht="13.5" customHeight="1" x14ac:dyDescent="0.25">
      <c r="D156" s="95"/>
      <c r="E156" s="95"/>
    </row>
    <row r="157" spans="4:5" ht="13.5" customHeight="1" x14ac:dyDescent="0.25">
      <c r="D157" s="95"/>
      <c r="E157" s="95"/>
    </row>
    <row r="158" spans="4:5" ht="13.5" customHeight="1" x14ac:dyDescent="0.25">
      <c r="D158" s="95"/>
      <c r="E158" s="95"/>
    </row>
    <row r="159" spans="4:5" ht="13.5" customHeight="1" x14ac:dyDescent="0.25">
      <c r="D159" s="95"/>
      <c r="E159" s="95"/>
    </row>
    <row r="160" spans="4:5" ht="13.5" customHeight="1" x14ac:dyDescent="0.25">
      <c r="D160" s="95"/>
      <c r="E160" s="95"/>
    </row>
    <row r="161" spans="4:5" ht="13.5" customHeight="1" x14ac:dyDescent="0.25">
      <c r="D161" s="95"/>
      <c r="E161" s="95"/>
    </row>
    <row r="162" spans="4:5" ht="13.5" customHeight="1" x14ac:dyDescent="0.25">
      <c r="D162" s="95"/>
      <c r="E162" s="95"/>
    </row>
    <row r="163" spans="4:5" ht="13.5" customHeight="1" x14ac:dyDescent="0.25">
      <c r="D163" s="95"/>
      <c r="E163" s="95"/>
    </row>
    <row r="164" spans="4:5" ht="13.5" customHeight="1" x14ac:dyDescent="0.25">
      <c r="D164" s="95"/>
      <c r="E164" s="95"/>
    </row>
    <row r="165" spans="4:5" ht="13.5" customHeight="1" x14ac:dyDescent="0.25">
      <c r="D165" s="95"/>
      <c r="E165" s="95"/>
    </row>
    <row r="166" spans="4:5" ht="13.5" customHeight="1" x14ac:dyDescent="0.25">
      <c r="D166" s="95"/>
      <c r="E166" s="95"/>
    </row>
    <row r="167" spans="4:5" ht="13.5" customHeight="1" x14ac:dyDescent="0.25">
      <c r="D167" s="95"/>
      <c r="E167" s="95"/>
    </row>
    <row r="168" spans="4:5" ht="13.5" customHeight="1" x14ac:dyDescent="0.25">
      <c r="D168" s="95"/>
      <c r="E168" s="95"/>
    </row>
    <row r="169" spans="4:5" ht="13.5" customHeight="1" x14ac:dyDescent="0.25">
      <c r="D169" s="95"/>
      <c r="E169" s="95"/>
    </row>
    <row r="170" spans="4:5" ht="13.5" customHeight="1" x14ac:dyDescent="0.25">
      <c r="D170" s="95"/>
      <c r="E170" s="95"/>
    </row>
    <row r="171" spans="4:5" ht="13.5" customHeight="1" x14ac:dyDescent="0.25">
      <c r="D171" s="95"/>
      <c r="E171" s="95"/>
    </row>
    <row r="172" spans="4:5" ht="13.5" customHeight="1" x14ac:dyDescent="0.25">
      <c r="D172" s="95"/>
      <c r="E172" s="95"/>
    </row>
    <row r="173" spans="4:5" ht="13.5" customHeight="1" x14ac:dyDescent="0.25">
      <c r="D173" s="95"/>
      <c r="E173" s="95"/>
    </row>
    <row r="174" spans="4:5" ht="13.5" customHeight="1" x14ac:dyDescent="0.25">
      <c r="D174" s="95"/>
      <c r="E174" s="95"/>
    </row>
    <row r="175" spans="4:5" ht="13.5" customHeight="1" x14ac:dyDescent="0.25">
      <c r="D175" s="95"/>
      <c r="E175" s="95"/>
    </row>
    <row r="176" spans="4:5" ht="13.5" customHeight="1" x14ac:dyDescent="0.25">
      <c r="D176" s="95"/>
      <c r="E176" s="95"/>
    </row>
    <row r="177" spans="4:5" ht="13.5" customHeight="1" x14ac:dyDescent="0.25">
      <c r="D177" s="95"/>
      <c r="E177" s="95"/>
    </row>
    <row r="178" spans="4:5" ht="13.5" customHeight="1" x14ac:dyDescent="0.25">
      <c r="D178" s="95"/>
      <c r="E178" s="95"/>
    </row>
    <row r="179" spans="4:5" ht="13.5" customHeight="1" x14ac:dyDescent="0.25">
      <c r="D179" s="95"/>
      <c r="E179" s="95"/>
    </row>
    <row r="180" spans="4:5" ht="13.5" customHeight="1" x14ac:dyDescent="0.25">
      <c r="D180" s="95"/>
      <c r="E180" s="95"/>
    </row>
    <row r="181" spans="4:5" ht="13.5" customHeight="1" x14ac:dyDescent="0.25">
      <c r="D181" s="95"/>
      <c r="E181" s="95"/>
    </row>
    <row r="182" spans="4:5" ht="13.5" customHeight="1" x14ac:dyDescent="0.25">
      <c r="D182" s="95"/>
      <c r="E182" s="95"/>
    </row>
    <row r="183" spans="4:5" ht="13.5" customHeight="1" x14ac:dyDescent="0.25">
      <c r="D183" s="95"/>
      <c r="E183" s="95"/>
    </row>
    <row r="184" spans="4:5" ht="13.5" customHeight="1" x14ac:dyDescent="0.25">
      <c r="D184" s="95"/>
      <c r="E184" s="95"/>
    </row>
    <row r="185" spans="4:5" ht="13.5" customHeight="1" x14ac:dyDescent="0.25">
      <c r="D185" s="95"/>
      <c r="E185" s="95"/>
    </row>
    <row r="186" spans="4:5" ht="13.5" customHeight="1" x14ac:dyDescent="0.25">
      <c r="D186" s="95"/>
      <c r="E186" s="95"/>
    </row>
    <row r="187" spans="4:5" ht="13.5" customHeight="1" x14ac:dyDescent="0.25">
      <c r="D187" s="95"/>
      <c r="E187" s="95"/>
    </row>
    <row r="188" spans="4:5" ht="13.5" customHeight="1" x14ac:dyDescent="0.25">
      <c r="D188" s="95"/>
      <c r="E188" s="95"/>
    </row>
    <row r="189" spans="4:5" ht="13.5" customHeight="1" x14ac:dyDescent="0.25">
      <c r="D189" s="95"/>
      <c r="E189" s="95"/>
    </row>
    <row r="190" spans="4:5" ht="13.5" customHeight="1" x14ac:dyDescent="0.25">
      <c r="D190" s="95"/>
      <c r="E190" s="95"/>
    </row>
    <row r="191" spans="4:5" ht="13.5" customHeight="1" x14ac:dyDescent="0.25">
      <c r="D191" s="95"/>
      <c r="E191" s="95"/>
    </row>
    <row r="192" spans="4:5" ht="13.5" customHeight="1" x14ac:dyDescent="0.25">
      <c r="D192" s="95"/>
      <c r="E192" s="95"/>
    </row>
    <row r="193" spans="4:5" ht="13.5" customHeight="1" x14ac:dyDescent="0.25">
      <c r="D193" s="95"/>
      <c r="E193" s="95"/>
    </row>
    <row r="194" spans="4:5" ht="13.5" customHeight="1" x14ac:dyDescent="0.25">
      <c r="D194" s="95"/>
      <c r="E194" s="95"/>
    </row>
    <row r="195" spans="4:5" ht="13.5" customHeight="1" x14ac:dyDescent="0.25">
      <c r="D195" s="95"/>
      <c r="E195" s="95"/>
    </row>
    <row r="196" spans="4:5" ht="13.5" customHeight="1" x14ac:dyDescent="0.25">
      <c r="D196" s="95"/>
      <c r="E196" s="95"/>
    </row>
    <row r="197" spans="4:5" ht="13.5" customHeight="1" x14ac:dyDescent="0.25">
      <c r="D197" s="95"/>
      <c r="E197" s="95"/>
    </row>
    <row r="198" spans="4:5" ht="13.5" customHeight="1" x14ac:dyDescent="0.25">
      <c r="D198" s="95"/>
      <c r="E198" s="95"/>
    </row>
    <row r="199" spans="4:5" ht="13.5" customHeight="1" x14ac:dyDescent="0.25">
      <c r="D199" s="95"/>
      <c r="E199" s="95"/>
    </row>
    <row r="200" spans="4:5" ht="13.5" customHeight="1" x14ac:dyDescent="0.25">
      <c r="D200" s="95"/>
      <c r="E200" s="95"/>
    </row>
    <row r="201" spans="4:5" ht="13.5" customHeight="1" x14ac:dyDescent="0.25">
      <c r="D201" s="95"/>
      <c r="E201" s="95"/>
    </row>
    <row r="202" spans="4:5" ht="13.5" customHeight="1" x14ac:dyDescent="0.25">
      <c r="D202" s="95"/>
      <c r="E202" s="95"/>
    </row>
    <row r="203" spans="4:5" ht="13.5" customHeight="1" x14ac:dyDescent="0.25">
      <c r="D203" s="95"/>
      <c r="E203" s="95"/>
    </row>
    <row r="204" spans="4:5" ht="13.5" customHeight="1" x14ac:dyDescent="0.25">
      <c r="D204" s="95"/>
      <c r="E204" s="95"/>
    </row>
    <row r="205" spans="4:5" ht="13.5" customHeight="1" x14ac:dyDescent="0.25">
      <c r="D205" s="95"/>
      <c r="E205" s="95"/>
    </row>
    <row r="206" spans="4:5" ht="13.5" customHeight="1" x14ac:dyDescent="0.25">
      <c r="D206" s="95"/>
      <c r="E206" s="95"/>
    </row>
    <row r="207" spans="4:5" ht="13.5" customHeight="1" x14ac:dyDescent="0.25">
      <c r="D207" s="95"/>
      <c r="E207" s="95"/>
    </row>
    <row r="208" spans="4:5" ht="13.5" customHeight="1" x14ac:dyDescent="0.25">
      <c r="D208" s="95"/>
      <c r="E208" s="95"/>
    </row>
    <row r="209" spans="4:5" ht="13.5" customHeight="1" x14ac:dyDescent="0.25">
      <c r="D209" s="95"/>
      <c r="E209" s="95"/>
    </row>
    <row r="210" spans="4:5" ht="13.5" customHeight="1" x14ac:dyDescent="0.25">
      <c r="D210" s="95"/>
      <c r="E210" s="95"/>
    </row>
    <row r="211" spans="4:5" ht="13.5" customHeight="1" x14ac:dyDescent="0.25">
      <c r="D211" s="95"/>
      <c r="E211" s="95"/>
    </row>
    <row r="212" spans="4:5" ht="13.5" customHeight="1" x14ac:dyDescent="0.25">
      <c r="D212" s="95"/>
      <c r="E212" s="95"/>
    </row>
    <row r="213" spans="4:5" ht="13.5" customHeight="1" x14ac:dyDescent="0.25">
      <c r="D213" s="95"/>
      <c r="E213" s="95"/>
    </row>
    <row r="214" spans="4:5" ht="13.5" customHeight="1" x14ac:dyDescent="0.25">
      <c r="D214" s="95"/>
      <c r="E214" s="95"/>
    </row>
    <row r="215" spans="4:5" ht="13.5" customHeight="1" x14ac:dyDescent="0.25">
      <c r="D215" s="95"/>
      <c r="E215" s="95"/>
    </row>
    <row r="216" spans="4:5" ht="13.5" customHeight="1" x14ac:dyDescent="0.25">
      <c r="D216" s="95"/>
      <c r="E216" s="95"/>
    </row>
    <row r="217" spans="4:5" ht="13.5" customHeight="1" x14ac:dyDescent="0.25">
      <c r="D217" s="95"/>
      <c r="E217" s="95"/>
    </row>
    <row r="218" spans="4:5" ht="13.5" customHeight="1" x14ac:dyDescent="0.25">
      <c r="D218" s="95"/>
      <c r="E218" s="95"/>
    </row>
    <row r="219" spans="4:5" ht="13.5" customHeight="1" x14ac:dyDescent="0.25">
      <c r="D219" s="95"/>
      <c r="E219" s="95"/>
    </row>
    <row r="220" spans="4:5" ht="13.5" customHeight="1" x14ac:dyDescent="0.25">
      <c r="D220" s="95"/>
      <c r="E220" s="95"/>
    </row>
    <row r="221" spans="4:5" ht="13.5" customHeight="1" x14ac:dyDescent="0.25">
      <c r="D221" s="95"/>
      <c r="E221" s="95"/>
    </row>
    <row r="222" spans="4:5" ht="13.5" customHeight="1" x14ac:dyDescent="0.25">
      <c r="D222" s="95"/>
      <c r="E222" s="95"/>
    </row>
    <row r="223" spans="4:5" ht="13.5" customHeight="1" x14ac:dyDescent="0.25">
      <c r="D223" s="95"/>
      <c r="E223" s="95"/>
    </row>
    <row r="224" spans="4:5" ht="13.5" customHeight="1" x14ac:dyDescent="0.25">
      <c r="D224" s="95"/>
      <c r="E224" s="95"/>
    </row>
    <row r="225" spans="4:5" ht="13.5" customHeight="1" x14ac:dyDescent="0.25">
      <c r="D225" s="95"/>
      <c r="E225" s="95"/>
    </row>
    <row r="226" spans="4:5" ht="13.5" customHeight="1" x14ac:dyDescent="0.25">
      <c r="D226" s="95"/>
      <c r="E226" s="95"/>
    </row>
    <row r="227" spans="4:5" ht="13.5" customHeight="1" x14ac:dyDescent="0.25">
      <c r="D227" s="95"/>
      <c r="E227" s="95"/>
    </row>
    <row r="228" spans="4:5" ht="13.5" customHeight="1" x14ac:dyDescent="0.25">
      <c r="D228" s="95"/>
      <c r="E228" s="95"/>
    </row>
    <row r="229" spans="4:5" ht="13.5" customHeight="1" x14ac:dyDescent="0.25">
      <c r="D229" s="95"/>
      <c r="E229" s="95"/>
    </row>
    <row r="230" spans="4:5" ht="13.5" customHeight="1" x14ac:dyDescent="0.25">
      <c r="D230" s="95"/>
      <c r="E230" s="95"/>
    </row>
    <row r="231" spans="4:5" ht="13.5" customHeight="1" x14ac:dyDescent="0.25">
      <c r="D231" s="95"/>
      <c r="E231" s="95"/>
    </row>
    <row r="232" spans="4:5" ht="13.5" customHeight="1" x14ac:dyDescent="0.25">
      <c r="D232" s="95"/>
      <c r="E232" s="95"/>
    </row>
    <row r="233" spans="4:5" ht="13.5" customHeight="1" x14ac:dyDescent="0.25">
      <c r="D233" s="95"/>
      <c r="E233" s="95"/>
    </row>
    <row r="234" spans="4:5" ht="13.5" customHeight="1" x14ac:dyDescent="0.25">
      <c r="D234" s="95"/>
      <c r="E234" s="95"/>
    </row>
    <row r="235" spans="4:5" ht="13.5" customHeight="1" x14ac:dyDescent="0.25">
      <c r="D235" s="95"/>
      <c r="E235" s="95"/>
    </row>
    <row r="236" spans="4:5" ht="13.5" customHeight="1" x14ac:dyDescent="0.25">
      <c r="D236" s="95"/>
      <c r="E236" s="95"/>
    </row>
    <row r="237" spans="4:5" ht="13.5" customHeight="1" x14ac:dyDescent="0.25">
      <c r="D237" s="95"/>
      <c r="E237" s="95"/>
    </row>
    <row r="238" spans="4:5" ht="13.5" customHeight="1" x14ac:dyDescent="0.25">
      <c r="D238" s="95"/>
      <c r="E238" s="95"/>
    </row>
    <row r="239" spans="4:5" ht="13.5" customHeight="1" x14ac:dyDescent="0.25">
      <c r="D239" s="95"/>
      <c r="E239" s="95"/>
    </row>
    <row r="240" spans="4:5" ht="13.5" customHeight="1" x14ac:dyDescent="0.25">
      <c r="D240" s="95"/>
      <c r="E240" s="95"/>
    </row>
    <row r="241" spans="4:5" ht="13.5" customHeight="1" x14ac:dyDescent="0.25">
      <c r="D241" s="95"/>
      <c r="E241" s="95"/>
    </row>
    <row r="242" spans="4:5" ht="13.5" customHeight="1" x14ac:dyDescent="0.25">
      <c r="D242" s="95"/>
      <c r="E242" s="95"/>
    </row>
    <row r="243" spans="4:5" ht="13.5" customHeight="1" x14ac:dyDescent="0.25">
      <c r="D243" s="95"/>
      <c r="E243" s="95"/>
    </row>
    <row r="244" spans="4:5" ht="13.5" customHeight="1" x14ac:dyDescent="0.25">
      <c r="D244" s="95"/>
      <c r="E244" s="95"/>
    </row>
    <row r="245" spans="4:5" ht="13.5" customHeight="1" x14ac:dyDescent="0.25">
      <c r="D245" s="95"/>
      <c r="E245" s="95"/>
    </row>
    <row r="246" spans="4:5" ht="13.5" customHeight="1" x14ac:dyDescent="0.25">
      <c r="D246" s="95"/>
      <c r="E246" s="95"/>
    </row>
    <row r="247" spans="4:5" ht="13.5" customHeight="1" x14ac:dyDescent="0.25">
      <c r="D247" s="95"/>
      <c r="E247" s="95"/>
    </row>
    <row r="248" spans="4:5" ht="13.5" customHeight="1" x14ac:dyDescent="0.25">
      <c r="D248" s="95"/>
      <c r="E248" s="95"/>
    </row>
    <row r="249" spans="4:5" ht="13.5" customHeight="1" x14ac:dyDescent="0.25">
      <c r="D249" s="95"/>
      <c r="E249" s="95"/>
    </row>
    <row r="250" spans="4:5" ht="13.5" customHeight="1" x14ac:dyDescent="0.25">
      <c r="D250" s="95"/>
      <c r="E250" s="95"/>
    </row>
    <row r="251" spans="4:5" ht="13.5" customHeight="1" x14ac:dyDescent="0.25">
      <c r="D251" s="95"/>
      <c r="E251" s="95"/>
    </row>
    <row r="252" spans="4:5" ht="13.5" customHeight="1" x14ac:dyDescent="0.25">
      <c r="D252" s="95"/>
      <c r="E252" s="95"/>
    </row>
    <row r="253" spans="4:5" ht="13.5" customHeight="1" x14ac:dyDescent="0.25">
      <c r="D253" s="95"/>
      <c r="E253" s="95"/>
    </row>
    <row r="254" spans="4:5" ht="13.5" customHeight="1" x14ac:dyDescent="0.25">
      <c r="D254" s="95"/>
      <c r="E254" s="95"/>
    </row>
    <row r="255" spans="4:5" ht="13.5" customHeight="1" x14ac:dyDescent="0.25">
      <c r="D255" s="95"/>
      <c r="E255" s="95"/>
    </row>
    <row r="256" spans="4:5" ht="13.5" customHeight="1" x14ac:dyDescent="0.25">
      <c r="D256" s="95"/>
      <c r="E256" s="95"/>
    </row>
    <row r="257" spans="4:5" ht="13.5" customHeight="1" x14ac:dyDescent="0.25">
      <c r="D257" s="95"/>
      <c r="E257" s="95"/>
    </row>
    <row r="258" spans="4:5" ht="13.5" customHeight="1" x14ac:dyDescent="0.25">
      <c r="D258" s="95"/>
      <c r="E258" s="95"/>
    </row>
    <row r="259" spans="4:5" ht="13.5" customHeight="1" x14ac:dyDescent="0.25">
      <c r="D259" s="95"/>
      <c r="E259" s="95"/>
    </row>
    <row r="260" spans="4:5" ht="13.5" customHeight="1" x14ac:dyDescent="0.25">
      <c r="D260" s="95"/>
      <c r="E260" s="95"/>
    </row>
    <row r="261" spans="4:5" ht="13.5" customHeight="1" x14ac:dyDescent="0.25">
      <c r="D261" s="95"/>
      <c r="E261" s="95"/>
    </row>
    <row r="262" spans="4:5" ht="13.5" customHeight="1" x14ac:dyDescent="0.25">
      <c r="D262" s="95"/>
      <c r="E262" s="95"/>
    </row>
    <row r="263" spans="4:5" ht="13.5" customHeight="1" x14ac:dyDescent="0.25">
      <c r="D263" s="95"/>
      <c r="E263" s="95"/>
    </row>
    <row r="264" spans="4:5" ht="13.5" customHeight="1" x14ac:dyDescent="0.25">
      <c r="D264" s="95"/>
      <c r="E264" s="95"/>
    </row>
    <row r="265" spans="4:5" ht="13.5" customHeight="1" x14ac:dyDescent="0.25">
      <c r="D265" s="95"/>
      <c r="E265" s="95"/>
    </row>
    <row r="266" spans="4:5" ht="13.5" customHeight="1" x14ac:dyDescent="0.25">
      <c r="D266" s="95"/>
      <c r="E266" s="95"/>
    </row>
    <row r="267" spans="4:5" ht="13.5" customHeight="1" x14ac:dyDescent="0.25">
      <c r="D267" s="95"/>
      <c r="E267" s="95"/>
    </row>
    <row r="268" spans="4:5" ht="13.5" customHeight="1" x14ac:dyDescent="0.25">
      <c r="D268" s="95"/>
      <c r="E268" s="95"/>
    </row>
    <row r="269" spans="4:5" ht="13.5" customHeight="1" x14ac:dyDescent="0.25">
      <c r="D269" s="95"/>
      <c r="E269" s="95"/>
    </row>
    <row r="270" spans="4:5" ht="13.5" customHeight="1" x14ac:dyDescent="0.25">
      <c r="D270" s="95"/>
      <c r="E270" s="95"/>
    </row>
    <row r="271" spans="4:5" ht="13.5" customHeight="1" x14ac:dyDescent="0.25">
      <c r="D271" s="95"/>
      <c r="E271" s="95"/>
    </row>
    <row r="272" spans="4:5" ht="13.5" customHeight="1" x14ac:dyDescent="0.25">
      <c r="D272" s="95"/>
      <c r="E272" s="95"/>
    </row>
    <row r="273" spans="4:5" ht="13.5" customHeight="1" x14ac:dyDescent="0.25">
      <c r="D273" s="95"/>
      <c r="E273" s="95"/>
    </row>
    <row r="274" spans="4:5" ht="13.5" customHeight="1" x14ac:dyDescent="0.25">
      <c r="D274" s="95"/>
      <c r="E274" s="95"/>
    </row>
    <row r="275" spans="4:5" ht="13.5" customHeight="1" x14ac:dyDescent="0.25">
      <c r="D275" s="95"/>
      <c r="E275" s="95"/>
    </row>
    <row r="276" spans="4:5" ht="13.5" customHeight="1" x14ac:dyDescent="0.25">
      <c r="D276" s="95"/>
      <c r="E276" s="95"/>
    </row>
    <row r="277" spans="4:5" ht="13.5" customHeight="1" x14ac:dyDescent="0.25">
      <c r="D277" s="95"/>
      <c r="E277" s="95"/>
    </row>
    <row r="278" spans="4:5" ht="13.5" customHeight="1" x14ac:dyDescent="0.25">
      <c r="D278" s="95"/>
      <c r="E278" s="95"/>
    </row>
    <row r="279" spans="4:5" ht="13.5" customHeight="1" x14ac:dyDescent="0.25">
      <c r="D279" s="95"/>
      <c r="E279" s="95"/>
    </row>
    <row r="280" spans="4:5" ht="13.5" customHeight="1" x14ac:dyDescent="0.25">
      <c r="D280" s="95"/>
      <c r="E280" s="95"/>
    </row>
    <row r="281" spans="4:5" ht="13.5" customHeight="1" x14ac:dyDescent="0.25">
      <c r="D281" s="95"/>
      <c r="E281" s="95"/>
    </row>
    <row r="282" spans="4:5" ht="13.5" customHeight="1" x14ac:dyDescent="0.25">
      <c r="D282" s="95"/>
      <c r="E282" s="95"/>
    </row>
    <row r="283" spans="4:5" ht="13.5" customHeight="1" x14ac:dyDescent="0.25">
      <c r="D283" s="95"/>
      <c r="E283" s="95"/>
    </row>
    <row r="284" spans="4:5" ht="13.5" customHeight="1" x14ac:dyDescent="0.25">
      <c r="D284" s="95"/>
      <c r="E284" s="95"/>
    </row>
    <row r="285" spans="4:5" ht="13.5" customHeight="1" x14ac:dyDescent="0.25">
      <c r="D285" s="95"/>
      <c r="E285" s="95"/>
    </row>
    <row r="286" spans="4:5" ht="13.5" customHeight="1" x14ac:dyDescent="0.25">
      <c r="D286" s="95"/>
      <c r="E286" s="95"/>
    </row>
    <row r="287" spans="4:5" ht="13.5" customHeight="1" x14ac:dyDescent="0.25">
      <c r="D287" s="95"/>
      <c r="E287" s="95"/>
    </row>
    <row r="288" spans="4:5" ht="13.5" customHeight="1" x14ac:dyDescent="0.25">
      <c r="D288" s="95"/>
      <c r="E288" s="95"/>
    </row>
    <row r="289" spans="4:5" ht="13.5" customHeight="1" x14ac:dyDescent="0.25">
      <c r="D289" s="95"/>
      <c r="E289" s="95"/>
    </row>
    <row r="290" spans="4:5" ht="13.5" customHeight="1" x14ac:dyDescent="0.25">
      <c r="D290" s="95"/>
      <c r="E290" s="95"/>
    </row>
    <row r="291" spans="4:5" ht="13.5" customHeight="1" x14ac:dyDescent="0.25">
      <c r="D291" s="95"/>
      <c r="E291" s="95"/>
    </row>
    <row r="292" spans="4:5" ht="13.5" customHeight="1" x14ac:dyDescent="0.25">
      <c r="D292" s="95"/>
      <c r="E292" s="95"/>
    </row>
    <row r="293" spans="4:5" ht="13.5" customHeight="1" x14ac:dyDescent="0.25">
      <c r="D293" s="95"/>
      <c r="E293" s="95"/>
    </row>
    <row r="294" spans="4:5" ht="13.5" customHeight="1" x14ac:dyDescent="0.25">
      <c r="D294" s="95"/>
      <c r="E294" s="95"/>
    </row>
    <row r="295" spans="4:5" ht="13.5" customHeight="1" x14ac:dyDescent="0.25">
      <c r="D295" s="95"/>
      <c r="E295" s="95"/>
    </row>
    <row r="296" spans="4:5" ht="13.5" customHeight="1" x14ac:dyDescent="0.25">
      <c r="D296" s="95"/>
      <c r="E296" s="95"/>
    </row>
    <row r="297" spans="4:5" ht="13.5" customHeight="1" x14ac:dyDescent="0.25">
      <c r="D297" s="95"/>
      <c r="E297" s="95"/>
    </row>
    <row r="298" spans="4:5" ht="13.5" customHeight="1" x14ac:dyDescent="0.25">
      <c r="D298" s="95"/>
      <c r="E298" s="95"/>
    </row>
    <row r="299" spans="4:5" ht="13.5" customHeight="1" x14ac:dyDescent="0.25">
      <c r="D299" s="95"/>
      <c r="E299" s="95"/>
    </row>
    <row r="300" spans="4:5" ht="13.5" customHeight="1" x14ac:dyDescent="0.25">
      <c r="D300" s="95"/>
      <c r="E300" s="95"/>
    </row>
    <row r="301" spans="4:5" ht="13.5" customHeight="1" x14ac:dyDescent="0.25">
      <c r="D301" s="95"/>
      <c r="E301" s="95"/>
    </row>
    <row r="302" spans="4:5" ht="13.5" customHeight="1" x14ac:dyDescent="0.25">
      <c r="D302" s="95"/>
      <c r="E302" s="95"/>
    </row>
    <row r="303" spans="4:5" ht="13.5" customHeight="1" x14ac:dyDescent="0.25">
      <c r="D303" s="95"/>
      <c r="E303" s="95"/>
    </row>
    <row r="304" spans="4:5" ht="13.5" customHeight="1" x14ac:dyDescent="0.25">
      <c r="D304" s="95"/>
      <c r="E304" s="95"/>
    </row>
    <row r="305" spans="4:5" ht="13.5" customHeight="1" x14ac:dyDescent="0.25">
      <c r="D305" s="95"/>
      <c r="E305" s="95"/>
    </row>
    <row r="306" spans="4:5" ht="13.5" customHeight="1" x14ac:dyDescent="0.25">
      <c r="D306" s="95"/>
      <c r="E306" s="95"/>
    </row>
    <row r="307" spans="4:5" ht="13.5" customHeight="1" x14ac:dyDescent="0.25">
      <c r="D307" s="95"/>
      <c r="E307" s="95"/>
    </row>
    <row r="308" spans="4:5" ht="13.5" customHeight="1" x14ac:dyDescent="0.25">
      <c r="D308" s="95"/>
      <c r="E308" s="95"/>
    </row>
    <row r="309" spans="4:5" ht="13.5" customHeight="1" x14ac:dyDescent="0.25">
      <c r="D309" s="95"/>
      <c r="E309" s="95"/>
    </row>
    <row r="310" spans="4:5" ht="13.5" customHeight="1" x14ac:dyDescent="0.25">
      <c r="D310" s="95"/>
      <c r="E310" s="95"/>
    </row>
    <row r="311" spans="4:5" ht="13.5" customHeight="1" x14ac:dyDescent="0.25">
      <c r="D311" s="95"/>
      <c r="E311" s="95"/>
    </row>
    <row r="312" spans="4:5" ht="13.5" customHeight="1" x14ac:dyDescent="0.25">
      <c r="D312" s="95"/>
      <c r="E312" s="95"/>
    </row>
    <row r="313" spans="4:5" ht="13.5" customHeight="1" x14ac:dyDescent="0.25">
      <c r="D313" s="95"/>
      <c r="E313" s="95"/>
    </row>
    <row r="314" spans="4:5" ht="13.5" customHeight="1" x14ac:dyDescent="0.25">
      <c r="D314" s="95"/>
      <c r="E314" s="95"/>
    </row>
    <row r="315" spans="4:5" ht="13.5" customHeight="1" x14ac:dyDescent="0.25">
      <c r="D315" s="95"/>
      <c r="E315" s="95"/>
    </row>
    <row r="316" spans="4:5" ht="13.5" customHeight="1" x14ac:dyDescent="0.25">
      <c r="D316" s="95"/>
      <c r="E316" s="95"/>
    </row>
    <row r="317" spans="4:5" ht="13.5" customHeight="1" x14ac:dyDescent="0.25">
      <c r="D317" s="95"/>
      <c r="E317" s="95"/>
    </row>
    <row r="318" spans="4:5" ht="13.5" customHeight="1" x14ac:dyDescent="0.25">
      <c r="D318" s="95"/>
      <c r="E318" s="95"/>
    </row>
    <row r="319" spans="4:5" ht="13.5" customHeight="1" x14ac:dyDescent="0.25">
      <c r="D319" s="95"/>
      <c r="E319" s="95"/>
    </row>
    <row r="320" spans="4:5" ht="13.5" customHeight="1" x14ac:dyDescent="0.25">
      <c r="D320" s="95"/>
      <c r="E320" s="95"/>
    </row>
    <row r="321" spans="4:5" ht="13.5" customHeight="1" x14ac:dyDescent="0.25">
      <c r="D321" s="95"/>
      <c r="E321" s="95"/>
    </row>
    <row r="322" spans="4:5" ht="13.5" customHeight="1" x14ac:dyDescent="0.25">
      <c r="D322" s="95"/>
      <c r="E322" s="95"/>
    </row>
    <row r="323" spans="4:5" ht="13.5" customHeight="1" x14ac:dyDescent="0.25">
      <c r="D323" s="95"/>
      <c r="E323" s="95"/>
    </row>
    <row r="324" spans="4:5" ht="13.5" customHeight="1" x14ac:dyDescent="0.25">
      <c r="D324" s="95"/>
      <c r="E324" s="95"/>
    </row>
    <row r="325" spans="4:5" ht="13.5" customHeight="1" x14ac:dyDescent="0.25">
      <c r="D325" s="95"/>
      <c r="E325" s="95"/>
    </row>
    <row r="326" spans="4:5" ht="13.5" customHeight="1" x14ac:dyDescent="0.25">
      <c r="D326" s="95"/>
      <c r="E326" s="95"/>
    </row>
    <row r="327" spans="4:5" ht="13.5" customHeight="1" x14ac:dyDescent="0.25">
      <c r="D327" s="95"/>
      <c r="E327" s="95"/>
    </row>
    <row r="328" spans="4:5" ht="13.5" customHeight="1" x14ac:dyDescent="0.25">
      <c r="D328" s="95"/>
      <c r="E328" s="95"/>
    </row>
    <row r="329" spans="4:5" ht="13.5" customHeight="1" x14ac:dyDescent="0.25">
      <c r="D329" s="95"/>
      <c r="E329" s="95"/>
    </row>
    <row r="330" spans="4:5" ht="13.5" customHeight="1" x14ac:dyDescent="0.25">
      <c r="D330" s="95"/>
      <c r="E330" s="95"/>
    </row>
    <row r="331" spans="4:5" ht="13.5" customHeight="1" x14ac:dyDescent="0.25">
      <c r="D331" s="95"/>
      <c r="E331" s="95"/>
    </row>
    <row r="332" spans="4:5" ht="13.5" customHeight="1" x14ac:dyDescent="0.25">
      <c r="D332" s="95"/>
      <c r="E332" s="95"/>
    </row>
    <row r="333" spans="4:5" ht="13.5" customHeight="1" x14ac:dyDescent="0.25">
      <c r="D333" s="95"/>
      <c r="E333" s="95"/>
    </row>
    <row r="334" spans="4:5" ht="13.5" customHeight="1" x14ac:dyDescent="0.25">
      <c r="D334" s="95"/>
      <c r="E334" s="95"/>
    </row>
    <row r="335" spans="4:5" ht="13.5" customHeight="1" x14ac:dyDescent="0.25">
      <c r="D335" s="95"/>
      <c r="E335" s="95"/>
    </row>
    <row r="336" spans="4:5" ht="13.5" customHeight="1" x14ac:dyDescent="0.25">
      <c r="D336" s="95"/>
      <c r="E336" s="95"/>
    </row>
    <row r="337" spans="4:5" ht="13.5" customHeight="1" x14ac:dyDescent="0.25">
      <c r="D337" s="95"/>
      <c r="E337" s="95"/>
    </row>
    <row r="338" spans="4:5" ht="13.5" customHeight="1" x14ac:dyDescent="0.25">
      <c r="D338" s="95"/>
      <c r="E338" s="95"/>
    </row>
    <row r="339" spans="4:5" ht="13.5" customHeight="1" x14ac:dyDescent="0.25">
      <c r="D339" s="95"/>
      <c r="E339" s="95"/>
    </row>
    <row r="340" spans="4:5" ht="13.5" customHeight="1" x14ac:dyDescent="0.25">
      <c r="D340" s="95"/>
      <c r="E340" s="95"/>
    </row>
    <row r="341" spans="4:5" ht="13.5" customHeight="1" x14ac:dyDescent="0.25">
      <c r="D341" s="95"/>
      <c r="E341" s="95"/>
    </row>
    <row r="342" spans="4:5" ht="13.5" customHeight="1" x14ac:dyDescent="0.25">
      <c r="D342" s="95"/>
      <c r="E342" s="95"/>
    </row>
    <row r="343" spans="4:5" ht="13.5" customHeight="1" x14ac:dyDescent="0.25">
      <c r="D343" s="95"/>
      <c r="E343" s="95"/>
    </row>
    <row r="344" spans="4:5" ht="13.5" customHeight="1" x14ac:dyDescent="0.25">
      <c r="D344" s="95"/>
      <c r="E344" s="95"/>
    </row>
    <row r="345" spans="4:5" ht="13.5" customHeight="1" x14ac:dyDescent="0.25">
      <c r="D345" s="95"/>
      <c r="E345" s="95"/>
    </row>
    <row r="346" spans="4:5" ht="13.5" customHeight="1" x14ac:dyDescent="0.25">
      <c r="D346" s="95"/>
      <c r="E346" s="95"/>
    </row>
    <row r="347" spans="4:5" ht="13.5" customHeight="1" x14ac:dyDescent="0.25">
      <c r="D347" s="95"/>
      <c r="E347" s="95"/>
    </row>
    <row r="348" spans="4:5" ht="13.5" customHeight="1" x14ac:dyDescent="0.25">
      <c r="D348" s="95"/>
      <c r="E348" s="95"/>
    </row>
    <row r="349" spans="4:5" ht="13.5" customHeight="1" x14ac:dyDescent="0.25">
      <c r="D349" s="95"/>
      <c r="E349" s="95"/>
    </row>
    <row r="350" spans="4:5" ht="13.5" customHeight="1" x14ac:dyDescent="0.25">
      <c r="D350" s="95"/>
      <c r="E350" s="95"/>
    </row>
    <row r="351" spans="4:5" ht="13.5" customHeight="1" x14ac:dyDescent="0.25">
      <c r="D351" s="95"/>
      <c r="E351" s="95"/>
    </row>
    <row r="352" spans="4:5" ht="13.5" customHeight="1" x14ac:dyDescent="0.25">
      <c r="D352" s="95"/>
      <c r="E352" s="95"/>
    </row>
    <row r="353" spans="4:5" ht="13.5" customHeight="1" x14ac:dyDescent="0.25">
      <c r="D353" s="95"/>
      <c r="E353" s="95"/>
    </row>
    <row r="354" spans="4:5" ht="13.5" customHeight="1" x14ac:dyDescent="0.25">
      <c r="D354" s="95"/>
      <c r="E354" s="95"/>
    </row>
    <row r="355" spans="4:5" ht="13.5" customHeight="1" x14ac:dyDescent="0.25">
      <c r="D355" s="95"/>
      <c r="E355" s="95"/>
    </row>
    <row r="356" spans="4:5" ht="13.5" customHeight="1" x14ac:dyDescent="0.25">
      <c r="D356" s="95"/>
      <c r="E356" s="95"/>
    </row>
    <row r="357" spans="4:5" ht="13.5" customHeight="1" x14ac:dyDescent="0.25">
      <c r="D357" s="95"/>
      <c r="E357" s="95"/>
    </row>
    <row r="358" spans="4:5" ht="13.5" customHeight="1" x14ac:dyDescent="0.25">
      <c r="D358" s="95"/>
      <c r="E358" s="95"/>
    </row>
    <row r="359" spans="4:5" ht="13.5" customHeight="1" x14ac:dyDescent="0.25">
      <c r="D359" s="95"/>
      <c r="E359" s="95"/>
    </row>
    <row r="360" spans="4:5" ht="13.5" customHeight="1" x14ac:dyDescent="0.25">
      <c r="D360" s="95"/>
      <c r="E360" s="95"/>
    </row>
    <row r="361" spans="4:5" ht="13.5" customHeight="1" x14ac:dyDescent="0.25">
      <c r="D361" s="95"/>
      <c r="E361" s="95"/>
    </row>
    <row r="362" spans="4:5" ht="13.5" customHeight="1" x14ac:dyDescent="0.25">
      <c r="D362" s="95"/>
      <c r="E362" s="95"/>
    </row>
    <row r="363" spans="4:5" ht="13.5" customHeight="1" x14ac:dyDescent="0.25">
      <c r="D363" s="95"/>
      <c r="E363" s="95"/>
    </row>
    <row r="364" spans="4:5" ht="13.5" customHeight="1" x14ac:dyDescent="0.25">
      <c r="D364" s="95"/>
      <c r="E364" s="95"/>
    </row>
    <row r="365" spans="4:5" ht="13.5" customHeight="1" x14ac:dyDescent="0.25">
      <c r="D365" s="95"/>
      <c r="E365" s="95"/>
    </row>
    <row r="366" spans="4:5" ht="13.5" customHeight="1" x14ac:dyDescent="0.25">
      <c r="D366" s="95"/>
      <c r="E366" s="95"/>
    </row>
    <row r="367" spans="4:5" ht="13.5" customHeight="1" x14ac:dyDescent="0.25">
      <c r="D367" s="95"/>
      <c r="E367" s="95"/>
    </row>
    <row r="368" spans="4:5" ht="13.5" customHeight="1" x14ac:dyDescent="0.25">
      <c r="D368" s="95"/>
      <c r="E368" s="95"/>
    </row>
    <row r="369" spans="4:5" ht="13.5" customHeight="1" x14ac:dyDescent="0.25">
      <c r="D369" s="95"/>
      <c r="E369" s="95"/>
    </row>
    <row r="370" spans="4:5" ht="13.5" customHeight="1" x14ac:dyDescent="0.25">
      <c r="D370" s="95"/>
      <c r="E370" s="95"/>
    </row>
    <row r="371" spans="4:5" ht="13.5" customHeight="1" x14ac:dyDescent="0.25">
      <c r="D371" s="95"/>
      <c r="E371" s="95"/>
    </row>
    <row r="372" spans="4:5" ht="13.5" customHeight="1" x14ac:dyDescent="0.25">
      <c r="D372" s="95"/>
      <c r="E372" s="95"/>
    </row>
    <row r="373" spans="4:5" ht="13.5" customHeight="1" x14ac:dyDescent="0.25">
      <c r="D373" s="95"/>
      <c r="E373" s="95"/>
    </row>
    <row r="374" spans="4:5" ht="13.5" customHeight="1" x14ac:dyDescent="0.25">
      <c r="D374" s="95"/>
      <c r="E374" s="95"/>
    </row>
    <row r="375" spans="4:5" ht="13.5" customHeight="1" x14ac:dyDescent="0.25">
      <c r="D375" s="95"/>
      <c r="E375" s="95"/>
    </row>
    <row r="376" spans="4:5" ht="13.5" customHeight="1" x14ac:dyDescent="0.25">
      <c r="D376" s="95"/>
      <c r="E376" s="95"/>
    </row>
    <row r="377" spans="4:5" ht="13.5" customHeight="1" x14ac:dyDescent="0.25">
      <c r="D377" s="95"/>
      <c r="E377" s="95"/>
    </row>
    <row r="378" spans="4:5" ht="13.5" customHeight="1" x14ac:dyDescent="0.25">
      <c r="D378" s="95"/>
      <c r="E378" s="95"/>
    </row>
    <row r="379" spans="4:5" ht="13.5" customHeight="1" x14ac:dyDescent="0.25">
      <c r="D379" s="95"/>
      <c r="E379" s="95"/>
    </row>
    <row r="380" spans="4:5" ht="13.5" customHeight="1" x14ac:dyDescent="0.25">
      <c r="D380" s="95"/>
      <c r="E380" s="95"/>
    </row>
    <row r="381" spans="4:5" ht="13.5" customHeight="1" x14ac:dyDescent="0.25">
      <c r="D381" s="95"/>
      <c r="E381" s="95"/>
    </row>
    <row r="382" spans="4:5" ht="13.5" customHeight="1" x14ac:dyDescent="0.25">
      <c r="D382" s="95"/>
      <c r="E382" s="95"/>
    </row>
    <row r="383" spans="4:5" ht="13.5" customHeight="1" x14ac:dyDescent="0.25">
      <c r="D383" s="95"/>
      <c r="E383" s="95"/>
    </row>
  </sheetData>
  <mergeCells count="3">
    <mergeCell ref="B2:B4"/>
    <mergeCell ref="D2:D3"/>
    <mergeCell ref="D11:D12"/>
  </mergeCells>
  <phoneticPr fontId="1" type="noConversion"/>
  <printOptions horizontalCentered="1"/>
  <pageMargins left="0" right="0" top="0.33" bottom="0.81" header="0.63" footer="0.37"/>
  <pageSetup paperSize="9" fitToHeight="20" orientation="landscape" r:id="rId1"/>
  <headerFooter alignWithMargins="0">
    <oddFooter>&amp;L&amp;"Arial,Gras"CHARIER  GT Confidentiel&amp;RPage &amp;P sur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31F9D-077C-42D4-8598-9FE3B6A4DF2E}">
  <sheetPr codeName="Feuil27">
    <tabColor indexed="52"/>
    <pageSetUpPr fitToPage="1"/>
  </sheetPr>
  <dimension ref="A2:I299"/>
  <sheetViews>
    <sheetView showZeros="0" zoomScale="85" zoomScaleNormal="100" workbookViewId="0">
      <pane xSplit="3" ySplit="12" topLeftCell="D13" activePane="bottomRight" state="frozen"/>
      <selection pane="topRight" activeCell="D1" sqref="D1"/>
      <selection pane="bottomLeft" activeCell="A13" sqref="A13"/>
      <selection pane="bottomRight" activeCell="D22" sqref="D22"/>
    </sheetView>
  </sheetViews>
  <sheetFormatPr baseColWidth="10" defaultColWidth="11.42578125" defaultRowHeight="13.5" customHeight="1" x14ac:dyDescent="0.25"/>
  <cols>
    <col min="1" max="1" width="5" style="3" customWidth="1"/>
    <col min="2" max="2" width="59" style="4" customWidth="1"/>
    <col min="3" max="3" width="9.140625" style="4" customWidth="1"/>
    <col min="4" max="5" width="21.5703125" style="16" customWidth="1"/>
    <col min="6" max="16384" width="11.42578125" style="4"/>
  </cols>
  <sheetData>
    <row r="2" spans="1:9" ht="24" customHeight="1" x14ac:dyDescent="0.25">
      <c r="B2" s="449" t="s">
        <v>472</v>
      </c>
      <c r="D2" s="450" t="s">
        <v>60</v>
      </c>
      <c r="E2" s="8"/>
    </row>
    <row r="3" spans="1:9" ht="13.5" customHeight="1" x14ac:dyDescent="0.25">
      <c r="B3" s="449"/>
      <c r="D3" s="450"/>
      <c r="E3" s="8"/>
    </row>
    <row r="4" spans="1:9" ht="13.5" customHeight="1" x14ac:dyDescent="0.25">
      <c r="B4" s="449"/>
    </row>
    <row r="5" spans="1:9" ht="15.75" customHeight="1" x14ac:dyDescent="0.25">
      <c r="D5" s="4"/>
      <c r="E5" s="4"/>
      <c r="I5" s="4">
        <v>0.65</v>
      </c>
    </row>
    <row r="6" spans="1:9" ht="15.75" customHeight="1" x14ac:dyDescent="0.25">
      <c r="D6" s="4"/>
      <c r="E6" s="4"/>
    </row>
    <row r="7" spans="1:9" ht="15.75" customHeight="1" x14ac:dyDescent="0.25"/>
    <row r="8" spans="1:9" ht="15.75" customHeight="1" thickBot="1" x14ac:dyDescent="0.3"/>
    <row r="9" spans="1:9" ht="23.25" customHeight="1" x14ac:dyDescent="0.25">
      <c r="D9" s="34" t="s">
        <v>375</v>
      </c>
      <c r="E9" s="35"/>
    </row>
    <row r="10" spans="1:9" ht="19.5" customHeight="1" thickBot="1" x14ac:dyDescent="0.3">
      <c r="D10" s="36"/>
      <c r="E10" s="37"/>
    </row>
    <row r="11" spans="1:9" ht="26.25" customHeight="1" x14ac:dyDescent="0.25">
      <c r="A11" s="38"/>
      <c r="C11" s="38"/>
      <c r="D11" s="462"/>
      <c r="E11" s="43"/>
    </row>
    <row r="12" spans="1:9" ht="20.25" customHeight="1" thickBot="1" x14ac:dyDescent="0.3">
      <c r="A12" s="38"/>
      <c r="C12" s="38"/>
      <c r="D12" s="464"/>
      <c r="E12" s="48"/>
    </row>
    <row r="13" spans="1:9" ht="18" customHeight="1" x14ac:dyDescent="0.25">
      <c r="A13" s="132"/>
      <c r="B13" s="137"/>
      <c r="C13" s="59"/>
      <c r="D13" s="190" t="s">
        <v>376</v>
      </c>
      <c r="E13" s="59"/>
    </row>
    <row r="14" spans="1:9" ht="18" customHeight="1" x14ac:dyDescent="0.25">
      <c r="A14" s="125"/>
      <c r="B14" s="138" t="s">
        <v>473</v>
      </c>
      <c r="C14" s="70"/>
      <c r="D14" s="191" t="s">
        <v>377</v>
      </c>
      <c r="E14" s="70"/>
    </row>
    <row r="15" spans="1:9" ht="18" customHeight="1" thickBot="1" x14ac:dyDescent="0.3">
      <c r="A15" s="125"/>
      <c r="B15" s="139"/>
      <c r="C15" s="92"/>
      <c r="D15" s="92"/>
      <c r="E15" s="70" t="s">
        <v>474</v>
      </c>
      <c r="F15" s="4" t="s">
        <v>475</v>
      </c>
    </row>
    <row r="16" spans="1:9" ht="18" customHeight="1" x14ac:dyDescent="0.25">
      <c r="A16" s="125"/>
      <c r="B16" s="134"/>
      <c r="C16" s="123"/>
      <c r="D16" s="135"/>
      <c r="E16" s="70"/>
    </row>
    <row r="17" spans="1:6" ht="18" customHeight="1" x14ac:dyDescent="0.25">
      <c r="A17" s="125"/>
      <c r="B17" s="128" t="s">
        <v>476</v>
      </c>
      <c r="C17" s="123" t="s">
        <v>477</v>
      </c>
      <c r="D17" s="164">
        <v>105</v>
      </c>
      <c r="E17" s="22" t="s">
        <v>478</v>
      </c>
    </row>
    <row r="18" spans="1:6" ht="18" customHeight="1" x14ac:dyDescent="0.25">
      <c r="A18" s="125"/>
      <c r="B18" s="128" t="s">
        <v>479</v>
      </c>
      <c r="C18" s="123" t="s">
        <v>477</v>
      </c>
      <c r="D18" s="164">
        <v>150</v>
      </c>
      <c r="E18" s="22" t="s">
        <v>478</v>
      </c>
    </row>
    <row r="19" spans="1:6" ht="18" customHeight="1" x14ac:dyDescent="0.25">
      <c r="A19" s="125"/>
      <c r="B19" s="128" t="s">
        <v>480</v>
      </c>
      <c r="C19" s="123" t="s">
        <v>477</v>
      </c>
      <c r="D19" s="164">
        <v>105</v>
      </c>
      <c r="E19" s="22" t="s">
        <v>478</v>
      </c>
    </row>
    <row r="20" spans="1:6" ht="18" customHeight="1" x14ac:dyDescent="0.25">
      <c r="A20" s="125"/>
      <c r="B20" s="128" t="s">
        <v>481</v>
      </c>
      <c r="C20" s="123" t="s">
        <v>477</v>
      </c>
      <c r="D20" s="164">
        <v>150</v>
      </c>
      <c r="E20" s="22" t="s">
        <v>478</v>
      </c>
    </row>
    <row r="21" spans="1:6" ht="18" customHeight="1" x14ac:dyDescent="0.25">
      <c r="A21" s="125"/>
      <c r="B21" s="128" t="s">
        <v>482</v>
      </c>
      <c r="C21" s="123" t="s">
        <v>64</v>
      </c>
      <c r="D21" s="136">
        <v>250</v>
      </c>
      <c r="E21" s="22" t="s">
        <v>483</v>
      </c>
    </row>
    <row r="22" spans="1:6" ht="18" customHeight="1" x14ac:dyDescent="0.25">
      <c r="A22" s="125"/>
      <c r="B22" s="128" t="s">
        <v>484</v>
      </c>
      <c r="C22" s="123" t="s">
        <v>64</v>
      </c>
      <c r="D22" s="136">
        <v>15.15</v>
      </c>
      <c r="E22" s="22" t="s">
        <v>483</v>
      </c>
      <c r="F22" s="4" t="s">
        <v>485</v>
      </c>
    </row>
    <row r="23" spans="1:6" ht="18" customHeight="1" x14ac:dyDescent="0.25">
      <c r="A23" s="125"/>
      <c r="B23" s="128" t="s">
        <v>486</v>
      </c>
      <c r="C23" s="123" t="s">
        <v>64</v>
      </c>
      <c r="D23" s="168">
        <v>3570</v>
      </c>
      <c r="E23" s="22" t="s">
        <v>487</v>
      </c>
      <c r="F23" s="4" t="s">
        <v>488</v>
      </c>
    </row>
    <row r="24" spans="1:6" ht="18" customHeight="1" x14ac:dyDescent="0.25">
      <c r="A24" s="125"/>
      <c r="B24" s="188" t="s">
        <v>489</v>
      </c>
      <c r="C24" s="189" t="s">
        <v>64</v>
      </c>
      <c r="D24" s="168">
        <v>49</v>
      </c>
      <c r="E24" s="22" t="s">
        <v>490</v>
      </c>
      <c r="F24" s="4" t="s">
        <v>491</v>
      </c>
    </row>
    <row r="25" spans="1:6" ht="18" customHeight="1" x14ac:dyDescent="0.25">
      <c r="A25" s="125"/>
      <c r="B25" s="128" t="s">
        <v>492</v>
      </c>
      <c r="C25" s="123" t="s">
        <v>64</v>
      </c>
      <c r="D25" s="136">
        <v>1280</v>
      </c>
      <c r="E25" s="22" t="s">
        <v>483</v>
      </c>
    </row>
    <row r="26" spans="1:6" ht="18" customHeight="1" x14ac:dyDescent="0.25">
      <c r="A26" s="125"/>
      <c r="B26" s="128" t="s">
        <v>493</v>
      </c>
      <c r="C26" s="133" t="s">
        <v>69</v>
      </c>
      <c r="D26" s="164">
        <v>85</v>
      </c>
      <c r="E26" s="22" t="s">
        <v>494</v>
      </c>
    </row>
    <row r="27" spans="1:6" ht="18" customHeight="1" x14ac:dyDescent="0.25">
      <c r="A27" s="125"/>
      <c r="B27" s="128" t="s">
        <v>495</v>
      </c>
      <c r="C27" s="123" t="s">
        <v>64</v>
      </c>
      <c r="D27" s="164">
        <v>1000</v>
      </c>
      <c r="E27" s="22" t="s">
        <v>483</v>
      </c>
    </row>
    <row r="28" spans="1:6" ht="18" customHeight="1" x14ac:dyDescent="0.25">
      <c r="A28" s="125"/>
      <c r="B28" s="128" t="s">
        <v>496</v>
      </c>
      <c r="C28" s="124" t="s">
        <v>69</v>
      </c>
      <c r="D28" s="164">
        <v>62.5</v>
      </c>
      <c r="E28" s="22" t="s">
        <v>494</v>
      </c>
    </row>
    <row r="29" spans="1:6" ht="18" customHeight="1" x14ac:dyDescent="0.25">
      <c r="A29" s="125"/>
      <c r="B29" s="128" t="s">
        <v>497</v>
      </c>
      <c r="C29" s="124" t="s">
        <v>69</v>
      </c>
      <c r="D29" s="164">
        <v>45</v>
      </c>
      <c r="E29" s="22" t="s">
        <v>494</v>
      </c>
    </row>
    <row r="30" spans="1:6" ht="18" customHeight="1" thickBot="1" x14ac:dyDescent="0.3">
      <c r="A30" s="125"/>
      <c r="B30" s="129"/>
      <c r="C30" s="130"/>
      <c r="D30" s="131"/>
      <c r="E30" s="70"/>
    </row>
    <row r="31" spans="1:6" ht="13.5" customHeight="1" x14ac:dyDescent="0.25">
      <c r="D31" s="95"/>
      <c r="E31" s="95"/>
    </row>
    <row r="32" spans="1:6" ht="13.5" customHeight="1" x14ac:dyDescent="0.25">
      <c r="D32" s="95"/>
      <c r="E32" s="95"/>
    </row>
    <row r="33" spans="4:5" ht="13.5" customHeight="1" x14ac:dyDescent="0.25">
      <c r="D33" s="95"/>
      <c r="E33" s="95"/>
    </row>
    <row r="34" spans="4:5" ht="13.5" customHeight="1" x14ac:dyDescent="0.25">
      <c r="D34" s="95"/>
      <c r="E34" s="95"/>
    </row>
    <row r="35" spans="4:5" ht="13.5" customHeight="1" x14ac:dyDescent="0.25">
      <c r="D35" s="95"/>
      <c r="E35" s="95"/>
    </row>
    <row r="36" spans="4:5" ht="13.5" customHeight="1" x14ac:dyDescent="0.25">
      <c r="D36" s="95"/>
      <c r="E36" s="95"/>
    </row>
    <row r="37" spans="4:5" ht="13.5" customHeight="1" x14ac:dyDescent="0.25">
      <c r="D37" s="95"/>
      <c r="E37" s="95"/>
    </row>
    <row r="38" spans="4:5" ht="13.5" customHeight="1" x14ac:dyDescent="0.25">
      <c r="D38" s="95"/>
      <c r="E38" s="95"/>
    </row>
    <row r="39" spans="4:5" ht="13.5" customHeight="1" x14ac:dyDescent="0.25">
      <c r="D39" s="95"/>
      <c r="E39" s="95"/>
    </row>
    <row r="40" spans="4:5" ht="13.5" customHeight="1" x14ac:dyDescent="0.25">
      <c r="D40" s="95"/>
      <c r="E40" s="95"/>
    </row>
    <row r="41" spans="4:5" ht="13.5" customHeight="1" x14ac:dyDescent="0.25">
      <c r="D41" s="95"/>
      <c r="E41" s="95"/>
    </row>
    <row r="42" spans="4:5" ht="13.5" customHeight="1" x14ac:dyDescent="0.25">
      <c r="D42" s="95"/>
      <c r="E42" s="95"/>
    </row>
    <row r="43" spans="4:5" ht="13.5" customHeight="1" x14ac:dyDescent="0.25">
      <c r="D43" s="95"/>
      <c r="E43" s="95"/>
    </row>
    <row r="44" spans="4:5" ht="13.5" customHeight="1" x14ac:dyDescent="0.25">
      <c r="D44" s="95"/>
      <c r="E44" s="95"/>
    </row>
    <row r="45" spans="4:5" ht="13.5" customHeight="1" x14ac:dyDescent="0.25">
      <c r="D45" s="95"/>
      <c r="E45" s="95"/>
    </row>
    <row r="46" spans="4:5" ht="13.5" customHeight="1" x14ac:dyDescent="0.25">
      <c r="D46" s="95"/>
      <c r="E46" s="95"/>
    </row>
    <row r="47" spans="4:5" ht="13.5" customHeight="1" x14ac:dyDescent="0.25">
      <c r="D47" s="95"/>
      <c r="E47" s="95"/>
    </row>
    <row r="48" spans="4:5" ht="13.5" customHeight="1" x14ac:dyDescent="0.25">
      <c r="D48" s="95"/>
      <c r="E48" s="95"/>
    </row>
    <row r="49" spans="4:5" ht="13.5" customHeight="1" x14ac:dyDescent="0.25">
      <c r="D49" s="95"/>
      <c r="E49" s="95"/>
    </row>
    <row r="50" spans="4:5" ht="13.5" customHeight="1" x14ac:dyDescent="0.25">
      <c r="D50" s="95"/>
      <c r="E50" s="95"/>
    </row>
    <row r="51" spans="4:5" ht="13.5" customHeight="1" x14ac:dyDescent="0.25">
      <c r="D51" s="95"/>
      <c r="E51" s="95"/>
    </row>
    <row r="52" spans="4:5" ht="13.5" customHeight="1" x14ac:dyDescent="0.25">
      <c r="D52" s="95"/>
      <c r="E52" s="95"/>
    </row>
    <row r="53" spans="4:5" ht="13.5" customHeight="1" x14ac:dyDescent="0.25">
      <c r="D53" s="95"/>
      <c r="E53" s="95"/>
    </row>
    <row r="54" spans="4:5" ht="13.5" customHeight="1" x14ac:dyDescent="0.25">
      <c r="D54" s="95"/>
      <c r="E54" s="95"/>
    </row>
    <row r="55" spans="4:5" ht="13.5" customHeight="1" x14ac:dyDescent="0.25">
      <c r="D55" s="95"/>
      <c r="E55" s="95"/>
    </row>
    <row r="56" spans="4:5" ht="13.5" customHeight="1" x14ac:dyDescent="0.25">
      <c r="D56" s="95"/>
      <c r="E56" s="95"/>
    </row>
    <row r="57" spans="4:5" ht="13.5" customHeight="1" x14ac:dyDescent="0.25">
      <c r="D57" s="95"/>
      <c r="E57" s="95"/>
    </row>
    <row r="58" spans="4:5" ht="13.5" customHeight="1" x14ac:dyDescent="0.25">
      <c r="D58" s="95"/>
      <c r="E58" s="95"/>
    </row>
    <row r="59" spans="4:5" ht="13.5" customHeight="1" x14ac:dyDescent="0.25">
      <c r="D59" s="95"/>
      <c r="E59" s="95"/>
    </row>
    <row r="60" spans="4:5" ht="13.5" customHeight="1" x14ac:dyDescent="0.25">
      <c r="D60" s="95"/>
      <c r="E60" s="95"/>
    </row>
    <row r="61" spans="4:5" ht="13.5" customHeight="1" x14ac:dyDescent="0.25">
      <c r="D61" s="95"/>
      <c r="E61" s="95"/>
    </row>
    <row r="62" spans="4:5" ht="13.5" customHeight="1" x14ac:dyDescent="0.25">
      <c r="D62" s="95"/>
      <c r="E62" s="95"/>
    </row>
    <row r="63" spans="4:5" ht="13.5" customHeight="1" x14ac:dyDescent="0.25">
      <c r="D63" s="95"/>
      <c r="E63" s="95"/>
    </row>
    <row r="64" spans="4:5" ht="13.5" customHeight="1" x14ac:dyDescent="0.25">
      <c r="D64" s="95"/>
      <c r="E64" s="95"/>
    </row>
    <row r="65" spans="4:5" ht="13.5" customHeight="1" x14ac:dyDescent="0.25">
      <c r="D65" s="95"/>
      <c r="E65" s="95"/>
    </row>
    <row r="66" spans="4:5" ht="13.5" customHeight="1" x14ac:dyDescent="0.25">
      <c r="D66" s="95"/>
      <c r="E66" s="95"/>
    </row>
    <row r="67" spans="4:5" ht="13.5" customHeight="1" x14ac:dyDescent="0.25">
      <c r="D67" s="95"/>
      <c r="E67" s="95"/>
    </row>
    <row r="68" spans="4:5" ht="13.5" customHeight="1" x14ac:dyDescent="0.25">
      <c r="D68" s="95"/>
      <c r="E68" s="95"/>
    </row>
    <row r="69" spans="4:5" ht="13.5" customHeight="1" x14ac:dyDescent="0.25">
      <c r="D69" s="95"/>
      <c r="E69" s="95"/>
    </row>
    <row r="70" spans="4:5" ht="13.5" customHeight="1" x14ac:dyDescent="0.25">
      <c r="D70" s="95"/>
      <c r="E70" s="95"/>
    </row>
    <row r="71" spans="4:5" ht="13.5" customHeight="1" x14ac:dyDescent="0.25">
      <c r="D71" s="95"/>
      <c r="E71" s="95"/>
    </row>
    <row r="72" spans="4:5" ht="13.5" customHeight="1" x14ac:dyDescent="0.25">
      <c r="D72" s="95"/>
      <c r="E72" s="95"/>
    </row>
    <row r="73" spans="4:5" ht="13.5" customHeight="1" x14ac:dyDescent="0.25">
      <c r="D73" s="95"/>
      <c r="E73" s="95"/>
    </row>
    <row r="74" spans="4:5" ht="13.5" customHeight="1" x14ac:dyDescent="0.25">
      <c r="D74" s="95"/>
      <c r="E74" s="95"/>
    </row>
    <row r="75" spans="4:5" ht="13.5" customHeight="1" x14ac:dyDescent="0.25">
      <c r="D75" s="95"/>
      <c r="E75" s="95"/>
    </row>
    <row r="76" spans="4:5" ht="13.5" customHeight="1" x14ac:dyDescent="0.25">
      <c r="D76" s="95"/>
      <c r="E76" s="95"/>
    </row>
    <row r="77" spans="4:5" ht="13.5" customHeight="1" x14ac:dyDescent="0.25">
      <c r="D77" s="95"/>
      <c r="E77" s="95"/>
    </row>
    <row r="78" spans="4:5" ht="13.5" customHeight="1" x14ac:dyDescent="0.25">
      <c r="D78" s="95"/>
      <c r="E78" s="95"/>
    </row>
    <row r="79" spans="4:5" ht="13.5" customHeight="1" x14ac:dyDescent="0.25">
      <c r="D79" s="95"/>
      <c r="E79" s="95"/>
    </row>
    <row r="80" spans="4:5" ht="13.5" customHeight="1" x14ac:dyDescent="0.25">
      <c r="D80" s="95"/>
      <c r="E80" s="95"/>
    </row>
    <row r="81" spans="4:5" ht="13.5" customHeight="1" x14ac:dyDescent="0.25">
      <c r="D81" s="95"/>
      <c r="E81" s="95"/>
    </row>
    <row r="82" spans="4:5" ht="13.5" customHeight="1" x14ac:dyDescent="0.25">
      <c r="D82" s="95"/>
      <c r="E82" s="95"/>
    </row>
    <row r="83" spans="4:5" ht="13.5" customHeight="1" x14ac:dyDescent="0.25">
      <c r="D83" s="95"/>
      <c r="E83" s="95"/>
    </row>
    <row r="84" spans="4:5" ht="13.5" customHeight="1" x14ac:dyDescent="0.25">
      <c r="D84" s="95"/>
      <c r="E84" s="95"/>
    </row>
    <row r="85" spans="4:5" ht="13.5" customHeight="1" x14ac:dyDescent="0.25">
      <c r="D85" s="95"/>
      <c r="E85" s="95"/>
    </row>
    <row r="86" spans="4:5" ht="13.5" customHeight="1" x14ac:dyDescent="0.25">
      <c r="D86" s="95"/>
      <c r="E86" s="95"/>
    </row>
    <row r="87" spans="4:5" ht="13.5" customHeight="1" x14ac:dyDescent="0.25">
      <c r="D87" s="95"/>
      <c r="E87" s="95"/>
    </row>
    <row r="88" spans="4:5" ht="13.5" customHeight="1" x14ac:dyDescent="0.25">
      <c r="D88" s="95"/>
      <c r="E88" s="95"/>
    </row>
    <row r="89" spans="4:5" ht="13.5" customHeight="1" x14ac:dyDescent="0.25">
      <c r="D89" s="95"/>
      <c r="E89" s="95"/>
    </row>
    <row r="90" spans="4:5" ht="13.5" customHeight="1" x14ac:dyDescent="0.25">
      <c r="D90" s="95"/>
      <c r="E90" s="95"/>
    </row>
    <row r="91" spans="4:5" ht="13.5" customHeight="1" x14ac:dyDescent="0.25">
      <c r="D91" s="95"/>
      <c r="E91" s="95"/>
    </row>
    <row r="92" spans="4:5" ht="13.5" customHeight="1" x14ac:dyDescent="0.25">
      <c r="D92" s="95"/>
      <c r="E92" s="95"/>
    </row>
    <row r="93" spans="4:5" ht="13.5" customHeight="1" x14ac:dyDescent="0.25">
      <c r="D93" s="95"/>
      <c r="E93" s="95"/>
    </row>
    <row r="94" spans="4:5" ht="13.5" customHeight="1" x14ac:dyDescent="0.25">
      <c r="D94" s="95"/>
      <c r="E94" s="95"/>
    </row>
    <row r="95" spans="4:5" ht="13.5" customHeight="1" x14ac:dyDescent="0.25">
      <c r="D95" s="95"/>
      <c r="E95" s="95"/>
    </row>
    <row r="96" spans="4:5" ht="13.5" customHeight="1" x14ac:dyDescent="0.25">
      <c r="D96" s="95"/>
      <c r="E96" s="95"/>
    </row>
    <row r="97" spans="4:5" ht="13.5" customHeight="1" x14ac:dyDescent="0.25">
      <c r="D97" s="95"/>
      <c r="E97" s="95"/>
    </row>
    <row r="98" spans="4:5" ht="13.5" customHeight="1" x14ac:dyDescent="0.25">
      <c r="D98" s="95"/>
      <c r="E98" s="95"/>
    </row>
    <row r="99" spans="4:5" ht="13.5" customHeight="1" x14ac:dyDescent="0.25">
      <c r="D99" s="95"/>
      <c r="E99" s="95"/>
    </row>
    <row r="100" spans="4:5" ht="13.5" customHeight="1" x14ac:dyDescent="0.25">
      <c r="D100" s="95"/>
      <c r="E100" s="95"/>
    </row>
    <row r="101" spans="4:5" ht="13.5" customHeight="1" x14ac:dyDescent="0.25">
      <c r="D101" s="95"/>
      <c r="E101" s="95"/>
    </row>
    <row r="102" spans="4:5" ht="13.5" customHeight="1" x14ac:dyDescent="0.25">
      <c r="D102" s="95"/>
      <c r="E102" s="95"/>
    </row>
    <row r="103" spans="4:5" ht="13.5" customHeight="1" x14ac:dyDescent="0.25">
      <c r="D103" s="95"/>
      <c r="E103" s="95"/>
    </row>
    <row r="104" spans="4:5" ht="13.5" customHeight="1" x14ac:dyDescent="0.25">
      <c r="D104" s="95"/>
      <c r="E104" s="95"/>
    </row>
    <row r="105" spans="4:5" ht="13.5" customHeight="1" x14ac:dyDescent="0.25">
      <c r="D105" s="95"/>
      <c r="E105" s="95"/>
    </row>
    <row r="106" spans="4:5" ht="13.5" customHeight="1" x14ac:dyDescent="0.25">
      <c r="D106" s="95"/>
      <c r="E106" s="95"/>
    </row>
    <row r="107" spans="4:5" ht="13.5" customHeight="1" x14ac:dyDescent="0.25">
      <c r="D107" s="95"/>
      <c r="E107" s="95"/>
    </row>
    <row r="108" spans="4:5" ht="13.5" customHeight="1" x14ac:dyDescent="0.25">
      <c r="D108" s="95"/>
      <c r="E108" s="95"/>
    </row>
    <row r="109" spans="4:5" ht="13.5" customHeight="1" x14ac:dyDescent="0.25">
      <c r="D109" s="95"/>
      <c r="E109" s="95"/>
    </row>
    <row r="110" spans="4:5" ht="13.5" customHeight="1" x14ac:dyDescent="0.25">
      <c r="D110" s="95"/>
      <c r="E110" s="95"/>
    </row>
    <row r="111" spans="4:5" ht="13.5" customHeight="1" x14ac:dyDescent="0.25">
      <c r="D111" s="95"/>
      <c r="E111" s="95"/>
    </row>
    <row r="112" spans="4:5" ht="13.5" customHeight="1" x14ac:dyDescent="0.25">
      <c r="D112" s="95"/>
      <c r="E112" s="95"/>
    </row>
    <row r="113" spans="4:5" ht="13.5" customHeight="1" x14ac:dyDescent="0.25">
      <c r="D113" s="95"/>
      <c r="E113" s="95"/>
    </row>
    <row r="114" spans="4:5" ht="13.5" customHeight="1" x14ac:dyDescent="0.25">
      <c r="D114" s="95"/>
      <c r="E114" s="95"/>
    </row>
    <row r="115" spans="4:5" ht="13.5" customHeight="1" x14ac:dyDescent="0.25">
      <c r="D115" s="95"/>
      <c r="E115" s="95"/>
    </row>
    <row r="116" spans="4:5" ht="13.5" customHeight="1" x14ac:dyDescent="0.25">
      <c r="D116" s="95"/>
      <c r="E116" s="95"/>
    </row>
    <row r="117" spans="4:5" ht="13.5" customHeight="1" x14ac:dyDescent="0.25">
      <c r="D117" s="95"/>
      <c r="E117" s="95"/>
    </row>
    <row r="118" spans="4:5" ht="13.5" customHeight="1" x14ac:dyDescent="0.25">
      <c r="D118" s="95"/>
      <c r="E118" s="95"/>
    </row>
    <row r="119" spans="4:5" ht="13.5" customHeight="1" x14ac:dyDescent="0.25">
      <c r="D119" s="95"/>
      <c r="E119" s="95"/>
    </row>
    <row r="120" spans="4:5" ht="13.5" customHeight="1" x14ac:dyDescent="0.25">
      <c r="D120" s="95"/>
      <c r="E120" s="95"/>
    </row>
    <row r="121" spans="4:5" ht="13.5" customHeight="1" x14ac:dyDescent="0.25">
      <c r="D121" s="95"/>
      <c r="E121" s="95"/>
    </row>
    <row r="122" spans="4:5" ht="13.5" customHeight="1" x14ac:dyDescent="0.25">
      <c r="D122" s="95"/>
      <c r="E122" s="95"/>
    </row>
    <row r="123" spans="4:5" ht="13.5" customHeight="1" x14ac:dyDescent="0.25">
      <c r="D123" s="95"/>
      <c r="E123" s="95"/>
    </row>
    <row r="124" spans="4:5" ht="13.5" customHeight="1" x14ac:dyDescent="0.25">
      <c r="D124" s="95"/>
      <c r="E124" s="95"/>
    </row>
    <row r="125" spans="4:5" ht="13.5" customHeight="1" x14ac:dyDescent="0.25">
      <c r="D125" s="95"/>
      <c r="E125" s="95"/>
    </row>
    <row r="126" spans="4:5" ht="13.5" customHeight="1" x14ac:dyDescent="0.25">
      <c r="D126" s="95"/>
      <c r="E126" s="95"/>
    </row>
    <row r="127" spans="4:5" ht="13.5" customHeight="1" x14ac:dyDescent="0.25">
      <c r="D127" s="95"/>
      <c r="E127" s="95"/>
    </row>
    <row r="128" spans="4:5" ht="13.5" customHeight="1" x14ac:dyDescent="0.25">
      <c r="D128" s="95"/>
      <c r="E128" s="95"/>
    </row>
    <row r="129" spans="4:5" ht="13.5" customHeight="1" x14ac:dyDescent="0.25">
      <c r="D129" s="95"/>
      <c r="E129" s="95"/>
    </row>
    <row r="130" spans="4:5" ht="13.5" customHeight="1" x14ac:dyDescent="0.25">
      <c r="D130" s="95"/>
      <c r="E130" s="95"/>
    </row>
    <row r="131" spans="4:5" ht="13.5" customHeight="1" x14ac:dyDescent="0.25">
      <c r="D131" s="95"/>
      <c r="E131" s="95"/>
    </row>
    <row r="132" spans="4:5" ht="13.5" customHeight="1" x14ac:dyDescent="0.25">
      <c r="D132" s="95"/>
      <c r="E132" s="95"/>
    </row>
    <row r="133" spans="4:5" ht="13.5" customHeight="1" x14ac:dyDescent="0.25">
      <c r="D133" s="95"/>
      <c r="E133" s="95"/>
    </row>
    <row r="134" spans="4:5" ht="13.5" customHeight="1" x14ac:dyDescent="0.25">
      <c r="D134" s="95"/>
      <c r="E134" s="95"/>
    </row>
    <row r="135" spans="4:5" ht="13.5" customHeight="1" x14ac:dyDescent="0.25">
      <c r="D135" s="95"/>
      <c r="E135" s="95"/>
    </row>
    <row r="136" spans="4:5" ht="13.5" customHeight="1" x14ac:dyDescent="0.25">
      <c r="D136" s="95"/>
      <c r="E136" s="95"/>
    </row>
    <row r="137" spans="4:5" ht="13.5" customHeight="1" x14ac:dyDescent="0.25">
      <c r="D137" s="95"/>
      <c r="E137" s="95"/>
    </row>
    <row r="138" spans="4:5" ht="13.5" customHeight="1" x14ac:dyDescent="0.25">
      <c r="D138" s="95"/>
      <c r="E138" s="95"/>
    </row>
    <row r="139" spans="4:5" ht="13.5" customHeight="1" x14ac:dyDescent="0.25">
      <c r="D139" s="95"/>
      <c r="E139" s="95"/>
    </row>
    <row r="140" spans="4:5" ht="13.5" customHeight="1" x14ac:dyDescent="0.25">
      <c r="D140" s="95"/>
      <c r="E140" s="95"/>
    </row>
    <row r="141" spans="4:5" ht="13.5" customHeight="1" x14ac:dyDescent="0.25">
      <c r="D141" s="95"/>
      <c r="E141" s="95"/>
    </row>
    <row r="142" spans="4:5" ht="13.5" customHeight="1" x14ac:dyDescent="0.25">
      <c r="D142" s="95"/>
      <c r="E142" s="95"/>
    </row>
    <row r="143" spans="4:5" ht="13.5" customHeight="1" x14ac:dyDescent="0.25">
      <c r="D143" s="95"/>
      <c r="E143" s="95"/>
    </row>
    <row r="144" spans="4:5" ht="13.5" customHeight="1" x14ac:dyDescent="0.25">
      <c r="D144" s="95"/>
      <c r="E144" s="95"/>
    </row>
    <row r="145" spans="4:5" ht="13.5" customHeight="1" x14ac:dyDescent="0.25">
      <c r="D145" s="95"/>
      <c r="E145" s="95"/>
    </row>
    <row r="146" spans="4:5" ht="13.5" customHeight="1" x14ac:dyDescent="0.25">
      <c r="D146" s="95"/>
      <c r="E146" s="95"/>
    </row>
    <row r="147" spans="4:5" ht="13.5" customHeight="1" x14ac:dyDescent="0.25">
      <c r="D147" s="95"/>
      <c r="E147" s="95"/>
    </row>
    <row r="148" spans="4:5" ht="13.5" customHeight="1" x14ac:dyDescent="0.25">
      <c r="D148" s="95"/>
      <c r="E148" s="95"/>
    </row>
    <row r="149" spans="4:5" ht="13.5" customHeight="1" x14ac:dyDescent="0.25">
      <c r="D149" s="95"/>
      <c r="E149" s="95"/>
    </row>
    <row r="150" spans="4:5" ht="13.5" customHeight="1" x14ac:dyDescent="0.25">
      <c r="D150" s="95"/>
      <c r="E150" s="95"/>
    </row>
    <row r="151" spans="4:5" ht="13.5" customHeight="1" x14ac:dyDescent="0.25">
      <c r="D151" s="95"/>
      <c r="E151" s="95"/>
    </row>
    <row r="152" spans="4:5" ht="13.5" customHeight="1" x14ac:dyDescent="0.25">
      <c r="D152" s="95"/>
      <c r="E152" s="95"/>
    </row>
    <row r="153" spans="4:5" ht="13.5" customHeight="1" x14ac:dyDescent="0.25">
      <c r="D153" s="95"/>
      <c r="E153" s="95"/>
    </row>
    <row r="154" spans="4:5" ht="13.5" customHeight="1" x14ac:dyDescent="0.25">
      <c r="D154" s="95"/>
      <c r="E154" s="95"/>
    </row>
    <row r="155" spans="4:5" ht="13.5" customHeight="1" x14ac:dyDescent="0.25">
      <c r="D155" s="95"/>
      <c r="E155" s="95"/>
    </row>
    <row r="156" spans="4:5" ht="13.5" customHeight="1" x14ac:dyDescent="0.25">
      <c r="D156" s="95"/>
      <c r="E156" s="95"/>
    </row>
    <row r="157" spans="4:5" ht="13.5" customHeight="1" x14ac:dyDescent="0.25">
      <c r="D157" s="95"/>
      <c r="E157" s="95"/>
    </row>
    <row r="158" spans="4:5" ht="13.5" customHeight="1" x14ac:dyDescent="0.25">
      <c r="D158" s="95"/>
      <c r="E158" s="95"/>
    </row>
    <row r="159" spans="4:5" ht="13.5" customHeight="1" x14ac:dyDescent="0.25">
      <c r="D159" s="95"/>
      <c r="E159" s="95"/>
    </row>
    <row r="160" spans="4:5" ht="13.5" customHeight="1" x14ac:dyDescent="0.25">
      <c r="D160" s="95"/>
      <c r="E160" s="95"/>
    </row>
    <row r="161" spans="4:5" ht="13.5" customHeight="1" x14ac:dyDescent="0.25">
      <c r="D161" s="95"/>
      <c r="E161" s="95"/>
    </row>
    <row r="162" spans="4:5" ht="13.5" customHeight="1" x14ac:dyDescent="0.25">
      <c r="D162" s="95"/>
      <c r="E162" s="95"/>
    </row>
    <row r="163" spans="4:5" ht="13.5" customHeight="1" x14ac:dyDescent="0.25">
      <c r="D163" s="95"/>
      <c r="E163" s="95"/>
    </row>
    <row r="164" spans="4:5" ht="13.5" customHeight="1" x14ac:dyDescent="0.25">
      <c r="D164" s="95"/>
      <c r="E164" s="95"/>
    </row>
    <row r="165" spans="4:5" ht="13.5" customHeight="1" x14ac:dyDescent="0.25">
      <c r="D165" s="95"/>
      <c r="E165" s="95"/>
    </row>
    <row r="166" spans="4:5" ht="13.5" customHeight="1" x14ac:dyDescent="0.25">
      <c r="D166" s="95"/>
      <c r="E166" s="95"/>
    </row>
    <row r="167" spans="4:5" ht="13.5" customHeight="1" x14ac:dyDescent="0.25">
      <c r="D167" s="95"/>
      <c r="E167" s="95"/>
    </row>
    <row r="168" spans="4:5" ht="13.5" customHeight="1" x14ac:dyDescent="0.25">
      <c r="D168" s="95"/>
      <c r="E168" s="95"/>
    </row>
    <row r="169" spans="4:5" ht="13.5" customHeight="1" x14ac:dyDescent="0.25">
      <c r="D169" s="95"/>
      <c r="E169" s="95"/>
    </row>
    <row r="170" spans="4:5" ht="13.5" customHeight="1" x14ac:dyDescent="0.25">
      <c r="D170" s="95"/>
      <c r="E170" s="95"/>
    </row>
    <row r="171" spans="4:5" ht="13.5" customHeight="1" x14ac:dyDescent="0.25">
      <c r="D171" s="95"/>
      <c r="E171" s="95"/>
    </row>
    <row r="172" spans="4:5" ht="13.5" customHeight="1" x14ac:dyDescent="0.25">
      <c r="D172" s="95"/>
      <c r="E172" s="95"/>
    </row>
    <row r="173" spans="4:5" ht="13.5" customHeight="1" x14ac:dyDescent="0.25">
      <c r="D173" s="95"/>
      <c r="E173" s="95"/>
    </row>
    <row r="174" spans="4:5" ht="13.5" customHeight="1" x14ac:dyDescent="0.25">
      <c r="D174" s="95"/>
      <c r="E174" s="95"/>
    </row>
    <row r="175" spans="4:5" ht="13.5" customHeight="1" x14ac:dyDescent="0.25">
      <c r="D175" s="95"/>
      <c r="E175" s="95"/>
    </row>
    <row r="176" spans="4:5" ht="13.5" customHeight="1" x14ac:dyDescent="0.25">
      <c r="D176" s="95"/>
      <c r="E176" s="95"/>
    </row>
    <row r="177" spans="4:5" ht="13.5" customHeight="1" x14ac:dyDescent="0.25">
      <c r="D177" s="95"/>
      <c r="E177" s="95"/>
    </row>
    <row r="178" spans="4:5" ht="13.5" customHeight="1" x14ac:dyDescent="0.25">
      <c r="D178" s="95"/>
      <c r="E178" s="95"/>
    </row>
    <row r="179" spans="4:5" ht="13.5" customHeight="1" x14ac:dyDescent="0.25">
      <c r="D179" s="95"/>
      <c r="E179" s="95"/>
    </row>
    <row r="180" spans="4:5" ht="13.5" customHeight="1" x14ac:dyDescent="0.25">
      <c r="D180" s="95"/>
      <c r="E180" s="95"/>
    </row>
    <row r="181" spans="4:5" ht="13.5" customHeight="1" x14ac:dyDescent="0.25">
      <c r="D181" s="95"/>
      <c r="E181" s="95"/>
    </row>
    <row r="182" spans="4:5" ht="13.5" customHeight="1" x14ac:dyDescent="0.25">
      <c r="D182" s="95"/>
      <c r="E182" s="95"/>
    </row>
    <row r="183" spans="4:5" ht="13.5" customHeight="1" x14ac:dyDescent="0.25">
      <c r="D183" s="95"/>
      <c r="E183" s="95"/>
    </row>
    <row r="184" spans="4:5" ht="13.5" customHeight="1" x14ac:dyDescent="0.25">
      <c r="D184" s="95"/>
      <c r="E184" s="95"/>
    </row>
    <row r="185" spans="4:5" ht="13.5" customHeight="1" x14ac:dyDescent="0.25">
      <c r="D185" s="95"/>
      <c r="E185" s="95"/>
    </row>
    <row r="186" spans="4:5" ht="13.5" customHeight="1" x14ac:dyDescent="0.25">
      <c r="D186" s="95"/>
      <c r="E186" s="95"/>
    </row>
    <row r="187" spans="4:5" ht="13.5" customHeight="1" x14ac:dyDescent="0.25">
      <c r="D187" s="95"/>
      <c r="E187" s="95"/>
    </row>
    <row r="188" spans="4:5" ht="13.5" customHeight="1" x14ac:dyDescent="0.25">
      <c r="D188" s="95"/>
      <c r="E188" s="95"/>
    </row>
    <row r="189" spans="4:5" ht="13.5" customHeight="1" x14ac:dyDescent="0.25">
      <c r="D189" s="95"/>
      <c r="E189" s="95"/>
    </row>
    <row r="190" spans="4:5" ht="13.5" customHeight="1" x14ac:dyDescent="0.25">
      <c r="D190" s="95"/>
      <c r="E190" s="95"/>
    </row>
    <row r="191" spans="4:5" ht="13.5" customHeight="1" x14ac:dyDescent="0.25">
      <c r="D191" s="95"/>
      <c r="E191" s="95"/>
    </row>
    <row r="192" spans="4:5" ht="13.5" customHeight="1" x14ac:dyDescent="0.25">
      <c r="D192" s="95"/>
      <c r="E192" s="95"/>
    </row>
    <row r="193" spans="4:5" ht="13.5" customHeight="1" x14ac:dyDescent="0.25">
      <c r="D193" s="95"/>
      <c r="E193" s="95"/>
    </row>
    <row r="194" spans="4:5" ht="13.5" customHeight="1" x14ac:dyDescent="0.25">
      <c r="D194" s="95"/>
      <c r="E194" s="95"/>
    </row>
    <row r="195" spans="4:5" ht="13.5" customHeight="1" x14ac:dyDescent="0.25">
      <c r="D195" s="95"/>
      <c r="E195" s="95"/>
    </row>
    <row r="196" spans="4:5" ht="13.5" customHeight="1" x14ac:dyDescent="0.25">
      <c r="D196" s="95"/>
      <c r="E196" s="95"/>
    </row>
    <row r="197" spans="4:5" ht="13.5" customHeight="1" x14ac:dyDescent="0.25">
      <c r="D197" s="95"/>
      <c r="E197" s="95"/>
    </row>
    <row r="198" spans="4:5" ht="13.5" customHeight="1" x14ac:dyDescent="0.25">
      <c r="D198" s="95"/>
      <c r="E198" s="95"/>
    </row>
    <row r="199" spans="4:5" ht="13.5" customHeight="1" x14ac:dyDescent="0.25">
      <c r="D199" s="95"/>
      <c r="E199" s="95"/>
    </row>
    <row r="200" spans="4:5" ht="13.5" customHeight="1" x14ac:dyDescent="0.25">
      <c r="D200" s="95"/>
      <c r="E200" s="95"/>
    </row>
    <row r="201" spans="4:5" ht="13.5" customHeight="1" x14ac:dyDescent="0.25">
      <c r="D201" s="95"/>
      <c r="E201" s="95"/>
    </row>
    <row r="202" spans="4:5" ht="13.5" customHeight="1" x14ac:dyDescent="0.25">
      <c r="D202" s="95"/>
      <c r="E202" s="95"/>
    </row>
    <row r="203" spans="4:5" ht="13.5" customHeight="1" x14ac:dyDescent="0.25">
      <c r="D203" s="95"/>
      <c r="E203" s="95"/>
    </row>
    <row r="204" spans="4:5" ht="13.5" customHeight="1" x14ac:dyDescent="0.25">
      <c r="D204" s="95"/>
      <c r="E204" s="95"/>
    </row>
    <row r="205" spans="4:5" ht="13.5" customHeight="1" x14ac:dyDescent="0.25">
      <c r="D205" s="95"/>
      <c r="E205" s="95"/>
    </row>
    <row r="206" spans="4:5" ht="13.5" customHeight="1" x14ac:dyDescent="0.25">
      <c r="D206" s="95"/>
      <c r="E206" s="95"/>
    </row>
    <row r="207" spans="4:5" ht="13.5" customHeight="1" x14ac:dyDescent="0.25">
      <c r="D207" s="95"/>
      <c r="E207" s="95"/>
    </row>
    <row r="208" spans="4:5" ht="13.5" customHeight="1" x14ac:dyDescent="0.25">
      <c r="D208" s="95"/>
      <c r="E208" s="95"/>
    </row>
    <row r="209" spans="4:5" ht="13.5" customHeight="1" x14ac:dyDescent="0.25">
      <c r="D209" s="95"/>
      <c r="E209" s="95"/>
    </row>
    <row r="210" spans="4:5" ht="13.5" customHeight="1" x14ac:dyDescent="0.25">
      <c r="D210" s="95"/>
      <c r="E210" s="95"/>
    </row>
    <row r="211" spans="4:5" ht="13.5" customHeight="1" x14ac:dyDescent="0.25">
      <c r="D211" s="95"/>
      <c r="E211" s="95"/>
    </row>
    <row r="212" spans="4:5" ht="13.5" customHeight="1" x14ac:dyDescent="0.25">
      <c r="D212" s="95"/>
      <c r="E212" s="95"/>
    </row>
    <row r="213" spans="4:5" ht="13.5" customHeight="1" x14ac:dyDescent="0.25">
      <c r="D213" s="95"/>
      <c r="E213" s="95"/>
    </row>
    <row r="214" spans="4:5" ht="13.5" customHeight="1" x14ac:dyDescent="0.25">
      <c r="D214" s="95"/>
      <c r="E214" s="95"/>
    </row>
    <row r="215" spans="4:5" ht="13.5" customHeight="1" x14ac:dyDescent="0.25">
      <c r="D215" s="95"/>
      <c r="E215" s="95"/>
    </row>
    <row r="216" spans="4:5" ht="13.5" customHeight="1" x14ac:dyDescent="0.25">
      <c r="D216" s="95"/>
      <c r="E216" s="95"/>
    </row>
    <row r="217" spans="4:5" ht="13.5" customHeight="1" x14ac:dyDescent="0.25">
      <c r="D217" s="95"/>
      <c r="E217" s="95"/>
    </row>
    <row r="218" spans="4:5" ht="13.5" customHeight="1" x14ac:dyDescent="0.25">
      <c r="D218" s="95"/>
      <c r="E218" s="95"/>
    </row>
    <row r="219" spans="4:5" ht="13.5" customHeight="1" x14ac:dyDescent="0.25">
      <c r="D219" s="95"/>
      <c r="E219" s="95"/>
    </row>
    <row r="220" spans="4:5" ht="13.5" customHeight="1" x14ac:dyDescent="0.25">
      <c r="D220" s="95"/>
      <c r="E220" s="95"/>
    </row>
    <row r="221" spans="4:5" ht="13.5" customHeight="1" x14ac:dyDescent="0.25">
      <c r="D221" s="95"/>
      <c r="E221" s="95"/>
    </row>
    <row r="222" spans="4:5" ht="13.5" customHeight="1" x14ac:dyDescent="0.25">
      <c r="D222" s="95"/>
      <c r="E222" s="95"/>
    </row>
    <row r="223" spans="4:5" ht="13.5" customHeight="1" x14ac:dyDescent="0.25">
      <c r="D223" s="95"/>
      <c r="E223" s="95"/>
    </row>
    <row r="224" spans="4:5" ht="13.5" customHeight="1" x14ac:dyDescent="0.25">
      <c r="D224" s="95"/>
      <c r="E224" s="95"/>
    </row>
    <row r="225" spans="4:5" ht="13.5" customHeight="1" x14ac:dyDescent="0.25">
      <c r="D225" s="95"/>
      <c r="E225" s="95"/>
    </row>
    <row r="226" spans="4:5" ht="13.5" customHeight="1" x14ac:dyDescent="0.25">
      <c r="D226" s="95"/>
      <c r="E226" s="95"/>
    </row>
    <row r="227" spans="4:5" ht="13.5" customHeight="1" x14ac:dyDescent="0.25">
      <c r="D227" s="95"/>
      <c r="E227" s="95"/>
    </row>
    <row r="228" spans="4:5" ht="13.5" customHeight="1" x14ac:dyDescent="0.25">
      <c r="D228" s="95"/>
      <c r="E228" s="95"/>
    </row>
    <row r="229" spans="4:5" ht="13.5" customHeight="1" x14ac:dyDescent="0.25">
      <c r="D229" s="95"/>
      <c r="E229" s="95"/>
    </row>
    <row r="230" spans="4:5" ht="13.5" customHeight="1" x14ac:dyDescent="0.25">
      <c r="D230" s="95"/>
      <c r="E230" s="95"/>
    </row>
    <row r="231" spans="4:5" ht="13.5" customHeight="1" x14ac:dyDescent="0.25">
      <c r="D231" s="95"/>
      <c r="E231" s="95"/>
    </row>
    <row r="232" spans="4:5" ht="13.5" customHeight="1" x14ac:dyDescent="0.25">
      <c r="D232" s="95"/>
      <c r="E232" s="95"/>
    </row>
    <row r="233" spans="4:5" ht="13.5" customHeight="1" x14ac:dyDescent="0.25">
      <c r="D233" s="95"/>
      <c r="E233" s="95"/>
    </row>
    <row r="234" spans="4:5" ht="13.5" customHeight="1" x14ac:dyDescent="0.25">
      <c r="D234" s="95"/>
      <c r="E234" s="95"/>
    </row>
    <row r="235" spans="4:5" ht="13.5" customHeight="1" x14ac:dyDescent="0.25">
      <c r="D235" s="95"/>
      <c r="E235" s="95"/>
    </row>
    <row r="236" spans="4:5" ht="13.5" customHeight="1" x14ac:dyDescent="0.25">
      <c r="D236" s="95"/>
      <c r="E236" s="95"/>
    </row>
    <row r="237" spans="4:5" ht="13.5" customHeight="1" x14ac:dyDescent="0.25">
      <c r="D237" s="95"/>
      <c r="E237" s="95"/>
    </row>
    <row r="238" spans="4:5" ht="13.5" customHeight="1" x14ac:dyDescent="0.25">
      <c r="D238" s="95"/>
      <c r="E238" s="95"/>
    </row>
    <row r="239" spans="4:5" ht="13.5" customHeight="1" x14ac:dyDescent="0.25">
      <c r="D239" s="95"/>
      <c r="E239" s="95"/>
    </row>
    <row r="240" spans="4:5" ht="13.5" customHeight="1" x14ac:dyDescent="0.25">
      <c r="D240" s="95"/>
      <c r="E240" s="95"/>
    </row>
    <row r="241" spans="4:5" ht="13.5" customHeight="1" x14ac:dyDescent="0.25">
      <c r="D241" s="95"/>
      <c r="E241" s="95"/>
    </row>
    <row r="242" spans="4:5" ht="13.5" customHeight="1" x14ac:dyDescent="0.25">
      <c r="D242" s="95"/>
      <c r="E242" s="95"/>
    </row>
    <row r="243" spans="4:5" ht="13.5" customHeight="1" x14ac:dyDescent="0.25">
      <c r="D243" s="95"/>
      <c r="E243" s="95"/>
    </row>
    <row r="244" spans="4:5" ht="13.5" customHeight="1" x14ac:dyDescent="0.25">
      <c r="D244" s="95"/>
      <c r="E244" s="95"/>
    </row>
    <row r="245" spans="4:5" ht="13.5" customHeight="1" x14ac:dyDescent="0.25">
      <c r="D245" s="95"/>
      <c r="E245" s="95"/>
    </row>
    <row r="246" spans="4:5" ht="13.5" customHeight="1" x14ac:dyDescent="0.25">
      <c r="D246" s="95"/>
      <c r="E246" s="95"/>
    </row>
    <row r="247" spans="4:5" ht="13.5" customHeight="1" x14ac:dyDescent="0.25">
      <c r="D247" s="95"/>
      <c r="E247" s="95"/>
    </row>
    <row r="248" spans="4:5" ht="13.5" customHeight="1" x14ac:dyDescent="0.25">
      <c r="D248" s="95"/>
      <c r="E248" s="95"/>
    </row>
    <row r="249" spans="4:5" ht="13.5" customHeight="1" x14ac:dyDescent="0.25">
      <c r="D249" s="95"/>
      <c r="E249" s="95"/>
    </row>
    <row r="250" spans="4:5" ht="13.5" customHeight="1" x14ac:dyDescent="0.25">
      <c r="D250" s="95"/>
      <c r="E250" s="95"/>
    </row>
    <row r="251" spans="4:5" ht="13.5" customHeight="1" x14ac:dyDescent="0.25">
      <c r="D251" s="95"/>
      <c r="E251" s="95"/>
    </row>
    <row r="252" spans="4:5" ht="13.5" customHeight="1" x14ac:dyDescent="0.25">
      <c r="D252" s="95"/>
      <c r="E252" s="95"/>
    </row>
    <row r="253" spans="4:5" ht="13.5" customHeight="1" x14ac:dyDescent="0.25">
      <c r="D253" s="95"/>
      <c r="E253" s="95"/>
    </row>
    <row r="254" spans="4:5" ht="13.5" customHeight="1" x14ac:dyDescent="0.25">
      <c r="D254" s="95"/>
      <c r="E254" s="95"/>
    </row>
    <row r="255" spans="4:5" ht="13.5" customHeight="1" x14ac:dyDescent="0.25">
      <c r="D255" s="95"/>
      <c r="E255" s="95"/>
    </row>
    <row r="256" spans="4:5" ht="13.5" customHeight="1" x14ac:dyDescent="0.25">
      <c r="D256" s="95"/>
      <c r="E256" s="95"/>
    </row>
    <row r="257" spans="4:5" ht="13.5" customHeight="1" x14ac:dyDescent="0.25">
      <c r="D257" s="95"/>
      <c r="E257" s="95"/>
    </row>
    <row r="258" spans="4:5" ht="13.5" customHeight="1" x14ac:dyDescent="0.25">
      <c r="D258" s="95"/>
      <c r="E258" s="95"/>
    </row>
    <row r="259" spans="4:5" ht="13.5" customHeight="1" x14ac:dyDescent="0.25">
      <c r="D259" s="95"/>
      <c r="E259" s="95"/>
    </row>
    <row r="260" spans="4:5" ht="13.5" customHeight="1" x14ac:dyDescent="0.25">
      <c r="D260" s="95"/>
      <c r="E260" s="95"/>
    </row>
    <row r="261" spans="4:5" ht="13.5" customHeight="1" x14ac:dyDescent="0.25">
      <c r="D261" s="95"/>
      <c r="E261" s="95"/>
    </row>
    <row r="262" spans="4:5" ht="13.5" customHeight="1" x14ac:dyDescent="0.25">
      <c r="D262" s="95"/>
      <c r="E262" s="95"/>
    </row>
    <row r="263" spans="4:5" ht="13.5" customHeight="1" x14ac:dyDescent="0.25">
      <c r="D263" s="95"/>
      <c r="E263" s="95"/>
    </row>
    <row r="264" spans="4:5" ht="13.5" customHeight="1" x14ac:dyDescent="0.25">
      <c r="D264" s="95"/>
      <c r="E264" s="95"/>
    </row>
    <row r="265" spans="4:5" ht="13.5" customHeight="1" x14ac:dyDescent="0.25">
      <c r="D265" s="95"/>
      <c r="E265" s="95"/>
    </row>
    <row r="266" spans="4:5" ht="13.5" customHeight="1" x14ac:dyDescent="0.25">
      <c r="D266" s="95"/>
      <c r="E266" s="95"/>
    </row>
    <row r="267" spans="4:5" ht="13.5" customHeight="1" x14ac:dyDescent="0.25">
      <c r="D267" s="95"/>
      <c r="E267" s="95"/>
    </row>
    <row r="268" spans="4:5" ht="13.5" customHeight="1" x14ac:dyDescent="0.25">
      <c r="D268" s="95"/>
      <c r="E268" s="95"/>
    </row>
    <row r="269" spans="4:5" ht="13.5" customHeight="1" x14ac:dyDescent="0.25">
      <c r="D269" s="95"/>
      <c r="E269" s="95"/>
    </row>
    <row r="270" spans="4:5" ht="13.5" customHeight="1" x14ac:dyDescent="0.25">
      <c r="D270" s="95"/>
      <c r="E270" s="95"/>
    </row>
    <row r="271" spans="4:5" ht="13.5" customHeight="1" x14ac:dyDescent="0.25">
      <c r="D271" s="95"/>
      <c r="E271" s="95"/>
    </row>
    <row r="272" spans="4:5" ht="13.5" customHeight="1" x14ac:dyDescent="0.25">
      <c r="D272" s="95"/>
      <c r="E272" s="95"/>
    </row>
    <row r="273" spans="4:5" ht="13.5" customHeight="1" x14ac:dyDescent="0.25">
      <c r="D273" s="95"/>
      <c r="E273" s="95"/>
    </row>
    <row r="274" spans="4:5" ht="13.5" customHeight="1" x14ac:dyDescent="0.25">
      <c r="D274" s="95"/>
      <c r="E274" s="95"/>
    </row>
    <row r="275" spans="4:5" ht="13.5" customHeight="1" x14ac:dyDescent="0.25">
      <c r="D275" s="95"/>
      <c r="E275" s="95"/>
    </row>
    <row r="276" spans="4:5" ht="13.5" customHeight="1" x14ac:dyDescent="0.25">
      <c r="D276" s="95"/>
      <c r="E276" s="95"/>
    </row>
    <row r="277" spans="4:5" ht="13.5" customHeight="1" x14ac:dyDescent="0.25">
      <c r="D277" s="95"/>
      <c r="E277" s="95"/>
    </row>
    <row r="278" spans="4:5" ht="13.5" customHeight="1" x14ac:dyDescent="0.25">
      <c r="D278" s="95"/>
      <c r="E278" s="95"/>
    </row>
    <row r="279" spans="4:5" ht="13.5" customHeight="1" x14ac:dyDescent="0.25">
      <c r="D279" s="95"/>
      <c r="E279" s="95"/>
    </row>
    <row r="280" spans="4:5" ht="13.5" customHeight="1" x14ac:dyDescent="0.25">
      <c r="D280" s="95"/>
      <c r="E280" s="95"/>
    </row>
    <row r="281" spans="4:5" ht="13.5" customHeight="1" x14ac:dyDescent="0.25">
      <c r="D281" s="95"/>
      <c r="E281" s="95"/>
    </row>
    <row r="282" spans="4:5" ht="13.5" customHeight="1" x14ac:dyDescent="0.25">
      <c r="D282" s="95"/>
      <c r="E282" s="95"/>
    </row>
    <row r="283" spans="4:5" ht="13.5" customHeight="1" x14ac:dyDescent="0.25">
      <c r="D283" s="95"/>
      <c r="E283" s="95"/>
    </row>
    <row r="284" spans="4:5" ht="13.5" customHeight="1" x14ac:dyDescent="0.25">
      <c r="D284" s="95"/>
      <c r="E284" s="95"/>
    </row>
    <row r="285" spans="4:5" ht="13.5" customHeight="1" x14ac:dyDescent="0.25">
      <c r="D285" s="95"/>
      <c r="E285" s="95"/>
    </row>
    <row r="286" spans="4:5" ht="13.5" customHeight="1" x14ac:dyDescent="0.25">
      <c r="D286" s="95"/>
      <c r="E286" s="95"/>
    </row>
    <row r="287" spans="4:5" ht="13.5" customHeight="1" x14ac:dyDescent="0.25">
      <c r="D287" s="95"/>
      <c r="E287" s="95"/>
    </row>
    <row r="288" spans="4:5" ht="13.5" customHeight="1" x14ac:dyDescent="0.25">
      <c r="D288" s="95"/>
      <c r="E288" s="95"/>
    </row>
    <row r="289" spans="4:5" ht="13.5" customHeight="1" x14ac:dyDescent="0.25">
      <c r="D289" s="95"/>
      <c r="E289" s="95"/>
    </row>
    <row r="290" spans="4:5" ht="13.5" customHeight="1" x14ac:dyDescent="0.25">
      <c r="D290" s="95"/>
      <c r="E290" s="95"/>
    </row>
    <row r="291" spans="4:5" ht="13.5" customHeight="1" x14ac:dyDescent="0.25">
      <c r="D291" s="95"/>
      <c r="E291" s="95"/>
    </row>
    <row r="292" spans="4:5" ht="13.5" customHeight="1" x14ac:dyDescent="0.25">
      <c r="D292" s="95"/>
      <c r="E292" s="95"/>
    </row>
    <row r="293" spans="4:5" ht="13.5" customHeight="1" x14ac:dyDescent="0.25">
      <c r="D293" s="95"/>
      <c r="E293" s="95"/>
    </row>
    <row r="294" spans="4:5" ht="13.5" customHeight="1" x14ac:dyDescent="0.25">
      <c r="D294" s="95"/>
      <c r="E294" s="95"/>
    </row>
    <row r="295" spans="4:5" ht="13.5" customHeight="1" x14ac:dyDescent="0.25">
      <c r="D295" s="95"/>
      <c r="E295" s="95"/>
    </row>
    <row r="296" spans="4:5" ht="13.5" customHeight="1" x14ac:dyDescent="0.25">
      <c r="D296" s="95"/>
      <c r="E296" s="95"/>
    </row>
    <row r="297" spans="4:5" ht="13.5" customHeight="1" x14ac:dyDescent="0.25">
      <c r="D297" s="95"/>
      <c r="E297" s="95"/>
    </row>
    <row r="298" spans="4:5" ht="13.5" customHeight="1" x14ac:dyDescent="0.25">
      <c r="D298" s="95"/>
      <c r="E298" s="95"/>
    </row>
    <row r="299" spans="4:5" ht="13.5" customHeight="1" x14ac:dyDescent="0.25">
      <c r="D299" s="95"/>
      <c r="E299" s="95"/>
    </row>
  </sheetData>
  <mergeCells count="3">
    <mergeCell ref="B2:B4"/>
    <mergeCell ref="D2:D3"/>
    <mergeCell ref="D11:D12"/>
  </mergeCells>
  <phoneticPr fontId="1" type="noConversion"/>
  <printOptions horizontalCentered="1"/>
  <pageMargins left="0" right="0" top="0.33" bottom="0.81" header="0.63" footer="0.37"/>
  <pageSetup paperSize="9" scale="91" fitToHeight="20" orientation="landscape" r:id="rId1"/>
  <headerFooter alignWithMargins="0">
    <oddFooter>&amp;L&amp;"Arial,Gras"CHARIER  GT Confidentiel&amp;RPage &amp;P sur &amp;N</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31753-0B34-4C19-A3BE-A00C75C83F9B}">
  <sheetPr codeName="Feuil3">
    <tabColor indexed="42"/>
    <pageSetUpPr fitToPage="1"/>
  </sheetPr>
  <dimension ref="A1:J37"/>
  <sheetViews>
    <sheetView topLeftCell="C1" workbookViewId="0">
      <pane ySplit="1" topLeftCell="A2" activePane="bottomLeft" state="frozenSplit"/>
      <selection activeCell="C1" sqref="C1"/>
      <selection pane="bottomLeft" activeCell="J3" sqref="J3"/>
    </sheetView>
  </sheetViews>
  <sheetFormatPr baseColWidth="10" defaultColWidth="11.42578125" defaultRowHeight="12.75" x14ac:dyDescent="0.2"/>
  <cols>
    <col min="1" max="2" width="11.42578125" style="1" hidden="1" customWidth="1"/>
    <col min="3" max="4" width="11.42578125" style="1"/>
    <col min="5" max="5" width="8.140625" style="1" customWidth="1"/>
    <col min="6" max="16384" width="11.42578125" style="1"/>
  </cols>
  <sheetData>
    <row r="1" spans="1:10" s="2" customFormat="1" ht="13.5" thickBot="1" x14ac:dyDescent="0.25">
      <c r="A1" s="343" t="e">
        <f>#REF!</f>
        <v>#REF!</v>
      </c>
      <c r="B1" s="343" t="s">
        <v>498</v>
      </c>
      <c r="C1" s="343"/>
      <c r="D1" s="343"/>
      <c r="E1" s="343"/>
      <c r="F1" s="343"/>
      <c r="G1" s="343"/>
      <c r="H1" s="343"/>
      <c r="I1" s="343"/>
      <c r="J1" s="343"/>
    </row>
    <row r="2" spans="1:10" s="2" customFormat="1" ht="18.75" x14ac:dyDescent="0.2">
      <c r="A2" s="343" t="e">
        <f>#REF!</f>
        <v>#REF!</v>
      </c>
      <c r="B2" s="343" t="s">
        <v>498</v>
      </c>
      <c r="C2" s="343"/>
      <c r="D2" s="465" t="s">
        <v>499</v>
      </c>
      <c r="E2" s="466"/>
      <c r="F2" s="343"/>
      <c r="G2" s="375" t="s">
        <v>48</v>
      </c>
      <c r="H2" s="376"/>
      <c r="I2" s="376"/>
      <c r="J2" s="283">
        <v>0.18</v>
      </c>
    </row>
    <row r="3" spans="1:10" s="2" customFormat="1" ht="18.75" x14ac:dyDescent="0.2">
      <c r="A3" s="343" t="e">
        <f t="shared" ref="A3:A24" si="0">A2</f>
        <v>#REF!</v>
      </c>
      <c r="B3" s="343" t="s">
        <v>498</v>
      </c>
      <c r="C3" s="343"/>
      <c r="D3" s="121" t="s">
        <v>9</v>
      </c>
      <c r="E3" s="344">
        <v>1.2</v>
      </c>
      <c r="F3" s="343"/>
      <c r="G3" s="375" t="s">
        <v>51</v>
      </c>
      <c r="H3" s="376"/>
      <c r="I3" s="376"/>
      <c r="J3" s="283">
        <v>0.08</v>
      </c>
    </row>
    <row r="4" spans="1:10" s="2" customFormat="1" ht="19.5" thickBot="1" x14ac:dyDescent="0.25">
      <c r="A4" s="343" t="e">
        <f>A3</f>
        <v>#REF!</v>
      </c>
      <c r="B4" s="343" t="s">
        <v>498</v>
      </c>
      <c r="C4" s="343"/>
      <c r="D4" s="119" t="s">
        <v>6</v>
      </c>
      <c r="E4" s="344">
        <v>1.2</v>
      </c>
      <c r="F4" s="343"/>
      <c r="G4" s="375" t="s">
        <v>53</v>
      </c>
      <c r="H4" s="376"/>
      <c r="I4" s="376"/>
      <c r="J4" s="283">
        <v>0.05</v>
      </c>
    </row>
    <row r="5" spans="1:10" s="2" customFormat="1" ht="13.5" thickBot="1" x14ac:dyDescent="0.25">
      <c r="A5" s="343" t="e">
        <f t="shared" si="0"/>
        <v>#REF!</v>
      </c>
      <c r="B5" s="343" t="s">
        <v>498</v>
      </c>
      <c r="C5" s="343"/>
      <c r="D5" s="120" t="s">
        <v>500</v>
      </c>
      <c r="E5" s="344">
        <v>1.2</v>
      </c>
      <c r="F5" s="343"/>
      <c r="G5" s="414" t="s">
        <v>44</v>
      </c>
      <c r="H5" s="432">
        <v>0.18</v>
      </c>
      <c r="I5" s="343"/>
      <c r="J5" s="343"/>
    </row>
    <row r="6" spans="1:10" s="2" customFormat="1" ht="13.5" thickBot="1" x14ac:dyDescent="0.25">
      <c r="A6" s="343" t="e">
        <f t="shared" si="0"/>
        <v>#REF!</v>
      </c>
      <c r="B6" s="343" t="s">
        <v>498</v>
      </c>
      <c r="C6" s="343"/>
      <c r="D6" s="122" t="s">
        <v>8</v>
      </c>
      <c r="E6" s="344">
        <v>1.2</v>
      </c>
      <c r="F6" s="343"/>
      <c r="G6" s="414"/>
      <c r="H6" s="432"/>
      <c r="I6" s="343"/>
      <c r="J6" s="343"/>
    </row>
    <row r="7" spans="1:10" s="2" customFormat="1" x14ac:dyDescent="0.2">
      <c r="A7" s="343" t="e">
        <f>#REF!</f>
        <v>#REF!</v>
      </c>
      <c r="B7" s="343" t="s">
        <v>498</v>
      </c>
      <c r="C7" s="343"/>
      <c r="D7" s="343"/>
      <c r="E7" s="343"/>
      <c r="F7" s="343"/>
      <c r="G7" s="343"/>
      <c r="H7" s="343"/>
      <c r="I7" s="343"/>
      <c r="J7" s="343"/>
    </row>
    <row r="8" spans="1:10" s="2" customFormat="1" x14ac:dyDescent="0.2">
      <c r="A8" s="343" t="e">
        <f t="shared" si="0"/>
        <v>#REF!</v>
      </c>
      <c r="B8" s="343" t="s">
        <v>498</v>
      </c>
      <c r="C8" s="343"/>
      <c r="D8" s="343"/>
      <c r="E8" s="343"/>
      <c r="F8" s="343"/>
      <c r="G8" s="343"/>
      <c r="H8" s="343"/>
      <c r="I8" s="343"/>
      <c r="J8" s="343"/>
    </row>
    <row r="9" spans="1:10" s="2" customFormat="1" x14ac:dyDescent="0.2">
      <c r="A9" s="343" t="e">
        <f>A8</f>
        <v>#REF!</v>
      </c>
      <c r="B9" s="343" t="s">
        <v>498</v>
      </c>
      <c r="C9" s="343"/>
      <c r="D9" s="343"/>
      <c r="E9" s="343"/>
      <c r="F9" s="343"/>
      <c r="G9" s="343"/>
      <c r="H9" s="343"/>
      <c r="I9" s="343"/>
      <c r="J9" s="343"/>
    </row>
    <row r="10" spans="1:10" s="2" customFormat="1" x14ac:dyDescent="0.2">
      <c r="A10" s="343" t="e">
        <f>#REF!</f>
        <v>#REF!</v>
      </c>
      <c r="B10" s="343" t="s">
        <v>498</v>
      </c>
      <c r="C10" s="343"/>
      <c r="D10" s="343"/>
      <c r="E10" s="343"/>
      <c r="F10" s="343"/>
      <c r="G10" s="343"/>
      <c r="H10" s="343"/>
      <c r="I10" s="343"/>
      <c r="J10" s="343"/>
    </row>
    <row r="11" spans="1:10" s="2" customFormat="1" x14ac:dyDescent="0.2">
      <c r="A11" s="343" t="e">
        <f t="shared" si="0"/>
        <v>#REF!</v>
      </c>
      <c r="B11" s="343" t="s">
        <v>498</v>
      </c>
      <c r="C11" s="343"/>
      <c r="D11" s="343"/>
      <c r="E11" s="343"/>
      <c r="F11" s="343"/>
      <c r="G11" s="343"/>
      <c r="H11" s="343"/>
      <c r="I11" s="343"/>
      <c r="J11" s="343"/>
    </row>
    <row r="12" spans="1:10" s="2" customFormat="1" x14ac:dyDescent="0.2">
      <c r="A12" s="343" t="e">
        <f>A11</f>
        <v>#REF!</v>
      </c>
      <c r="B12" s="343" t="s">
        <v>498</v>
      </c>
      <c r="C12" s="343"/>
      <c r="D12" s="343"/>
      <c r="E12" s="343"/>
      <c r="F12" s="343"/>
      <c r="G12" s="343"/>
      <c r="H12" s="343"/>
      <c r="I12" s="343"/>
      <c r="J12" s="343"/>
    </row>
    <row r="13" spans="1:10" s="2" customFormat="1" x14ac:dyDescent="0.2">
      <c r="A13" s="343" t="e">
        <f t="shared" si="0"/>
        <v>#REF!</v>
      </c>
      <c r="B13" s="343" t="s">
        <v>498</v>
      </c>
      <c r="C13" s="343"/>
      <c r="D13" s="343"/>
      <c r="E13" s="343"/>
      <c r="F13" s="343"/>
      <c r="G13" s="343"/>
      <c r="H13" s="343"/>
      <c r="I13" s="343"/>
      <c r="J13" s="343"/>
    </row>
    <row r="14" spans="1:10" s="2" customFormat="1" x14ac:dyDescent="0.2">
      <c r="A14" s="343" t="e">
        <f t="shared" si="0"/>
        <v>#REF!</v>
      </c>
      <c r="B14" s="343" t="s">
        <v>498</v>
      </c>
      <c r="C14" s="343"/>
      <c r="D14" s="343"/>
      <c r="E14" s="343"/>
      <c r="F14" s="343"/>
      <c r="G14" s="343"/>
      <c r="H14" s="343"/>
      <c r="I14" s="343"/>
      <c r="J14" s="343"/>
    </row>
    <row r="15" spans="1:10" s="2" customFormat="1" x14ac:dyDescent="0.2">
      <c r="A15" s="343" t="e">
        <f>A14</f>
        <v>#REF!</v>
      </c>
      <c r="B15" s="343" t="s">
        <v>498</v>
      </c>
      <c r="C15" s="343"/>
      <c r="D15" s="343"/>
      <c r="E15" s="343"/>
      <c r="F15" s="343"/>
      <c r="G15" s="343"/>
      <c r="H15" s="343"/>
      <c r="I15" s="343"/>
      <c r="J15" s="343"/>
    </row>
    <row r="16" spans="1:10" s="2" customFormat="1" x14ac:dyDescent="0.2">
      <c r="A16" s="343" t="e">
        <f t="shared" si="0"/>
        <v>#REF!</v>
      </c>
      <c r="B16" s="343" t="s">
        <v>498</v>
      </c>
      <c r="C16" s="343"/>
      <c r="D16" s="343"/>
      <c r="E16" s="343"/>
      <c r="F16" s="343"/>
      <c r="G16" s="343"/>
      <c r="H16" s="343"/>
      <c r="I16" s="343"/>
      <c r="J16" s="343"/>
    </row>
    <row r="17" spans="1:2" s="2" customFormat="1" x14ac:dyDescent="0.2">
      <c r="A17" s="343" t="e">
        <f t="shared" si="0"/>
        <v>#REF!</v>
      </c>
      <c r="B17" s="343" t="s">
        <v>498</v>
      </c>
    </row>
    <row r="18" spans="1:2" s="2" customFormat="1" x14ac:dyDescent="0.2">
      <c r="A18" s="343" t="e">
        <f t="shared" si="0"/>
        <v>#REF!</v>
      </c>
      <c r="B18" s="343" t="s">
        <v>498</v>
      </c>
    </row>
    <row r="19" spans="1:2" s="2" customFormat="1" x14ac:dyDescent="0.2">
      <c r="A19" s="343" t="e">
        <f>#REF!</f>
        <v>#REF!</v>
      </c>
      <c r="B19" s="343" t="s">
        <v>498</v>
      </c>
    </row>
    <row r="20" spans="1:2" s="2" customFormat="1" x14ac:dyDescent="0.2">
      <c r="A20" s="343" t="e">
        <f t="shared" si="0"/>
        <v>#REF!</v>
      </c>
      <c r="B20" s="343" t="s">
        <v>498</v>
      </c>
    </row>
    <row r="21" spans="1:2" s="2" customFormat="1" x14ac:dyDescent="0.2">
      <c r="A21" s="343" t="e">
        <f>A20</f>
        <v>#REF!</v>
      </c>
      <c r="B21" s="343" t="s">
        <v>498</v>
      </c>
    </row>
    <row r="22" spans="1:2" s="2" customFormat="1" x14ac:dyDescent="0.2">
      <c r="A22" s="343" t="e">
        <f>#REF!</f>
        <v>#REF!</v>
      </c>
      <c r="B22" s="343" t="s">
        <v>498</v>
      </c>
    </row>
    <row r="23" spans="1:2" s="2" customFormat="1" x14ac:dyDescent="0.2">
      <c r="A23" s="343" t="e">
        <f>#REF!</f>
        <v>#REF!</v>
      </c>
      <c r="B23" s="343" t="s">
        <v>498</v>
      </c>
    </row>
    <row r="24" spans="1:2" s="2" customFormat="1" x14ac:dyDescent="0.2">
      <c r="A24" s="343" t="e">
        <f t="shared" si="0"/>
        <v>#REF!</v>
      </c>
      <c r="B24" s="343" t="s">
        <v>498</v>
      </c>
    </row>
    <row r="25" spans="1:2" s="2" customFormat="1" x14ac:dyDescent="0.2">
      <c r="A25" s="343" t="e">
        <f>#REF!</f>
        <v>#REF!</v>
      </c>
      <c r="B25" s="343" t="s">
        <v>498</v>
      </c>
    </row>
    <row r="26" spans="1:2" s="2" customFormat="1" x14ac:dyDescent="0.2">
      <c r="A26" s="343" t="e">
        <f>#REF!</f>
        <v>#REF!</v>
      </c>
      <c r="B26" s="343" t="s">
        <v>498</v>
      </c>
    </row>
    <row r="27" spans="1:2" s="2" customFormat="1" x14ac:dyDescent="0.2">
      <c r="A27" s="343" t="e">
        <f>#REF!</f>
        <v>#REF!</v>
      </c>
      <c r="B27" s="343" t="s">
        <v>498</v>
      </c>
    </row>
    <row r="28" spans="1:2" s="2" customFormat="1" x14ac:dyDescent="0.2">
      <c r="A28" s="343" t="e">
        <f>A27</f>
        <v>#REF!</v>
      </c>
      <c r="B28" s="343" t="s">
        <v>498</v>
      </c>
    </row>
    <row r="29" spans="1:2" s="2" customFormat="1" x14ac:dyDescent="0.2">
      <c r="A29" s="343" t="e">
        <f>A28</f>
        <v>#REF!</v>
      </c>
      <c r="B29" s="343" t="s">
        <v>498</v>
      </c>
    </row>
    <row r="30" spans="1:2" s="2" customFormat="1" x14ac:dyDescent="0.2">
      <c r="A30" s="343" t="e">
        <f>#REF!</f>
        <v>#REF!</v>
      </c>
      <c r="B30" s="343" t="s">
        <v>498</v>
      </c>
    </row>
    <row r="31" spans="1:2" s="2" customFormat="1" x14ac:dyDescent="0.2">
      <c r="A31" s="343" t="e">
        <f>A30</f>
        <v>#REF!</v>
      </c>
      <c r="B31" s="343" t="s">
        <v>498</v>
      </c>
    </row>
    <row r="32" spans="1:2" s="2" customFormat="1" ht="13.5" thickBot="1" x14ac:dyDescent="0.25">
      <c r="A32" s="343" t="e">
        <f>#REF!</f>
        <v>#REF!</v>
      </c>
      <c r="B32" s="343" t="s">
        <v>498</v>
      </c>
    </row>
    <row r="33" spans="1:4" s="2" customFormat="1" ht="13.5" thickBot="1" x14ac:dyDescent="0.25">
      <c r="A33" s="345" t="e">
        <f>A32-1</f>
        <v>#REF!</v>
      </c>
      <c r="B33" s="346" t="s">
        <v>501</v>
      </c>
      <c r="C33" s="343"/>
      <c r="D33" s="343"/>
    </row>
    <row r="34" spans="1:4" s="2" customFormat="1" x14ac:dyDescent="0.2">
      <c r="A34" s="343" t="e">
        <f>A33</f>
        <v>#REF!</v>
      </c>
      <c r="B34" s="343" t="s">
        <v>502</v>
      </c>
      <c r="C34" s="343"/>
      <c r="D34" s="343"/>
    </row>
    <row r="35" spans="1:4" s="2" customFormat="1" x14ac:dyDescent="0.2">
      <c r="A35" s="343" t="e">
        <f>A34</f>
        <v>#REF!</v>
      </c>
      <c r="B35" s="343" t="s">
        <v>503</v>
      </c>
      <c r="C35" s="343" t="e">
        <f>+#REF!/#REF!</f>
        <v>#REF!</v>
      </c>
      <c r="D35" s="343"/>
    </row>
    <row r="36" spans="1:4" s="2" customFormat="1" x14ac:dyDescent="0.2">
      <c r="A36" s="343">
        <v>0</v>
      </c>
      <c r="B36" s="343" t="s">
        <v>504</v>
      </c>
      <c r="C36" s="343"/>
      <c r="D36" s="343"/>
    </row>
    <row r="37" spans="1:4" x14ac:dyDescent="0.2">
      <c r="A37" s="347"/>
      <c r="B37" s="347"/>
      <c r="C37" s="347"/>
      <c r="D37" s="343"/>
    </row>
  </sheetData>
  <mergeCells count="6">
    <mergeCell ref="D2:E2"/>
    <mergeCell ref="G2:I2"/>
    <mergeCell ref="G3:I3"/>
    <mergeCell ref="G4:I4"/>
    <mergeCell ref="G5:G6"/>
    <mergeCell ref="H5:H6"/>
  </mergeCells>
  <phoneticPr fontId="0" type="noConversion"/>
  <printOptions horizontalCentered="1"/>
  <pageMargins left="0.78740157499999996" right="0.78740157499999996" top="0.984251969" bottom="0.984251969" header="0.4921259845" footer="0.4921259845"/>
  <pageSetup paperSize="9" fitToHeight="1000" orientation="portrait" horizontalDpi="1200" verticalDpi="1200"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5F31D-8B6D-4D0B-94CC-AC74E1B87ADD}">
  <sheetPr codeName="Feuil4">
    <tabColor indexed="44"/>
    <pageSetUpPr fitToPage="1"/>
  </sheetPr>
  <dimension ref="A1:M123"/>
  <sheetViews>
    <sheetView tabSelected="1" topLeftCell="C1" zoomScale="80" zoomScaleNormal="80" workbookViewId="0">
      <pane ySplit="3" topLeftCell="A4" activePane="bottomLeft" state="frozenSplit"/>
      <selection activeCell="C1" sqref="C1"/>
      <selection pane="bottomLeft" activeCell="D20" sqref="D20"/>
    </sheetView>
  </sheetViews>
  <sheetFormatPr baseColWidth="10" defaultColWidth="11.42578125" defaultRowHeight="12.75" x14ac:dyDescent="0.2"/>
  <cols>
    <col min="1" max="2" width="11.42578125" style="209" hidden="1" customWidth="1"/>
    <col min="3" max="3" width="23.5703125" style="215" customWidth="1"/>
    <col min="4" max="4" width="50.7109375" style="216" customWidth="1"/>
    <col min="5" max="5" width="12.7109375" style="195" customWidth="1"/>
    <col min="6" max="6" width="13.42578125" style="204" customWidth="1"/>
    <col min="7" max="7" width="13.42578125" style="195" customWidth="1"/>
    <col min="8" max="8" width="13.42578125" style="194" customWidth="1"/>
    <col min="9" max="9" width="13.42578125" style="195" customWidth="1"/>
    <col min="10" max="10" width="13.42578125" style="194" customWidth="1"/>
    <col min="11" max="11" width="13" style="296" bestFit="1" customWidth="1"/>
    <col min="12" max="12" width="14.5703125" style="209" bestFit="1" customWidth="1"/>
    <col min="13" max="13" width="22.140625" style="209" customWidth="1"/>
    <col min="14" max="16384" width="11.42578125" style="209"/>
  </cols>
  <sheetData>
    <row r="1" spans="1:13" s="213" customFormat="1" ht="45.75" customHeight="1" x14ac:dyDescent="0.2">
      <c r="A1" s="213">
        <v>0</v>
      </c>
      <c r="B1" s="213" t="s">
        <v>3</v>
      </c>
      <c r="C1" s="214"/>
      <c r="D1" s="205"/>
      <c r="E1" s="194"/>
      <c r="F1" s="237"/>
      <c r="G1" s="194"/>
      <c r="H1" s="194"/>
      <c r="I1" s="194"/>
      <c r="J1" s="194"/>
      <c r="K1" s="295"/>
      <c r="L1" s="294"/>
      <c r="M1" s="295"/>
    </row>
    <row r="2" spans="1:13" ht="13.5" thickBot="1" x14ac:dyDescent="0.25">
      <c r="A2" s="348"/>
      <c r="B2" s="348"/>
      <c r="K2" s="349"/>
      <c r="L2" s="348"/>
      <c r="M2" s="348"/>
    </row>
    <row r="3" spans="1:13" x14ac:dyDescent="0.2">
      <c r="A3" s="350" t="s">
        <v>505</v>
      </c>
      <c r="B3" s="351" t="s">
        <v>506</v>
      </c>
      <c r="C3" s="217" t="s">
        <v>507</v>
      </c>
      <c r="D3" s="206" t="s">
        <v>30</v>
      </c>
      <c r="E3" s="207" t="s">
        <v>508</v>
      </c>
      <c r="F3" s="208" t="s">
        <v>509</v>
      </c>
      <c r="G3" s="196" t="s">
        <v>510</v>
      </c>
      <c r="H3" s="197" t="s">
        <v>511</v>
      </c>
      <c r="I3" s="198" t="s">
        <v>512</v>
      </c>
      <c r="J3" s="199" t="s">
        <v>513</v>
      </c>
      <c r="K3" s="349"/>
      <c r="L3" s="348"/>
      <c r="M3" s="348"/>
    </row>
    <row r="4" spans="1:13" s="218" customFormat="1" ht="27.75" thickTop="1" x14ac:dyDescent="0.2">
      <c r="A4" s="352" t="e">
        <f>#REF!</f>
        <v>#REF!</v>
      </c>
      <c r="B4" s="352" t="s">
        <v>498</v>
      </c>
      <c r="C4" s="288" t="s">
        <v>514</v>
      </c>
      <c r="D4" s="289" t="s">
        <v>515</v>
      </c>
      <c r="E4" s="288" t="s">
        <v>516</v>
      </c>
      <c r="F4" s="290">
        <v>90</v>
      </c>
      <c r="G4" s="202"/>
      <c r="H4" s="203">
        <f>F4*G4</f>
        <v>0</v>
      </c>
      <c r="I4" s="200">
        <f ca="1">INDIRECT("'"&amp;$C4&amp;"'!o53")</f>
        <v>0</v>
      </c>
      <c r="J4" s="201">
        <f ca="1">I4-G4</f>
        <v>0</v>
      </c>
      <c r="K4" s="353"/>
      <c r="L4" s="352"/>
      <c r="M4" s="358"/>
    </row>
    <row r="5" spans="1:13" s="218" customFormat="1" ht="27" x14ac:dyDescent="0.2">
      <c r="A5" s="352" t="e">
        <f>A4</f>
        <v>#REF!</v>
      </c>
      <c r="B5" s="352" t="s">
        <v>498</v>
      </c>
      <c r="C5" s="288" t="s">
        <v>517</v>
      </c>
      <c r="D5" s="289" t="s">
        <v>518</v>
      </c>
      <c r="E5" s="288" t="s">
        <v>379</v>
      </c>
      <c r="F5" s="290">
        <v>180</v>
      </c>
      <c r="G5" s="292"/>
      <c r="H5" s="203">
        <f>F5*G5</f>
        <v>0</v>
      </c>
      <c r="I5" s="200">
        <f t="shared" ref="I5:I40" ca="1" si="0">INDIRECT("'"&amp;$C5&amp;"'!o53")</f>
        <v>7.2533085882352948</v>
      </c>
      <c r="J5" s="201">
        <f ca="1">I5-G5</f>
        <v>7.2533085882352948</v>
      </c>
      <c r="K5" s="353"/>
      <c r="L5" s="352"/>
      <c r="M5" s="358"/>
    </row>
    <row r="6" spans="1:13" s="218" customFormat="1" ht="13.5" x14ac:dyDescent="0.2">
      <c r="A6" s="352" t="e">
        <f>A5</f>
        <v>#REF!</v>
      </c>
      <c r="B6" s="352" t="s">
        <v>498</v>
      </c>
      <c r="C6" s="288"/>
      <c r="D6" s="289"/>
      <c r="E6" s="288"/>
      <c r="F6" s="290"/>
      <c r="G6" s="292"/>
      <c r="H6" s="203">
        <f t="shared" ref="H6:H70" si="1">F6*G6</f>
        <v>0</v>
      </c>
      <c r="I6" s="200" t="e">
        <f t="shared" ca="1" si="0"/>
        <v>#REF!</v>
      </c>
      <c r="J6" s="201" t="e">
        <f t="shared" ref="J6:J70" ca="1" si="2">I6-G6</f>
        <v>#REF!</v>
      </c>
      <c r="K6" s="353"/>
      <c r="L6" s="352"/>
      <c r="M6" s="358"/>
    </row>
    <row r="7" spans="1:13" s="218" customFormat="1" ht="13.5" x14ac:dyDescent="0.2">
      <c r="A7" s="352" t="e">
        <f>A6</f>
        <v>#REF!</v>
      </c>
      <c r="B7" s="352" t="s">
        <v>498</v>
      </c>
      <c r="C7" s="288"/>
      <c r="D7" s="289"/>
      <c r="E7" s="288"/>
      <c r="F7" s="290"/>
      <c r="G7" s="292"/>
      <c r="H7" s="203">
        <f t="shared" si="1"/>
        <v>0</v>
      </c>
      <c r="I7" s="200" t="e">
        <f t="shared" ca="1" si="0"/>
        <v>#REF!</v>
      </c>
      <c r="J7" s="201" t="e">
        <f t="shared" ca="1" si="2"/>
        <v>#REF!</v>
      </c>
      <c r="K7" s="353"/>
      <c r="L7" s="352"/>
      <c r="M7" s="358"/>
    </row>
    <row r="8" spans="1:13" s="218" customFormat="1" ht="13.5" x14ac:dyDescent="0.2">
      <c r="A8" s="352" t="e">
        <f>A7</f>
        <v>#REF!</v>
      </c>
      <c r="B8" s="352" t="s">
        <v>498</v>
      </c>
      <c r="C8" s="288"/>
      <c r="D8" s="289"/>
      <c r="E8" s="288"/>
      <c r="F8" s="290"/>
      <c r="G8" s="292"/>
      <c r="H8" s="203">
        <f t="shared" si="1"/>
        <v>0</v>
      </c>
      <c r="I8" s="200" t="e">
        <f t="shared" ca="1" si="0"/>
        <v>#REF!</v>
      </c>
      <c r="J8" s="201" t="e">
        <f t="shared" ca="1" si="2"/>
        <v>#REF!</v>
      </c>
      <c r="K8" s="353"/>
      <c r="L8" s="352"/>
      <c r="M8" s="358"/>
    </row>
    <row r="9" spans="1:13" s="218" customFormat="1" ht="15" x14ac:dyDescent="0.2">
      <c r="A9" s="352" t="e">
        <f>#REF!</f>
        <v>#REF!</v>
      </c>
      <c r="B9" s="352" t="s">
        <v>498</v>
      </c>
      <c r="C9" s="288"/>
      <c r="D9" s="289"/>
      <c r="E9" s="288"/>
      <c r="F9" s="290"/>
      <c r="G9" s="292"/>
      <c r="H9" s="203">
        <f t="shared" si="1"/>
        <v>0</v>
      </c>
      <c r="I9" s="200" t="e">
        <f t="shared" ca="1" si="0"/>
        <v>#REF!</v>
      </c>
      <c r="J9" s="201" t="e">
        <f t="shared" ca="1" si="2"/>
        <v>#REF!</v>
      </c>
      <c r="K9" s="220"/>
      <c r="L9" s="352"/>
      <c r="M9" s="358"/>
    </row>
    <row r="10" spans="1:13" s="218" customFormat="1" ht="13.5" x14ac:dyDescent="0.2">
      <c r="A10" s="352" t="e">
        <f>#REF!</f>
        <v>#REF!</v>
      </c>
      <c r="B10" s="352" t="s">
        <v>498</v>
      </c>
      <c r="C10" s="288"/>
      <c r="D10" s="289"/>
      <c r="E10" s="288"/>
      <c r="F10" s="290"/>
      <c r="G10" s="292"/>
      <c r="H10" s="203">
        <f t="shared" si="1"/>
        <v>0</v>
      </c>
      <c r="I10" s="200" t="e">
        <f t="shared" ca="1" si="0"/>
        <v>#REF!</v>
      </c>
      <c r="J10" s="201" t="e">
        <f t="shared" ca="1" si="2"/>
        <v>#REF!</v>
      </c>
      <c r="K10" s="353"/>
      <c r="L10" s="352"/>
      <c r="M10" s="358"/>
    </row>
    <row r="11" spans="1:13" s="218" customFormat="1" ht="13.5" x14ac:dyDescent="0.2">
      <c r="A11" s="352" t="e">
        <f>#REF!</f>
        <v>#REF!</v>
      </c>
      <c r="B11" s="352" t="s">
        <v>498</v>
      </c>
      <c r="C11" s="288"/>
      <c r="D11" s="289"/>
      <c r="E11" s="288"/>
      <c r="F11" s="290"/>
      <c r="G11" s="292"/>
      <c r="H11" s="203">
        <f t="shared" ref="H11" si="3">F11*G11</f>
        <v>0</v>
      </c>
      <c r="I11" s="200" t="e">
        <f t="shared" ca="1" si="0"/>
        <v>#REF!</v>
      </c>
      <c r="J11" s="201" t="e">
        <f t="shared" ref="J11" ca="1" si="4">I11-G11</f>
        <v>#REF!</v>
      </c>
      <c r="K11" s="353"/>
      <c r="L11" s="352"/>
      <c r="M11" s="358"/>
    </row>
    <row r="12" spans="1:13" s="218" customFormat="1" ht="13.5" x14ac:dyDescent="0.2">
      <c r="A12" s="352" t="e">
        <f>#REF!</f>
        <v>#REF!</v>
      </c>
      <c r="B12" s="352" t="s">
        <v>498</v>
      </c>
      <c r="C12" s="288"/>
      <c r="D12" s="289"/>
      <c r="E12" s="288"/>
      <c r="F12" s="290"/>
      <c r="G12" s="292"/>
      <c r="H12" s="203">
        <f t="shared" si="1"/>
        <v>0</v>
      </c>
      <c r="I12" s="200" t="e">
        <f t="shared" ca="1" si="0"/>
        <v>#REF!</v>
      </c>
      <c r="J12" s="201" t="e">
        <f t="shared" ca="1" si="2"/>
        <v>#REF!</v>
      </c>
      <c r="K12" s="353"/>
      <c r="L12" s="352"/>
      <c r="M12" s="358"/>
    </row>
    <row r="13" spans="1:13" s="218" customFormat="1" ht="13.5" x14ac:dyDescent="0.2">
      <c r="A13" s="352" t="e">
        <f>A9</f>
        <v>#REF!</v>
      </c>
      <c r="B13" s="352" t="s">
        <v>498</v>
      </c>
      <c r="C13" s="288"/>
      <c r="D13" s="289"/>
      <c r="E13" s="288"/>
      <c r="F13" s="290"/>
      <c r="G13" s="292"/>
      <c r="H13" s="203">
        <f t="shared" si="1"/>
        <v>0</v>
      </c>
      <c r="I13" s="200" t="e">
        <f t="shared" ca="1" si="0"/>
        <v>#REF!</v>
      </c>
      <c r="J13" s="201" t="e">
        <f t="shared" ca="1" si="2"/>
        <v>#REF!</v>
      </c>
      <c r="K13" s="353"/>
      <c r="L13" s="352"/>
      <c r="M13" s="358"/>
    </row>
    <row r="14" spans="1:13" s="218" customFormat="1" ht="13.5" x14ac:dyDescent="0.2">
      <c r="A14" s="352" t="e">
        <f>A13</f>
        <v>#REF!</v>
      </c>
      <c r="B14" s="352" t="s">
        <v>498</v>
      </c>
      <c r="C14" s="288"/>
      <c r="D14" s="289"/>
      <c r="E14" s="288"/>
      <c r="F14" s="290"/>
      <c r="G14" s="292"/>
      <c r="H14" s="203">
        <f t="shared" si="1"/>
        <v>0</v>
      </c>
      <c r="I14" s="200" t="e">
        <f>#REF!</f>
        <v>#REF!</v>
      </c>
      <c r="J14" s="201" t="e">
        <f t="shared" si="2"/>
        <v>#REF!</v>
      </c>
      <c r="K14" s="353"/>
      <c r="L14" s="352"/>
      <c r="M14" s="358"/>
    </row>
    <row r="15" spans="1:13" s="218" customFormat="1" ht="13.5" x14ac:dyDescent="0.2">
      <c r="A15" s="352" t="e">
        <f>A14</f>
        <v>#REF!</v>
      </c>
      <c r="B15" s="352" t="s">
        <v>498</v>
      </c>
      <c r="C15" s="291"/>
      <c r="D15" s="289"/>
      <c r="E15" s="288"/>
      <c r="F15" s="290"/>
      <c r="G15" s="292"/>
      <c r="H15" s="203">
        <f t="shared" si="1"/>
        <v>0</v>
      </c>
      <c r="I15" s="200" t="e">
        <f>#REF!</f>
        <v>#REF!</v>
      </c>
      <c r="J15" s="201" t="e">
        <f t="shared" si="2"/>
        <v>#REF!</v>
      </c>
      <c r="K15" s="353"/>
      <c r="L15" s="352"/>
      <c r="M15" s="358"/>
    </row>
    <row r="16" spans="1:13" s="218" customFormat="1" ht="13.5" x14ac:dyDescent="0.2">
      <c r="A16" s="352" t="e">
        <f>A14</f>
        <v>#REF!</v>
      </c>
      <c r="B16" s="352" t="s">
        <v>498</v>
      </c>
      <c r="C16" s="288"/>
      <c r="D16" s="289"/>
      <c r="E16" s="288"/>
      <c r="F16" s="290"/>
      <c r="G16" s="292"/>
      <c r="H16" s="203">
        <f t="shared" si="1"/>
        <v>0</v>
      </c>
      <c r="I16" s="200" t="e">
        <f t="shared" ca="1" si="0"/>
        <v>#REF!</v>
      </c>
      <c r="J16" s="201" t="e">
        <f t="shared" ca="1" si="2"/>
        <v>#REF!</v>
      </c>
      <c r="K16" s="353"/>
      <c r="L16" s="352"/>
      <c r="M16" s="358"/>
    </row>
    <row r="17" spans="1:13" s="218" customFormat="1" ht="13.5" x14ac:dyDescent="0.2">
      <c r="A17" s="352" t="e">
        <f>A15</f>
        <v>#REF!</v>
      </c>
      <c r="B17" s="352" t="s">
        <v>498</v>
      </c>
      <c r="C17" s="288"/>
      <c r="D17" s="289"/>
      <c r="E17" s="288"/>
      <c r="F17" s="290"/>
      <c r="G17" s="292"/>
      <c r="H17" s="203">
        <f t="shared" si="1"/>
        <v>0</v>
      </c>
      <c r="I17" s="200" t="e">
        <f t="shared" ca="1" si="0"/>
        <v>#REF!</v>
      </c>
      <c r="J17" s="201" t="e">
        <f t="shared" ca="1" si="2"/>
        <v>#REF!</v>
      </c>
      <c r="K17" s="353"/>
      <c r="L17" s="352"/>
      <c r="M17" s="358"/>
    </row>
    <row r="18" spans="1:13" s="218" customFormat="1" ht="13.5" x14ac:dyDescent="0.2">
      <c r="A18" s="352" t="e">
        <f>A17</f>
        <v>#REF!</v>
      </c>
      <c r="B18" s="352" t="s">
        <v>498</v>
      </c>
      <c r="C18" s="288"/>
      <c r="D18" s="289"/>
      <c r="E18" s="288"/>
      <c r="F18" s="290"/>
      <c r="G18" s="292"/>
      <c r="H18" s="203">
        <f t="shared" si="1"/>
        <v>0</v>
      </c>
      <c r="I18" s="200" t="e">
        <f t="shared" ca="1" si="0"/>
        <v>#REF!</v>
      </c>
      <c r="J18" s="201" t="e">
        <f t="shared" ca="1" si="2"/>
        <v>#REF!</v>
      </c>
      <c r="K18" s="353"/>
      <c r="L18" s="352"/>
      <c r="M18" s="358"/>
    </row>
    <row r="19" spans="1:13" s="218" customFormat="1" ht="13.5" x14ac:dyDescent="0.2">
      <c r="A19" s="352" t="e">
        <f>#REF!</f>
        <v>#REF!</v>
      </c>
      <c r="B19" s="352" t="s">
        <v>498</v>
      </c>
      <c r="C19" s="288"/>
      <c r="D19" s="289"/>
      <c r="E19" s="288"/>
      <c r="F19" s="290"/>
      <c r="G19" s="292"/>
      <c r="H19" s="203">
        <f t="shared" si="1"/>
        <v>0</v>
      </c>
      <c r="I19" s="200" t="e">
        <f t="shared" ca="1" si="0"/>
        <v>#REF!</v>
      </c>
      <c r="J19" s="201" t="e">
        <f t="shared" ca="1" si="2"/>
        <v>#REF!</v>
      </c>
      <c r="K19" s="353"/>
      <c r="L19" s="352"/>
      <c r="M19" s="358"/>
    </row>
    <row r="20" spans="1:13" s="218" customFormat="1" ht="13.5" x14ac:dyDescent="0.2">
      <c r="A20" s="352" t="e">
        <f>#REF!</f>
        <v>#REF!</v>
      </c>
      <c r="B20" s="352" t="s">
        <v>498</v>
      </c>
      <c r="C20" s="288"/>
      <c r="D20" s="289"/>
      <c r="E20" s="288"/>
      <c r="F20" s="290"/>
      <c r="G20" s="292"/>
      <c r="H20" s="203">
        <f t="shared" si="1"/>
        <v>0</v>
      </c>
      <c r="I20" s="200" t="e">
        <f t="shared" ca="1" si="0"/>
        <v>#REF!</v>
      </c>
      <c r="J20" s="201" t="e">
        <f t="shared" ca="1" si="2"/>
        <v>#REF!</v>
      </c>
      <c r="K20" s="353"/>
      <c r="L20" s="352"/>
      <c r="M20" s="358"/>
    </row>
    <row r="21" spans="1:13" s="218" customFormat="1" ht="13.5" x14ac:dyDescent="0.2">
      <c r="A21" s="352" t="e">
        <f>#REF!</f>
        <v>#REF!</v>
      </c>
      <c r="B21" s="352" t="s">
        <v>498</v>
      </c>
      <c r="C21" s="288"/>
      <c r="D21" s="289"/>
      <c r="E21" s="288"/>
      <c r="F21" s="290"/>
      <c r="G21" s="293"/>
      <c r="H21" s="203">
        <f t="shared" si="1"/>
        <v>0</v>
      </c>
      <c r="I21" s="200" t="e">
        <f ca="1">INDIRECT("'"&amp;$C21&amp;"'!o56")</f>
        <v>#REF!</v>
      </c>
      <c r="J21" s="201" t="e">
        <f t="shared" ca="1" si="2"/>
        <v>#REF!</v>
      </c>
      <c r="K21" s="353"/>
      <c r="L21" s="352"/>
      <c r="M21" s="358"/>
    </row>
    <row r="22" spans="1:13" s="218" customFormat="1" ht="13.5" x14ac:dyDescent="0.2">
      <c r="A22" s="352" t="e">
        <f>#REF!</f>
        <v>#REF!</v>
      </c>
      <c r="B22" s="352" t="s">
        <v>498</v>
      </c>
      <c r="C22" s="288"/>
      <c r="D22" s="289"/>
      <c r="E22" s="288"/>
      <c r="F22" s="290"/>
      <c r="G22" s="293"/>
      <c r="H22" s="203">
        <f t="shared" si="1"/>
        <v>0</v>
      </c>
      <c r="I22" s="200" t="e">
        <f t="shared" ca="1" si="0"/>
        <v>#REF!</v>
      </c>
      <c r="J22" s="201" t="e">
        <f t="shared" ca="1" si="2"/>
        <v>#REF!</v>
      </c>
      <c r="K22" s="353"/>
      <c r="L22" s="352"/>
      <c r="M22" s="358"/>
    </row>
    <row r="23" spans="1:13" s="218" customFormat="1" ht="13.5" x14ac:dyDescent="0.2">
      <c r="A23" s="352" t="e">
        <f>#REF!</f>
        <v>#REF!</v>
      </c>
      <c r="B23" s="352" t="s">
        <v>498</v>
      </c>
      <c r="C23" s="288"/>
      <c r="D23" s="289"/>
      <c r="E23" s="288"/>
      <c r="F23" s="290"/>
      <c r="G23" s="293"/>
      <c r="H23" s="203">
        <f t="shared" si="1"/>
        <v>0</v>
      </c>
      <c r="I23" s="200" t="e">
        <f t="shared" ca="1" si="0"/>
        <v>#REF!</v>
      </c>
      <c r="J23" s="201" t="e">
        <f t="shared" ca="1" si="2"/>
        <v>#REF!</v>
      </c>
      <c r="K23" s="353"/>
      <c r="L23" s="352"/>
      <c r="M23" s="358"/>
    </row>
    <row r="24" spans="1:13" s="218" customFormat="1" ht="13.5" x14ac:dyDescent="0.2">
      <c r="A24" s="352" t="e">
        <f>A23</f>
        <v>#REF!</v>
      </c>
      <c r="B24" s="352" t="s">
        <v>498</v>
      </c>
      <c r="C24" s="288"/>
      <c r="D24" s="289"/>
      <c r="E24" s="288"/>
      <c r="F24" s="290"/>
      <c r="G24" s="293"/>
      <c r="H24" s="203">
        <f t="shared" si="1"/>
        <v>0</v>
      </c>
      <c r="I24" s="200" t="e">
        <f t="shared" ca="1" si="0"/>
        <v>#REF!</v>
      </c>
      <c r="J24" s="201" t="e">
        <f t="shared" ca="1" si="2"/>
        <v>#REF!</v>
      </c>
      <c r="K24" s="353"/>
      <c r="L24" s="352"/>
      <c r="M24" s="358"/>
    </row>
    <row r="25" spans="1:13" s="218" customFormat="1" ht="13.5" x14ac:dyDescent="0.2">
      <c r="A25" s="352" t="e">
        <f>#REF!</f>
        <v>#REF!</v>
      </c>
      <c r="B25" s="352" t="s">
        <v>498</v>
      </c>
      <c r="C25" s="288"/>
      <c r="D25" s="289"/>
      <c r="E25" s="288"/>
      <c r="F25" s="290"/>
      <c r="G25" s="293"/>
      <c r="H25" s="203">
        <f t="shared" si="1"/>
        <v>0</v>
      </c>
      <c r="I25" s="200" t="e">
        <f t="shared" ca="1" si="0"/>
        <v>#REF!</v>
      </c>
      <c r="J25" s="201" t="e">
        <f t="shared" ca="1" si="2"/>
        <v>#REF!</v>
      </c>
      <c r="K25" s="353"/>
      <c r="L25" s="352"/>
      <c r="M25" s="358"/>
    </row>
    <row r="26" spans="1:13" s="218" customFormat="1" ht="13.5" x14ac:dyDescent="0.2">
      <c r="A26" s="352" t="e">
        <f>#REF!</f>
        <v>#REF!</v>
      </c>
      <c r="B26" s="352" t="s">
        <v>498</v>
      </c>
      <c r="C26" s="288"/>
      <c r="D26" s="289"/>
      <c r="E26" s="288"/>
      <c r="F26" s="290"/>
      <c r="G26" s="293"/>
      <c r="H26" s="203">
        <f t="shared" si="1"/>
        <v>0</v>
      </c>
      <c r="I26" s="200" t="e">
        <f t="shared" ca="1" si="0"/>
        <v>#REF!</v>
      </c>
      <c r="J26" s="201" t="e">
        <f t="shared" ca="1" si="2"/>
        <v>#REF!</v>
      </c>
      <c r="K26" s="353"/>
      <c r="L26" s="352"/>
      <c r="M26" s="358"/>
    </row>
    <row r="27" spans="1:13" ht="13.5" x14ac:dyDescent="0.2">
      <c r="A27" s="348"/>
      <c r="B27" s="348"/>
      <c r="C27" s="288"/>
      <c r="D27" s="289"/>
      <c r="E27" s="288"/>
      <c r="F27" s="290"/>
      <c r="G27" s="292"/>
      <c r="H27" s="203">
        <f t="shared" si="1"/>
        <v>0</v>
      </c>
      <c r="I27" s="200" t="e">
        <f t="shared" ca="1" si="0"/>
        <v>#REF!</v>
      </c>
      <c r="J27" s="201" t="e">
        <f t="shared" ca="1" si="2"/>
        <v>#REF!</v>
      </c>
      <c r="K27" s="349"/>
      <c r="L27" s="348"/>
      <c r="M27" s="358"/>
    </row>
    <row r="28" spans="1:13" ht="13.5" x14ac:dyDescent="0.2">
      <c r="A28" s="348"/>
      <c r="B28" s="348"/>
      <c r="C28" s="291"/>
      <c r="D28" s="289"/>
      <c r="E28" s="288"/>
      <c r="F28" s="290"/>
      <c r="G28" s="292"/>
      <c r="H28" s="203">
        <f t="shared" si="1"/>
        <v>0</v>
      </c>
      <c r="I28" s="200" t="e">
        <f ca="1">INDIRECT("'"&amp;$C28&amp;"'!o54")</f>
        <v>#REF!</v>
      </c>
      <c r="J28" s="201" t="e">
        <f t="shared" ca="1" si="2"/>
        <v>#REF!</v>
      </c>
      <c r="K28" s="349"/>
      <c r="L28" s="348"/>
      <c r="M28" s="358"/>
    </row>
    <row r="29" spans="1:13" ht="13.5" x14ac:dyDescent="0.2">
      <c r="A29" s="348"/>
      <c r="B29" s="348"/>
      <c r="C29" s="288"/>
      <c r="D29" s="289"/>
      <c r="E29" s="288"/>
      <c r="F29" s="290"/>
      <c r="G29" s="292"/>
      <c r="H29" s="203">
        <f t="shared" si="1"/>
        <v>0</v>
      </c>
      <c r="I29" s="200" t="e">
        <f t="shared" ca="1" si="0"/>
        <v>#REF!</v>
      </c>
      <c r="J29" s="201" t="e">
        <f t="shared" ca="1" si="2"/>
        <v>#REF!</v>
      </c>
      <c r="K29" s="349"/>
      <c r="L29" s="348"/>
      <c r="M29" s="358"/>
    </row>
    <row r="30" spans="1:13" ht="13.5" x14ac:dyDescent="0.2">
      <c r="A30" s="348"/>
      <c r="B30" s="348"/>
      <c r="C30" s="288"/>
      <c r="D30" s="289"/>
      <c r="E30" s="288"/>
      <c r="F30" s="290"/>
      <c r="G30" s="292"/>
      <c r="H30" s="203">
        <f t="shared" si="1"/>
        <v>0</v>
      </c>
      <c r="I30" s="200" t="e">
        <f t="shared" ca="1" si="0"/>
        <v>#REF!</v>
      </c>
      <c r="J30" s="201" t="e">
        <f t="shared" ca="1" si="2"/>
        <v>#REF!</v>
      </c>
      <c r="K30" s="349"/>
      <c r="L30" s="348"/>
      <c r="M30" s="358"/>
    </row>
    <row r="31" spans="1:13" ht="13.5" x14ac:dyDescent="0.2">
      <c r="A31" s="348"/>
      <c r="B31" s="348"/>
      <c r="C31" s="288"/>
      <c r="D31" s="289"/>
      <c r="E31" s="288"/>
      <c r="F31" s="290"/>
      <c r="G31" s="292"/>
      <c r="H31" s="203">
        <f t="shared" si="1"/>
        <v>0</v>
      </c>
      <c r="I31" s="200" t="e">
        <f t="shared" ca="1" si="0"/>
        <v>#REF!</v>
      </c>
      <c r="J31" s="201" t="e">
        <f t="shared" ca="1" si="2"/>
        <v>#REF!</v>
      </c>
      <c r="K31" s="349"/>
      <c r="L31" s="348"/>
      <c r="M31" s="358"/>
    </row>
    <row r="32" spans="1:13" ht="13.5" x14ac:dyDescent="0.2">
      <c r="A32" s="348"/>
      <c r="B32" s="348"/>
      <c r="C32" s="291"/>
      <c r="D32" s="289"/>
      <c r="E32" s="288"/>
      <c r="F32" s="290"/>
      <c r="G32" s="292"/>
      <c r="H32" s="203">
        <f t="shared" si="1"/>
        <v>0</v>
      </c>
      <c r="I32" s="200" t="e">
        <f t="shared" ca="1" si="0"/>
        <v>#REF!</v>
      </c>
      <c r="J32" s="201" t="e">
        <f t="shared" ca="1" si="2"/>
        <v>#REF!</v>
      </c>
      <c r="K32" s="349"/>
      <c r="L32" s="348"/>
      <c r="M32" s="358"/>
    </row>
    <row r="33" spans="1:13" ht="24.75" customHeight="1" x14ac:dyDescent="0.2">
      <c r="A33" s="348"/>
      <c r="B33" s="348"/>
      <c r="C33" s="288"/>
      <c r="D33" s="289"/>
      <c r="E33" s="288"/>
      <c r="F33" s="290"/>
      <c r="G33" s="292"/>
      <c r="H33" s="203">
        <f t="shared" si="1"/>
        <v>0</v>
      </c>
      <c r="I33" s="200" t="e">
        <f t="shared" ca="1" si="0"/>
        <v>#REF!</v>
      </c>
      <c r="J33" s="201" t="e">
        <f t="shared" ca="1" si="2"/>
        <v>#REF!</v>
      </c>
      <c r="K33" s="349"/>
      <c r="L33" s="348"/>
      <c r="M33" s="358"/>
    </row>
    <row r="34" spans="1:13" ht="13.5" x14ac:dyDescent="0.2">
      <c r="A34" s="348"/>
      <c r="B34" s="348"/>
      <c r="C34" s="288"/>
      <c r="D34" s="289"/>
      <c r="E34" s="288"/>
      <c r="F34" s="290"/>
      <c r="G34" s="292"/>
      <c r="H34" s="203">
        <f t="shared" si="1"/>
        <v>0</v>
      </c>
      <c r="I34" s="200" t="e">
        <f t="shared" ca="1" si="0"/>
        <v>#REF!</v>
      </c>
      <c r="J34" s="201" t="e">
        <f t="shared" ca="1" si="2"/>
        <v>#REF!</v>
      </c>
      <c r="K34" s="349"/>
      <c r="L34" s="348"/>
      <c r="M34" s="358"/>
    </row>
    <row r="35" spans="1:13" ht="13.5" x14ac:dyDescent="0.2">
      <c r="A35" s="348"/>
      <c r="B35" s="348"/>
      <c r="C35" s="288"/>
      <c r="D35" s="289"/>
      <c r="E35" s="288"/>
      <c r="F35" s="290"/>
      <c r="G35" s="293"/>
      <c r="H35" s="203">
        <f t="shared" si="1"/>
        <v>0</v>
      </c>
      <c r="I35" s="200" t="e">
        <f ca="1">INDIRECT("'"&amp;$C35&amp;"'!o54")</f>
        <v>#REF!</v>
      </c>
      <c r="J35" s="201" t="e">
        <f t="shared" ca="1" si="2"/>
        <v>#REF!</v>
      </c>
      <c r="K35" s="349"/>
      <c r="L35" s="348"/>
      <c r="M35" s="358"/>
    </row>
    <row r="36" spans="1:13" ht="13.5" x14ac:dyDescent="0.2">
      <c r="A36" s="348"/>
      <c r="B36" s="348"/>
      <c r="C36" s="288"/>
      <c r="D36" s="289"/>
      <c r="E36" s="288"/>
      <c r="F36" s="290"/>
      <c r="G36" s="292"/>
      <c r="H36" s="203">
        <f t="shared" si="1"/>
        <v>0</v>
      </c>
      <c r="I36" s="200" t="e">
        <f t="shared" ca="1" si="0"/>
        <v>#REF!</v>
      </c>
      <c r="J36" s="201" t="e">
        <f t="shared" ca="1" si="2"/>
        <v>#REF!</v>
      </c>
      <c r="K36" s="349"/>
      <c r="L36" s="348"/>
      <c r="M36" s="358"/>
    </row>
    <row r="37" spans="1:13" ht="13.5" x14ac:dyDescent="0.2">
      <c r="A37" s="348"/>
      <c r="B37" s="348"/>
      <c r="C37" s="288"/>
      <c r="D37" s="289"/>
      <c r="E37" s="288"/>
      <c r="F37" s="290"/>
      <c r="G37" s="202"/>
      <c r="H37" s="203">
        <f t="shared" si="1"/>
        <v>0</v>
      </c>
      <c r="I37" s="200" t="e">
        <f t="shared" ca="1" si="0"/>
        <v>#REF!</v>
      </c>
      <c r="J37" s="201" t="e">
        <f t="shared" ca="1" si="2"/>
        <v>#REF!</v>
      </c>
      <c r="K37" s="349"/>
      <c r="L37" s="348"/>
      <c r="M37" s="358"/>
    </row>
    <row r="38" spans="1:13" ht="13.5" x14ac:dyDescent="0.2">
      <c r="A38" s="348"/>
      <c r="B38" s="348"/>
      <c r="C38" s="288"/>
      <c r="D38" s="289"/>
      <c r="E38" s="288"/>
      <c r="F38" s="290"/>
      <c r="G38" s="293"/>
      <c r="H38" s="203">
        <f t="shared" si="1"/>
        <v>0</v>
      </c>
      <c r="I38" s="200" t="e">
        <f t="shared" ca="1" si="0"/>
        <v>#REF!</v>
      </c>
      <c r="J38" s="201" t="e">
        <f t="shared" ca="1" si="2"/>
        <v>#REF!</v>
      </c>
      <c r="K38" s="349"/>
      <c r="L38" s="348"/>
      <c r="M38" s="358"/>
    </row>
    <row r="39" spans="1:13" ht="13.5" x14ac:dyDescent="0.2">
      <c r="A39" s="348"/>
      <c r="B39" s="348"/>
      <c r="C39" s="288"/>
      <c r="D39" s="289"/>
      <c r="E39" s="288"/>
      <c r="F39" s="290"/>
      <c r="G39" s="292"/>
      <c r="H39" s="203">
        <f t="shared" si="1"/>
        <v>0</v>
      </c>
      <c r="I39" s="200" t="e">
        <f t="shared" ca="1" si="0"/>
        <v>#REF!</v>
      </c>
      <c r="J39" s="201" t="e">
        <f t="shared" ca="1" si="2"/>
        <v>#REF!</v>
      </c>
      <c r="K39" s="349"/>
      <c r="L39" s="348"/>
      <c r="M39" s="358"/>
    </row>
    <row r="40" spans="1:13" ht="15" x14ac:dyDescent="0.2">
      <c r="A40" s="348"/>
      <c r="B40" s="348"/>
      <c r="C40" s="212" t="s">
        <v>519</v>
      </c>
      <c r="D40" s="219"/>
      <c r="E40" s="211"/>
      <c r="F40" s="220"/>
      <c r="G40" s="202"/>
      <c r="H40" s="203">
        <f t="shared" si="1"/>
        <v>0</v>
      </c>
      <c r="I40" s="200" t="e">
        <f t="shared" ca="1" si="0"/>
        <v>#REF!</v>
      </c>
      <c r="J40" s="201" t="e">
        <f t="shared" ca="1" si="2"/>
        <v>#REF!</v>
      </c>
      <c r="K40" s="349"/>
      <c r="L40" s="348"/>
      <c r="M40" s="358"/>
    </row>
    <row r="41" spans="1:13" ht="15" x14ac:dyDescent="0.2">
      <c r="A41" s="348"/>
      <c r="B41" s="348"/>
      <c r="C41" s="212"/>
      <c r="D41" s="219"/>
      <c r="E41" s="211"/>
      <c r="F41" s="220"/>
      <c r="G41" s="202"/>
      <c r="H41" s="203">
        <f t="shared" si="1"/>
        <v>0</v>
      </c>
      <c r="I41" s="200" t="e">
        <f t="shared" ref="I41:I70" ca="1" si="5">INDIRECT("'"&amp;$C41&amp;"'!s53")</f>
        <v>#REF!</v>
      </c>
      <c r="J41" s="201" t="e">
        <f t="shared" ca="1" si="2"/>
        <v>#REF!</v>
      </c>
      <c r="K41" s="349"/>
      <c r="L41" s="348"/>
      <c r="M41" s="358"/>
    </row>
    <row r="42" spans="1:13" ht="15" x14ac:dyDescent="0.2">
      <c r="A42" s="348"/>
      <c r="B42" s="348"/>
      <c r="C42" s="212"/>
      <c r="D42" s="219"/>
      <c r="E42" s="211"/>
      <c r="F42" s="220"/>
      <c r="G42" s="202"/>
      <c r="H42" s="203">
        <f t="shared" si="1"/>
        <v>0</v>
      </c>
      <c r="I42" s="200" t="e">
        <f t="shared" ca="1" si="5"/>
        <v>#REF!</v>
      </c>
      <c r="J42" s="201" t="e">
        <f t="shared" ca="1" si="2"/>
        <v>#REF!</v>
      </c>
      <c r="K42" s="349"/>
      <c r="L42" s="348"/>
      <c r="M42" s="348"/>
    </row>
    <row r="43" spans="1:13" ht="15" x14ac:dyDescent="0.2">
      <c r="A43" s="348"/>
      <c r="B43" s="348"/>
      <c r="C43" s="212"/>
      <c r="D43" s="219"/>
      <c r="E43" s="211"/>
      <c r="F43" s="220"/>
      <c r="G43" s="202"/>
      <c r="H43" s="203">
        <f t="shared" si="1"/>
        <v>0</v>
      </c>
      <c r="I43" s="200" t="e">
        <f t="shared" ca="1" si="5"/>
        <v>#REF!</v>
      </c>
      <c r="J43" s="201" t="e">
        <f t="shared" ca="1" si="2"/>
        <v>#REF!</v>
      </c>
      <c r="K43" s="349"/>
      <c r="L43" s="348"/>
      <c r="M43" s="348"/>
    </row>
    <row r="44" spans="1:13" ht="15" x14ac:dyDescent="0.2">
      <c r="A44" s="348"/>
      <c r="B44" s="348"/>
      <c r="C44" s="212"/>
      <c r="D44" s="219"/>
      <c r="E44" s="211"/>
      <c r="F44" s="220"/>
      <c r="G44" s="202"/>
      <c r="H44" s="203">
        <f t="shared" si="1"/>
        <v>0</v>
      </c>
      <c r="I44" s="200" t="e">
        <f t="shared" ca="1" si="5"/>
        <v>#REF!</v>
      </c>
      <c r="J44" s="201" t="e">
        <f t="shared" ca="1" si="2"/>
        <v>#REF!</v>
      </c>
      <c r="K44" s="349"/>
      <c r="L44" s="348"/>
      <c r="M44" s="348"/>
    </row>
    <row r="45" spans="1:13" ht="15" x14ac:dyDescent="0.2">
      <c r="A45" s="348"/>
      <c r="B45" s="348"/>
      <c r="C45" s="212"/>
      <c r="D45" s="219"/>
      <c r="E45" s="211"/>
      <c r="F45" s="220"/>
      <c r="G45" s="202"/>
      <c r="H45" s="203">
        <f t="shared" si="1"/>
        <v>0</v>
      </c>
      <c r="I45" s="200" t="e">
        <f t="shared" ca="1" si="5"/>
        <v>#REF!</v>
      </c>
      <c r="J45" s="201" t="e">
        <f t="shared" ca="1" si="2"/>
        <v>#REF!</v>
      </c>
      <c r="K45" s="349"/>
      <c r="L45" s="348"/>
      <c r="M45" s="348"/>
    </row>
    <row r="46" spans="1:13" ht="15" x14ac:dyDescent="0.2">
      <c r="A46" s="348"/>
      <c r="B46" s="348"/>
      <c r="C46" s="212"/>
      <c r="D46" s="219"/>
      <c r="E46" s="211"/>
      <c r="F46" s="220"/>
      <c r="G46" s="202"/>
      <c r="H46" s="203">
        <f t="shared" si="1"/>
        <v>0</v>
      </c>
      <c r="I46" s="200" t="e">
        <f t="shared" ca="1" si="5"/>
        <v>#REF!</v>
      </c>
      <c r="J46" s="201" t="e">
        <f t="shared" ca="1" si="2"/>
        <v>#REF!</v>
      </c>
      <c r="K46" s="349"/>
      <c r="L46" s="348"/>
      <c r="M46" s="348"/>
    </row>
    <row r="47" spans="1:13" ht="15" x14ac:dyDescent="0.2">
      <c r="A47" s="348"/>
      <c r="B47" s="348"/>
      <c r="C47" s="212"/>
      <c r="D47" s="219"/>
      <c r="E47" s="211"/>
      <c r="F47" s="220"/>
      <c r="G47" s="202"/>
      <c r="H47" s="203">
        <f t="shared" si="1"/>
        <v>0</v>
      </c>
      <c r="I47" s="200" t="e">
        <f t="shared" ca="1" si="5"/>
        <v>#REF!</v>
      </c>
      <c r="J47" s="201" t="e">
        <f t="shared" ca="1" si="2"/>
        <v>#REF!</v>
      </c>
      <c r="K47" s="349"/>
      <c r="L47" s="348"/>
      <c r="M47" s="348"/>
    </row>
    <row r="48" spans="1:13" ht="15" x14ac:dyDescent="0.2">
      <c r="A48" s="348"/>
      <c r="B48" s="348"/>
      <c r="C48" s="212"/>
      <c r="D48" s="219"/>
      <c r="E48" s="211"/>
      <c r="F48" s="220"/>
      <c r="G48" s="202"/>
      <c r="H48" s="203">
        <f t="shared" si="1"/>
        <v>0</v>
      </c>
      <c r="I48" s="200" t="e">
        <f t="shared" ca="1" si="5"/>
        <v>#REF!</v>
      </c>
      <c r="J48" s="201" t="e">
        <f t="shared" ca="1" si="2"/>
        <v>#REF!</v>
      </c>
      <c r="K48" s="349"/>
      <c r="L48" s="348"/>
      <c r="M48" s="348"/>
    </row>
    <row r="49" spans="3:13" ht="15" x14ac:dyDescent="0.2">
      <c r="C49" s="212"/>
      <c r="D49" s="219"/>
      <c r="E49" s="211"/>
      <c r="F49" s="220"/>
      <c r="G49" s="202"/>
      <c r="H49" s="203">
        <f t="shared" si="1"/>
        <v>0</v>
      </c>
      <c r="I49" s="200" t="e">
        <f t="shared" ca="1" si="5"/>
        <v>#REF!</v>
      </c>
      <c r="J49" s="201" t="e">
        <f t="shared" ca="1" si="2"/>
        <v>#REF!</v>
      </c>
      <c r="K49" s="349"/>
      <c r="L49" s="348"/>
      <c r="M49" s="348"/>
    </row>
    <row r="50" spans="3:13" ht="15" x14ac:dyDescent="0.2">
      <c r="C50" s="212"/>
      <c r="D50" s="219"/>
      <c r="E50" s="211"/>
      <c r="F50" s="220"/>
      <c r="G50" s="202"/>
      <c r="H50" s="203">
        <f t="shared" si="1"/>
        <v>0</v>
      </c>
      <c r="I50" s="200" t="e">
        <f t="shared" ca="1" si="5"/>
        <v>#REF!</v>
      </c>
      <c r="J50" s="201" t="e">
        <f t="shared" ca="1" si="2"/>
        <v>#REF!</v>
      </c>
      <c r="K50" s="349"/>
      <c r="L50" s="348"/>
      <c r="M50" s="348"/>
    </row>
    <row r="51" spans="3:13" ht="15" x14ac:dyDescent="0.2">
      <c r="C51" s="212"/>
      <c r="D51" s="219"/>
      <c r="E51" s="211"/>
      <c r="F51" s="220"/>
      <c r="G51" s="202"/>
      <c r="H51" s="203">
        <f t="shared" si="1"/>
        <v>0</v>
      </c>
      <c r="I51" s="200" t="e">
        <f t="shared" ca="1" si="5"/>
        <v>#REF!</v>
      </c>
      <c r="J51" s="201" t="e">
        <f t="shared" ca="1" si="2"/>
        <v>#REF!</v>
      </c>
      <c r="K51" s="349"/>
      <c r="L51" s="348"/>
      <c r="M51" s="348"/>
    </row>
    <row r="52" spans="3:13" ht="15" x14ac:dyDescent="0.2">
      <c r="C52" s="212"/>
      <c r="D52" s="219"/>
      <c r="E52" s="211"/>
      <c r="F52" s="220"/>
      <c r="G52" s="202"/>
      <c r="H52" s="203">
        <f t="shared" si="1"/>
        <v>0</v>
      </c>
      <c r="I52" s="200" t="e">
        <f t="shared" ca="1" si="5"/>
        <v>#REF!</v>
      </c>
      <c r="J52" s="201" t="e">
        <f t="shared" ca="1" si="2"/>
        <v>#REF!</v>
      </c>
      <c r="K52" s="349"/>
      <c r="L52" s="348"/>
      <c r="M52" s="348"/>
    </row>
    <row r="53" spans="3:13" ht="15" x14ac:dyDescent="0.2">
      <c r="C53" s="212"/>
      <c r="D53" s="219"/>
      <c r="E53" s="211"/>
      <c r="F53" s="220"/>
      <c r="G53" s="202"/>
      <c r="H53" s="203">
        <f t="shared" si="1"/>
        <v>0</v>
      </c>
      <c r="I53" s="200" t="e">
        <f t="shared" ca="1" si="5"/>
        <v>#REF!</v>
      </c>
      <c r="J53" s="201" t="e">
        <f t="shared" ca="1" si="2"/>
        <v>#REF!</v>
      </c>
      <c r="K53" s="349"/>
      <c r="L53" s="348"/>
      <c r="M53" s="348"/>
    </row>
    <row r="54" spans="3:13" ht="15" x14ac:dyDescent="0.2">
      <c r="C54" s="212"/>
      <c r="D54" s="219"/>
      <c r="E54" s="211"/>
      <c r="F54" s="220"/>
      <c r="G54" s="202"/>
      <c r="H54" s="203">
        <f t="shared" si="1"/>
        <v>0</v>
      </c>
      <c r="I54" s="200" t="e">
        <f t="shared" ca="1" si="5"/>
        <v>#REF!</v>
      </c>
      <c r="J54" s="201" t="e">
        <f t="shared" ca="1" si="2"/>
        <v>#REF!</v>
      </c>
      <c r="K54" s="349"/>
      <c r="L54" s="348"/>
      <c r="M54" s="348"/>
    </row>
    <row r="55" spans="3:13" ht="15" x14ac:dyDescent="0.2">
      <c r="C55" s="212"/>
      <c r="D55" s="219"/>
      <c r="E55" s="211"/>
      <c r="F55" s="220"/>
      <c r="G55" s="202"/>
      <c r="H55" s="203">
        <f t="shared" si="1"/>
        <v>0</v>
      </c>
      <c r="I55" s="200" t="e">
        <f t="shared" ca="1" si="5"/>
        <v>#REF!</v>
      </c>
      <c r="J55" s="201" t="e">
        <f t="shared" ca="1" si="2"/>
        <v>#REF!</v>
      </c>
      <c r="K55" s="349"/>
      <c r="L55" s="348"/>
      <c r="M55" s="348"/>
    </row>
    <row r="56" spans="3:13" ht="15" x14ac:dyDescent="0.2">
      <c r="C56" s="212"/>
      <c r="D56" s="219"/>
      <c r="E56" s="211"/>
      <c r="F56" s="220"/>
      <c r="G56" s="202"/>
      <c r="H56" s="203">
        <f t="shared" si="1"/>
        <v>0</v>
      </c>
      <c r="I56" s="200" t="e">
        <f t="shared" ca="1" si="5"/>
        <v>#REF!</v>
      </c>
      <c r="J56" s="201" t="e">
        <f t="shared" ca="1" si="2"/>
        <v>#REF!</v>
      </c>
      <c r="K56" s="349"/>
      <c r="L56" s="348"/>
      <c r="M56" s="348"/>
    </row>
    <row r="57" spans="3:13" ht="15" x14ac:dyDescent="0.2">
      <c r="C57" s="212"/>
      <c r="D57" s="219"/>
      <c r="E57" s="211"/>
      <c r="F57" s="220"/>
      <c r="G57" s="202"/>
      <c r="H57" s="203">
        <f t="shared" si="1"/>
        <v>0</v>
      </c>
      <c r="I57" s="200" t="e">
        <f t="shared" ca="1" si="5"/>
        <v>#REF!</v>
      </c>
      <c r="J57" s="201" t="e">
        <f t="shared" ca="1" si="2"/>
        <v>#REF!</v>
      </c>
      <c r="K57" s="349"/>
      <c r="L57" s="348"/>
      <c r="M57" s="348"/>
    </row>
    <row r="58" spans="3:13" ht="15" x14ac:dyDescent="0.2">
      <c r="C58" s="212"/>
      <c r="D58" s="219"/>
      <c r="E58" s="211"/>
      <c r="F58" s="220"/>
      <c r="G58" s="202"/>
      <c r="H58" s="203">
        <f t="shared" si="1"/>
        <v>0</v>
      </c>
      <c r="I58" s="200" t="e">
        <f t="shared" ca="1" si="5"/>
        <v>#REF!</v>
      </c>
      <c r="J58" s="201" t="e">
        <f t="shared" ca="1" si="2"/>
        <v>#REF!</v>
      </c>
      <c r="K58" s="349"/>
      <c r="L58" s="348"/>
      <c r="M58" s="348"/>
    </row>
    <row r="59" spans="3:13" ht="15" x14ac:dyDescent="0.2">
      <c r="C59" s="212"/>
      <c r="D59" s="219"/>
      <c r="E59" s="211"/>
      <c r="F59" s="220"/>
      <c r="G59" s="202"/>
      <c r="H59" s="203">
        <f t="shared" si="1"/>
        <v>0</v>
      </c>
      <c r="I59" s="200" t="e">
        <f t="shared" ca="1" si="5"/>
        <v>#REF!</v>
      </c>
      <c r="J59" s="201" t="e">
        <f t="shared" ca="1" si="2"/>
        <v>#REF!</v>
      </c>
      <c r="K59" s="349"/>
      <c r="L59" s="348"/>
      <c r="M59" s="348"/>
    </row>
    <row r="60" spans="3:13" ht="15" x14ac:dyDescent="0.2">
      <c r="C60" s="212"/>
      <c r="D60" s="219"/>
      <c r="E60" s="211"/>
      <c r="F60" s="220"/>
      <c r="G60" s="202"/>
      <c r="H60" s="203">
        <f t="shared" si="1"/>
        <v>0</v>
      </c>
      <c r="I60" s="200" t="e">
        <f t="shared" ca="1" si="5"/>
        <v>#REF!</v>
      </c>
      <c r="J60" s="201" t="e">
        <f t="shared" ca="1" si="2"/>
        <v>#REF!</v>
      </c>
      <c r="K60" s="349"/>
      <c r="L60" s="348"/>
      <c r="M60" s="348"/>
    </row>
    <row r="61" spans="3:13" ht="15" x14ac:dyDescent="0.2">
      <c r="C61" s="212"/>
      <c r="D61" s="219"/>
      <c r="E61" s="211"/>
      <c r="F61" s="220"/>
      <c r="G61" s="202"/>
      <c r="H61" s="203">
        <f t="shared" si="1"/>
        <v>0</v>
      </c>
      <c r="I61" s="200" t="e">
        <f t="shared" ca="1" si="5"/>
        <v>#REF!</v>
      </c>
      <c r="J61" s="201" t="e">
        <f t="shared" ca="1" si="2"/>
        <v>#REF!</v>
      </c>
      <c r="K61" s="349"/>
      <c r="L61" s="348"/>
      <c r="M61" s="348"/>
    </row>
    <row r="62" spans="3:13" ht="15" x14ac:dyDescent="0.2">
      <c r="C62" s="212"/>
      <c r="D62" s="219"/>
      <c r="E62" s="211"/>
      <c r="F62" s="220"/>
      <c r="G62" s="202"/>
      <c r="H62" s="203">
        <f t="shared" si="1"/>
        <v>0</v>
      </c>
      <c r="I62" s="200" t="e">
        <f t="shared" ca="1" si="5"/>
        <v>#REF!</v>
      </c>
      <c r="J62" s="201" t="e">
        <f t="shared" ca="1" si="2"/>
        <v>#REF!</v>
      </c>
      <c r="K62" s="349"/>
      <c r="L62" s="348"/>
      <c r="M62" s="348"/>
    </row>
    <row r="63" spans="3:13" ht="15" x14ac:dyDescent="0.2">
      <c r="C63" s="212"/>
      <c r="D63" s="219"/>
      <c r="E63" s="211"/>
      <c r="F63" s="220"/>
      <c r="G63" s="202"/>
      <c r="H63" s="203">
        <f t="shared" si="1"/>
        <v>0</v>
      </c>
      <c r="I63" s="200" t="e">
        <f t="shared" ca="1" si="5"/>
        <v>#REF!</v>
      </c>
      <c r="J63" s="201" t="e">
        <f t="shared" ca="1" si="2"/>
        <v>#REF!</v>
      </c>
      <c r="K63" s="349"/>
      <c r="L63" s="348"/>
      <c r="M63" s="348"/>
    </row>
    <row r="64" spans="3:13" ht="15" x14ac:dyDescent="0.2">
      <c r="C64" s="212"/>
      <c r="D64" s="219"/>
      <c r="E64" s="211"/>
      <c r="F64" s="220"/>
      <c r="G64" s="202"/>
      <c r="H64" s="203">
        <f t="shared" si="1"/>
        <v>0</v>
      </c>
      <c r="I64" s="200" t="e">
        <f t="shared" ca="1" si="5"/>
        <v>#REF!</v>
      </c>
      <c r="J64" s="201" t="e">
        <f t="shared" ca="1" si="2"/>
        <v>#REF!</v>
      </c>
      <c r="K64" s="349"/>
      <c r="L64" s="348"/>
      <c r="M64" s="348"/>
    </row>
    <row r="65" spans="3:10" ht="15" x14ac:dyDescent="0.2">
      <c r="C65" s="212"/>
      <c r="D65" s="219"/>
      <c r="E65" s="211"/>
      <c r="F65" s="220"/>
      <c r="G65" s="202"/>
      <c r="H65" s="203">
        <f t="shared" si="1"/>
        <v>0</v>
      </c>
      <c r="I65" s="200" t="e">
        <f t="shared" ca="1" si="5"/>
        <v>#REF!</v>
      </c>
      <c r="J65" s="201" t="e">
        <f t="shared" ca="1" si="2"/>
        <v>#REF!</v>
      </c>
    </row>
    <row r="66" spans="3:10" ht="15" x14ac:dyDescent="0.2">
      <c r="C66" s="212"/>
      <c r="D66" s="219"/>
      <c r="E66" s="211"/>
      <c r="F66" s="220"/>
      <c r="G66" s="202"/>
      <c r="H66" s="203">
        <f t="shared" si="1"/>
        <v>0</v>
      </c>
      <c r="I66" s="200" t="e">
        <f t="shared" ca="1" si="5"/>
        <v>#REF!</v>
      </c>
      <c r="J66" s="201" t="e">
        <f t="shared" ca="1" si="2"/>
        <v>#REF!</v>
      </c>
    </row>
    <row r="67" spans="3:10" ht="15" x14ac:dyDescent="0.2">
      <c r="C67" s="212"/>
      <c r="D67" s="219"/>
      <c r="E67" s="211"/>
      <c r="F67" s="220"/>
      <c r="G67" s="202"/>
      <c r="H67" s="203">
        <f t="shared" si="1"/>
        <v>0</v>
      </c>
      <c r="I67" s="200" t="e">
        <f t="shared" ca="1" si="5"/>
        <v>#REF!</v>
      </c>
      <c r="J67" s="201" t="e">
        <f t="shared" ca="1" si="2"/>
        <v>#REF!</v>
      </c>
    </row>
    <row r="68" spans="3:10" ht="15" x14ac:dyDescent="0.2">
      <c r="C68" s="212"/>
      <c r="D68" s="219"/>
      <c r="E68" s="211"/>
      <c r="F68" s="220"/>
      <c r="G68" s="202"/>
      <c r="H68" s="203">
        <f t="shared" si="1"/>
        <v>0</v>
      </c>
      <c r="I68" s="200" t="e">
        <f t="shared" ca="1" si="5"/>
        <v>#REF!</v>
      </c>
      <c r="J68" s="201" t="e">
        <f t="shared" ca="1" si="2"/>
        <v>#REF!</v>
      </c>
    </row>
    <row r="69" spans="3:10" ht="15" x14ac:dyDescent="0.2">
      <c r="C69" s="212"/>
      <c r="D69" s="219"/>
      <c r="E69" s="211"/>
      <c r="F69" s="220"/>
      <c r="G69" s="202"/>
      <c r="H69" s="203">
        <f t="shared" si="1"/>
        <v>0</v>
      </c>
      <c r="I69" s="200" t="e">
        <f t="shared" ca="1" si="5"/>
        <v>#REF!</v>
      </c>
      <c r="J69" s="201" t="e">
        <f t="shared" ca="1" si="2"/>
        <v>#REF!</v>
      </c>
    </row>
    <row r="70" spans="3:10" ht="15" x14ac:dyDescent="0.2">
      <c r="C70" s="212"/>
      <c r="D70" s="219"/>
      <c r="E70" s="211"/>
      <c r="F70" s="220"/>
      <c r="G70" s="202"/>
      <c r="H70" s="203">
        <f t="shared" si="1"/>
        <v>0</v>
      </c>
      <c r="I70" s="200" t="e">
        <f t="shared" ca="1" si="5"/>
        <v>#REF!</v>
      </c>
      <c r="J70" s="201" t="e">
        <f t="shared" ca="1" si="2"/>
        <v>#REF!</v>
      </c>
    </row>
    <row r="71" spans="3:10" ht="15" x14ac:dyDescent="0.2">
      <c r="C71" s="212"/>
      <c r="D71" s="219"/>
      <c r="E71" s="211"/>
      <c r="F71" s="220"/>
      <c r="G71" s="202"/>
      <c r="H71" s="203">
        <f t="shared" ref="H71:H123" si="6">F71*G71</f>
        <v>0</v>
      </c>
      <c r="I71" s="200" t="e">
        <f t="shared" ref="I71:I121" ca="1" si="7">INDIRECT("'"&amp;$C71&amp;"'!s53")</f>
        <v>#REF!</v>
      </c>
      <c r="J71" s="201" t="e">
        <f t="shared" ref="J71:J123" ca="1" si="8">I71-G71</f>
        <v>#REF!</v>
      </c>
    </row>
    <row r="72" spans="3:10" ht="15" x14ac:dyDescent="0.2">
      <c r="C72" s="212"/>
      <c r="D72" s="219"/>
      <c r="E72" s="211"/>
      <c r="F72" s="220"/>
      <c r="G72" s="202"/>
      <c r="H72" s="203">
        <f t="shared" si="6"/>
        <v>0</v>
      </c>
      <c r="I72" s="200" t="e">
        <f t="shared" ca="1" si="7"/>
        <v>#REF!</v>
      </c>
      <c r="J72" s="201" t="e">
        <f t="shared" ca="1" si="8"/>
        <v>#REF!</v>
      </c>
    </row>
    <row r="73" spans="3:10" ht="15" x14ac:dyDescent="0.2">
      <c r="C73" s="212"/>
      <c r="D73" s="219"/>
      <c r="E73" s="211"/>
      <c r="F73" s="220"/>
      <c r="G73" s="202"/>
      <c r="H73" s="203">
        <f t="shared" si="6"/>
        <v>0</v>
      </c>
      <c r="I73" s="200" t="e">
        <f t="shared" ca="1" si="7"/>
        <v>#REF!</v>
      </c>
      <c r="J73" s="201" t="e">
        <f t="shared" ca="1" si="8"/>
        <v>#REF!</v>
      </c>
    </row>
    <row r="74" spans="3:10" ht="15" x14ac:dyDescent="0.2">
      <c r="C74" s="212"/>
      <c r="D74" s="219"/>
      <c r="E74" s="211"/>
      <c r="F74" s="220"/>
      <c r="G74" s="202"/>
      <c r="H74" s="203">
        <f t="shared" si="6"/>
        <v>0</v>
      </c>
      <c r="I74" s="200" t="e">
        <f t="shared" ca="1" si="7"/>
        <v>#REF!</v>
      </c>
      <c r="J74" s="201" t="e">
        <f t="shared" ca="1" si="8"/>
        <v>#REF!</v>
      </c>
    </row>
    <row r="75" spans="3:10" ht="15" x14ac:dyDescent="0.2">
      <c r="C75" s="212"/>
      <c r="D75" s="219"/>
      <c r="E75" s="211"/>
      <c r="F75" s="220"/>
      <c r="G75" s="202"/>
      <c r="H75" s="203">
        <f t="shared" si="6"/>
        <v>0</v>
      </c>
      <c r="I75" s="200" t="e">
        <f t="shared" ca="1" si="7"/>
        <v>#REF!</v>
      </c>
      <c r="J75" s="201" t="e">
        <f t="shared" ca="1" si="8"/>
        <v>#REF!</v>
      </c>
    </row>
    <row r="76" spans="3:10" ht="15" x14ac:dyDescent="0.2">
      <c r="C76" s="212"/>
      <c r="D76" s="219"/>
      <c r="E76" s="211"/>
      <c r="F76" s="220"/>
      <c r="G76" s="202"/>
      <c r="H76" s="203">
        <f t="shared" si="6"/>
        <v>0</v>
      </c>
      <c r="I76" s="200" t="e">
        <f t="shared" ca="1" si="7"/>
        <v>#REF!</v>
      </c>
      <c r="J76" s="201" t="e">
        <f t="shared" ca="1" si="8"/>
        <v>#REF!</v>
      </c>
    </row>
    <row r="77" spans="3:10" ht="15" x14ac:dyDescent="0.2">
      <c r="C77" s="212"/>
      <c r="D77" s="219"/>
      <c r="E77" s="211"/>
      <c r="F77" s="220"/>
      <c r="G77" s="202"/>
      <c r="H77" s="203">
        <f t="shared" si="6"/>
        <v>0</v>
      </c>
      <c r="I77" s="200" t="e">
        <f t="shared" ca="1" si="7"/>
        <v>#REF!</v>
      </c>
      <c r="J77" s="201" t="e">
        <f t="shared" ca="1" si="8"/>
        <v>#REF!</v>
      </c>
    </row>
    <row r="78" spans="3:10" ht="15" x14ac:dyDescent="0.2">
      <c r="C78" s="212"/>
      <c r="D78" s="219"/>
      <c r="E78" s="211"/>
      <c r="F78" s="220"/>
      <c r="G78" s="202"/>
      <c r="H78" s="203">
        <f t="shared" si="6"/>
        <v>0</v>
      </c>
      <c r="I78" s="200" t="e">
        <f t="shared" ca="1" si="7"/>
        <v>#REF!</v>
      </c>
      <c r="J78" s="201" t="e">
        <f t="shared" ca="1" si="8"/>
        <v>#REF!</v>
      </c>
    </row>
    <row r="79" spans="3:10" ht="15" x14ac:dyDescent="0.2">
      <c r="C79" s="212"/>
      <c r="D79" s="219"/>
      <c r="E79" s="211"/>
      <c r="F79" s="220"/>
      <c r="G79" s="202"/>
      <c r="H79" s="203">
        <f t="shared" si="6"/>
        <v>0</v>
      </c>
      <c r="I79" s="200" t="e">
        <f t="shared" ca="1" si="7"/>
        <v>#REF!</v>
      </c>
      <c r="J79" s="201" t="e">
        <f t="shared" ca="1" si="8"/>
        <v>#REF!</v>
      </c>
    </row>
    <row r="80" spans="3:10" ht="15" x14ac:dyDescent="0.2">
      <c r="C80" s="212"/>
      <c r="D80" s="219"/>
      <c r="E80" s="211"/>
      <c r="F80" s="220"/>
      <c r="G80" s="202"/>
      <c r="H80" s="203">
        <f t="shared" si="6"/>
        <v>0</v>
      </c>
      <c r="I80" s="200" t="e">
        <f t="shared" ca="1" si="7"/>
        <v>#REF!</v>
      </c>
      <c r="J80" s="201" t="e">
        <f t="shared" ca="1" si="8"/>
        <v>#REF!</v>
      </c>
    </row>
    <row r="81" spans="3:10" ht="15" x14ac:dyDescent="0.2">
      <c r="C81" s="212"/>
      <c r="D81" s="219"/>
      <c r="E81" s="211"/>
      <c r="F81" s="220"/>
      <c r="G81" s="202"/>
      <c r="H81" s="203">
        <f t="shared" si="6"/>
        <v>0</v>
      </c>
      <c r="I81" s="200" t="e">
        <f t="shared" ca="1" si="7"/>
        <v>#REF!</v>
      </c>
      <c r="J81" s="201" t="e">
        <f t="shared" ca="1" si="8"/>
        <v>#REF!</v>
      </c>
    </row>
    <row r="82" spans="3:10" ht="15" x14ac:dyDescent="0.2">
      <c r="C82" s="212"/>
      <c r="D82" s="219"/>
      <c r="E82" s="211"/>
      <c r="F82" s="220"/>
      <c r="G82" s="202"/>
      <c r="H82" s="203">
        <f t="shared" si="6"/>
        <v>0</v>
      </c>
      <c r="I82" s="200" t="e">
        <f t="shared" ca="1" si="7"/>
        <v>#REF!</v>
      </c>
      <c r="J82" s="201" t="e">
        <f t="shared" ca="1" si="8"/>
        <v>#REF!</v>
      </c>
    </row>
    <row r="83" spans="3:10" ht="15" x14ac:dyDescent="0.2">
      <c r="C83" s="212"/>
      <c r="D83" s="219"/>
      <c r="E83" s="211"/>
      <c r="F83" s="220"/>
      <c r="G83" s="202"/>
      <c r="H83" s="203">
        <f t="shared" si="6"/>
        <v>0</v>
      </c>
      <c r="I83" s="200" t="e">
        <f t="shared" ca="1" si="7"/>
        <v>#REF!</v>
      </c>
      <c r="J83" s="201" t="e">
        <f t="shared" ca="1" si="8"/>
        <v>#REF!</v>
      </c>
    </row>
    <row r="84" spans="3:10" ht="15" x14ac:dyDescent="0.2">
      <c r="C84" s="212"/>
      <c r="D84" s="219"/>
      <c r="E84" s="211"/>
      <c r="F84" s="220"/>
      <c r="G84" s="202"/>
      <c r="H84" s="203">
        <f t="shared" si="6"/>
        <v>0</v>
      </c>
      <c r="I84" s="200" t="e">
        <f t="shared" ca="1" si="7"/>
        <v>#REF!</v>
      </c>
      <c r="J84" s="201" t="e">
        <f t="shared" ca="1" si="8"/>
        <v>#REF!</v>
      </c>
    </row>
    <row r="85" spans="3:10" ht="15" x14ac:dyDescent="0.2">
      <c r="C85" s="212"/>
      <c r="D85" s="219"/>
      <c r="E85" s="211"/>
      <c r="F85" s="220"/>
      <c r="G85" s="202"/>
      <c r="H85" s="203">
        <f t="shared" si="6"/>
        <v>0</v>
      </c>
      <c r="I85" s="200" t="e">
        <f t="shared" ca="1" si="7"/>
        <v>#REF!</v>
      </c>
      <c r="J85" s="201" t="e">
        <f t="shared" ca="1" si="8"/>
        <v>#REF!</v>
      </c>
    </row>
    <row r="86" spans="3:10" ht="15" x14ac:dyDescent="0.2">
      <c r="C86" s="212"/>
      <c r="D86" s="219"/>
      <c r="E86" s="211"/>
      <c r="F86" s="220"/>
      <c r="G86" s="202"/>
      <c r="H86" s="203">
        <f t="shared" si="6"/>
        <v>0</v>
      </c>
      <c r="I86" s="200" t="e">
        <f t="shared" ca="1" si="7"/>
        <v>#REF!</v>
      </c>
      <c r="J86" s="201" t="e">
        <f t="shared" ca="1" si="8"/>
        <v>#REF!</v>
      </c>
    </row>
    <row r="87" spans="3:10" ht="15" x14ac:dyDescent="0.2">
      <c r="C87" s="212"/>
      <c r="D87" s="219"/>
      <c r="E87" s="211"/>
      <c r="F87" s="220"/>
      <c r="G87" s="202"/>
      <c r="H87" s="203">
        <f t="shared" si="6"/>
        <v>0</v>
      </c>
      <c r="I87" s="200" t="e">
        <f t="shared" ca="1" si="7"/>
        <v>#REF!</v>
      </c>
      <c r="J87" s="201" t="e">
        <f t="shared" ca="1" si="8"/>
        <v>#REF!</v>
      </c>
    </row>
    <row r="88" spans="3:10" ht="15" x14ac:dyDescent="0.2">
      <c r="C88" s="212"/>
      <c r="D88" s="219"/>
      <c r="E88" s="211"/>
      <c r="F88" s="220"/>
      <c r="G88" s="202"/>
      <c r="H88" s="203">
        <f t="shared" si="6"/>
        <v>0</v>
      </c>
      <c r="I88" s="200" t="e">
        <f t="shared" ca="1" si="7"/>
        <v>#REF!</v>
      </c>
      <c r="J88" s="201" t="e">
        <f t="shared" ca="1" si="8"/>
        <v>#REF!</v>
      </c>
    </row>
    <row r="89" spans="3:10" ht="15" x14ac:dyDescent="0.2">
      <c r="C89" s="212"/>
      <c r="D89" s="219"/>
      <c r="E89" s="211"/>
      <c r="F89" s="220"/>
      <c r="G89" s="202"/>
      <c r="H89" s="203">
        <f t="shared" si="6"/>
        <v>0</v>
      </c>
      <c r="I89" s="200" t="e">
        <f t="shared" ca="1" si="7"/>
        <v>#REF!</v>
      </c>
      <c r="J89" s="201" t="e">
        <f t="shared" ca="1" si="8"/>
        <v>#REF!</v>
      </c>
    </row>
    <row r="90" spans="3:10" ht="15" x14ac:dyDescent="0.2">
      <c r="C90" s="212"/>
      <c r="D90" s="219"/>
      <c r="E90" s="211"/>
      <c r="F90" s="220"/>
      <c r="G90" s="202"/>
      <c r="H90" s="203">
        <f t="shared" si="6"/>
        <v>0</v>
      </c>
      <c r="I90" s="200" t="e">
        <f t="shared" ca="1" si="7"/>
        <v>#REF!</v>
      </c>
      <c r="J90" s="201" t="e">
        <f t="shared" ca="1" si="8"/>
        <v>#REF!</v>
      </c>
    </row>
    <row r="91" spans="3:10" ht="15" x14ac:dyDescent="0.2">
      <c r="C91" s="212"/>
      <c r="D91" s="219"/>
      <c r="E91" s="211"/>
      <c r="F91" s="220"/>
      <c r="G91" s="202"/>
      <c r="H91" s="203">
        <f t="shared" si="6"/>
        <v>0</v>
      </c>
      <c r="I91" s="200" t="e">
        <f t="shared" ca="1" si="7"/>
        <v>#REF!</v>
      </c>
      <c r="J91" s="201" t="e">
        <f t="shared" ca="1" si="8"/>
        <v>#REF!</v>
      </c>
    </row>
    <row r="92" spans="3:10" ht="15" x14ac:dyDescent="0.2">
      <c r="C92" s="212"/>
      <c r="D92" s="219"/>
      <c r="E92" s="211"/>
      <c r="F92" s="220"/>
      <c r="G92" s="202"/>
      <c r="H92" s="203">
        <f t="shared" si="6"/>
        <v>0</v>
      </c>
      <c r="I92" s="200" t="e">
        <f t="shared" ca="1" si="7"/>
        <v>#REF!</v>
      </c>
      <c r="J92" s="201" t="e">
        <f t="shared" ca="1" si="8"/>
        <v>#REF!</v>
      </c>
    </row>
    <row r="93" spans="3:10" ht="15" x14ac:dyDescent="0.2">
      <c r="C93" s="212"/>
      <c r="D93" s="219"/>
      <c r="E93" s="211"/>
      <c r="F93" s="220"/>
      <c r="G93" s="202"/>
      <c r="H93" s="203">
        <f t="shared" si="6"/>
        <v>0</v>
      </c>
      <c r="I93" s="200" t="e">
        <f t="shared" ca="1" si="7"/>
        <v>#REF!</v>
      </c>
      <c r="J93" s="201" t="e">
        <f t="shared" ca="1" si="8"/>
        <v>#REF!</v>
      </c>
    </row>
    <row r="94" spans="3:10" ht="15" x14ac:dyDescent="0.2">
      <c r="C94" s="212"/>
      <c r="D94" s="219"/>
      <c r="E94" s="211"/>
      <c r="F94" s="220"/>
      <c r="G94" s="202"/>
      <c r="H94" s="203">
        <f t="shared" si="6"/>
        <v>0</v>
      </c>
      <c r="I94" s="200" t="e">
        <f t="shared" ca="1" si="7"/>
        <v>#REF!</v>
      </c>
      <c r="J94" s="201" t="e">
        <f t="shared" ca="1" si="8"/>
        <v>#REF!</v>
      </c>
    </row>
    <row r="95" spans="3:10" ht="15" x14ac:dyDescent="0.2">
      <c r="C95" s="212"/>
      <c r="D95" s="219"/>
      <c r="E95" s="211"/>
      <c r="F95" s="220"/>
      <c r="G95" s="202"/>
      <c r="H95" s="203">
        <f t="shared" si="6"/>
        <v>0</v>
      </c>
      <c r="I95" s="200" t="e">
        <f t="shared" ca="1" si="7"/>
        <v>#REF!</v>
      </c>
      <c r="J95" s="201" t="e">
        <f t="shared" ca="1" si="8"/>
        <v>#REF!</v>
      </c>
    </row>
    <row r="96" spans="3:10" ht="15" x14ac:dyDescent="0.2">
      <c r="C96" s="212"/>
      <c r="D96" s="219"/>
      <c r="E96" s="211"/>
      <c r="F96" s="220"/>
      <c r="G96" s="202"/>
      <c r="H96" s="203">
        <f t="shared" si="6"/>
        <v>0</v>
      </c>
      <c r="I96" s="200" t="e">
        <f t="shared" ca="1" si="7"/>
        <v>#REF!</v>
      </c>
      <c r="J96" s="201" t="e">
        <f t="shared" ca="1" si="8"/>
        <v>#REF!</v>
      </c>
    </row>
    <row r="97" spans="3:10" ht="15" x14ac:dyDescent="0.2">
      <c r="C97" s="212"/>
      <c r="D97" s="219"/>
      <c r="E97" s="211"/>
      <c r="F97" s="220"/>
      <c r="G97" s="202"/>
      <c r="H97" s="203">
        <f t="shared" si="6"/>
        <v>0</v>
      </c>
      <c r="I97" s="200" t="e">
        <f t="shared" ca="1" si="7"/>
        <v>#REF!</v>
      </c>
      <c r="J97" s="201" t="e">
        <f t="shared" ca="1" si="8"/>
        <v>#REF!</v>
      </c>
    </row>
    <row r="98" spans="3:10" ht="15" x14ac:dyDescent="0.2">
      <c r="C98" s="212"/>
      <c r="D98" s="219"/>
      <c r="E98" s="211"/>
      <c r="F98" s="220"/>
      <c r="G98" s="202"/>
      <c r="H98" s="203">
        <f t="shared" si="6"/>
        <v>0</v>
      </c>
      <c r="I98" s="200" t="e">
        <f t="shared" ca="1" si="7"/>
        <v>#REF!</v>
      </c>
      <c r="J98" s="201" t="e">
        <f t="shared" ca="1" si="8"/>
        <v>#REF!</v>
      </c>
    </row>
    <row r="99" spans="3:10" ht="15" x14ac:dyDescent="0.2">
      <c r="C99" s="212"/>
      <c r="D99" s="219"/>
      <c r="E99" s="211"/>
      <c r="F99" s="220"/>
      <c r="G99" s="202"/>
      <c r="H99" s="203">
        <f t="shared" si="6"/>
        <v>0</v>
      </c>
      <c r="I99" s="200" t="e">
        <f t="shared" ca="1" si="7"/>
        <v>#REF!</v>
      </c>
      <c r="J99" s="201" t="e">
        <f t="shared" ca="1" si="8"/>
        <v>#REF!</v>
      </c>
    </row>
    <row r="100" spans="3:10" ht="15" x14ac:dyDescent="0.2">
      <c r="C100" s="212"/>
      <c r="D100" s="219"/>
      <c r="E100" s="211"/>
      <c r="F100" s="220"/>
      <c r="G100" s="202"/>
      <c r="H100" s="203">
        <f t="shared" si="6"/>
        <v>0</v>
      </c>
      <c r="I100" s="200" t="e">
        <f t="shared" ca="1" si="7"/>
        <v>#REF!</v>
      </c>
      <c r="J100" s="201" t="e">
        <f t="shared" ca="1" si="8"/>
        <v>#REF!</v>
      </c>
    </row>
    <row r="101" spans="3:10" ht="15" x14ac:dyDescent="0.2">
      <c r="C101" s="212"/>
      <c r="D101" s="219"/>
      <c r="E101" s="211"/>
      <c r="F101" s="220"/>
      <c r="G101" s="202"/>
      <c r="H101" s="203">
        <f t="shared" si="6"/>
        <v>0</v>
      </c>
      <c r="I101" s="200" t="e">
        <f t="shared" ca="1" si="7"/>
        <v>#REF!</v>
      </c>
      <c r="J101" s="201" t="e">
        <f t="shared" ca="1" si="8"/>
        <v>#REF!</v>
      </c>
    </row>
    <row r="102" spans="3:10" ht="15" x14ac:dyDescent="0.2">
      <c r="C102" s="212"/>
      <c r="D102" s="219"/>
      <c r="E102" s="211"/>
      <c r="F102" s="220"/>
      <c r="G102" s="202"/>
      <c r="H102" s="203">
        <f t="shared" si="6"/>
        <v>0</v>
      </c>
      <c r="I102" s="200" t="e">
        <f t="shared" ca="1" si="7"/>
        <v>#REF!</v>
      </c>
      <c r="J102" s="201" t="e">
        <f t="shared" ca="1" si="8"/>
        <v>#REF!</v>
      </c>
    </row>
    <row r="103" spans="3:10" ht="15" x14ac:dyDescent="0.2">
      <c r="C103" s="212"/>
      <c r="D103" s="219"/>
      <c r="E103" s="211"/>
      <c r="F103" s="220"/>
      <c r="G103" s="202"/>
      <c r="H103" s="203">
        <f t="shared" si="6"/>
        <v>0</v>
      </c>
      <c r="I103" s="200" t="e">
        <f t="shared" ca="1" si="7"/>
        <v>#REF!</v>
      </c>
      <c r="J103" s="201" t="e">
        <f t="shared" ca="1" si="8"/>
        <v>#REF!</v>
      </c>
    </row>
    <row r="104" spans="3:10" ht="15" x14ac:dyDescent="0.2">
      <c r="C104" s="212"/>
      <c r="D104" s="219"/>
      <c r="E104" s="211"/>
      <c r="F104" s="220"/>
      <c r="G104" s="202"/>
      <c r="H104" s="203">
        <f t="shared" si="6"/>
        <v>0</v>
      </c>
      <c r="I104" s="200" t="e">
        <f t="shared" ca="1" si="7"/>
        <v>#REF!</v>
      </c>
      <c r="J104" s="201" t="e">
        <f t="shared" ca="1" si="8"/>
        <v>#REF!</v>
      </c>
    </row>
    <row r="105" spans="3:10" ht="15" x14ac:dyDescent="0.2">
      <c r="C105" s="212"/>
      <c r="D105" s="219"/>
      <c r="E105" s="211"/>
      <c r="F105" s="220"/>
      <c r="G105" s="202"/>
      <c r="H105" s="203">
        <f t="shared" si="6"/>
        <v>0</v>
      </c>
      <c r="I105" s="200" t="e">
        <f t="shared" ca="1" si="7"/>
        <v>#REF!</v>
      </c>
      <c r="J105" s="201" t="e">
        <f t="shared" ca="1" si="8"/>
        <v>#REF!</v>
      </c>
    </row>
    <row r="106" spans="3:10" ht="15" x14ac:dyDescent="0.2">
      <c r="C106" s="212"/>
      <c r="D106" s="219"/>
      <c r="E106" s="211"/>
      <c r="F106" s="220"/>
      <c r="G106" s="202"/>
      <c r="H106" s="203">
        <f t="shared" si="6"/>
        <v>0</v>
      </c>
      <c r="I106" s="200" t="e">
        <f t="shared" ca="1" si="7"/>
        <v>#REF!</v>
      </c>
      <c r="J106" s="201" t="e">
        <f t="shared" ca="1" si="8"/>
        <v>#REF!</v>
      </c>
    </row>
    <row r="107" spans="3:10" ht="15" x14ac:dyDescent="0.2">
      <c r="C107" s="212"/>
      <c r="D107" s="219"/>
      <c r="E107" s="211"/>
      <c r="F107" s="220"/>
      <c r="G107" s="202"/>
      <c r="H107" s="203">
        <f t="shared" si="6"/>
        <v>0</v>
      </c>
      <c r="I107" s="200" t="e">
        <f t="shared" ca="1" si="7"/>
        <v>#REF!</v>
      </c>
      <c r="J107" s="201" t="e">
        <f t="shared" ca="1" si="8"/>
        <v>#REF!</v>
      </c>
    </row>
    <row r="108" spans="3:10" ht="15" x14ac:dyDescent="0.2">
      <c r="C108" s="212"/>
      <c r="D108" s="219"/>
      <c r="E108" s="211"/>
      <c r="F108" s="220"/>
      <c r="G108" s="202"/>
      <c r="H108" s="203">
        <f t="shared" si="6"/>
        <v>0</v>
      </c>
      <c r="I108" s="200" t="e">
        <f t="shared" ca="1" si="7"/>
        <v>#REF!</v>
      </c>
      <c r="J108" s="201" t="e">
        <f t="shared" ca="1" si="8"/>
        <v>#REF!</v>
      </c>
    </row>
    <row r="109" spans="3:10" ht="15" x14ac:dyDescent="0.2">
      <c r="C109" s="212"/>
      <c r="D109" s="219"/>
      <c r="E109" s="211"/>
      <c r="F109" s="220"/>
      <c r="G109" s="202"/>
      <c r="H109" s="203">
        <f t="shared" si="6"/>
        <v>0</v>
      </c>
      <c r="I109" s="200" t="e">
        <f t="shared" ca="1" si="7"/>
        <v>#REF!</v>
      </c>
      <c r="J109" s="201" t="e">
        <f t="shared" ca="1" si="8"/>
        <v>#REF!</v>
      </c>
    </row>
    <row r="110" spans="3:10" ht="15" x14ac:dyDescent="0.2">
      <c r="C110" s="212"/>
      <c r="D110" s="219"/>
      <c r="E110" s="211"/>
      <c r="F110" s="220"/>
      <c r="G110" s="202"/>
      <c r="H110" s="203">
        <f t="shared" si="6"/>
        <v>0</v>
      </c>
      <c r="I110" s="200" t="e">
        <f t="shared" ca="1" si="7"/>
        <v>#REF!</v>
      </c>
      <c r="J110" s="201" t="e">
        <f t="shared" ca="1" si="8"/>
        <v>#REF!</v>
      </c>
    </row>
    <row r="111" spans="3:10" ht="15" x14ac:dyDescent="0.2">
      <c r="C111" s="212"/>
      <c r="D111" s="219"/>
      <c r="E111" s="211"/>
      <c r="F111" s="220"/>
      <c r="G111" s="202"/>
      <c r="H111" s="203">
        <f t="shared" si="6"/>
        <v>0</v>
      </c>
      <c r="I111" s="200" t="e">
        <f t="shared" ca="1" si="7"/>
        <v>#REF!</v>
      </c>
      <c r="J111" s="201" t="e">
        <f t="shared" ca="1" si="8"/>
        <v>#REF!</v>
      </c>
    </row>
    <row r="112" spans="3:10" ht="15" x14ac:dyDescent="0.2">
      <c r="C112" s="212"/>
      <c r="D112" s="219"/>
      <c r="E112" s="211"/>
      <c r="F112" s="220"/>
      <c r="G112" s="202"/>
      <c r="H112" s="203">
        <f t="shared" si="6"/>
        <v>0</v>
      </c>
      <c r="I112" s="200" t="e">
        <f t="shared" ca="1" si="7"/>
        <v>#REF!</v>
      </c>
      <c r="J112" s="201" t="e">
        <f t="shared" ca="1" si="8"/>
        <v>#REF!</v>
      </c>
    </row>
    <row r="113" spans="3:10" ht="15" x14ac:dyDescent="0.2">
      <c r="C113" s="212"/>
      <c r="D113" s="219"/>
      <c r="E113" s="211"/>
      <c r="F113" s="220"/>
      <c r="G113" s="202"/>
      <c r="H113" s="203">
        <f t="shared" si="6"/>
        <v>0</v>
      </c>
      <c r="I113" s="200" t="e">
        <f t="shared" ca="1" si="7"/>
        <v>#REF!</v>
      </c>
      <c r="J113" s="201" t="e">
        <f t="shared" ca="1" si="8"/>
        <v>#REF!</v>
      </c>
    </row>
    <row r="114" spans="3:10" ht="15" x14ac:dyDescent="0.2">
      <c r="C114" s="212"/>
      <c r="D114" s="219"/>
      <c r="E114" s="211"/>
      <c r="F114" s="220"/>
      <c r="G114" s="202"/>
      <c r="H114" s="203">
        <f t="shared" si="6"/>
        <v>0</v>
      </c>
      <c r="I114" s="200" t="e">
        <f t="shared" ca="1" si="7"/>
        <v>#REF!</v>
      </c>
      <c r="J114" s="201" t="e">
        <f t="shared" ca="1" si="8"/>
        <v>#REF!</v>
      </c>
    </row>
    <row r="115" spans="3:10" ht="15" x14ac:dyDescent="0.2">
      <c r="C115" s="212"/>
      <c r="D115" s="219"/>
      <c r="E115" s="211"/>
      <c r="F115" s="220"/>
      <c r="G115" s="202"/>
      <c r="H115" s="203">
        <f t="shared" si="6"/>
        <v>0</v>
      </c>
      <c r="I115" s="200" t="e">
        <f t="shared" ca="1" si="7"/>
        <v>#REF!</v>
      </c>
      <c r="J115" s="201" t="e">
        <f t="shared" ca="1" si="8"/>
        <v>#REF!</v>
      </c>
    </row>
    <row r="116" spans="3:10" ht="15" x14ac:dyDescent="0.2">
      <c r="C116" s="212"/>
      <c r="D116" s="219"/>
      <c r="E116" s="211"/>
      <c r="F116" s="220"/>
      <c r="G116" s="202"/>
      <c r="H116" s="203">
        <f t="shared" si="6"/>
        <v>0</v>
      </c>
      <c r="I116" s="200" t="e">
        <f t="shared" ca="1" si="7"/>
        <v>#REF!</v>
      </c>
      <c r="J116" s="201" t="e">
        <f t="shared" ca="1" si="8"/>
        <v>#REF!</v>
      </c>
    </row>
    <row r="117" spans="3:10" ht="15" x14ac:dyDescent="0.2">
      <c r="C117" s="212"/>
      <c r="D117" s="219"/>
      <c r="E117" s="211"/>
      <c r="F117" s="220"/>
      <c r="G117" s="202"/>
      <c r="H117" s="203">
        <f t="shared" si="6"/>
        <v>0</v>
      </c>
      <c r="I117" s="200" t="e">
        <f t="shared" ca="1" si="7"/>
        <v>#REF!</v>
      </c>
      <c r="J117" s="201" t="e">
        <f t="shared" ca="1" si="8"/>
        <v>#REF!</v>
      </c>
    </row>
    <row r="118" spans="3:10" ht="15" x14ac:dyDescent="0.2">
      <c r="C118" s="212"/>
      <c r="D118" s="219"/>
      <c r="E118" s="211"/>
      <c r="F118" s="220"/>
      <c r="G118" s="202"/>
      <c r="H118" s="203">
        <f t="shared" si="6"/>
        <v>0</v>
      </c>
      <c r="I118" s="200" t="e">
        <f t="shared" ca="1" si="7"/>
        <v>#REF!</v>
      </c>
      <c r="J118" s="201" t="e">
        <f t="shared" ca="1" si="8"/>
        <v>#REF!</v>
      </c>
    </row>
    <row r="119" spans="3:10" ht="15" x14ac:dyDescent="0.2">
      <c r="C119" s="212"/>
      <c r="D119" s="219"/>
      <c r="E119" s="211"/>
      <c r="F119" s="220"/>
      <c r="G119" s="202"/>
      <c r="H119" s="203">
        <f t="shared" si="6"/>
        <v>0</v>
      </c>
      <c r="I119" s="200" t="e">
        <f t="shared" ca="1" si="7"/>
        <v>#REF!</v>
      </c>
      <c r="J119" s="201" t="e">
        <f t="shared" ca="1" si="8"/>
        <v>#REF!</v>
      </c>
    </row>
    <row r="120" spans="3:10" ht="15" x14ac:dyDescent="0.2">
      <c r="C120" s="212"/>
      <c r="D120" s="219"/>
      <c r="E120" s="211"/>
      <c r="F120" s="220"/>
      <c r="G120" s="202"/>
      <c r="H120" s="203">
        <f t="shared" si="6"/>
        <v>0</v>
      </c>
      <c r="I120" s="200" t="e">
        <f t="shared" ca="1" si="7"/>
        <v>#REF!</v>
      </c>
      <c r="J120" s="201" t="e">
        <f t="shared" ca="1" si="8"/>
        <v>#REF!</v>
      </c>
    </row>
    <row r="121" spans="3:10" ht="15" x14ac:dyDescent="0.2">
      <c r="C121" s="212"/>
      <c r="D121" s="219"/>
      <c r="E121" s="211"/>
      <c r="F121" s="220"/>
      <c r="G121" s="202"/>
      <c r="H121" s="203">
        <f t="shared" si="6"/>
        <v>0</v>
      </c>
      <c r="I121" s="200" t="e">
        <f t="shared" ca="1" si="7"/>
        <v>#REF!</v>
      </c>
      <c r="J121" s="201" t="e">
        <f t="shared" ca="1" si="8"/>
        <v>#REF!</v>
      </c>
    </row>
    <row r="122" spans="3:10" ht="15" x14ac:dyDescent="0.2">
      <c r="C122" s="210"/>
      <c r="D122" s="219"/>
      <c r="E122" s="211"/>
      <c r="F122" s="220"/>
      <c r="G122" s="202"/>
      <c r="H122" s="203">
        <f t="shared" si="6"/>
        <v>0</v>
      </c>
      <c r="I122" s="200" t="e">
        <f ca="1">INDIRECT("'"&amp;$C122&amp;"'!t19")</f>
        <v>#REF!</v>
      </c>
      <c r="J122" s="201" t="e">
        <f t="shared" ca="1" si="8"/>
        <v>#REF!</v>
      </c>
    </row>
    <row r="123" spans="3:10" x14ac:dyDescent="0.2">
      <c r="G123" s="202"/>
      <c r="H123" s="203">
        <f t="shared" si="6"/>
        <v>0</v>
      </c>
      <c r="I123" s="200" t="e">
        <f ca="1">INDIRECT("'"&amp;$C123&amp;"'!t19")</f>
        <v>#REF!</v>
      </c>
      <c r="J123" s="201" t="e">
        <f t="shared" ca="1" si="8"/>
        <v>#REF!</v>
      </c>
    </row>
  </sheetData>
  <phoneticPr fontId="0" type="noConversion"/>
  <printOptions horizontalCentered="1"/>
  <pageMargins left="0.78740157480314965" right="0.78740157480314965" top="0.39370078740157483" bottom="0.39370078740157483" header="0.51181102362204722" footer="0.51181102362204722"/>
  <pageSetup paperSize="8" scale="65" fitToHeight="2"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95" r:id="rId4" name="Button 47">
              <controlPr defaultSize="0" print="0" autoFill="0" autoPict="0" macro="[0]!CreationFichierSDP">
                <anchor moveWithCells="1" sizeWithCells="1">
                  <from>
                    <xdr:col>6</xdr:col>
                    <xdr:colOff>885825</xdr:colOff>
                    <xdr:row>0</xdr:row>
                    <xdr:rowOff>19050</xdr:rowOff>
                  </from>
                  <to>
                    <xdr:col>8</xdr:col>
                    <xdr:colOff>542925</xdr:colOff>
                    <xdr:row>1</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0517F-3FB9-4A78-9A25-F6D37ED61C00}">
  <sheetPr codeName="Feuil48">
    <tabColor rgb="FF00B050"/>
    <pageSetUpPr fitToPage="1"/>
  </sheetPr>
  <dimension ref="A1:P57"/>
  <sheetViews>
    <sheetView zoomScale="80" zoomScaleNormal="80" zoomScaleSheetLayoutView="85" workbookViewId="0">
      <selection activeCell="A25" sqref="A25:A28"/>
    </sheetView>
  </sheetViews>
  <sheetFormatPr baseColWidth="10" defaultColWidth="11.42578125" defaultRowHeight="18" x14ac:dyDescent="0.2"/>
  <cols>
    <col min="1" max="1" width="34.28515625" style="239" customWidth="1"/>
    <col min="2" max="2" width="24.5703125" style="239" hidden="1" customWidth="1"/>
    <col min="3" max="3" width="12.85546875" style="239" customWidth="1"/>
    <col min="4" max="4" width="15.140625" style="239" customWidth="1"/>
    <col min="5" max="5" width="12.7109375" style="239" customWidth="1"/>
    <col min="6" max="6" width="7.28515625" style="239" customWidth="1"/>
    <col min="7" max="7" width="12.42578125" style="239" customWidth="1"/>
    <col min="8" max="8" width="11.85546875" style="239" customWidth="1"/>
    <col min="9" max="9" width="11.42578125" style="239"/>
    <col min="10" max="10" width="15.28515625" style="239" customWidth="1"/>
    <col min="11" max="11" width="11.42578125" style="239"/>
    <col min="12" max="12" width="16" style="239" customWidth="1"/>
    <col min="13" max="14" width="11.42578125" style="239"/>
    <col min="15" max="15" width="16.28515625" style="239" customWidth="1"/>
    <col min="16" max="16" width="25.85546875" style="239" customWidth="1"/>
    <col min="17" max="16384" width="11.42578125" style="239"/>
  </cols>
  <sheetData>
    <row r="1" spans="1:16" x14ac:dyDescent="0.2">
      <c r="A1" s="238"/>
      <c r="B1" s="238"/>
      <c r="M1" s="238" t="s">
        <v>10</v>
      </c>
    </row>
    <row r="2" spans="1:16" ht="5.45" customHeight="1" x14ac:dyDescent="0.2">
      <c r="A2" s="240"/>
      <c r="B2" s="240"/>
      <c r="C2" s="241"/>
      <c r="D2" s="241"/>
      <c r="E2" s="241"/>
      <c r="F2" s="241"/>
      <c r="G2" s="241"/>
      <c r="H2" s="241"/>
      <c r="I2" s="241"/>
      <c r="J2" s="241"/>
      <c r="K2" s="241"/>
      <c r="L2" s="241"/>
      <c r="M2" s="241"/>
      <c r="N2" s="241"/>
      <c r="O2" s="241"/>
      <c r="P2" s="241"/>
    </row>
    <row r="3" spans="1:16" ht="18.75" x14ac:dyDescent="0.2">
      <c r="A3" s="419" t="s">
        <v>11</v>
      </c>
      <c r="B3" s="419"/>
      <c r="C3" s="419"/>
      <c r="D3" s="419"/>
      <c r="E3" s="419"/>
      <c r="F3" s="419"/>
      <c r="G3" s="419"/>
      <c r="H3" s="419"/>
      <c r="I3" s="419"/>
      <c r="J3" s="419"/>
      <c r="K3" s="419"/>
      <c r="L3" s="419"/>
      <c r="M3" s="419"/>
      <c r="N3" s="419"/>
      <c r="O3" s="419"/>
      <c r="P3" s="419"/>
    </row>
    <row r="4" spans="1:16" ht="7.9" customHeight="1" thickBot="1" x14ac:dyDescent="0.25">
      <c r="C4" s="241"/>
      <c r="D4" s="241"/>
      <c r="E4" s="241"/>
      <c r="F4" s="241"/>
      <c r="G4" s="241"/>
      <c r="H4" s="241"/>
      <c r="I4" s="241"/>
      <c r="J4" s="241"/>
      <c r="K4" s="241"/>
      <c r="L4" s="241"/>
      <c r="M4" s="241"/>
      <c r="N4" s="241"/>
      <c r="O4" s="241"/>
      <c r="P4" s="241"/>
    </row>
    <row r="5" spans="1:16" ht="25.9" customHeight="1" x14ac:dyDescent="0.2">
      <c r="A5" s="282" t="s">
        <v>12</v>
      </c>
      <c r="B5" s="242"/>
      <c r="C5" s="428" t="s">
        <v>13</v>
      </c>
      <c r="D5" s="428"/>
      <c r="E5" s="428"/>
      <c r="F5" s="242"/>
      <c r="G5" s="242"/>
      <c r="H5" s="242"/>
      <c r="I5" s="242"/>
      <c r="J5" s="242"/>
      <c r="K5" s="242"/>
      <c r="L5" s="242"/>
      <c r="M5" s="242"/>
      <c r="N5" s="242"/>
      <c r="O5" s="242"/>
      <c r="P5" s="243"/>
    </row>
    <row r="6" spans="1:16" ht="18" customHeight="1" x14ac:dyDescent="0.2">
      <c r="A6" s="263" t="s">
        <v>14</v>
      </c>
      <c r="B6" s="245"/>
      <c r="C6" s="420">
        <f>'DE récap'!D1</f>
        <v>0</v>
      </c>
      <c r="D6" s="420"/>
      <c r="E6" s="420"/>
      <c r="F6" s="420"/>
      <c r="G6" s="420"/>
      <c r="I6" s="286" t="s">
        <v>15</v>
      </c>
      <c r="J6" s="415" t="str">
        <f ca="1">C10</f>
        <v>Dégarnissage de la voie non mécanisé conduit jusqu'à une profondeur &gt; 0,15 m et ≤ 0,25 m</v>
      </c>
      <c r="K6" s="415"/>
      <c r="L6" s="415"/>
      <c r="M6" s="415"/>
      <c r="O6" s="286" t="s">
        <v>16</v>
      </c>
      <c r="P6" s="266">
        <f>'DE récap'!F1</f>
        <v>0</v>
      </c>
    </row>
    <row r="7" spans="1:16" ht="18.75" x14ac:dyDescent="0.2">
      <c r="A7" s="244"/>
      <c r="B7" s="245"/>
      <c r="C7" s="420"/>
      <c r="D7" s="420"/>
      <c r="E7" s="420"/>
      <c r="F7" s="420"/>
      <c r="G7" s="420"/>
      <c r="H7" s="245"/>
      <c r="I7" s="245"/>
      <c r="J7" s="415"/>
      <c r="K7" s="415"/>
      <c r="L7" s="415"/>
      <c r="M7" s="415"/>
      <c r="N7" s="245"/>
      <c r="O7" s="245"/>
      <c r="P7" s="246"/>
    </row>
    <row r="8" spans="1:16" ht="22.5" customHeight="1" x14ac:dyDescent="0.2">
      <c r="A8" s="264"/>
      <c r="C8" s="420"/>
      <c r="D8" s="420"/>
      <c r="E8" s="420"/>
      <c r="F8" s="420"/>
      <c r="G8" s="420"/>
      <c r="H8" s="245"/>
      <c r="I8" s="245"/>
      <c r="J8" s="415"/>
      <c r="K8" s="415"/>
      <c r="L8" s="415"/>
      <c r="M8" s="415"/>
      <c r="N8" s="245"/>
      <c r="O8" s="245"/>
      <c r="P8" s="246"/>
    </row>
    <row r="9" spans="1:16" ht="21.75" x14ac:dyDescent="0.2">
      <c r="A9" s="263" t="s">
        <v>17</v>
      </c>
      <c r="B9" s="245"/>
      <c r="C9" s="376" t="str">
        <f ca="1">MID(CELL("nomfichier",C9),FIND("]",CELL("nomfichier",C9))+1,LEN(CELL("nomfichier",C9))-FIND("]",CELL("nomfichier",C9)))</f>
        <v>10B 11 702 00</v>
      </c>
      <c r="D9" s="376"/>
      <c r="E9" s="376"/>
      <c r="F9" s="376"/>
      <c r="G9" s="245"/>
      <c r="H9" s="245"/>
      <c r="I9" s="245"/>
      <c r="J9" s="245"/>
      <c r="K9" s="245"/>
      <c r="L9" s="245"/>
      <c r="M9" s="245"/>
      <c r="N9" s="245"/>
      <c r="O9" s="245"/>
      <c r="P9" s="246"/>
    </row>
    <row r="10" spans="1:16" ht="18.75" x14ac:dyDescent="0.2">
      <c r="A10" s="263" t="s">
        <v>18</v>
      </c>
      <c r="B10" s="245"/>
      <c r="C10" s="415" t="str">
        <f ca="1">IF($C$9&lt;&gt;"",VLOOKUP($C$9,'DE récap'!$C$4:$F$151,2,FALSE),"")</f>
        <v>Dégarnissage de la voie non mécanisé conduit jusqu'à une profondeur &gt; 0,15 m et ≤ 0,25 m</v>
      </c>
      <c r="D10" s="415"/>
      <c r="E10" s="415"/>
      <c r="F10" s="415"/>
      <c r="G10" s="415"/>
      <c r="H10" s="415"/>
      <c r="I10" s="415"/>
      <c r="J10" s="415"/>
      <c r="K10" s="415"/>
      <c r="L10" s="415"/>
      <c r="M10" s="245"/>
      <c r="N10" s="245"/>
      <c r="O10" s="286" t="s">
        <v>19</v>
      </c>
      <c r="P10" s="284">
        <f ca="1">IF($C$9&lt;&gt;"",VLOOKUP($C$9,'DE récap'!$C$4:$F$25,4,FALSE),"")</f>
        <v>90</v>
      </c>
    </row>
    <row r="11" spans="1:16" ht="19.5" thickBot="1" x14ac:dyDescent="0.25">
      <c r="A11" s="247"/>
      <c r="B11" s="248"/>
      <c r="C11" s="416"/>
      <c r="D11" s="416"/>
      <c r="E11" s="416"/>
      <c r="F11" s="416"/>
      <c r="G11" s="416"/>
      <c r="H11" s="416"/>
      <c r="I11" s="416"/>
      <c r="J11" s="416"/>
      <c r="K11" s="416"/>
      <c r="L11" s="416"/>
      <c r="M11" s="248"/>
      <c r="N11" s="248"/>
      <c r="O11" s="287" t="s">
        <v>20</v>
      </c>
      <c r="P11" s="285" t="str">
        <f ca="1">IF($C$9&lt;&gt;"",VLOOKUP($C$9,'DE récap'!$C$4:$F$25,3,FALSE),"")</f>
        <v>m de voie</v>
      </c>
    </row>
    <row r="12" spans="1:16" ht="19.5" thickBot="1" x14ac:dyDescent="0.25">
      <c r="A12" s="421" t="s">
        <v>21</v>
      </c>
      <c r="B12" s="422"/>
      <c r="C12" s="422"/>
      <c r="D12" s="423"/>
      <c r="E12" s="421" t="s">
        <v>22</v>
      </c>
      <c r="F12" s="422"/>
      <c r="G12" s="422"/>
      <c r="H12" s="422"/>
      <c r="I12" s="422"/>
      <c r="J12" s="422"/>
      <c r="K12" s="422"/>
      <c r="L12" s="422"/>
      <c r="M12" s="422"/>
      <c r="N12" s="422"/>
      <c r="O12" s="422"/>
      <c r="P12" s="423"/>
    </row>
    <row r="13" spans="1:16" ht="18.75" x14ac:dyDescent="0.2">
      <c r="A13" s="409"/>
      <c r="B13" s="250"/>
      <c r="C13" s="409"/>
      <c r="D13" s="409" t="s">
        <v>23</v>
      </c>
      <c r="E13" s="411" t="s">
        <v>24</v>
      </c>
      <c r="F13" s="412"/>
      <c r="G13" s="412"/>
      <c r="H13" s="413"/>
      <c r="I13" s="411" t="s">
        <v>25</v>
      </c>
      <c r="J13" s="413"/>
      <c r="K13" s="411" t="s">
        <v>7</v>
      </c>
      <c r="L13" s="413"/>
      <c r="M13" s="424" t="s">
        <v>26</v>
      </c>
      <c r="N13" s="425"/>
      <c r="O13" s="411" t="s">
        <v>27</v>
      </c>
      <c r="P13" s="413"/>
    </row>
    <row r="14" spans="1:16" ht="19.5" thickBot="1" x14ac:dyDescent="0.25">
      <c r="A14" s="410"/>
      <c r="B14" s="251"/>
      <c r="C14" s="410"/>
      <c r="D14" s="410"/>
      <c r="E14" s="417" t="s">
        <v>28</v>
      </c>
      <c r="F14" s="426"/>
      <c r="G14" s="426"/>
      <c r="H14" s="418"/>
      <c r="I14" s="417"/>
      <c r="J14" s="418"/>
      <c r="K14" s="417"/>
      <c r="L14" s="418"/>
      <c r="M14" s="414" t="s">
        <v>29</v>
      </c>
      <c r="N14" s="389"/>
      <c r="O14" s="417"/>
      <c r="P14" s="418"/>
    </row>
    <row r="15" spans="1:16" ht="37.5" x14ac:dyDescent="0.2">
      <c r="A15" s="410" t="s">
        <v>30</v>
      </c>
      <c r="B15" s="251"/>
      <c r="C15" s="410" t="s">
        <v>31</v>
      </c>
      <c r="D15" s="256" t="s">
        <v>32</v>
      </c>
      <c r="E15" s="257" t="s">
        <v>33</v>
      </c>
      <c r="F15" s="411" t="s">
        <v>34</v>
      </c>
      <c r="G15" s="412"/>
      <c r="H15" s="413"/>
      <c r="I15" s="255" t="s">
        <v>33</v>
      </c>
      <c r="J15" s="255" t="s">
        <v>34</v>
      </c>
      <c r="K15" s="255" t="s">
        <v>33</v>
      </c>
      <c r="L15" s="255" t="s">
        <v>34</v>
      </c>
      <c r="M15" s="414"/>
      <c r="N15" s="389"/>
      <c r="O15" s="255" t="s">
        <v>33</v>
      </c>
      <c r="P15" s="258" t="s">
        <v>35</v>
      </c>
    </row>
    <row r="16" spans="1:16" ht="18.75" x14ac:dyDescent="0.2">
      <c r="A16" s="410"/>
      <c r="B16" s="251"/>
      <c r="C16" s="410"/>
      <c r="D16" s="256"/>
      <c r="E16" s="257" t="s">
        <v>36</v>
      </c>
      <c r="F16" s="414" t="s">
        <v>37</v>
      </c>
      <c r="G16" s="388"/>
      <c r="H16" s="389"/>
      <c r="I16" s="255" t="s">
        <v>36</v>
      </c>
      <c r="J16" s="255" t="s">
        <v>38</v>
      </c>
      <c r="K16" s="255" t="s">
        <v>36</v>
      </c>
      <c r="L16" s="255" t="s">
        <v>39</v>
      </c>
      <c r="M16" s="414"/>
      <c r="N16" s="389"/>
      <c r="O16" s="255" t="s">
        <v>36</v>
      </c>
      <c r="P16" s="251"/>
    </row>
    <row r="17" spans="1:16" ht="18.75" x14ac:dyDescent="0.2">
      <c r="A17" s="410"/>
      <c r="B17" s="251"/>
      <c r="C17" s="410"/>
      <c r="D17" s="256"/>
      <c r="E17" s="257"/>
      <c r="F17" s="414"/>
      <c r="G17" s="388"/>
      <c r="H17" s="389"/>
      <c r="I17" s="255"/>
      <c r="J17" s="255"/>
      <c r="K17" s="255"/>
      <c r="L17" s="255"/>
      <c r="M17" s="414"/>
      <c r="N17" s="389"/>
      <c r="O17" s="255"/>
      <c r="P17" s="251"/>
    </row>
    <row r="18" spans="1:16" ht="19.5" thickBot="1" x14ac:dyDescent="0.25">
      <c r="A18" s="427"/>
      <c r="B18" s="259"/>
      <c r="C18" s="427"/>
      <c r="D18" s="254">
        <v>1</v>
      </c>
      <c r="E18" s="253">
        <v>2</v>
      </c>
      <c r="F18" s="417">
        <v>3</v>
      </c>
      <c r="G18" s="426"/>
      <c r="H18" s="418"/>
      <c r="I18" s="252">
        <v>4</v>
      </c>
      <c r="J18" s="252">
        <v>5</v>
      </c>
      <c r="K18" s="252">
        <v>6</v>
      </c>
      <c r="L18" s="252">
        <v>7</v>
      </c>
      <c r="M18" s="417">
        <v>8</v>
      </c>
      <c r="N18" s="418"/>
      <c r="O18" s="252">
        <v>9</v>
      </c>
      <c r="P18" s="259">
        <v>10</v>
      </c>
    </row>
    <row r="19" spans="1:16" s="261" customFormat="1" ht="17.45" customHeight="1" x14ac:dyDescent="0.2">
      <c r="A19" s="330"/>
      <c r="B19" s="330"/>
      <c r="C19" s="331">
        <v>90</v>
      </c>
      <c r="D19" s="325"/>
      <c r="E19" s="260"/>
      <c r="F19" s="406"/>
      <c r="G19" s="407"/>
      <c r="H19" s="408"/>
      <c r="I19" s="260"/>
      <c r="J19" s="260"/>
      <c r="K19" s="260"/>
      <c r="L19" s="260"/>
      <c r="M19" s="244"/>
      <c r="N19" s="246"/>
      <c r="O19" s="268"/>
      <c r="P19" s="267"/>
    </row>
    <row r="20" spans="1:16" ht="17.45" customHeight="1" x14ac:dyDescent="0.2">
      <c r="A20" s="278" t="s">
        <v>4</v>
      </c>
      <c r="B20" s="278"/>
      <c r="C20" s="272"/>
      <c r="D20" s="273"/>
      <c r="E20" s="274"/>
      <c r="F20" s="397"/>
      <c r="G20" s="402"/>
      <c r="H20" s="398"/>
      <c r="I20" s="274"/>
      <c r="J20" s="275"/>
      <c r="K20" s="274"/>
      <c r="L20" s="275"/>
      <c r="M20" s="276"/>
      <c r="N20" s="277"/>
      <c r="O20" s="273"/>
      <c r="P20" s="275"/>
    </row>
    <row r="21" spans="1:16" ht="17.45" customHeight="1" x14ac:dyDescent="0.2">
      <c r="A21" s="330"/>
      <c r="B21" s="330"/>
      <c r="C21" s="332" t="str">
        <f>IF(A21&lt;&gt;"",VLOOKUP(A21,Personnel!$B$17:$D$121,2,FALSE),"")</f>
        <v/>
      </c>
      <c r="D21" s="268">
        <v>1</v>
      </c>
      <c r="E21" s="279"/>
      <c r="F21" s="399">
        <f t="shared" ref="F21:F42" si="0">IF(E21="",0,E21*D21)</f>
        <v>0</v>
      </c>
      <c r="G21" s="403"/>
      <c r="H21" s="400"/>
      <c r="I21" s="279">
        <f>IF(A21&lt;&gt;"",VLOOKUP(A21,Personnel!$B$15:$L$107,3,FALSE),0)</f>
        <v>0</v>
      </c>
      <c r="J21" s="268">
        <f t="shared" ref="J21:J42" si="1">IF(I21="",0,I21*D21)</f>
        <v>0</v>
      </c>
      <c r="K21" s="260"/>
      <c r="L21" s="268">
        <f t="shared" ref="L21:L42" si="2">IF(K21="",0,K21*D21)</f>
        <v>0</v>
      </c>
      <c r="M21" s="399">
        <f>F21+J21+L21</f>
        <v>0</v>
      </c>
      <c r="N21" s="400"/>
      <c r="O21" s="268"/>
      <c r="P21" s="268">
        <f>IF(O21="",0,O21*D21)</f>
        <v>0</v>
      </c>
    </row>
    <row r="22" spans="1:16" s="261" customFormat="1" ht="17.45" customHeight="1" x14ac:dyDescent="0.2">
      <c r="A22" s="330"/>
      <c r="B22" s="330"/>
      <c r="C22" s="332" t="str">
        <f>IF(A22&lt;&gt;"",VLOOKUP(A22,Personnel!$B$17:$D$121,2,FALSE),"")</f>
        <v/>
      </c>
      <c r="D22" s="268">
        <v>1</v>
      </c>
      <c r="E22" s="279"/>
      <c r="F22" s="399">
        <f t="shared" si="0"/>
        <v>0</v>
      </c>
      <c r="G22" s="403"/>
      <c r="H22" s="400"/>
      <c r="I22" s="279" t="str">
        <f>IF(A22&lt;&gt;"",VLOOKUP(A22,Personnel!$B$15:$L$107,3,FALSE),"")</f>
        <v/>
      </c>
      <c r="J22" s="268">
        <f t="shared" si="1"/>
        <v>0</v>
      </c>
      <c r="K22" s="260"/>
      <c r="L22" s="268">
        <f t="shared" si="2"/>
        <v>0</v>
      </c>
      <c r="M22" s="399">
        <f t="shared" ref="M22:M42" si="3">IF(ISERR(F22+J22+L22),"",F22+J22+L22)</f>
        <v>0</v>
      </c>
      <c r="N22" s="400"/>
      <c r="O22" s="268"/>
      <c r="P22" s="268">
        <f t="shared" ref="P22:P42" si="4">IF(O22="",0,O22*D22)</f>
        <v>0</v>
      </c>
    </row>
    <row r="23" spans="1:16" ht="17.45" customHeight="1" x14ac:dyDescent="0.2">
      <c r="A23" s="333"/>
      <c r="B23" s="333"/>
      <c r="C23" s="334" t="str">
        <f>IF(A23&lt;&gt;"",VLOOKUP(A23,Personnel!$B$17:$D$121,2,FALSE),"")</f>
        <v/>
      </c>
      <c r="D23" s="270">
        <v>1</v>
      </c>
      <c r="E23" s="280"/>
      <c r="F23" s="395">
        <f t="shared" si="0"/>
        <v>0</v>
      </c>
      <c r="G23" s="401"/>
      <c r="H23" s="396"/>
      <c r="I23" s="280" t="str">
        <f>IF(A23&lt;&gt;"",VLOOKUP(A23,Personnel!$B$15:$L$107,3,FALSE),"")</f>
        <v/>
      </c>
      <c r="J23" s="270">
        <f t="shared" si="1"/>
        <v>0</v>
      </c>
      <c r="K23" s="271"/>
      <c r="L23" s="270">
        <f t="shared" si="2"/>
        <v>0</v>
      </c>
      <c r="M23" s="395">
        <f t="shared" si="3"/>
        <v>0</v>
      </c>
      <c r="N23" s="396"/>
      <c r="O23" s="270"/>
      <c r="P23" s="270">
        <f t="shared" si="4"/>
        <v>0</v>
      </c>
    </row>
    <row r="24" spans="1:16" ht="17.45" customHeight="1" x14ac:dyDescent="0.2">
      <c r="A24" s="278" t="s">
        <v>5</v>
      </c>
      <c r="B24" s="278"/>
      <c r="C24" s="335"/>
      <c r="D24" s="273"/>
      <c r="E24" s="281"/>
      <c r="F24" s="397">
        <f t="shared" si="0"/>
        <v>0</v>
      </c>
      <c r="G24" s="402"/>
      <c r="H24" s="398"/>
      <c r="I24" s="281"/>
      <c r="J24" s="273">
        <f t="shared" si="1"/>
        <v>0</v>
      </c>
      <c r="K24" s="274"/>
      <c r="L24" s="273">
        <f t="shared" si="2"/>
        <v>0</v>
      </c>
      <c r="M24" s="397">
        <f t="shared" si="3"/>
        <v>0</v>
      </c>
      <c r="N24" s="398"/>
      <c r="O24" s="273"/>
      <c r="P24" s="273">
        <f t="shared" si="4"/>
        <v>0</v>
      </c>
    </row>
    <row r="25" spans="1:16" ht="17.45" customHeight="1" x14ac:dyDescent="0.2">
      <c r="A25" s="330"/>
      <c r="B25" s="330"/>
      <c r="C25" s="332" t="str">
        <f>IF(A25&lt;&gt;"",VLOOKUP(A25,Materiel!$B$15:$J$124,9,FALSE),"")</f>
        <v/>
      </c>
      <c r="D25" s="268">
        <v>1</v>
      </c>
      <c r="E25" s="279" t="str">
        <f>IF(A25&lt;&gt;"",VLOOKUP(A25,Materiel!$B$14:$M$410,8,FALSE),"")</f>
        <v/>
      </c>
      <c r="F25" s="399">
        <f t="shared" si="0"/>
        <v>0</v>
      </c>
      <c r="G25" s="403"/>
      <c r="H25" s="400"/>
      <c r="I25" s="279" t="str">
        <f>IF(A25&lt;&gt;"",VLOOKUP(A25,Materiel!$B$15:$L$110,10,FALSE),"")</f>
        <v/>
      </c>
      <c r="J25" s="268">
        <f t="shared" si="1"/>
        <v>0</v>
      </c>
      <c r="K25" s="260"/>
      <c r="L25" s="268">
        <f t="shared" si="2"/>
        <v>0</v>
      </c>
      <c r="M25" s="399">
        <f t="shared" si="3"/>
        <v>0</v>
      </c>
      <c r="N25" s="400"/>
      <c r="O25" s="268"/>
      <c r="P25" s="268">
        <f t="shared" si="4"/>
        <v>0</v>
      </c>
    </row>
    <row r="26" spans="1:16" ht="17.45" customHeight="1" x14ac:dyDescent="0.2">
      <c r="A26" s="330"/>
      <c r="B26" s="330"/>
      <c r="C26" s="332" t="str">
        <f>IF(A26&lt;&gt;"",VLOOKUP(A26,Materiel!$B$15:$J$124,9,FALSE),"")</f>
        <v/>
      </c>
      <c r="D26" s="268">
        <v>1</v>
      </c>
      <c r="E26" s="279" t="str">
        <f>IF(A26&lt;&gt;"",VLOOKUP(A26,Materiel!$B$14:$M$410,8,FALSE),"")</f>
        <v/>
      </c>
      <c r="F26" s="399">
        <f t="shared" si="0"/>
        <v>0</v>
      </c>
      <c r="G26" s="403"/>
      <c r="H26" s="400"/>
      <c r="I26" s="279" t="str">
        <f>IF(A26&lt;&gt;"",VLOOKUP(A26,Materiel!$B$15:$L$110,10,FALSE),"")</f>
        <v/>
      </c>
      <c r="J26" s="268">
        <f t="shared" si="1"/>
        <v>0</v>
      </c>
      <c r="K26" s="260"/>
      <c r="L26" s="268">
        <f t="shared" si="2"/>
        <v>0</v>
      </c>
      <c r="M26" s="399">
        <f t="shared" si="3"/>
        <v>0</v>
      </c>
      <c r="N26" s="400"/>
      <c r="O26" s="268"/>
      <c r="P26" s="268">
        <f t="shared" si="4"/>
        <v>0</v>
      </c>
    </row>
    <row r="27" spans="1:16" ht="18" customHeight="1" x14ac:dyDescent="0.2">
      <c r="A27" s="330"/>
      <c r="B27" s="330"/>
      <c r="C27" s="332" t="str">
        <f>IF(A27&lt;&gt;"",VLOOKUP(A27,Materiel!$B$15:$J$124,9,FALSE),"")</f>
        <v/>
      </c>
      <c r="D27" s="268">
        <v>3</v>
      </c>
      <c r="E27" s="279" t="str">
        <f>IF(A27&lt;&gt;"",VLOOKUP(A27,Materiel!$B$14:$M$410,8,FALSE),"")</f>
        <v/>
      </c>
      <c r="F27" s="399">
        <f t="shared" si="0"/>
        <v>0</v>
      </c>
      <c r="G27" s="403"/>
      <c r="H27" s="400"/>
      <c r="I27" s="279" t="str">
        <f>IF(A27&lt;&gt;"",VLOOKUP(A27,Materiel!$B$15:$L$110,10,FALSE),"")</f>
        <v/>
      </c>
      <c r="J27" s="268">
        <f t="shared" si="1"/>
        <v>0</v>
      </c>
      <c r="K27" s="260"/>
      <c r="L27" s="268">
        <f t="shared" si="2"/>
        <v>0</v>
      </c>
      <c r="M27" s="399">
        <f t="shared" si="3"/>
        <v>0</v>
      </c>
      <c r="N27" s="400"/>
      <c r="O27" s="268"/>
      <c r="P27" s="268">
        <f t="shared" si="4"/>
        <v>0</v>
      </c>
    </row>
    <row r="28" spans="1:16" ht="17.45" customHeight="1" x14ac:dyDescent="0.2">
      <c r="A28" s="330"/>
      <c r="B28" s="330"/>
      <c r="C28" s="332" t="str">
        <f>IF(A28&lt;&gt;"",VLOOKUP(A28,Materiel!$B$15:$J$124,9,FALSE),"")</f>
        <v/>
      </c>
      <c r="D28" s="268">
        <v>1</v>
      </c>
      <c r="E28" s="279" t="str">
        <f>IF(A28&lt;&gt;"",VLOOKUP(A28,Materiel!$B$14:$M$410,8,FALSE),"")</f>
        <v/>
      </c>
      <c r="F28" s="399">
        <f t="shared" ref="F28" si="5">IF(E28="",0,E28*D28)</f>
        <v>0</v>
      </c>
      <c r="G28" s="403"/>
      <c r="H28" s="400"/>
      <c r="I28" s="279" t="str">
        <f>IF(A28&lt;&gt;"",VLOOKUP(A28,Materiel!$B$15:$L$110,10,FALSE),"")</f>
        <v/>
      </c>
      <c r="J28" s="268">
        <f t="shared" ref="J28" si="6">IF(I28="",0,I28*D28)</f>
        <v>0</v>
      </c>
      <c r="K28" s="260"/>
      <c r="L28" s="268">
        <f t="shared" ref="L28" si="7">IF(K28="",0,K28*D28)</f>
        <v>0</v>
      </c>
      <c r="M28" s="399">
        <f t="shared" ref="M28" si="8">IF(ISERR(F28+J28+L28),"",F28+J28+L28)</f>
        <v>0</v>
      </c>
      <c r="N28" s="400"/>
      <c r="O28" s="268"/>
      <c r="P28" s="268">
        <f t="shared" ref="P28" si="9">IF(O28="",0,O28*D28)</f>
        <v>0</v>
      </c>
    </row>
    <row r="29" spans="1:16" ht="17.45" customHeight="1" x14ac:dyDescent="0.2">
      <c r="A29" s="333"/>
      <c r="B29" s="333"/>
      <c r="C29" s="334" t="str">
        <f>IF(A29&lt;&gt;"",VLOOKUP(A29,Materiel!$B$15:$J$124,9,FALSE),"")</f>
        <v/>
      </c>
      <c r="D29" s="270"/>
      <c r="E29" s="280" t="str">
        <f>IF(A29&lt;&gt;"",VLOOKUP(A29,Materiel!$B$14:$M$410,8,FALSE),"")</f>
        <v/>
      </c>
      <c r="F29" s="395">
        <f t="shared" si="0"/>
        <v>0</v>
      </c>
      <c r="G29" s="401"/>
      <c r="H29" s="396"/>
      <c r="I29" s="280" t="str">
        <f>IF(A29&lt;&gt;"",VLOOKUP(A29,Materiel!$B$15:$L$110,10,FALSE),"")</f>
        <v/>
      </c>
      <c r="J29" s="270">
        <f t="shared" si="1"/>
        <v>0</v>
      </c>
      <c r="K29" s="271"/>
      <c r="L29" s="270">
        <f t="shared" si="2"/>
        <v>0</v>
      </c>
      <c r="M29" s="395">
        <f t="shared" si="3"/>
        <v>0</v>
      </c>
      <c r="N29" s="396"/>
      <c r="O29" s="270"/>
      <c r="P29" s="270">
        <f t="shared" si="4"/>
        <v>0</v>
      </c>
    </row>
    <row r="30" spans="1:16" s="261" customFormat="1" ht="17.45" customHeight="1" x14ac:dyDescent="0.2">
      <c r="A30" s="278" t="s">
        <v>6</v>
      </c>
      <c r="B30" s="278"/>
      <c r="C30" s="335"/>
      <c r="D30" s="273"/>
      <c r="E30" s="281"/>
      <c r="F30" s="397">
        <f t="shared" si="0"/>
        <v>0</v>
      </c>
      <c r="G30" s="402"/>
      <c r="H30" s="398"/>
      <c r="I30" s="281"/>
      <c r="J30" s="273">
        <f t="shared" si="1"/>
        <v>0</v>
      </c>
      <c r="K30" s="274"/>
      <c r="L30" s="273">
        <f t="shared" si="2"/>
        <v>0</v>
      </c>
      <c r="M30" s="397">
        <f t="shared" si="3"/>
        <v>0</v>
      </c>
      <c r="N30" s="398"/>
      <c r="O30" s="273"/>
      <c r="P30" s="273">
        <f t="shared" si="4"/>
        <v>0</v>
      </c>
    </row>
    <row r="31" spans="1:16" ht="17.45" customHeight="1" x14ac:dyDescent="0.2">
      <c r="A31" s="330"/>
      <c r="B31" s="330"/>
      <c r="C31" s="332" t="str">
        <f>IF(A31&lt;&gt;"",VLOOKUP(A31,Loc!$B$17:$J$114,2,FALSE),"")</f>
        <v/>
      </c>
      <c r="D31" s="268"/>
      <c r="E31" s="279"/>
      <c r="F31" s="399">
        <f t="shared" si="0"/>
        <v>0</v>
      </c>
      <c r="G31" s="403"/>
      <c r="H31" s="400"/>
      <c r="I31" s="279"/>
      <c r="J31" s="268">
        <f t="shared" si="1"/>
        <v>0</v>
      </c>
      <c r="K31" s="279" t="str">
        <f>IF(A31&lt;&gt;"",VLOOKUP(A31,Loc!$B$15:$D$50,3,FALSE),"")</f>
        <v/>
      </c>
      <c r="L31" s="268">
        <f t="shared" si="2"/>
        <v>0</v>
      </c>
      <c r="M31" s="399">
        <f t="shared" si="3"/>
        <v>0</v>
      </c>
      <c r="N31" s="400"/>
      <c r="O31" s="268"/>
      <c r="P31" s="268">
        <f t="shared" si="4"/>
        <v>0</v>
      </c>
    </row>
    <row r="32" spans="1:16" ht="17.45" customHeight="1" x14ac:dyDescent="0.2">
      <c r="A32" s="330"/>
      <c r="B32" s="330"/>
      <c r="C32" s="332" t="str">
        <f>IF(A32&lt;&gt;"",VLOOKUP(A32,Loc!$B$17:$J$114,2,FALSE),"")</f>
        <v/>
      </c>
      <c r="D32" s="268"/>
      <c r="E32" s="279"/>
      <c r="F32" s="399">
        <f t="shared" si="0"/>
        <v>0</v>
      </c>
      <c r="G32" s="403"/>
      <c r="H32" s="400"/>
      <c r="I32" s="279"/>
      <c r="J32" s="268">
        <f t="shared" si="1"/>
        <v>0</v>
      </c>
      <c r="K32" s="260" t="str">
        <f>IF(A32&lt;&gt;"",VLOOKUP(A32,Loc!$B$15:$D$50,3,FALSE),"")</f>
        <v/>
      </c>
      <c r="L32" s="268">
        <f t="shared" si="2"/>
        <v>0</v>
      </c>
      <c r="M32" s="399">
        <f t="shared" si="3"/>
        <v>0</v>
      </c>
      <c r="N32" s="400"/>
      <c r="O32" s="268"/>
      <c r="P32" s="268">
        <f t="shared" si="4"/>
        <v>0</v>
      </c>
    </row>
    <row r="33" spans="1:16" ht="17.45" customHeight="1" x14ac:dyDescent="0.2">
      <c r="A33" s="333"/>
      <c r="B33" s="333"/>
      <c r="C33" s="334" t="str">
        <f>IF(A33&lt;&gt;"",VLOOKUP(A33,Loc!$B$17:$J$114,2,FALSE),"")</f>
        <v/>
      </c>
      <c r="D33" s="270"/>
      <c r="E33" s="280"/>
      <c r="F33" s="395">
        <f t="shared" si="0"/>
        <v>0</v>
      </c>
      <c r="G33" s="401"/>
      <c r="H33" s="396"/>
      <c r="I33" s="280"/>
      <c r="J33" s="270">
        <f t="shared" si="1"/>
        <v>0</v>
      </c>
      <c r="K33" s="271" t="str">
        <f>IF(A33&lt;&gt;"",VLOOKUP(A33,Loc!$B$15:$D$50,3,FALSE),"")</f>
        <v/>
      </c>
      <c r="L33" s="270">
        <f t="shared" si="2"/>
        <v>0</v>
      </c>
      <c r="M33" s="395">
        <f t="shared" si="3"/>
        <v>0</v>
      </c>
      <c r="N33" s="396"/>
      <c r="O33" s="270"/>
      <c r="P33" s="270">
        <f t="shared" si="4"/>
        <v>0</v>
      </c>
    </row>
    <row r="34" spans="1:16" ht="17.45" customHeight="1" x14ac:dyDescent="0.2">
      <c r="A34" s="278" t="s">
        <v>7</v>
      </c>
      <c r="B34" s="278"/>
      <c r="C34" s="335"/>
      <c r="D34" s="273"/>
      <c r="E34" s="281"/>
      <c r="F34" s="397">
        <f t="shared" si="0"/>
        <v>0</v>
      </c>
      <c r="G34" s="402"/>
      <c r="H34" s="398"/>
      <c r="I34" s="281"/>
      <c r="J34" s="273">
        <f t="shared" si="1"/>
        <v>0</v>
      </c>
      <c r="K34" s="274"/>
      <c r="L34" s="273">
        <f t="shared" si="2"/>
        <v>0</v>
      </c>
      <c r="M34" s="397">
        <f t="shared" si="3"/>
        <v>0</v>
      </c>
      <c r="N34" s="398"/>
      <c r="O34" s="273"/>
      <c r="P34" s="273">
        <f t="shared" si="4"/>
        <v>0</v>
      </c>
    </row>
    <row r="35" spans="1:16" ht="17.45" customHeight="1" x14ac:dyDescent="0.2">
      <c r="A35" s="330"/>
      <c r="B35" s="330"/>
      <c r="C35" s="332" t="str">
        <f>IF(A35&lt;&gt;"",VLOOKUP(A35,Fourn!$B$17:$D$114,2,FALSE),"")</f>
        <v/>
      </c>
      <c r="D35" s="268"/>
      <c r="E35" s="279"/>
      <c r="F35" s="399">
        <f t="shared" si="0"/>
        <v>0</v>
      </c>
      <c r="G35" s="403"/>
      <c r="H35" s="400"/>
      <c r="I35" s="279"/>
      <c r="J35" s="268">
        <f t="shared" si="1"/>
        <v>0</v>
      </c>
      <c r="K35" s="279" t="str">
        <f>IF(A35&lt;&gt;"",VLOOKUP(A35,Fourn!$B$17:$D$300,3,FALSE),"")</f>
        <v/>
      </c>
      <c r="L35" s="268">
        <f t="shared" si="2"/>
        <v>0</v>
      </c>
      <c r="M35" s="399">
        <f t="shared" si="3"/>
        <v>0</v>
      </c>
      <c r="N35" s="400"/>
      <c r="O35" s="268"/>
      <c r="P35" s="268">
        <f t="shared" si="4"/>
        <v>0</v>
      </c>
    </row>
    <row r="36" spans="1:16" ht="17.45" customHeight="1" x14ac:dyDescent="0.2">
      <c r="A36" s="330"/>
      <c r="B36" s="330"/>
      <c r="C36" s="332" t="str">
        <f>IF(A36&lt;&gt;"",VLOOKUP(A36,Fourn!$B$17:$D$114,2,FALSE),"")</f>
        <v/>
      </c>
      <c r="D36" s="268"/>
      <c r="E36" s="279"/>
      <c r="F36" s="399">
        <f t="shared" si="0"/>
        <v>0</v>
      </c>
      <c r="G36" s="403"/>
      <c r="H36" s="400"/>
      <c r="I36" s="279"/>
      <c r="J36" s="268">
        <f t="shared" si="1"/>
        <v>0</v>
      </c>
      <c r="K36" s="279" t="str">
        <f>IF(A36&lt;&gt;"",VLOOKUP(A36,Fourn!$B$17:$D$300,3,FALSE),"")</f>
        <v/>
      </c>
      <c r="L36" s="268">
        <f t="shared" si="2"/>
        <v>0</v>
      </c>
      <c r="M36" s="399">
        <f t="shared" si="3"/>
        <v>0</v>
      </c>
      <c r="N36" s="400"/>
      <c r="O36" s="268"/>
      <c r="P36" s="268">
        <f t="shared" si="4"/>
        <v>0</v>
      </c>
    </row>
    <row r="37" spans="1:16" ht="17.45" customHeight="1" x14ac:dyDescent="0.2">
      <c r="A37" s="330"/>
      <c r="B37" s="330"/>
      <c r="C37" s="332" t="str">
        <f>IF(A37&lt;&gt;"",VLOOKUP(A37,Fourn!$B$17:$D$114,2,FALSE),"")</f>
        <v/>
      </c>
      <c r="D37" s="268"/>
      <c r="E37" s="279"/>
      <c r="F37" s="399">
        <f t="shared" si="0"/>
        <v>0</v>
      </c>
      <c r="G37" s="403"/>
      <c r="H37" s="400"/>
      <c r="I37" s="279"/>
      <c r="J37" s="268">
        <f t="shared" si="1"/>
        <v>0</v>
      </c>
      <c r="K37" s="260" t="str">
        <f>IF(A37&lt;&gt;"",VLOOKUP(A37,Fourn!$B$17:$D$300,3,FALSE),"")</f>
        <v/>
      </c>
      <c r="L37" s="268">
        <f t="shared" si="2"/>
        <v>0</v>
      </c>
      <c r="M37" s="399">
        <f t="shared" si="3"/>
        <v>0</v>
      </c>
      <c r="N37" s="400"/>
      <c r="O37" s="268"/>
      <c r="P37" s="268">
        <f t="shared" si="4"/>
        <v>0</v>
      </c>
    </row>
    <row r="38" spans="1:16" ht="17.45" customHeight="1" x14ac:dyDescent="0.2">
      <c r="A38" s="333"/>
      <c r="B38" s="333"/>
      <c r="C38" s="334" t="str">
        <f>IF(A38&lt;&gt;"",VLOOKUP(A38,Fourn!$B$17:$D$114,2,FALSE),"")</f>
        <v/>
      </c>
      <c r="D38" s="270"/>
      <c r="E38" s="280"/>
      <c r="F38" s="395">
        <f t="shared" si="0"/>
        <v>0</v>
      </c>
      <c r="G38" s="401"/>
      <c r="H38" s="396"/>
      <c r="I38" s="280"/>
      <c r="J38" s="270">
        <f t="shared" si="1"/>
        <v>0</v>
      </c>
      <c r="K38" s="271" t="str">
        <f>IF(A38&lt;&gt;"",VLOOKUP(A38,Fourn!$B$17:$D$300,3,FALSE),"")</f>
        <v/>
      </c>
      <c r="L38" s="270">
        <f t="shared" si="2"/>
        <v>0</v>
      </c>
      <c r="M38" s="395">
        <f t="shared" si="3"/>
        <v>0</v>
      </c>
      <c r="N38" s="396"/>
      <c r="O38" s="270"/>
      <c r="P38" s="270">
        <f t="shared" si="4"/>
        <v>0</v>
      </c>
    </row>
    <row r="39" spans="1:16" ht="17.45" customHeight="1" x14ac:dyDescent="0.2">
      <c r="A39" s="278" t="s">
        <v>8</v>
      </c>
      <c r="B39" s="278"/>
      <c r="C39" s="335"/>
      <c r="D39" s="273"/>
      <c r="E39" s="281"/>
      <c r="F39" s="397">
        <f t="shared" si="0"/>
        <v>0</v>
      </c>
      <c r="G39" s="402"/>
      <c r="H39" s="398"/>
      <c r="I39" s="281"/>
      <c r="J39" s="273">
        <f t="shared" si="1"/>
        <v>0</v>
      </c>
      <c r="K39" s="274"/>
      <c r="L39" s="273">
        <f t="shared" si="2"/>
        <v>0</v>
      </c>
      <c r="M39" s="397">
        <f t="shared" si="3"/>
        <v>0</v>
      </c>
      <c r="N39" s="398"/>
      <c r="O39" s="273"/>
      <c r="P39" s="273">
        <f t="shared" si="4"/>
        <v>0</v>
      </c>
    </row>
    <row r="40" spans="1:16" ht="17.45" customHeight="1" x14ac:dyDescent="0.2">
      <c r="A40" s="330"/>
      <c r="B40" s="330"/>
      <c r="C40" s="332"/>
      <c r="D40" s="268"/>
      <c r="E40" s="279"/>
      <c r="F40" s="399">
        <f t="shared" si="0"/>
        <v>0</v>
      </c>
      <c r="G40" s="403"/>
      <c r="H40" s="400"/>
      <c r="I40" s="279"/>
      <c r="J40" s="268">
        <f t="shared" si="1"/>
        <v>0</v>
      </c>
      <c r="K40" s="260"/>
      <c r="L40" s="268">
        <f t="shared" si="2"/>
        <v>0</v>
      </c>
      <c r="M40" s="399">
        <f t="shared" si="3"/>
        <v>0</v>
      </c>
      <c r="N40" s="400"/>
      <c r="O40" s="268"/>
      <c r="P40" s="268">
        <f t="shared" si="4"/>
        <v>0</v>
      </c>
    </row>
    <row r="41" spans="1:16" ht="17.45" customHeight="1" x14ac:dyDescent="0.2">
      <c r="A41" s="330"/>
      <c r="B41" s="330"/>
      <c r="C41" s="332"/>
      <c r="D41" s="268"/>
      <c r="E41" s="279"/>
      <c r="F41" s="399">
        <f t="shared" si="0"/>
        <v>0</v>
      </c>
      <c r="G41" s="403"/>
      <c r="H41" s="400"/>
      <c r="I41" s="279"/>
      <c r="J41" s="268">
        <f t="shared" si="1"/>
        <v>0</v>
      </c>
      <c r="K41" s="260"/>
      <c r="L41" s="268">
        <f t="shared" si="2"/>
        <v>0</v>
      </c>
      <c r="M41" s="399">
        <f t="shared" si="3"/>
        <v>0</v>
      </c>
      <c r="N41" s="400"/>
      <c r="O41" s="268"/>
      <c r="P41" s="268">
        <f t="shared" si="4"/>
        <v>0</v>
      </c>
    </row>
    <row r="42" spans="1:16" ht="17.45" customHeight="1" thickBot="1" x14ac:dyDescent="0.25">
      <c r="A42" s="330"/>
      <c r="B42" s="330"/>
      <c r="C42" s="332"/>
      <c r="D42" s="268"/>
      <c r="E42" s="260"/>
      <c r="F42" s="399">
        <f t="shared" si="0"/>
        <v>0</v>
      </c>
      <c r="G42" s="403"/>
      <c r="H42" s="400"/>
      <c r="I42" s="260"/>
      <c r="J42" s="268">
        <f t="shared" si="1"/>
        <v>0</v>
      </c>
      <c r="K42" s="260"/>
      <c r="L42" s="268">
        <f t="shared" si="2"/>
        <v>0</v>
      </c>
      <c r="M42" s="399">
        <f t="shared" si="3"/>
        <v>0</v>
      </c>
      <c r="N42" s="400"/>
      <c r="O42" s="268"/>
      <c r="P42" s="268">
        <f t="shared" si="4"/>
        <v>0</v>
      </c>
    </row>
    <row r="43" spans="1:16" ht="21.6" customHeight="1" thickBot="1" x14ac:dyDescent="0.25">
      <c r="A43" s="269" t="s">
        <v>40</v>
      </c>
      <c r="B43" s="249"/>
      <c r="C43" s="249"/>
      <c r="D43" s="249"/>
      <c r="E43" s="392">
        <f>SUM(F19:H42)</f>
        <v>0</v>
      </c>
      <c r="F43" s="404"/>
      <c r="G43" s="404"/>
      <c r="H43" s="393"/>
      <c r="I43" s="392">
        <f>SUM(J19:J42)</f>
        <v>0</v>
      </c>
      <c r="J43" s="393"/>
      <c r="K43" s="392">
        <f>SUM(L19:L42)</f>
        <v>0</v>
      </c>
      <c r="L43" s="393"/>
      <c r="M43" s="392">
        <f>SUM(M19:N42)</f>
        <v>0</v>
      </c>
      <c r="N43" s="393"/>
      <c r="O43" s="392">
        <f>SUM(P19:P42)</f>
        <v>0</v>
      </c>
      <c r="P43" s="393"/>
    </row>
    <row r="44" spans="1:16" ht="18.600000000000001" customHeight="1" thickBot="1" x14ac:dyDescent="0.25">
      <c r="A44" s="405"/>
      <c r="B44" s="405"/>
      <c r="C44" s="405"/>
      <c r="D44" s="405"/>
      <c r="E44" s="405"/>
      <c r="F44" s="405"/>
      <c r="G44" s="262"/>
      <c r="H44" s="405"/>
      <c r="I44" s="405"/>
      <c r="J44" s="405"/>
      <c r="K44" s="405"/>
      <c r="L44" s="405"/>
      <c r="M44" s="405"/>
      <c r="N44" s="262"/>
      <c r="O44" s="424" t="s">
        <v>41</v>
      </c>
      <c r="P44" s="433">
        <f>O43</f>
        <v>0</v>
      </c>
    </row>
    <row r="45" spans="1:16" ht="18.75" x14ac:dyDescent="0.2">
      <c r="A45" s="359"/>
      <c r="B45" s="360"/>
      <c r="C45" s="360"/>
      <c r="D45" s="360"/>
      <c r="E45" s="360"/>
      <c r="F45" s="361"/>
      <c r="G45" s="368"/>
      <c r="H45" s="359"/>
      <c r="I45" s="360"/>
      <c r="J45" s="360"/>
      <c r="K45" s="360"/>
      <c r="L45" s="360"/>
      <c r="M45" s="361"/>
      <c r="N45" s="370"/>
      <c r="O45" s="371"/>
      <c r="P45" s="374"/>
    </row>
    <row r="46" spans="1:16" ht="32.450000000000003" customHeight="1" x14ac:dyDescent="0.2">
      <c r="A46" s="365" t="s">
        <v>42</v>
      </c>
      <c r="B46" s="366"/>
      <c r="C46" s="366"/>
      <c r="D46" s="366"/>
      <c r="E46" s="366"/>
      <c r="F46" s="367"/>
      <c r="G46" s="368"/>
      <c r="H46" s="371" t="s">
        <v>43</v>
      </c>
      <c r="I46" s="372"/>
      <c r="J46" s="373">
        <f>M43/C19</f>
        <v>0</v>
      </c>
      <c r="K46" s="373"/>
      <c r="L46" s="373"/>
      <c r="M46" s="374"/>
      <c r="N46" s="370"/>
      <c r="O46" s="414" t="s">
        <v>44</v>
      </c>
      <c r="P46" s="432">
        <f>Coeff!H5</f>
        <v>0.18</v>
      </c>
    </row>
    <row r="47" spans="1:16" ht="24" customHeight="1" x14ac:dyDescent="0.2">
      <c r="A47" s="362" t="s">
        <v>45</v>
      </c>
      <c r="B47" s="363"/>
      <c r="C47" s="363"/>
      <c r="D47" s="363"/>
      <c r="E47" s="363"/>
      <c r="F47" s="364"/>
      <c r="G47" s="368"/>
      <c r="H47" s="368"/>
      <c r="I47" s="369"/>
      <c r="J47" s="369"/>
      <c r="K47" s="369"/>
      <c r="L47" s="369"/>
      <c r="M47" s="370"/>
      <c r="N47" s="370"/>
      <c r="O47" s="414"/>
      <c r="P47" s="432"/>
    </row>
    <row r="48" spans="1:16" ht="18.600000000000001" customHeight="1" x14ac:dyDescent="0.2">
      <c r="A48" s="362"/>
      <c r="B48" s="363"/>
      <c r="C48" s="363"/>
      <c r="D48" s="363"/>
      <c r="E48" s="363"/>
      <c r="F48" s="364"/>
      <c r="G48" s="368"/>
      <c r="H48" s="368"/>
      <c r="I48" s="369"/>
      <c r="J48" s="369"/>
      <c r="K48" s="369"/>
      <c r="L48" s="369"/>
      <c r="M48" s="370"/>
      <c r="N48" s="370"/>
      <c r="O48" s="371" t="s">
        <v>46</v>
      </c>
      <c r="P48" s="394"/>
    </row>
    <row r="49" spans="1:16" ht="34.9" customHeight="1" thickBot="1" x14ac:dyDescent="0.25">
      <c r="A49" s="365" t="s">
        <v>47</v>
      </c>
      <c r="B49" s="366"/>
      <c r="C49" s="366"/>
      <c r="D49" s="366"/>
      <c r="E49" s="366"/>
      <c r="F49" s="367"/>
      <c r="G49" s="368"/>
      <c r="H49" s="375" t="s">
        <v>48</v>
      </c>
      <c r="I49" s="376"/>
      <c r="J49" s="376"/>
      <c r="K49" s="283">
        <f>Coeff!J2</f>
        <v>0.18</v>
      </c>
      <c r="L49" s="388" t="s">
        <v>49</v>
      </c>
      <c r="M49" s="389"/>
      <c r="N49" s="370"/>
      <c r="O49" s="434">
        <f>P44*(1+P46)</f>
        <v>0</v>
      </c>
      <c r="P49" s="435"/>
    </row>
    <row r="50" spans="1:16" ht="34.9" customHeight="1" x14ac:dyDescent="0.2">
      <c r="A50" s="381" t="s">
        <v>50</v>
      </c>
      <c r="B50" s="382"/>
      <c r="C50" s="382"/>
      <c r="D50" s="382"/>
      <c r="E50" s="382"/>
      <c r="F50" s="383"/>
      <c r="G50" s="368"/>
      <c r="H50" s="375" t="s">
        <v>51</v>
      </c>
      <c r="I50" s="376"/>
      <c r="J50" s="376"/>
      <c r="K50" s="283">
        <f>Coeff!J3</f>
        <v>0.08</v>
      </c>
      <c r="L50" s="388" t="s">
        <v>49</v>
      </c>
      <c r="M50" s="389"/>
      <c r="N50" s="369"/>
      <c r="O50" s="424" t="s">
        <v>52</v>
      </c>
      <c r="P50" s="425"/>
    </row>
    <row r="51" spans="1:16" ht="34.9" customHeight="1" x14ac:dyDescent="0.2">
      <c r="A51" s="381"/>
      <c r="B51" s="382"/>
      <c r="C51" s="382"/>
      <c r="D51" s="382"/>
      <c r="E51" s="382"/>
      <c r="F51" s="383"/>
      <c r="G51" s="368"/>
      <c r="H51" s="375" t="s">
        <v>53</v>
      </c>
      <c r="I51" s="376"/>
      <c r="J51" s="376"/>
      <c r="K51" s="283">
        <f>Coeff!J4</f>
        <v>0.05</v>
      </c>
      <c r="L51" s="388" t="s">
        <v>54</v>
      </c>
      <c r="M51" s="389"/>
      <c r="N51" s="369"/>
      <c r="O51" s="371" t="s">
        <v>55</v>
      </c>
      <c r="P51" s="394"/>
    </row>
    <row r="52" spans="1:16" ht="17.45" customHeight="1" x14ac:dyDescent="0.2">
      <c r="A52" s="365"/>
      <c r="B52" s="366"/>
      <c r="C52" s="366"/>
      <c r="D52" s="366"/>
      <c r="E52" s="366"/>
      <c r="F52" s="367"/>
      <c r="G52" s="368"/>
      <c r="H52" s="384" t="s">
        <v>56</v>
      </c>
      <c r="I52" s="385"/>
      <c r="J52" s="385"/>
      <c r="K52" s="385"/>
      <c r="L52" s="373">
        <f>J46*(1+K49+K50)</f>
        <v>0</v>
      </c>
      <c r="M52" s="374"/>
      <c r="N52" s="369"/>
      <c r="O52" s="438"/>
      <c r="P52" s="439"/>
    </row>
    <row r="53" spans="1:16" ht="21" customHeight="1" x14ac:dyDescent="0.2">
      <c r="A53" s="365" t="s">
        <v>57</v>
      </c>
      <c r="B53" s="366"/>
      <c r="C53" s="366"/>
      <c r="D53" s="366"/>
      <c r="E53" s="366"/>
      <c r="F53" s="367"/>
      <c r="G53" s="368"/>
      <c r="H53" s="384"/>
      <c r="I53" s="385"/>
      <c r="J53" s="385"/>
      <c r="K53" s="385"/>
      <c r="L53" s="373"/>
      <c r="M53" s="374"/>
      <c r="N53" s="369"/>
      <c r="O53" s="429">
        <f>O49+L54</f>
        <v>0</v>
      </c>
      <c r="P53" s="430"/>
    </row>
    <row r="54" spans="1:16" ht="18" customHeight="1" x14ac:dyDescent="0.2">
      <c r="A54" s="375"/>
      <c r="B54" s="376"/>
      <c r="C54" s="376"/>
      <c r="D54" s="376"/>
      <c r="E54" s="376"/>
      <c r="F54" s="377"/>
      <c r="G54" s="368"/>
      <c r="H54" s="384" t="s">
        <v>58</v>
      </c>
      <c r="I54" s="385"/>
      <c r="J54" s="385"/>
      <c r="K54" s="385"/>
      <c r="L54" s="373">
        <f>L52*(1+K51)</f>
        <v>0</v>
      </c>
      <c r="M54" s="374"/>
      <c r="N54" s="369"/>
      <c r="O54" s="431"/>
      <c r="P54" s="430"/>
    </row>
    <row r="55" spans="1:16" ht="19.5" thickBot="1" x14ac:dyDescent="0.25">
      <c r="A55" s="378"/>
      <c r="B55" s="379"/>
      <c r="C55" s="379"/>
      <c r="D55" s="379"/>
      <c r="E55" s="379"/>
      <c r="F55" s="380"/>
      <c r="G55" s="368"/>
      <c r="H55" s="386"/>
      <c r="I55" s="387"/>
      <c r="J55" s="387"/>
      <c r="K55" s="387"/>
      <c r="L55" s="390"/>
      <c r="M55" s="391"/>
      <c r="N55" s="369"/>
      <c r="O55" s="436"/>
      <c r="P55" s="437"/>
    </row>
    <row r="56" spans="1:16" ht="18.75" x14ac:dyDescent="0.2">
      <c r="A56" s="262"/>
      <c r="B56" s="262"/>
      <c r="C56" s="262"/>
      <c r="D56" s="262"/>
      <c r="E56" s="262"/>
      <c r="F56" s="262"/>
      <c r="G56" s="262"/>
      <c r="H56" s="262"/>
      <c r="I56" s="262"/>
      <c r="J56" s="262"/>
      <c r="K56" s="262"/>
      <c r="L56" s="262"/>
      <c r="M56" s="262"/>
      <c r="N56" s="262"/>
      <c r="O56" s="262"/>
      <c r="P56" s="262"/>
    </row>
    <row r="57" spans="1:16" x14ac:dyDescent="0.2">
      <c r="A57" s="265"/>
      <c r="B57" s="265"/>
      <c r="C57" s="241"/>
      <c r="D57" s="241"/>
      <c r="E57" s="241"/>
      <c r="F57" s="241"/>
      <c r="G57" s="241"/>
      <c r="H57" s="241"/>
      <c r="I57" s="241"/>
      <c r="J57" s="241"/>
      <c r="K57" s="241"/>
      <c r="L57" s="241"/>
      <c r="M57" s="241"/>
      <c r="N57" s="241"/>
      <c r="O57" s="241"/>
      <c r="P57" s="241"/>
    </row>
  </sheetData>
  <mergeCells count="121">
    <mergeCell ref="A3:P3"/>
    <mergeCell ref="C5:E5"/>
    <mergeCell ref="C6:G8"/>
    <mergeCell ref="J6:M8"/>
    <mergeCell ref="C9:F9"/>
    <mergeCell ref="C10:L11"/>
    <mergeCell ref="A12:D12"/>
    <mergeCell ref="E12:P12"/>
    <mergeCell ref="A13:A14"/>
    <mergeCell ref="C13:C14"/>
    <mergeCell ref="D13:D14"/>
    <mergeCell ref="E13:H13"/>
    <mergeCell ref="I13:J14"/>
    <mergeCell ref="K13:L14"/>
    <mergeCell ref="M13:N13"/>
    <mergeCell ref="O13:P14"/>
    <mergeCell ref="E14:H14"/>
    <mergeCell ref="M14:N14"/>
    <mergeCell ref="A15:A18"/>
    <mergeCell ref="C15:C18"/>
    <mergeCell ref="F15:H15"/>
    <mergeCell ref="M15:N15"/>
    <mergeCell ref="F16:H16"/>
    <mergeCell ref="M16:N16"/>
    <mergeCell ref="F17:H17"/>
    <mergeCell ref="M17:N17"/>
    <mergeCell ref="F22:H22"/>
    <mergeCell ref="M22:N22"/>
    <mergeCell ref="F23:H23"/>
    <mergeCell ref="M23:N23"/>
    <mergeCell ref="F24:H24"/>
    <mergeCell ref="M24:N24"/>
    <mergeCell ref="F18:H18"/>
    <mergeCell ref="M18:N18"/>
    <mergeCell ref="F19:H19"/>
    <mergeCell ref="F20:H20"/>
    <mergeCell ref="F21:H21"/>
    <mergeCell ref="M21:N21"/>
    <mergeCell ref="F28:H28"/>
    <mergeCell ref="M28:N28"/>
    <mergeCell ref="F29:H29"/>
    <mergeCell ref="M29:N29"/>
    <mergeCell ref="F30:H30"/>
    <mergeCell ref="M30:N30"/>
    <mergeCell ref="F25:H25"/>
    <mergeCell ref="M25:N25"/>
    <mergeCell ref="F26:H26"/>
    <mergeCell ref="M26:N26"/>
    <mergeCell ref="F27:H27"/>
    <mergeCell ref="M27:N27"/>
    <mergeCell ref="F34:H34"/>
    <mergeCell ref="M34:N34"/>
    <mergeCell ref="F35:H35"/>
    <mergeCell ref="M35:N35"/>
    <mergeCell ref="F36:H36"/>
    <mergeCell ref="M36:N36"/>
    <mergeCell ref="F31:H31"/>
    <mergeCell ref="M31:N31"/>
    <mergeCell ref="F32:H32"/>
    <mergeCell ref="M32:N32"/>
    <mergeCell ref="F33:H33"/>
    <mergeCell ref="M33:N33"/>
    <mergeCell ref="F40:H40"/>
    <mergeCell ref="M40:N40"/>
    <mergeCell ref="F41:H41"/>
    <mergeCell ref="M41:N41"/>
    <mergeCell ref="F42:H42"/>
    <mergeCell ref="M42:N42"/>
    <mergeCell ref="F37:H37"/>
    <mergeCell ref="M37:N37"/>
    <mergeCell ref="F38:H38"/>
    <mergeCell ref="M38:N38"/>
    <mergeCell ref="F39:H39"/>
    <mergeCell ref="M39:N39"/>
    <mergeCell ref="E43:H43"/>
    <mergeCell ref="I43:J43"/>
    <mergeCell ref="K43:L43"/>
    <mergeCell ref="M43:N43"/>
    <mergeCell ref="O43:P43"/>
    <mergeCell ref="A44:F44"/>
    <mergeCell ref="H44:M44"/>
    <mergeCell ref="O44:O45"/>
    <mergeCell ref="P44:P45"/>
    <mergeCell ref="A45:F45"/>
    <mergeCell ref="O46:O47"/>
    <mergeCell ref="P46:P47"/>
    <mergeCell ref="A47:F47"/>
    <mergeCell ref="H47:M47"/>
    <mergeCell ref="A48:F48"/>
    <mergeCell ref="H48:M48"/>
    <mergeCell ref="O48:P48"/>
    <mergeCell ref="G45:G49"/>
    <mergeCell ref="H45:M45"/>
    <mergeCell ref="N45:N49"/>
    <mergeCell ref="A46:F46"/>
    <mergeCell ref="H46:I46"/>
    <mergeCell ref="J46:M46"/>
    <mergeCell ref="A49:F49"/>
    <mergeCell ref="H49:J49"/>
    <mergeCell ref="L49:M49"/>
    <mergeCell ref="O49:P49"/>
    <mergeCell ref="A50:F51"/>
    <mergeCell ref="G50:G55"/>
    <mergeCell ref="H50:J50"/>
    <mergeCell ref="L50:M50"/>
    <mergeCell ref="N50:N55"/>
    <mergeCell ref="O50:P50"/>
    <mergeCell ref="H51:J51"/>
    <mergeCell ref="L51:M51"/>
    <mergeCell ref="O51:P51"/>
    <mergeCell ref="O55:P55"/>
    <mergeCell ref="A52:F52"/>
    <mergeCell ref="H52:K53"/>
    <mergeCell ref="L52:M53"/>
    <mergeCell ref="O52:P52"/>
    <mergeCell ref="A53:F53"/>
    <mergeCell ref="O53:P54"/>
    <mergeCell ref="A54:F54"/>
    <mergeCell ref="H54:K55"/>
    <mergeCell ref="L54:M55"/>
    <mergeCell ref="A55:F55"/>
  </mergeCells>
  <dataValidations count="4">
    <dataValidation type="list" allowBlank="1" showInputMessage="1" showErrorMessage="1" sqref="A21:B23 A19:B19" xr:uid="{47AC33A6-FA7C-448D-816B-EF1B3290C52B}">
      <formula1>ListePersonnel</formula1>
    </dataValidation>
    <dataValidation type="list" allowBlank="1" showInputMessage="1" showErrorMessage="1" sqref="A31:B33 C65:C67 C49" xr:uid="{D2D7D26F-3D4D-4821-959F-F920FC10EC6A}">
      <formula1>ListeLocations</formula1>
    </dataValidation>
    <dataValidation type="list" allowBlank="1" showInputMessage="1" showErrorMessage="1" sqref="C53:C56 C69:C72 A35:B38" xr:uid="{8DB46D64-E2D6-446E-B179-C4E7B0ECFE40}">
      <formula1>ListeFournitures</formula1>
    </dataValidation>
    <dataValidation type="list" allowBlank="1" showInputMessage="1" showErrorMessage="1" sqref="C58:C63 C43:C47 C74:C75 B40:B42 A25:B29" xr:uid="{1EDFBAF1-2A98-4998-8EF5-129D4335CBDA}">
      <formula1>ListeMachine</formula1>
    </dataValidation>
  </dataValidations>
  <printOptions horizontalCentered="1" verticalCentered="1"/>
  <pageMargins left="0.23622047244094491" right="0.23622047244094491" top="0.19685039370078741" bottom="0.15748031496062992" header="0" footer="0"/>
  <pageSetup paperSize="9" scale="5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4D513-C2F9-4E55-AEEF-AA1AA33962FD}">
  <sheetPr codeName="Feuil49">
    <tabColor rgb="FF00B050"/>
    <pageSetUpPr fitToPage="1"/>
  </sheetPr>
  <dimension ref="A1:P57"/>
  <sheetViews>
    <sheetView zoomScale="85" zoomScaleNormal="85" zoomScaleSheetLayoutView="85" workbookViewId="0">
      <selection activeCell="K35" sqref="K35"/>
    </sheetView>
  </sheetViews>
  <sheetFormatPr baseColWidth="10" defaultColWidth="11.42578125" defaultRowHeight="18" x14ac:dyDescent="0.2"/>
  <cols>
    <col min="1" max="1" width="34.28515625" style="239" customWidth="1"/>
    <col min="2" max="2" width="24.5703125" style="239" hidden="1" customWidth="1"/>
    <col min="3" max="3" width="12.85546875" style="239" customWidth="1"/>
    <col min="4" max="4" width="15.140625" style="239" customWidth="1"/>
    <col min="5" max="5" width="12.7109375" style="239" customWidth="1"/>
    <col min="6" max="6" width="7.28515625" style="239" customWidth="1"/>
    <col min="7" max="7" width="12.42578125" style="239" customWidth="1"/>
    <col min="8" max="8" width="11.85546875" style="239" customWidth="1"/>
    <col min="9" max="9" width="11.42578125" style="239"/>
    <col min="10" max="10" width="15.28515625" style="239" customWidth="1"/>
    <col min="11" max="11" width="11.42578125" style="239"/>
    <col min="12" max="12" width="16" style="239" customWidth="1"/>
    <col min="13" max="14" width="11.42578125" style="239"/>
    <col min="15" max="15" width="16.28515625" style="239" customWidth="1"/>
    <col min="16" max="16" width="25.85546875" style="239" customWidth="1"/>
    <col min="17" max="16384" width="11.42578125" style="239"/>
  </cols>
  <sheetData>
    <row r="1" spans="1:16" x14ac:dyDescent="0.2">
      <c r="A1" s="238"/>
      <c r="B1" s="238"/>
      <c r="M1" s="238" t="s">
        <v>10</v>
      </c>
    </row>
    <row r="2" spans="1:16" ht="5.45" customHeight="1" x14ac:dyDescent="0.2">
      <c r="A2" s="240"/>
      <c r="B2" s="240"/>
      <c r="C2" s="241"/>
      <c r="D2" s="241"/>
      <c r="E2" s="241"/>
      <c r="F2" s="241"/>
      <c r="G2" s="241"/>
      <c r="H2" s="241"/>
      <c r="I2" s="241"/>
      <c r="J2" s="241"/>
      <c r="K2" s="241"/>
      <c r="L2" s="241"/>
      <c r="M2" s="241"/>
      <c r="N2" s="241"/>
      <c r="O2" s="241"/>
      <c r="P2" s="241"/>
    </row>
    <row r="3" spans="1:16" ht="18.75" x14ac:dyDescent="0.2">
      <c r="A3" s="419" t="s">
        <v>11</v>
      </c>
      <c r="B3" s="419"/>
      <c r="C3" s="419"/>
      <c r="D3" s="419"/>
      <c r="E3" s="419"/>
      <c r="F3" s="419"/>
      <c r="G3" s="419"/>
      <c r="H3" s="419"/>
      <c r="I3" s="419"/>
      <c r="J3" s="419"/>
      <c r="K3" s="419"/>
      <c r="L3" s="419"/>
      <c r="M3" s="419"/>
      <c r="N3" s="419"/>
      <c r="O3" s="419"/>
      <c r="P3" s="419"/>
    </row>
    <row r="4" spans="1:16" ht="7.9" customHeight="1" thickBot="1" x14ac:dyDescent="0.25">
      <c r="C4" s="241"/>
      <c r="D4" s="241"/>
      <c r="E4" s="241"/>
      <c r="F4" s="241"/>
      <c r="G4" s="241"/>
      <c r="H4" s="241"/>
      <c r="I4" s="241"/>
      <c r="J4" s="241"/>
      <c r="K4" s="241"/>
      <c r="L4" s="241"/>
      <c r="M4" s="241"/>
      <c r="N4" s="241"/>
      <c r="O4" s="241"/>
      <c r="P4" s="241"/>
    </row>
    <row r="5" spans="1:16" ht="25.9" customHeight="1" x14ac:dyDescent="0.2">
      <c r="A5" s="282" t="s">
        <v>12</v>
      </c>
      <c r="B5" s="242"/>
      <c r="C5" s="428" t="s">
        <v>13</v>
      </c>
      <c r="D5" s="428"/>
      <c r="E5" s="428"/>
      <c r="F5" s="242"/>
      <c r="G5" s="242"/>
      <c r="H5" s="242"/>
      <c r="I5" s="242"/>
      <c r="J5" s="242"/>
      <c r="K5" s="242"/>
      <c r="L5" s="242"/>
      <c r="M5" s="242"/>
      <c r="N5" s="242"/>
      <c r="O5" s="242"/>
      <c r="P5" s="243"/>
    </row>
    <row r="6" spans="1:16" ht="18" customHeight="1" x14ac:dyDescent="0.2">
      <c r="A6" s="263" t="s">
        <v>14</v>
      </c>
      <c r="B6" s="245"/>
      <c r="C6" s="420">
        <f>'DE récap'!D1</f>
        <v>0</v>
      </c>
      <c r="D6" s="420"/>
      <c r="E6" s="420"/>
      <c r="F6" s="420"/>
      <c r="G6" s="420"/>
      <c r="I6" s="286" t="s">
        <v>15</v>
      </c>
      <c r="J6" s="415" t="str">
        <f ca="1">C10</f>
        <v>Terre végétale : Reprise sur stock et amenée à pied d œuvre de terre végétale</v>
      </c>
      <c r="K6" s="415"/>
      <c r="L6" s="415"/>
      <c r="M6" s="415"/>
      <c r="O6" s="286" t="s">
        <v>16</v>
      </c>
      <c r="P6" s="266">
        <f>'DE récap'!F1</f>
        <v>0</v>
      </c>
    </row>
    <row r="7" spans="1:16" ht="18.75" x14ac:dyDescent="0.2">
      <c r="A7" s="244"/>
      <c r="B7" s="245"/>
      <c r="C7" s="420"/>
      <c r="D7" s="420"/>
      <c r="E7" s="420"/>
      <c r="F7" s="420"/>
      <c r="G7" s="420"/>
      <c r="H7" s="245"/>
      <c r="I7" s="245"/>
      <c r="J7" s="415"/>
      <c r="K7" s="415"/>
      <c r="L7" s="415"/>
      <c r="M7" s="415"/>
      <c r="N7" s="245"/>
      <c r="O7" s="245"/>
      <c r="P7" s="246"/>
    </row>
    <row r="8" spans="1:16" ht="22.5" customHeight="1" x14ac:dyDescent="0.2">
      <c r="A8" s="264"/>
      <c r="C8" s="420"/>
      <c r="D8" s="420"/>
      <c r="E8" s="420"/>
      <c r="F8" s="420"/>
      <c r="G8" s="420"/>
      <c r="H8" s="245"/>
      <c r="I8" s="245"/>
      <c r="J8" s="415"/>
      <c r="K8" s="415"/>
      <c r="L8" s="415"/>
      <c r="M8" s="415"/>
      <c r="N8" s="245"/>
      <c r="O8" s="245"/>
      <c r="P8" s="246"/>
    </row>
    <row r="9" spans="1:16" ht="21.75" x14ac:dyDescent="0.2">
      <c r="A9" s="263" t="s">
        <v>17</v>
      </c>
      <c r="B9" s="245"/>
      <c r="C9" s="376" t="str">
        <f ca="1">MID(CELL("nomfichier",C9),FIND("]",CELL("nomfichier",C9))+1,LEN(CELL("nomfichier",C9))-FIND("]",CELL("nomfichier",C9)))</f>
        <v>20C 11 400 00</v>
      </c>
      <c r="D9" s="376"/>
      <c r="E9" s="376"/>
      <c r="F9" s="376"/>
      <c r="G9" s="245"/>
      <c r="H9" s="245"/>
      <c r="I9" s="245"/>
      <c r="J9" s="245"/>
      <c r="K9" s="245"/>
      <c r="L9" s="245"/>
      <c r="M9" s="245"/>
      <c r="N9" s="245"/>
      <c r="O9" s="245"/>
      <c r="P9" s="246"/>
    </row>
    <row r="10" spans="1:16" ht="18.75" x14ac:dyDescent="0.2">
      <c r="A10" s="263" t="s">
        <v>18</v>
      </c>
      <c r="B10" s="245"/>
      <c r="C10" s="415" t="str">
        <f ca="1">IF($C$9&lt;&gt;"",VLOOKUP($C$9,'DE récap'!$C$4:$F$151,2,FALSE),"")</f>
        <v>Terre végétale : Reprise sur stock et amenée à pied d œuvre de terre végétale</v>
      </c>
      <c r="D10" s="415"/>
      <c r="E10" s="415"/>
      <c r="F10" s="415"/>
      <c r="G10" s="415"/>
      <c r="H10" s="415"/>
      <c r="I10" s="415"/>
      <c r="J10" s="415"/>
      <c r="K10" s="415"/>
      <c r="L10" s="415"/>
      <c r="M10" s="245"/>
      <c r="N10" s="245"/>
      <c r="O10" s="286" t="s">
        <v>19</v>
      </c>
      <c r="P10" s="284">
        <f ca="1">IF($C$9&lt;&gt;"",VLOOKUP($C$9,'DE récap'!$C$4:$F$25,4,FALSE),"")</f>
        <v>180</v>
      </c>
    </row>
    <row r="11" spans="1:16" ht="19.5" thickBot="1" x14ac:dyDescent="0.25">
      <c r="A11" s="247"/>
      <c r="B11" s="248"/>
      <c r="C11" s="416"/>
      <c r="D11" s="416"/>
      <c r="E11" s="416"/>
      <c r="F11" s="416"/>
      <c r="G11" s="416"/>
      <c r="H11" s="416"/>
      <c r="I11" s="416"/>
      <c r="J11" s="416"/>
      <c r="K11" s="416"/>
      <c r="L11" s="416"/>
      <c r="M11" s="248"/>
      <c r="N11" s="248"/>
      <c r="O11" s="287" t="s">
        <v>20</v>
      </c>
      <c r="P11" s="285" t="str">
        <f ca="1">IF($C$9&lt;&gt;"",VLOOKUP($C$9,'DE récap'!$C$4:$F$25,3,FALSE),"")</f>
        <v>m3</v>
      </c>
    </row>
    <row r="12" spans="1:16" ht="19.5" thickBot="1" x14ac:dyDescent="0.25">
      <c r="A12" s="421" t="s">
        <v>21</v>
      </c>
      <c r="B12" s="422"/>
      <c r="C12" s="422"/>
      <c r="D12" s="423"/>
      <c r="E12" s="421" t="s">
        <v>22</v>
      </c>
      <c r="F12" s="422"/>
      <c r="G12" s="422"/>
      <c r="H12" s="422"/>
      <c r="I12" s="422"/>
      <c r="J12" s="422"/>
      <c r="K12" s="422"/>
      <c r="L12" s="422"/>
      <c r="M12" s="422"/>
      <c r="N12" s="422"/>
      <c r="O12" s="422"/>
      <c r="P12" s="423"/>
    </row>
    <row r="13" spans="1:16" ht="18.75" x14ac:dyDescent="0.2">
      <c r="A13" s="409"/>
      <c r="B13" s="250"/>
      <c r="C13" s="409"/>
      <c r="D13" s="409" t="s">
        <v>23</v>
      </c>
      <c r="E13" s="411" t="s">
        <v>24</v>
      </c>
      <c r="F13" s="412"/>
      <c r="G13" s="412"/>
      <c r="H13" s="413"/>
      <c r="I13" s="411" t="s">
        <v>25</v>
      </c>
      <c r="J13" s="413"/>
      <c r="K13" s="411" t="s">
        <v>7</v>
      </c>
      <c r="L13" s="413"/>
      <c r="M13" s="424" t="s">
        <v>26</v>
      </c>
      <c r="N13" s="425"/>
      <c r="O13" s="411" t="s">
        <v>27</v>
      </c>
      <c r="P13" s="413"/>
    </row>
    <row r="14" spans="1:16" ht="19.5" thickBot="1" x14ac:dyDescent="0.25">
      <c r="A14" s="410"/>
      <c r="B14" s="251"/>
      <c r="C14" s="410"/>
      <c r="D14" s="410"/>
      <c r="E14" s="417" t="s">
        <v>28</v>
      </c>
      <c r="F14" s="426"/>
      <c r="G14" s="426"/>
      <c r="H14" s="418"/>
      <c r="I14" s="417"/>
      <c r="J14" s="418"/>
      <c r="K14" s="417"/>
      <c r="L14" s="418"/>
      <c r="M14" s="414" t="s">
        <v>29</v>
      </c>
      <c r="N14" s="389"/>
      <c r="O14" s="417"/>
      <c r="P14" s="418"/>
    </row>
    <row r="15" spans="1:16" ht="37.5" x14ac:dyDescent="0.2">
      <c r="A15" s="410" t="s">
        <v>30</v>
      </c>
      <c r="B15" s="251"/>
      <c r="C15" s="410" t="s">
        <v>31</v>
      </c>
      <c r="D15" s="256" t="s">
        <v>32</v>
      </c>
      <c r="E15" s="257" t="s">
        <v>33</v>
      </c>
      <c r="F15" s="411" t="s">
        <v>34</v>
      </c>
      <c r="G15" s="412"/>
      <c r="H15" s="413"/>
      <c r="I15" s="255" t="s">
        <v>33</v>
      </c>
      <c r="J15" s="255" t="s">
        <v>34</v>
      </c>
      <c r="K15" s="255" t="s">
        <v>33</v>
      </c>
      <c r="L15" s="255" t="s">
        <v>34</v>
      </c>
      <c r="M15" s="414"/>
      <c r="N15" s="389"/>
      <c r="O15" s="255" t="s">
        <v>33</v>
      </c>
      <c r="P15" s="258" t="s">
        <v>35</v>
      </c>
    </row>
    <row r="16" spans="1:16" ht="18.75" x14ac:dyDescent="0.2">
      <c r="A16" s="410"/>
      <c r="B16" s="251"/>
      <c r="C16" s="410"/>
      <c r="D16" s="256"/>
      <c r="E16" s="257" t="s">
        <v>36</v>
      </c>
      <c r="F16" s="414" t="s">
        <v>37</v>
      </c>
      <c r="G16" s="388"/>
      <c r="H16" s="389"/>
      <c r="I16" s="255" t="s">
        <v>36</v>
      </c>
      <c r="J16" s="255" t="s">
        <v>38</v>
      </c>
      <c r="K16" s="255" t="s">
        <v>36</v>
      </c>
      <c r="L16" s="255" t="s">
        <v>39</v>
      </c>
      <c r="M16" s="414"/>
      <c r="N16" s="389"/>
      <c r="O16" s="255" t="s">
        <v>36</v>
      </c>
      <c r="P16" s="251"/>
    </row>
    <row r="17" spans="1:16" ht="18.75" x14ac:dyDescent="0.2">
      <c r="A17" s="410"/>
      <c r="B17" s="251"/>
      <c r="C17" s="410"/>
      <c r="D17" s="256"/>
      <c r="E17" s="257"/>
      <c r="F17" s="414"/>
      <c r="G17" s="388"/>
      <c r="H17" s="389"/>
      <c r="I17" s="255"/>
      <c r="J17" s="255"/>
      <c r="K17" s="255"/>
      <c r="L17" s="255"/>
      <c r="M17" s="414"/>
      <c r="N17" s="389"/>
      <c r="O17" s="255"/>
      <c r="P17" s="251"/>
    </row>
    <row r="18" spans="1:16" ht="19.5" thickBot="1" x14ac:dyDescent="0.25">
      <c r="A18" s="427"/>
      <c r="B18" s="259"/>
      <c r="C18" s="427"/>
      <c r="D18" s="254">
        <v>1</v>
      </c>
      <c r="E18" s="253">
        <v>2</v>
      </c>
      <c r="F18" s="417">
        <v>3</v>
      </c>
      <c r="G18" s="426"/>
      <c r="H18" s="418"/>
      <c r="I18" s="252">
        <v>4</v>
      </c>
      <c r="J18" s="252">
        <v>5</v>
      </c>
      <c r="K18" s="252">
        <v>6</v>
      </c>
      <c r="L18" s="252">
        <v>7</v>
      </c>
      <c r="M18" s="417">
        <v>8</v>
      </c>
      <c r="N18" s="418"/>
      <c r="O18" s="252">
        <v>9</v>
      </c>
      <c r="P18" s="259">
        <v>10</v>
      </c>
    </row>
    <row r="19" spans="1:16" s="261" customFormat="1" ht="17.45" customHeight="1" x14ac:dyDescent="0.2">
      <c r="A19" s="330"/>
      <c r="B19" s="330"/>
      <c r="C19" s="331">
        <v>85</v>
      </c>
      <c r="D19" s="325"/>
      <c r="E19" s="260"/>
      <c r="F19" s="406"/>
      <c r="G19" s="407"/>
      <c r="H19" s="408"/>
      <c r="I19" s="260"/>
      <c r="J19" s="260"/>
      <c r="K19" s="260"/>
      <c r="L19" s="260"/>
      <c r="M19" s="244"/>
      <c r="N19" s="246"/>
      <c r="O19" s="268"/>
      <c r="P19" s="267"/>
    </row>
    <row r="20" spans="1:16" ht="17.45" customHeight="1" x14ac:dyDescent="0.2">
      <c r="A20" s="278" t="s">
        <v>4</v>
      </c>
      <c r="B20" s="278"/>
      <c r="C20" s="272"/>
      <c r="D20" s="273"/>
      <c r="E20" s="274"/>
      <c r="F20" s="397"/>
      <c r="G20" s="402"/>
      <c r="H20" s="398"/>
      <c r="I20" s="274"/>
      <c r="J20" s="275"/>
      <c r="K20" s="274"/>
      <c r="L20" s="275"/>
      <c r="M20" s="276"/>
      <c r="N20" s="277"/>
      <c r="O20" s="273"/>
      <c r="P20" s="275"/>
    </row>
    <row r="21" spans="1:16" ht="17.45" customHeight="1" x14ac:dyDescent="0.2">
      <c r="A21" s="330" t="s">
        <v>68</v>
      </c>
      <c r="B21" s="330"/>
      <c r="C21" s="332" t="str">
        <f>IF(A21&lt;&gt;"",VLOOKUP(A21,Personnel!$B$17:$D$121,2,FALSE),"")</f>
        <v>h</v>
      </c>
      <c r="D21" s="268">
        <v>1</v>
      </c>
      <c r="E21" s="279"/>
      <c r="F21" s="399">
        <f t="shared" ref="F21:F42" si="0">IF(E21="",0,E21*D21)</f>
        <v>0</v>
      </c>
      <c r="G21" s="403"/>
      <c r="H21" s="400"/>
      <c r="I21" s="279">
        <f>IF(A21&lt;&gt;"",VLOOKUP(A21,Personnel!$B$15:$L$107,3,FALSE),0)</f>
        <v>75</v>
      </c>
      <c r="J21" s="268">
        <f t="shared" ref="J21:J42" si="1">IF(I21="",0,I21*D21)</f>
        <v>75</v>
      </c>
      <c r="K21" s="260"/>
      <c r="L21" s="268">
        <f t="shared" ref="L21:L42" si="2">IF(K21="",0,K21*D21)</f>
        <v>0</v>
      </c>
      <c r="M21" s="399">
        <f>F21+J21+L21</f>
        <v>75</v>
      </c>
      <c r="N21" s="400"/>
      <c r="O21" s="268"/>
      <c r="P21" s="268">
        <f>IF(O21="",0,O21*D21)</f>
        <v>0</v>
      </c>
    </row>
    <row r="22" spans="1:16" s="261" customFormat="1" ht="17.45" customHeight="1" x14ac:dyDescent="0.2">
      <c r="A22" s="330"/>
      <c r="B22" s="330"/>
      <c r="C22" s="332" t="str">
        <f>IF(A22&lt;&gt;"",VLOOKUP(A22,Personnel!$B$17:$D$121,2,FALSE),"")</f>
        <v/>
      </c>
      <c r="D22" s="268"/>
      <c r="E22" s="279"/>
      <c r="F22" s="399">
        <f t="shared" si="0"/>
        <v>0</v>
      </c>
      <c r="G22" s="403"/>
      <c r="H22" s="400"/>
      <c r="I22" s="279" t="str">
        <f>IF(A22&lt;&gt;"",VLOOKUP(A22,Personnel!$B$15:$L$107,3,FALSE),"")</f>
        <v/>
      </c>
      <c r="J22" s="268">
        <f t="shared" si="1"/>
        <v>0</v>
      </c>
      <c r="K22" s="260"/>
      <c r="L22" s="268">
        <f t="shared" si="2"/>
        <v>0</v>
      </c>
      <c r="M22" s="399">
        <f t="shared" ref="M22:M42" si="3">IF(ISERR(F22+J22+L22),"",F22+J22+L22)</f>
        <v>0</v>
      </c>
      <c r="N22" s="400"/>
      <c r="O22" s="268"/>
      <c r="P22" s="268">
        <f t="shared" ref="P22:P42" si="4">IF(O22="",0,O22*D22)</f>
        <v>0</v>
      </c>
    </row>
    <row r="23" spans="1:16" ht="17.45" customHeight="1" x14ac:dyDescent="0.2">
      <c r="A23" s="333"/>
      <c r="B23" s="333"/>
      <c r="C23" s="334" t="str">
        <f>IF(A23&lt;&gt;"",VLOOKUP(A23,Personnel!$B$17:$D$121,2,FALSE),"")</f>
        <v/>
      </c>
      <c r="D23" s="270"/>
      <c r="E23" s="280"/>
      <c r="F23" s="395">
        <f t="shared" si="0"/>
        <v>0</v>
      </c>
      <c r="G23" s="401"/>
      <c r="H23" s="396"/>
      <c r="I23" s="280" t="str">
        <f>IF(A23&lt;&gt;"",VLOOKUP(A23,Personnel!$B$15:$L$107,3,FALSE),"")</f>
        <v/>
      </c>
      <c r="J23" s="270">
        <f t="shared" si="1"/>
        <v>0</v>
      </c>
      <c r="K23" s="271"/>
      <c r="L23" s="270">
        <f t="shared" si="2"/>
        <v>0</v>
      </c>
      <c r="M23" s="395">
        <f t="shared" si="3"/>
        <v>0</v>
      </c>
      <c r="N23" s="396"/>
      <c r="O23" s="270"/>
      <c r="P23" s="270">
        <f t="shared" si="4"/>
        <v>0</v>
      </c>
    </row>
    <row r="24" spans="1:16" ht="17.45" customHeight="1" x14ac:dyDescent="0.2">
      <c r="A24" s="278" t="s">
        <v>5</v>
      </c>
      <c r="B24" s="278"/>
      <c r="C24" s="335"/>
      <c r="D24" s="273"/>
      <c r="E24" s="281"/>
      <c r="F24" s="397">
        <f t="shared" si="0"/>
        <v>0</v>
      </c>
      <c r="G24" s="402"/>
      <c r="H24" s="398"/>
      <c r="I24" s="281"/>
      <c r="J24" s="273">
        <f t="shared" si="1"/>
        <v>0</v>
      </c>
      <c r="K24" s="274"/>
      <c r="L24" s="273">
        <f t="shared" si="2"/>
        <v>0</v>
      </c>
      <c r="M24" s="397">
        <f t="shared" si="3"/>
        <v>0</v>
      </c>
      <c r="N24" s="398"/>
      <c r="O24" s="273"/>
      <c r="P24" s="273">
        <f t="shared" si="4"/>
        <v>0</v>
      </c>
    </row>
    <row r="25" spans="1:16" ht="17.45" customHeight="1" x14ac:dyDescent="0.2">
      <c r="A25" s="330" t="s">
        <v>116</v>
      </c>
      <c r="B25" s="330"/>
      <c r="C25" s="332" t="str">
        <f>IF(A25&lt;&gt;"",VLOOKUP(A25,Materiel!$B$15:$J$124,9,FALSE),"")</f>
        <v>h</v>
      </c>
      <c r="D25" s="268">
        <v>1</v>
      </c>
      <c r="E25" s="279">
        <f>IF(A25&lt;&gt;"",VLOOKUP(A25,Materiel!$B$14:$M$410,8,FALSE),"")</f>
        <v>62.05</v>
      </c>
      <c r="F25" s="399">
        <f t="shared" si="0"/>
        <v>62.05</v>
      </c>
      <c r="G25" s="403"/>
      <c r="H25" s="400"/>
      <c r="I25" s="279">
        <f>IF(A25&lt;&gt;"",VLOOKUP(A25,Materiel!$B$15:$L$110,10,FALSE),"")</f>
        <v>55</v>
      </c>
      <c r="J25" s="268">
        <f t="shared" si="1"/>
        <v>55</v>
      </c>
      <c r="K25" s="260"/>
      <c r="L25" s="268">
        <f t="shared" si="2"/>
        <v>0</v>
      </c>
      <c r="M25" s="399">
        <f t="shared" si="3"/>
        <v>117.05</v>
      </c>
      <c r="N25" s="400"/>
      <c r="O25" s="268"/>
      <c r="P25" s="268">
        <f t="shared" si="4"/>
        <v>0</v>
      </c>
    </row>
    <row r="26" spans="1:16" ht="17.45" customHeight="1" x14ac:dyDescent="0.2">
      <c r="A26" s="330" t="s">
        <v>114</v>
      </c>
      <c r="B26" s="330"/>
      <c r="C26" s="332" t="str">
        <f>IF(A26&lt;&gt;"",VLOOKUP(A26,Materiel!$B$15:$J$124,9,FALSE),"")</f>
        <v>h</v>
      </c>
      <c r="D26" s="268">
        <v>2</v>
      </c>
      <c r="E26" s="279">
        <f>IF(A26&lt;&gt;"",VLOOKUP(A26,Materiel!$B$14:$M$410,8,FALSE),"")</f>
        <v>81.980000000000018</v>
      </c>
      <c r="F26" s="399">
        <f t="shared" si="0"/>
        <v>163.96000000000004</v>
      </c>
      <c r="G26" s="403"/>
      <c r="H26" s="400"/>
      <c r="I26" s="279">
        <f>IF(A26&lt;&gt;"",VLOOKUP(A26,Materiel!$B$15:$L$110,10,FALSE),"")</f>
        <v>55</v>
      </c>
      <c r="J26" s="268">
        <f t="shared" si="1"/>
        <v>110</v>
      </c>
      <c r="K26" s="260"/>
      <c r="L26" s="268">
        <f t="shared" si="2"/>
        <v>0</v>
      </c>
      <c r="M26" s="399">
        <f t="shared" si="3"/>
        <v>273.96000000000004</v>
      </c>
      <c r="N26" s="400"/>
      <c r="O26" s="268"/>
      <c r="P26" s="268">
        <f t="shared" si="4"/>
        <v>0</v>
      </c>
    </row>
    <row r="27" spans="1:16" ht="18" customHeight="1" x14ac:dyDescent="0.2">
      <c r="A27" s="330"/>
      <c r="B27" s="330"/>
      <c r="C27" s="332" t="str">
        <f>IF(A27&lt;&gt;"",VLOOKUP(A27,Materiel!$B$15:$J$124,9,FALSE),"")</f>
        <v/>
      </c>
      <c r="D27" s="268"/>
      <c r="E27" s="279" t="str">
        <f>IF(A27&lt;&gt;"",VLOOKUP(A27,Materiel!$B$14:$M$410,8,FALSE),"")</f>
        <v/>
      </c>
      <c r="F27" s="399">
        <f t="shared" si="0"/>
        <v>0</v>
      </c>
      <c r="G27" s="403"/>
      <c r="H27" s="400"/>
      <c r="I27" s="279" t="str">
        <f>IF(A27&lt;&gt;"",VLOOKUP(A27,Materiel!$B$15:$L$110,10,FALSE),"")</f>
        <v/>
      </c>
      <c r="J27" s="268">
        <f t="shared" si="1"/>
        <v>0</v>
      </c>
      <c r="K27" s="260"/>
      <c r="L27" s="268">
        <f t="shared" si="2"/>
        <v>0</v>
      </c>
      <c r="M27" s="399">
        <f t="shared" si="3"/>
        <v>0</v>
      </c>
      <c r="N27" s="400"/>
      <c r="O27" s="268"/>
      <c r="P27" s="268">
        <f t="shared" si="4"/>
        <v>0</v>
      </c>
    </row>
    <row r="28" spans="1:16" ht="17.45" customHeight="1" x14ac:dyDescent="0.2">
      <c r="A28" s="330"/>
      <c r="B28" s="330"/>
      <c r="C28" s="332" t="str">
        <f>IF(A28&lt;&gt;"",VLOOKUP(A28,Materiel!$B$15:$J$124,9,FALSE),"")</f>
        <v/>
      </c>
      <c r="D28" s="268"/>
      <c r="E28" s="279" t="str">
        <f>IF(A28&lt;&gt;"",VLOOKUP(A28,Materiel!$B$14:$M$410,8,FALSE),"")</f>
        <v/>
      </c>
      <c r="F28" s="399">
        <f t="shared" si="0"/>
        <v>0</v>
      </c>
      <c r="G28" s="403"/>
      <c r="H28" s="400"/>
      <c r="I28" s="279" t="str">
        <f>IF(A28&lt;&gt;"",VLOOKUP(A28,Materiel!$B$15:$L$110,10,FALSE),"")</f>
        <v/>
      </c>
      <c r="J28" s="268">
        <f t="shared" si="1"/>
        <v>0</v>
      </c>
      <c r="K28" s="260"/>
      <c r="L28" s="268">
        <f t="shared" si="2"/>
        <v>0</v>
      </c>
      <c r="M28" s="399">
        <f t="shared" si="3"/>
        <v>0</v>
      </c>
      <c r="N28" s="400"/>
      <c r="O28" s="268"/>
      <c r="P28" s="268">
        <f t="shared" si="4"/>
        <v>0</v>
      </c>
    </row>
    <row r="29" spans="1:16" ht="17.45" customHeight="1" x14ac:dyDescent="0.2">
      <c r="A29" s="333"/>
      <c r="B29" s="333"/>
      <c r="C29" s="334" t="str">
        <f>IF(A29&lt;&gt;"",VLOOKUP(A29,Materiel!$B$15:$J$124,9,FALSE),"")</f>
        <v/>
      </c>
      <c r="D29" s="270"/>
      <c r="E29" s="280" t="str">
        <f>IF(A29&lt;&gt;"",VLOOKUP(A29,Materiel!$B$14:$M$410,8,FALSE),"")</f>
        <v/>
      </c>
      <c r="F29" s="395">
        <f t="shared" si="0"/>
        <v>0</v>
      </c>
      <c r="G29" s="401"/>
      <c r="H29" s="396"/>
      <c r="I29" s="280" t="str">
        <f>IF(A29&lt;&gt;"",VLOOKUP(A29,Materiel!$B$15:$L$110,10,FALSE),"")</f>
        <v/>
      </c>
      <c r="J29" s="270">
        <f t="shared" si="1"/>
        <v>0</v>
      </c>
      <c r="K29" s="271"/>
      <c r="L29" s="270">
        <f t="shared" si="2"/>
        <v>0</v>
      </c>
      <c r="M29" s="395">
        <f t="shared" si="3"/>
        <v>0</v>
      </c>
      <c r="N29" s="396"/>
      <c r="O29" s="270"/>
      <c r="P29" s="270">
        <f t="shared" si="4"/>
        <v>0</v>
      </c>
    </row>
    <row r="30" spans="1:16" s="261" customFormat="1" ht="17.45" customHeight="1" x14ac:dyDescent="0.2">
      <c r="A30" s="278" t="s">
        <v>6</v>
      </c>
      <c r="B30" s="278"/>
      <c r="C30" s="335"/>
      <c r="D30" s="273"/>
      <c r="E30" s="281"/>
      <c r="F30" s="397">
        <f t="shared" si="0"/>
        <v>0</v>
      </c>
      <c r="G30" s="402"/>
      <c r="H30" s="398"/>
      <c r="I30" s="281"/>
      <c r="J30" s="273">
        <f t="shared" si="1"/>
        <v>0</v>
      </c>
      <c r="K30" s="274"/>
      <c r="L30" s="273">
        <f t="shared" si="2"/>
        <v>0</v>
      </c>
      <c r="M30" s="397">
        <f t="shared" si="3"/>
        <v>0</v>
      </c>
      <c r="N30" s="398"/>
      <c r="O30" s="273"/>
      <c r="P30" s="273">
        <f t="shared" si="4"/>
        <v>0</v>
      </c>
    </row>
    <row r="31" spans="1:16" ht="17.45" customHeight="1" x14ac:dyDescent="0.2">
      <c r="A31" s="330"/>
      <c r="B31" s="330"/>
      <c r="C31" s="332" t="str">
        <f>IF(A31&lt;&gt;"",VLOOKUP(A31,Loc!$B$17:$J$114,2,FALSE),"")</f>
        <v/>
      </c>
      <c r="D31" s="268"/>
      <c r="E31" s="279"/>
      <c r="F31" s="399">
        <f t="shared" si="0"/>
        <v>0</v>
      </c>
      <c r="G31" s="403"/>
      <c r="H31" s="400"/>
      <c r="I31" s="279"/>
      <c r="J31" s="268">
        <f t="shared" si="1"/>
        <v>0</v>
      </c>
      <c r="K31" s="279" t="str">
        <f>IF(A31&lt;&gt;"",VLOOKUP(A31,Loc!$B$15:$D$50,3,FALSE),"")</f>
        <v/>
      </c>
      <c r="L31" s="268">
        <f t="shared" si="2"/>
        <v>0</v>
      </c>
      <c r="M31" s="399">
        <f t="shared" si="3"/>
        <v>0</v>
      </c>
      <c r="N31" s="400"/>
      <c r="O31" s="268"/>
      <c r="P31" s="268">
        <f t="shared" si="4"/>
        <v>0</v>
      </c>
    </row>
    <row r="32" spans="1:16" ht="17.45" customHeight="1" x14ac:dyDescent="0.2">
      <c r="A32" s="330"/>
      <c r="B32" s="330"/>
      <c r="C32" s="332" t="str">
        <f>IF(A32&lt;&gt;"",VLOOKUP(A32,Loc!$B$17:$J$114,2,FALSE),"")</f>
        <v/>
      </c>
      <c r="D32" s="268"/>
      <c r="E32" s="279"/>
      <c r="F32" s="399">
        <f t="shared" si="0"/>
        <v>0</v>
      </c>
      <c r="G32" s="403"/>
      <c r="H32" s="400"/>
      <c r="I32" s="279"/>
      <c r="J32" s="268">
        <f t="shared" si="1"/>
        <v>0</v>
      </c>
      <c r="K32" s="260" t="str">
        <f>IF(A32&lt;&gt;"",VLOOKUP(A32,Loc!$B$15:$D$50,3,FALSE),"")</f>
        <v/>
      </c>
      <c r="L32" s="268">
        <f t="shared" si="2"/>
        <v>0</v>
      </c>
      <c r="M32" s="399">
        <f t="shared" si="3"/>
        <v>0</v>
      </c>
      <c r="N32" s="400"/>
      <c r="O32" s="268"/>
      <c r="P32" s="268">
        <f t="shared" si="4"/>
        <v>0</v>
      </c>
    </row>
    <row r="33" spans="1:16" ht="17.45" customHeight="1" x14ac:dyDescent="0.2">
      <c r="A33" s="333"/>
      <c r="B33" s="333"/>
      <c r="C33" s="334" t="str">
        <f>IF(A33&lt;&gt;"",VLOOKUP(A33,Loc!$B$17:$J$114,2,FALSE),"")</f>
        <v/>
      </c>
      <c r="D33" s="270"/>
      <c r="E33" s="280"/>
      <c r="F33" s="395">
        <f t="shared" si="0"/>
        <v>0</v>
      </c>
      <c r="G33" s="401"/>
      <c r="H33" s="396"/>
      <c r="I33" s="280"/>
      <c r="J33" s="270">
        <f t="shared" si="1"/>
        <v>0</v>
      </c>
      <c r="K33" s="271" t="str">
        <f>IF(A33&lt;&gt;"",VLOOKUP(A33,Loc!$B$15:$D$50,3,FALSE),"")</f>
        <v/>
      </c>
      <c r="L33" s="270">
        <f t="shared" si="2"/>
        <v>0</v>
      </c>
      <c r="M33" s="395">
        <f t="shared" si="3"/>
        <v>0</v>
      </c>
      <c r="N33" s="396"/>
      <c r="O33" s="270"/>
      <c r="P33" s="270">
        <f t="shared" si="4"/>
        <v>0</v>
      </c>
    </row>
    <row r="34" spans="1:16" ht="17.45" customHeight="1" x14ac:dyDescent="0.2">
      <c r="A34" s="278" t="s">
        <v>7</v>
      </c>
      <c r="B34" s="278"/>
      <c r="C34" s="335"/>
      <c r="D34" s="273"/>
      <c r="E34" s="281"/>
      <c r="F34" s="397">
        <f t="shared" si="0"/>
        <v>0</v>
      </c>
      <c r="G34" s="402"/>
      <c r="H34" s="398"/>
      <c r="I34" s="281"/>
      <c r="J34" s="273">
        <f t="shared" si="1"/>
        <v>0</v>
      </c>
      <c r="K34" s="274"/>
      <c r="L34" s="273">
        <f t="shared" si="2"/>
        <v>0</v>
      </c>
      <c r="M34" s="397">
        <f t="shared" si="3"/>
        <v>0</v>
      </c>
      <c r="N34" s="398"/>
      <c r="O34" s="273"/>
      <c r="P34" s="273">
        <f t="shared" si="4"/>
        <v>0</v>
      </c>
    </row>
    <row r="35" spans="1:16" ht="17.45" customHeight="1" x14ac:dyDescent="0.2">
      <c r="A35" s="330"/>
      <c r="B35" s="330"/>
      <c r="C35" s="332" t="str">
        <f>IF(A35&lt;&gt;"",VLOOKUP(A35,Fourn!$B$17:$D$114,2,FALSE),"")</f>
        <v/>
      </c>
      <c r="D35" s="268"/>
      <c r="E35" s="279"/>
      <c r="F35" s="399">
        <f t="shared" si="0"/>
        <v>0</v>
      </c>
      <c r="G35" s="403"/>
      <c r="H35" s="400"/>
      <c r="I35" s="279"/>
      <c r="J35" s="268">
        <f t="shared" si="1"/>
        <v>0</v>
      </c>
      <c r="K35" s="279" t="str">
        <f>IF(A35&lt;&gt;"",VLOOKUP(A35,Fourn!$B$17:$D$300,3,FALSE),"")</f>
        <v/>
      </c>
      <c r="L35" s="268">
        <f t="shared" si="2"/>
        <v>0</v>
      </c>
      <c r="M35" s="399">
        <f t="shared" si="3"/>
        <v>0</v>
      </c>
      <c r="N35" s="400"/>
      <c r="O35" s="268"/>
      <c r="P35" s="268">
        <f t="shared" si="4"/>
        <v>0</v>
      </c>
    </row>
    <row r="36" spans="1:16" ht="17.45" customHeight="1" x14ac:dyDescent="0.2">
      <c r="A36" s="330"/>
      <c r="B36" s="330"/>
      <c r="C36" s="332" t="str">
        <f>IF(A36&lt;&gt;"",VLOOKUP(A36,Fourn!$B$17:$D$114,2,FALSE),"")</f>
        <v/>
      </c>
      <c r="D36" s="268"/>
      <c r="E36" s="279"/>
      <c r="F36" s="399">
        <f t="shared" si="0"/>
        <v>0</v>
      </c>
      <c r="G36" s="403"/>
      <c r="H36" s="400"/>
      <c r="I36" s="279"/>
      <c r="J36" s="268">
        <f t="shared" si="1"/>
        <v>0</v>
      </c>
      <c r="K36" s="279" t="str">
        <f>IF(A36&lt;&gt;"",VLOOKUP(A36,Fourn!$B$17:$D$300,3,FALSE),"")</f>
        <v/>
      </c>
      <c r="L36" s="268">
        <f t="shared" si="2"/>
        <v>0</v>
      </c>
      <c r="M36" s="399">
        <f t="shared" si="3"/>
        <v>0</v>
      </c>
      <c r="N36" s="400"/>
      <c r="O36" s="268"/>
      <c r="P36" s="268">
        <f t="shared" si="4"/>
        <v>0</v>
      </c>
    </row>
    <row r="37" spans="1:16" ht="17.45" customHeight="1" x14ac:dyDescent="0.2">
      <c r="A37" s="330"/>
      <c r="B37" s="330"/>
      <c r="C37" s="332" t="str">
        <f>IF(A37&lt;&gt;"",VLOOKUP(A37,Fourn!$B$17:$D$114,2,FALSE),"")</f>
        <v/>
      </c>
      <c r="D37" s="268"/>
      <c r="E37" s="279"/>
      <c r="F37" s="399">
        <f t="shared" si="0"/>
        <v>0</v>
      </c>
      <c r="G37" s="403"/>
      <c r="H37" s="400"/>
      <c r="I37" s="279"/>
      <c r="J37" s="268">
        <f t="shared" si="1"/>
        <v>0</v>
      </c>
      <c r="K37" s="260" t="str">
        <f>IF(A37&lt;&gt;"",VLOOKUP(A37,Fourn!$B$17:$D$300,3,FALSE),"")</f>
        <v/>
      </c>
      <c r="L37" s="268">
        <f t="shared" si="2"/>
        <v>0</v>
      </c>
      <c r="M37" s="399">
        <f t="shared" si="3"/>
        <v>0</v>
      </c>
      <c r="N37" s="400"/>
      <c r="O37" s="268"/>
      <c r="P37" s="268">
        <f t="shared" si="4"/>
        <v>0</v>
      </c>
    </row>
    <row r="38" spans="1:16" ht="17.45" customHeight="1" x14ac:dyDescent="0.2">
      <c r="A38" s="333"/>
      <c r="B38" s="333"/>
      <c r="C38" s="334" t="str">
        <f>IF(A38&lt;&gt;"",VLOOKUP(A38,Fourn!$B$17:$D$114,2,FALSE),"")</f>
        <v/>
      </c>
      <c r="D38" s="270"/>
      <c r="E38" s="280"/>
      <c r="F38" s="395">
        <f t="shared" si="0"/>
        <v>0</v>
      </c>
      <c r="G38" s="401"/>
      <c r="H38" s="396"/>
      <c r="I38" s="280"/>
      <c r="J38" s="270">
        <f t="shared" si="1"/>
        <v>0</v>
      </c>
      <c r="K38" s="271" t="str">
        <f>IF(A38&lt;&gt;"",VLOOKUP(A38,Fourn!$B$17:$D$300,3,FALSE),"")</f>
        <v/>
      </c>
      <c r="L38" s="270">
        <f t="shared" si="2"/>
        <v>0</v>
      </c>
      <c r="M38" s="395">
        <f t="shared" si="3"/>
        <v>0</v>
      </c>
      <c r="N38" s="396"/>
      <c r="O38" s="270"/>
      <c r="P38" s="270">
        <f t="shared" si="4"/>
        <v>0</v>
      </c>
    </row>
    <row r="39" spans="1:16" ht="17.45" customHeight="1" x14ac:dyDescent="0.2">
      <c r="A39" s="278" t="s">
        <v>8</v>
      </c>
      <c r="B39" s="278"/>
      <c r="C39" s="335"/>
      <c r="D39" s="273"/>
      <c r="E39" s="281"/>
      <c r="F39" s="397">
        <f t="shared" si="0"/>
        <v>0</v>
      </c>
      <c r="G39" s="402"/>
      <c r="H39" s="398"/>
      <c r="I39" s="281"/>
      <c r="J39" s="273">
        <f t="shared" si="1"/>
        <v>0</v>
      </c>
      <c r="K39" s="274"/>
      <c r="L39" s="273">
        <f t="shared" si="2"/>
        <v>0</v>
      </c>
      <c r="M39" s="397">
        <f t="shared" si="3"/>
        <v>0</v>
      </c>
      <c r="N39" s="398"/>
      <c r="O39" s="273"/>
      <c r="P39" s="273">
        <f t="shared" si="4"/>
        <v>0</v>
      </c>
    </row>
    <row r="40" spans="1:16" ht="17.45" customHeight="1" x14ac:dyDescent="0.2">
      <c r="A40" s="330"/>
      <c r="B40" s="330"/>
      <c r="C40" s="332"/>
      <c r="D40" s="268"/>
      <c r="E40" s="279"/>
      <c r="F40" s="399">
        <f t="shared" si="0"/>
        <v>0</v>
      </c>
      <c r="G40" s="403"/>
      <c r="H40" s="400"/>
      <c r="I40" s="279"/>
      <c r="J40" s="268">
        <f t="shared" si="1"/>
        <v>0</v>
      </c>
      <c r="K40" s="260"/>
      <c r="L40" s="268">
        <f t="shared" si="2"/>
        <v>0</v>
      </c>
      <c r="M40" s="399">
        <f t="shared" si="3"/>
        <v>0</v>
      </c>
      <c r="N40" s="400"/>
      <c r="O40" s="268"/>
      <c r="P40" s="268">
        <f t="shared" si="4"/>
        <v>0</v>
      </c>
    </row>
    <row r="41" spans="1:16" ht="17.45" customHeight="1" x14ac:dyDescent="0.2">
      <c r="A41" s="330"/>
      <c r="B41" s="330"/>
      <c r="C41" s="332"/>
      <c r="D41" s="268"/>
      <c r="E41" s="279"/>
      <c r="F41" s="399">
        <f t="shared" si="0"/>
        <v>0</v>
      </c>
      <c r="G41" s="403"/>
      <c r="H41" s="400"/>
      <c r="I41" s="279"/>
      <c r="J41" s="268">
        <f t="shared" si="1"/>
        <v>0</v>
      </c>
      <c r="K41" s="260"/>
      <c r="L41" s="268">
        <f t="shared" si="2"/>
        <v>0</v>
      </c>
      <c r="M41" s="399">
        <f t="shared" si="3"/>
        <v>0</v>
      </c>
      <c r="N41" s="400"/>
      <c r="O41" s="268"/>
      <c r="P41" s="268">
        <f t="shared" si="4"/>
        <v>0</v>
      </c>
    </row>
    <row r="42" spans="1:16" ht="17.45" customHeight="1" thickBot="1" x14ac:dyDescent="0.25">
      <c r="A42" s="330"/>
      <c r="B42" s="330"/>
      <c r="C42" s="332"/>
      <c r="D42" s="268"/>
      <c r="E42" s="260"/>
      <c r="F42" s="399">
        <f t="shared" si="0"/>
        <v>0</v>
      </c>
      <c r="G42" s="403"/>
      <c r="H42" s="400"/>
      <c r="I42" s="260"/>
      <c r="J42" s="268">
        <f t="shared" si="1"/>
        <v>0</v>
      </c>
      <c r="K42" s="260"/>
      <c r="L42" s="268">
        <f t="shared" si="2"/>
        <v>0</v>
      </c>
      <c r="M42" s="399">
        <f t="shared" si="3"/>
        <v>0</v>
      </c>
      <c r="N42" s="400"/>
      <c r="O42" s="268"/>
      <c r="P42" s="268">
        <f t="shared" si="4"/>
        <v>0</v>
      </c>
    </row>
    <row r="43" spans="1:16" ht="21.6" customHeight="1" thickBot="1" x14ac:dyDescent="0.25">
      <c r="A43" s="269" t="s">
        <v>40</v>
      </c>
      <c r="B43" s="249"/>
      <c r="C43" s="249"/>
      <c r="D43" s="249"/>
      <c r="E43" s="392">
        <f>SUM(F19:H42)</f>
        <v>226.01000000000005</v>
      </c>
      <c r="F43" s="404"/>
      <c r="G43" s="404"/>
      <c r="H43" s="393"/>
      <c r="I43" s="392">
        <f>SUM(J19:J42)</f>
        <v>240</v>
      </c>
      <c r="J43" s="393"/>
      <c r="K43" s="392">
        <f>SUM(L19:L42)</f>
        <v>0</v>
      </c>
      <c r="L43" s="393"/>
      <c r="M43" s="392">
        <f>SUM(M19:N42)</f>
        <v>466.01000000000005</v>
      </c>
      <c r="N43" s="393"/>
      <c r="O43" s="392">
        <f>SUM(P19:P42)</f>
        <v>0</v>
      </c>
      <c r="P43" s="393"/>
    </row>
    <row r="44" spans="1:16" ht="18.600000000000001" customHeight="1" thickBot="1" x14ac:dyDescent="0.25">
      <c r="A44" s="405"/>
      <c r="B44" s="405"/>
      <c r="C44" s="405"/>
      <c r="D44" s="405"/>
      <c r="E44" s="405"/>
      <c r="F44" s="405"/>
      <c r="G44" s="262"/>
      <c r="H44" s="405"/>
      <c r="I44" s="405"/>
      <c r="J44" s="405"/>
      <c r="K44" s="405"/>
      <c r="L44" s="405"/>
      <c r="M44" s="405"/>
      <c r="N44" s="262"/>
      <c r="O44" s="424" t="s">
        <v>41</v>
      </c>
      <c r="P44" s="433">
        <f>O43</f>
        <v>0</v>
      </c>
    </row>
    <row r="45" spans="1:16" ht="18.75" x14ac:dyDescent="0.2">
      <c r="A45" s="359"/>
      <c r="B45" s="360"/>
      <c r="C45" s="360"/>
      <c r="D45" s="360"/>
      <c r="E45" s="360"/>
      <c r="F45" s="361"/>
      <c r="G45" s="368"/>
      <c r="H45" s="359"/>
      <c r="I45" s="360"/>
      <c r="J45" s="360"/>
      <c r="K45" s="360"/>
      <c r="L45" s="360"/>
      <c r="M45" s="361"/>
      <c r="N45" s="370"/>
      <c r="O45" s="371"/>
      <c r="P45" s="374"/>
    </row>
    <row r="46" spans="1:16" ht="32.450000000000003" customHeight="1" x14ac:dyDescent="0.2">
      <c r="A46" s="365" t="s">
        <v>42</v>
      </c>
      <c r="B46" s="366"/>
      <c r="C46" s="366"/>
      <c r="D46" s="366"/>
      <c r="E46" s="366"/>
      <c r="F46" s="367"/>
      <c r="G46" s="368"/>
      <c r="H46" s="371" t="s">
        <v>43</v>
      </c>
      <c r="I46" s="372"/>
      <c r="J46" s="373">
        <f>M43/C19</f>
        <v>5.4824705882352944</v>
      </c>
      <c r="K46" s="373"/>
      <c r="L46" s="373"/>
      <c r="M46" s="374"/>
      <c r="N46" s="370"/>
      <c r="O46" s="414" t="s">
        <v>44</v>
      </c>
      <c r="P46" s="432">
        <f>Coeff!H5</f>
        <v>0.18</v>
      </c>
    </row>
    <row r="47" spans="1:16" ht="24" customHeight="1" x14ac:dyDescent="0.2">
      <c r="A47" s="362" t="s">
        <v>45</v>
      </c>
      <c r="B47" s="363"/>
      <c r="C47" s="363"/>
      <c r="D47" s="363"/>
      <c r="E47" s="363"/>
      <c r="F47" s="364"/>
      <c r="G47" s="368"/>
      <c r="H47" s="368"/>
      <c r="I47" s="369"/>
      <c r="J47" s="369"/>
      <c r="K47" s="369"/>
      <c r="L47" s="369"/>
      <c r="M47" s="370"/>
      <c r="N47" s="370"/>
      <c r="O47" s="414"/>
      <c r="P47" s="432"/>
    </row>
    <row r="48" spans="1:16" ht="18.600000000000001" customHeight="1" x14ac:dyDescent="0.2">
      <c r="A48" s="362"/>
      <c r="B48" s="363"/>
      <c r="C48" s="363"/>
      <c r="D48" s="363"/>
      <c r="E48" s="363"/>
      <c r="F48" s="364"/>
      <c r="G48" s="368"/>
      <c r="H48" s="368"/>
      <c r="I48" s="369"/>
      <c r="J48" s="369"/>
      <c r="K48" s="369"/>
      <c r="L48" s="369"/>
      <c r="M48" s="370"/>
      <c r="N48" s="370"/>
      <c r="O48" s="371" t="s">
        <v>46</v>
      </c>
      <c r="P48" s="394"/>
    </row>
    <row r="49" spans="1:16" ht="34.9" customHeight="1" thickBot="1" x14ac:dyDescent="0.25">
      <c r="A49" s="365" t="s">
        <v>47</v>
      </c>
      <c r="B49" s="366"/>
      <c r="C49" s="366"/>
      <c r="D49" s="366"/>
      <c r="E49" s="366"/>
      <c r="F49" s="367"/>
      <c r="G49" s="368"/>
      <c r="H49" s="375" t="s">
        <v>48</v>
      </c>
      <c r="I49" s="376"/>
      <c r="J49" s="376"/>
      <c r="K49" s="283">
        <f>Coeff!J2</f>
        <v>0.18</v>
      </c>
      <c r="L49" s="388" t="s">
        <v>49</v>
      </c>
      <c r="M49" s="389"/>
      <c r="N49" s="370"/>
      <c r="O49" s="434">
        <f>P44*(1+P46)</f>
        <v>0</v>
      </c>
      <c r="P49" s="435"/>
    </row>
    <row r="50" spans="1:16" ht="34.9" customHeight="1" x14ac:dyDescent="0.2">
      <c r="A50" s="381" t="s">
        <v>50</v>
      </c>
      <c r="B50" s="382"/>
      <c r="C50" s="382"/>
      <c r="D50" s="382"/>
      <c r="E50" s="382"/>
      <c r="F50" s="383"/>
      <c r="G50" s="368"/>
      <c r="H50" s="375" t="s">
        <v>51</v>
      </c>
      <c r="I50" s="376"/>
      <c r="J50" s="376"/>
      <c r="K50" s="283">
        <f>Coeff!J3</f>
        <v>0.08</v>
      </c>
      <c r="L50" s="388" t="s">
        <v>49</v>
      </c>
      <c r="M50" s="389"/>
      <c r="N50" s="369"/>
      <c r="O50" s="424" t="s">
        <v>52</v>
      </c>
      <c r="P50" s="425"/>
    </row>
    <row r="51" spans="1:16" ht="34.9" customHeight="1" x14ac:dyDescent="0.2">
      <c r="A51" s="381"/>
      <c r="B51" s="382"/>
      <c r="C51" s="382"/>
      <c r="D51" s="382"/>
      <c r="E51" s="382"/>
      <c r="F51" s="383"/>
      <c r="G51" s="368"/>
      <c r="H51" s="375" t="s">
        <v>53</v>
      </c>
      <c r="I51" s="376"/>
      <c r="J51" s="376"/>
      <c r="K51" s="283">
        <f>Coeff!J4</f>
        <v>0.05</v>
      </c>
      <c r="L51" s="388" t="s">
        <v>54</v>
      </c>
      <c r="M51" s="389"/>
      <c r="N51" s="369"/>
      <c r="O51" s="371" t="s">
        <v>55</v>
      </c>
      <c r="P51" s="394"/>
    </row>
    <row r="52" spans="1:16" ht="17.45" customHeight="1" x14ac:dyDescent="0.2">
      <c r="A52" s="365"/>
      <c r="B52" s="366"/>
      <c r="C52" s="366"/>
      <c r="D52" s="366"/>
      <c r="E52" s="366"/>
      <c r="F52" s="367"/>
      <c r="G52" s="368"/>
      <c r="H52" s="384" t="s">
        <v>56</v>
      </c>
      <c r="I52" s="385"/>
      <c r="J52" s="385"/>
      <c r="K52" s="385"/>
      <c r="L52" s="373">
        <f>J46*(1+K49+K50)</f>
        <v>6.9079129411764706</v>
      </c>
      <c r="M52" s="374"/>
      <c r="N52" s="369"/>
      <c r="O52" s="438"/>
      <c r="P52" s="439"/>
    </row>
    <row r="53" spans="1:16" ht="21" customHeight="1" x14ac:dyDescent="0.2">
      <c r="A53" s="365" t="s">
        <v>57</v>
      </c>
      <c r="B53" s="366"/>
      <c r="C53" s="366"/>
      <c r="D53" s="366"/>
      <c r="E53" s="366"/>
      <c r="F53" s="367"/>
      <c r="G53" s="368"/>
      <c r="H53" s="384"/>
      <c r="I53" s="385"/>
      <c r="J53" s="385"/>
      <c r="K53" s="385"/>
      <c r="L53" s="373"/>
      <c r="M53" s="374"/>
      <c r="N53" s="369"/>
      <c r="O53" s="429">
        <f>O49+L54</f>
        <v>7.2533085882352948</v>
      </c>
      <c r="P53" s="430"/>
    </row>
    <row r="54" spans="1:16" ht="18" customHeight="1" x14ac:dyDescent="0.2">
      <c r="A54" s="375"/>
      <c r="B54" s="376"/>
      <c r="C54" s="376"/>
      <c r="D54" s="376"/>
      <c r="E54" s="376"/>
      <c r="F54" s="377"/>
      <c r="G54" s="368"/>
      <c r="H54" s="384" t="s">
        <v>58</v>
      </c>
      <c r="I54" s="385"/>
      <c r="J54" s="385"/>
      <c r="K54" s="385"/>
      <c r="L54" s="373">
        <f>L52*(1+K51)</f>
        <v>7.2533085882352948</v>
      </c>
      <c r="M54" s="374"/>
      <c r="N54" s="369"/>
      <c r="O54" s="431"/>
      <c r="P54" s="430"/>
    </row>
    <row r="55" spans="1:16" ht="19.5" thickBot="1" x14ac:dyDescent="0.25">
      <c r="A55" s="378"/>
      <c r="B55" s="379"/>
      <c r="C55" s="379"/>
      <c r="D55" s="379"/>
      <c r="E55" s="379"/>
      <c r="F55" s="380"/>
      <c r="G55" s="368"/>
      <c r="H55" s="386"/>
      <c r="I55" s="387"/>
      <c r="J55" s="387"/>
      <c r="K55" s="387"/>
      <c r="L55" s="390"/>
      <c r="M55" s="391"/>
      <c r="N55" s="369"/>
      <c r="O55" s="436"/>
      <c r="P55" s="437"/>
    </row>
    <row r="56" spans="1:16" ht="18.75" x14ac:dyDescent="0.2">
      <c r="A56" s="262"/>
      <c r="B56" s="262"/>
      <c r="C56" s="262"/>
      <c r="D56" s="262"/>
      <c r="E56" s="262"/>
      <c r="F56" s="262"/>
      <c r="G56" s="262"/>
      <c r="H56" s="262"/>
      <c r="I56" s="262"/>
      <c r="J56" s="262"/>
      <c r="K56" s="262"/>
      <c r="L56" s="262"/>
      <c r="M56" s="262"/>
      <c r="N56" s="262"/>
      <c r="O56" s="262"/>
      <c r="P56" s="262"/>
    </row>
    <row r="57" spans="1:16" x14ac:dyDescent="0.2">
      <c r="A57" s="265"/>
      <c r="B57" s="265"/>
      <c r="C57" s="241"/>
      <c r="D57" s="241"/>
      <c r="E57" s="241"/>
      <c r="F57" s="241"/>
      <c r="G57" s="241"/>
      <c r="H57" s="241"/>
      <c r="I57" s="241"/>
      <c r="J57" s="241"/>
      <c r="K57" s="241"/>
      <c r="L57" s="241"/>
      <c r="M57" s="241"/>
      <c r="N57" s="241"/>
      <c r="O57" s="241"/>
      <c r="P57" s="241"/>
    </row>
  </sheetData>
  <mergeCells count="121">
    <mergeCell ref="A3:P3"/>
    <mergeCell ref="C5:E5"/>
    <mergeCell ref="C6:G8"/>
    <mergeCell ref="J6:M8"/>
    <mergeCell ref="C9:F9"/>
    <mergeCell ref="C10:L11"/>
    <mergeCell ref="A12:D12"/>
    <mergeCell ref="E12:P12"/>
    <mergeCell ref="A13:A14"/>
    <mergeCell ref="C13:C14"/>
    <mergeCell ref="D13:D14"/>
    <mergeCell ref="E13:H13"/>
    <mergeCell ref="I13:J14"/>
    <mergeCell ref="K13:L14"/>
    <mergeCell ref="M13:N13"/>
    <mergeCell ref="O13:P14"/>
    <mergeCell ref="E14:H14"/>
    <mergeCell ref="M14:N14"/>
    <mergeCell ref="A15:A18"/>
    <mergeCell ref="C15:C18"/>
    <mergeCell ref="F15:H15"/>
    <mergeCell ref="M15:N15"/>
    <mergeCell ref="F16:H16"/>
    <mergeCell ref="M16:N16"/>
    <mergeCell ref="F17:H17"/>
    <mergeCell ref="M17:N17"/>
    <mergeCell ref="F22:H22"/>
    <mergeCell ref="M22:N22"/>
    <mergeCell ref="F23:H23"/>
    <mergeCell ref="M23:N23"/>
    <mergeCell ref="F24:H24"/>
    <mergeCell ref="M24:N24"/>
    <mergeCell ref="F18:H18"/>
    <mergeCell ref="M18:N18"/>
    <mergeCell ref="F19:H19"/>
    <mergeCell ref="F20:H20"/>
    <mergeCell ref="F21:H21"/>
    <mergeCell ref="M21:N21"/>
    <mergeCell ref="F28:H28"/>
    <mergeCell ref="M28:N28"/>
    <mergeCell ref="F29:H29"/>
    <mergeCell ref="M29:N29"/>
    <mergeCell ref="F30:H30"/>
    <mergeCell ref="M30:N30"/>
    <mergeCell ref="F25:H25"/>
    <mergeCell ref="M25:N25"/>
    <mergeCell ref="F26:H26"/>
    <mergeCell ref="M26:N26"/>
    <mergeCell ref="F27:H27"/>
    <mergeCell ref="M27:N27"/>
    <mergeCell ref="F34:H34"/>
    <mergeCell ref="M34:N34"/>
    <mergeCell ref="F35:H35"/>
    <mergeCell ref="M35:N35"/>
    <mergeCell ref="F36:H36"/>
    <mergeCell ref="M36:N36"/>
    <mergeCell ref="F31:H31"/>
    <mergeCell ref="M31:N31"/>
    <mergeCell ref="F32:H32"/>
    <mergeCell ref="M32:N32"/>
    <mergeCell ref="F33:H33"/>
    <mergeCell ref="M33:N33"/>
    <mergeCell ref="F40:H40"/>
    <mergeCell ref="M40:N40"/>
    <mergeCell ref="F41:H41"/>
    <mergeCell ref="M41:N41"/>
    <mergeCell ref="F42:H42"/>
    <mergeCell ref="M42:N42"/>
    <mergeCell ref="F37:H37"/>
    <mergeCell ref="M37:N37"/>
    <mergeCell ref="F38:H38"/>
    <mergeCell ref="M38:N38"/>
    <mergeCell ref="F39:H39"/>
    <mergeCell ref="M39:N39"/>
    <mergeCell ref="E43:H43"/>
    <mergeCell ref="I43:J43"/>
    <mergeCell ref="K43:L43"/>
    <mergeCell ref="M43:N43"/>
    <mergeCell ref="O43:P43"/>
    <mergeCell ref="A44:F44"/>
    <mergeCell ref="H44:M44"/>
    <mergeCell ref="O44:O45"/>
    <mergeCell ref="P44:P45"/>
    <mergeCell ref="A45:F45"/>
    <mergeCell ref="O46:O47"/>
    <mergeCell ref="P46:P47"/>
    <mergeCell ref="A47:F47"/>
    <mergeCell ref="H47:M47"/>
    <mergeCell ref="A48:F48"/>
    <mergeCell ref="H48:M48"/>
    <mergeCell ref="O48:P48"/>
    <mergeCell ref="G45:G49"/>
    <mergeCell ref="H45:M45"/>
    <mergeCell ref="N45:N49"/>
    <mergeCell ref="A46:F46"/>
    <mergeCell ref="H46:I46"/>
    <mergeCell ref="J46:M46"/>
    <mergeCell ref="A49:F49"/>
    <mergeCell ref="H49:J49"/>
    <mergeCell ref="L49:M49"/>
    <mergeCell ref="O49:P49"/>
    <mergeCell ref="A50:F51"/>
    <mergeCell ref="G50:G55"/>
    <mergeCell ref="H50:J50"/>
    <mergeCell ref="L50:M50"/>
    <mergeCell ref="N50:N55"/>
    <mergeCell ref="O50:P50"/>
    <mergeCell ref="H51:J51"/>
    <mergeCell ref="L51:M51"/>
    <mergeCell ref="O51:P51"/>
    <mergeCell ref="O55:P55"/>
    <mergeCell ref="A52:F52"/>
    <mergeCell ref="H52:K53"/>
    <mergeCell ref="L52:M53"/>
    <mergeCell ref="O52:P52"/>
    <mergeCell ref="A53:F53"/>
    <mergeCell ref="O53:P54"/>
    <mergeCell ref="A54:F54"/>
    <mergeCell ref="H54:K55"/>
    <mergeCell ref="L54:M55"/>
    <mergeCell ref="A55:F55"/>
  </mergeCells>
  <dataValidations count="4">
    <dataValidation type="list" allowBlank="1" showInputMessage="1" showErrorMessage="1" sqref="A21:B23 A19:B19" xr:uid="{CB7D95EA-F67B-45C3-85EF-C75DC38BA142}">
      <formula1>ListePersonnel</formula1>
    </dataValidation>
    <dataValidation type="list" allowBlank="1" showInputMessage="1" showErrorMessage="1" sqref="A31:B33 C65:C67 C49" xr:uid="{F4203B03-F545-4B52-A7B0-32434B2A24AD}">
      <formula1>ListeLocations</formula1>
    </dataValidation>
    <dataValidation type="list" allowBlank="1" showInputMessage="1" showErrorMessage="1" sqref="C53:C56 C69:C72 A35:B38" xr:uid="{5A7313CB-6D7C-47FC-946F-639D1178EB42}">
      <formula1>ListeFournitures</formula1>
    </dataValidation>
    <dataValidation type="list" allowBlank="1" showInputMessage="1" showErrorMessage="1" sqref="C58:C63 C43:C47 C74:C75 A25:B29 B40:B42" xr:uid="{F86A512C-B249-4853-8149-EC00EB0EB24D}">
      <formula1>ListeMachine</formula1>
    </dataValidation>
  </dataValidations>
  <printOptions horizontalCentered="1" verticalCentered="1"/>
  <pageMargins left="0.23622047244094491" right="0.23622047244094491" top="0.19685039370078741" bottom="0.15748031496062992" header="0" footer="0"/>
  <pageSetup paperSize="9" scale="5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52A6-B2B2-42C9-83AF-E56225B9BD7D}">
  <sheetPr codeName="Feuil84">
    <pageSetUpPr fitToPage="1"/>
  </sheetPr>
  <dimension ref="A1:P57"/>
  <sheetViews>
    <sheetView zoomScale="70" zoomScaleNormal="70" zoomScaleSheetLayoutView="85" workbookViewId="0">
      <selection activeCell="M36" sqref="M36:N36"/>
    </sheetView>
  </sheetViews>
  <sheetFormatPr baseColWidth="10" defaultColWidth="11.42578125" defaultRowHeight="18" x14ac:dyDescent="0.2"/>
  <cols>
    <col min="1" max="1" width="34.28515625" style="239" customWidth="1"/>
    <col min="2" max="2" width="24.5703125" style="239" hidden="1" customWidth="1"/>
    <col min="3" max="3" width="12.85546875" style="239" customWidth="1"/>
    <col min="4" max="4" width="15.140625" style="239" customWidth="1"/>
    <col min="5" max="5" width="12.7109375" style="239" customWidth="1"/>
    <col min="6" max="6" width="7.28515625" style="239" customWidth="1"/>
    <col min="7" max="7" width="12.42578125" style="239" customWidth="1"/>
    <col min="8" max="8" width="11.85546875" style="239" customWidth="1"/>
    <col min="9" max="9" width="11.42578125" style="239"/>
    <col min="10" max="10" width="15.28515625" style="239" customWidth="1"/>
    <col min="11" max="11" width="11.42578125" style="239"/>
    <col min="12" max="12" width="16" style="239" customWidth="1"/>
    <col min="13" max="14" width="11.42578125" style="239"/>
    <col min="15" max="15" width="16.28515625" style="239" customWidth="1"/>
    <col min="16" max="16" width="25.85546875" style="239" customWidth="1"/>
    <col min="17" max="16384" width="11.42578125" style="239"/>
  </cols>
  <sheetData>
    <row r="1" spans="1:16" x14ac:dyDescent="0.2">
      <c r="A1" s="238"/>
      <c r="B1" s="238"/>
      <c r="M1" s="238" t="s">
        <v>10</v>
      </c>
    </row>
    <row r="2" spans="1:16" ht="5.45" customHeight="1" x14ac:dyDescent="0.2">
      <c r="A2" s="240"/>
      <c r="B2" s="240"/>
      <c r="C2" s="241"/>
      <c r="D2" s="241"/>
      <c r="E2" s="241"/>
      <c r="F2" s="241"/>
      <c r="G2" s="241"/>
      <c r="H2" s="241"/>
      <c r="I2" s="241"/>
      <c r="J2" s="241"/>
      <c r="K2" s="241"/>
      <c r="L2" s="241"/>
      <c r="M2" s="241"/>
      <c r="N2" s="241"/>
      <c r="O2" s="241"/>
      <c r="P2" s="241"/>
    </row>
    <row r="3" spans="1:16" ht="18.75" x14ac:dyDescent="0.2">
      <c r="A3" s="419" t="s">
        <v>11</v>
      </c>
      <c r="B3" s="419"/>
      <c r="C3" s="419"/>
      <c r="D3" s="419"/>
      <c r="E3" s="419"/>
      <c r="F3" s="419"/>
      <c r="G3" s="419"/>
      <c r="H3" s="419"/>
      <c r="I3" s="419"/>
      <c r="J3" s="419"/>
      <c r="K3" s="419"/>
      <c r="L3" s="419"/>
      <c r="M3" s="419"/>
      <c r="N3" s="419"/>
      <c r="O3" s="419"/>
      <c r="P3" s="419"/>
    </row>
    <row r="4" spans="1:16" ht="7.9" customHeight="1" thickBot="1" x14ac:dyDescent="0.25">
      <c r="C4" s="241"/>
      <c r="D4" s="241"/>
      <c r="E4" s="241"/>
      <c r="F4" s="241"/>
      <c r="G4" s="241"/>
      <c r="H4" s="241"/>
      <c r="I4" s="241"/>
      <c r="J4" s="241"/>
      <c r="K4" s="241"/>
      <c r="L4" s="241"/>
      <c r="M4" s="241"/>
      <c r="N4" s="241"/>
      <c r="O4" s="241"/>
      <c r="P4" s="241"/>
    </row>
    <row r="5" spans="1:16" ht="25.9" customHeight="1" x14ac:dyDescent="0.2">
      <c r="A5" s="282" t="s">
        <v>12</v>
      </c>
      <c r="B5" s="242"/>
      <c r="C5" s="428" t="s">
        <v>13</v>
      </c>
      <c r="D5" s="428"/>
      <c r="E5" s="428"/>
      <c r="F5" s="242"/>
      <c r="G5" s="242"/>
      <c r="H5" s="242"/>
      <c r="I5" s="242"/>
      <c r="J5" s="242"/>
      <c r="K5" s="242"/>
      <c r="L5" s="242"/>
      <c r="M5" s="242"/>
      <c r="N5" s="242"/>
      <c r="O5" s="242"/>
      <c r="P5" s="243"/>
    </row>
    <row r="6" spans="1:16" ht="18" customHeight="1" x14ac:dyDescent="0.2">
      <c r="A6" s="263" t="s">
        <v>14</v>
      </c>
      <c r="B6" s="245"/>
      <c r="C6" s="420">
        <f>'DE récap'!D1</f>
        <v>0</v>
      </c>
      <c r="D6" s="420"/>
      <c r="E6" s="420"/>
      <c r="F6" s="420"/>
      <c r="G6" s="420"/>
      <c r="I6" s="286" t="s">
        <v>15</v>
      </c>
      <c r="J6" s="415" t="e">
        <f ca="1">C10</f>
        <v>#N/A</v>
      </c>
      <c r="K6" s="415"/>
      <c r="L6" s="415"/>
      <c r="M6" s="415"/>
      <c r="O6" s="286" t="s">
        <v>16</v>
      </c>
      <c r="P6" s="266">
        <f>'DE récap'!F1</f>
        <v>0</v>
      </c>
    </row>
    <row r="7" spans="1:16" ht="18.75" x14ac:dyDescent="0.2">
      <c r="A7" s="244"/>
      <c r="B7" s="245"/>
      <c r="C7" s="420"/>
      <c r="D7" s="420"/>
      <c r="E7" s="420"/>
      <c r="F7" s="420"/>
      <c r="G7" s="420"/>
      <c r="H7" s="245"/>
      <c r="I7" s="245"/>
      <c r="J7" s="415"/>
      <c r="K7" s="415"/>
      <c r="L7" s="415"/>
      <c r="M7" s="415"/>
      <c r="N7" s="245"/>
      <c r="O7" s="245"/>
      <c r="P7" s="246"/>
    </row>
    <row r="8" spans="1:16" ht="22.5" customHeight="1" x14ac:dyDescent="0.2">
      <c r="A8" s="264"/>
      <c r="C8" s="420"/>
      <c r="D8" s="420"/>
      <c r="E8" s="420"/>
      <c r="F8" s="420"/>
      <c r="G8" s="420"/>
      <c r="H8" s="245"/>
      <c r="I8" s="245"/>
      <c r="J8" s="415"/>
      <c r="K8" s="415"/>
      <c r="L8" s="415"/>
      <c r="M8" s="415"/>
      <c r="N8" s="245"/>
      <c r="O8" s="245"/>
      <c r="P8" s="246"/>
    </row>
    <row r="9" spans="1:16" ht="21.75" x14ac:dyDescent="0.2">
      <c r="A9" s="263" t="s">
        <v>17</v>
      </c>
      <c r="B9" s="245"/>
      <c r="C9" s="376" t="str">
        <f ca="1">MID(CELL("nomfichier",C9),FIND("]",CELL("nomfichier",C9))+1,LEN(CELL("nomfichier",C9))-FIND("]",CELL("nomfichier",C9)))</f>
        <v>modele (3)</v>
      </c>
      <c r="D9" s="376"/>
      <c r="E9" s="376"/>
      <c r="F9" s="376"/>
      <c r="G9" s="245"/>
      <c r="H9" s="245"/>
      <c r="I9" s="245"/>
      <c r="J9" s="245"/>
      <c r="K9" s="245"/>
      <c r="L9" s="245"/>
      <c r="M9" s="245"/>
      <c r="N9" s="245"/>
      <c r="O9" s="245"/>
      <c r="P9" s="246"/>
    </row>
    <row r="10" spans="1:16" ht="18.75" x14ac:dyDescent="0.2">
      <c r="A10" s="263" t="s">
        <v>18</v>
      </c>
      <c r="B10" s="245"/>
      <c r="C10" s="415" t="e">
        <f ca="1">IF($C$9&lt;&gt;"",VLOOKUP($C$9,'DE récap'!$C$4:$F$151,2,FALSE),"")</f>
        <v>#N/A</v>
      </c>
      <c r="D10" s="415"/>
      <c r="E10" s="415"/>
      <c r="F10" s="415"/>
      <c r="G10" s="415"/>
      <c r="H10" s="415"/>
      <c r="I10" s="415"/>
      <c r="J10" s="415"/>
      <c r="K10" s="415"/>
      <c r="L10" s="415"/>
      <c r="M10" s="245"/>
      <c r="N10" s="245"/>
      <c r="O10" s="286" t="s">
        <v>19</v>
      </c>
      <c r="P10" s="284" t="e">
        <f ca="1">IF($C$9&lt;&gt;"",VLOOKUP($C$9,'DE récap'!$C$4:$F$25,4,FALSE),"")</f>
        <v>#N/A</v>
      </c>
    </row>
    <row r="11" spans="1:16" ht="19.5" thickBot="1" x14ac:dyDescent="0.25">
      <c r="A11" s="247"/>
      <c r="B11" s="248"/>
      <c r="C11" s="416"/>
      <c r="D11" s="416"/>
      <c r="E11" s="416"/>
      <c r="F11" s="416"/>
      <c r="G11" s="416"/>
      <c r="H11" s="416"/>
      <c r="I11" s="416"/>
      <c r="J11" s="416"/>
      <c r="K11" s="416"/>
      <c r="L11" s="416"/>
      <c r="M11" s="248"/>
      <c r="N11" s="248"/>
      <c r="O11" s="287" t="s">
        <v>20</v>
      </c>
      <c r="P11" s="285" t="e">
        <f ca="1">IF($C$9&lt;&gt;"",VLOOKUP($C$9,'DE récap'!$C$4:$F$25,3,FALSE),"")</f>
        <v>#N/A</v>
      </c>
    </row>
    <row r="12" spans="1:16" ht="19.5" thickBot="1" x14ac:dyDescent="0.25">
      <c r="A12" s="421" t="s">
        <v>21</v>
      </c>
      <c r="B12" s="422"/>
      <c r="C12" s="422"/>
      <c r="D12" s="423"/>
      <c r="E12" s="421" t="s">
        <v>22</v>
      </c>
      <c r="F12" s="422"/>
      <c r="G12" s="422"/>
      <c r="H12" s="422"/>
      <c r="I12" s="422"/>
      <c r="J12" s="422"/>
      <c r="K12" s="422"/>
      <c r="L12" s="422"/>
      <c r="M12" s="422"/>
      <c r="N12" s="422"/>
      <c r="O12" s="422"/>
      <c r="P12" s="423"/>
    </row>
    <row r="13" spans="1:16" ht="18.75" x14ac:dyDescent="0.2">
      <c r="A13" s="409"/>
      <c r="B13" s="250"/>
      <c r="C13" s="409"/>
      <c r="D13" s="409" t="s">
        <v>23</v>
      </c>
      <c r="E13" s="411" t="s">
        <v>24</v>
      </c>
      <c r="F13" s="412"/>
      <c r="G13" s="412"/>
      <c r="H13" s="413"/>
      <c r="I13" s="411" t="s">
        <v>25</v>
      </c>
      <c r="J13" s="413"/>
      <c r="K13" s="411" t="s">
        <v>7</v>
      </c>
      <c r="L13" s="413"/>
      <c r="M13" s="424" t="s">
        <v>26</v>
      </c>
      <c r="N13" s="425"/>
      <c r="O13" s="411" t="s">
        <v>27</v>
      </c>
      <c r="P13" s="413"/>
    </row>
    <row r="14" spans="1:16" ht="19.5" thickBot="1" x14ac:dyDescent="0.25">
      <c r="A14" s="410"/>
      <c r="B14" s="251"/>
      <c r="C14" s="410"/>
      <c r="D14" s="410"/>
      <c r="E14" s="417" t="s">
        <v>28</v>
      </c>
      <c r="F14" s="426"/>
      <c r="G14" s="426"/>
      <c r="H14" s="418"/>
      <c r="I14" s="417"/>
      <c r="J14" s="418"/>
      <c r="K14" s="417"/>
      <c r="L14" s="418"/>
      <c r="M14" s="414" t="s">
        <v>29</v>
      </c>
      <c r="N14" s="389"/>
      <c r="O14" s="417"/>
      <c r="P14" s="418"/>
    </row>
    <row r="15" spans="1:16" ht="37.5" x14ac:dyDescent="0.2">
      <c r="A15" s="410" t="s">
        <v>30</v>
      </c>
      <c r="B15" s="251"/>
      <c r="C15" s="410" t="s">
        <v>31</v>
      </c>
      <c r="D15" s="256" t="s">
        <v>32</v>
      </c>
      <c r="E15" s="257" t="s">
        <v>33</v>
      </c>
      <c r="F15" s="411" t="s">
        <v>34</v>
      </c>
      <c r="G15" s="412"/>
      <c r="H15" s="413"/>
      <c r="I15" s="255" t="s">
        <v>33</v>
      </c>
      <c r="J15" s="255" t="s">
        <v>34</v>
      </c>
      <c r="K15" s="255" t="s">
        <v>33</v>
      </c>
      <c r="L15" s="255" t="s">
        <v>34</v>
      </c>
      <c r="M15" s="414"/>
      <c r="N15" s="389"/>
      <c r="O15" s="255" t="s">
        <v>33</v>
      </c>
      <c r="P15" s="258" t="s">
        <v>35</v>
      </c>
    </row>
    <row r="16" spans="1:16" ht="18.75" x14ac:dyDescent="0.2">
      <c r="A16" s="410"/>
      <c r="B16" s="251"/>
      <c r="C16" s="410"/>
      <c r="D16" s="256"/>
      <c r="E16" s="257" t="s">
        <v>36</v>
      </c>
      <c r="F16" s="414" t="s">
        <v>37</v>
      </c>
      <c r="G16" s="388"/>
      <c r="H16" s="389"/>
      <c r="I16" s="255" t="s">
        <v>36</v>
      </c>
      <c r="J16" s="255" t="s">
        <v>38</v>
      </c>
      <c r="K16" s="255" t="s">
        <v>36</v>
      </c>
      <c r="L16" s="255" t="s">
        <v>39</v>
      </c>
      <c r="M16" s="414"/>
      <c r="N16" s="389"/>
      <c r="O16" s="255" t="s">
        <v>36</v>
      </c>
      <c r="P16" s="251"/>
    </row>
    <row r="17" spans="1:16" ht="18.75" x14ac:dyDescent="0.2">
      <c r="A17" s="410"/>
      <c r="B17" s="251"/>
      <c r="C17" s="410"/>
      <c r="D17" s="256"/>
      <c r="E17" s="257"/>
      <c r="F17" s="414"/>
      <c r="G17" s="388"/>
      <c r="H17" s="389"/>
      <c r="I17" s="255"/>
      <c r="J17" s="255"/>
      <c r="K17" s="255"/>
      <c r="L17" s="255"/>
      <c r="M17" s="414"/>
      <c r="N17" s="389"/>
      <c r="O17" s="255"/>
      <c r="P17" s="251"/>
    </row>
    <row r="18" spans="1:16" ht="19.5" thickBot="1" x14ac:dyDescent="0.25">
      <c r="A18" s="427"/>
      <c r="B18" s="259"/>
      <c r="C18" s="427"/>
      <c r="D18" s="254">
        <v>1</v>
      </c>
      <c r="E18" s="253">
        <v>2</v>
      </c>
      <c r="F18" s="417">
        <v>3</v>
      </c>
      <c r="G18" s="426"/>
      <c r="H18" s="418"/>
      <c r="I18" s="252">
        <v>4</v>
      </c>
      <c r="J18" s="252">
        <v>5</v>
      </c>
      <c r="K18" s="252">
        <v>6</v>
      </c>
      <c r="L18" s="252">
        <v>7</v>
      </c>
      <c r="M18" s="417">
        <v>8</v>
      </c>
      <c r="N18" s="418"/>
      <c r="O18" s="252">
        <v>9</v>
      </c>
      <c r="P18" s="259">
        <v>10</v>
      </c>
    </row>
    <row r="19" spans="1:16" s="261" customFormat="1" ht="17.45" customHeight="1" x14ac:dyDescent="0.2">
      <c r="A19" s="330"/>
      <c r="B19" s="330"/>
      <c r="C19" s="331">
        <v>0</v>
      </c>
      <c r="D19" s="268" t="e">
        <f ca="1">IF($C$9&lt;&gt;"",VLOOKUP($C$9,'DE récap'!$C$4:$F$25,4,FALSE),"")</f>
        <v>#N/A</v>
      </c>
      <c r="E19" s="260"/>
      <c r="F19" s="406"/>
      <c r="G19" s="407"/>
      <c r="H19" s="408"/>
      <c r="I19" s="260"/>
      <c r="J19" s="260"/>
      <c r="K19" s="260"/>
      <c r="L19" s="260"/>
      <c r="M19" s="244"/>
      <c r="N19" s="246"/>
      <c r="O19" s="268"/>
      <c r="P19" s="267"/>
    </row>
    <row r="20" spans="1:16" ht="17.45" customHeight="1" x14ac:dyDescent="0.2">
      <c r="A20" s="278" t="s">
        <v>4</v>
      </c>
      <c r="B20" s="278"/>
      <c r="C20" s="272"/>
      <c r="D20" s="273"/>
      <c r="E20" s="274"/>
      <c r="F20" s="397"/>
      <c r="G20" s="402"/>
      <c r="H20" s="398"/>
      <c r="I20" s="274"/>
      <c r="J20" s="275"/>
      <c r="K20" s="274"/>
      <c r="L20" s="275"/>
      <c r="M20" s="276"/>
      <c r="N20" s="277"/>
      <c r="O20" s="273"/>
      <c r="P20" s="275"/>
    </row>
    <row r="21" spans="1:16" ht="17.45" customHeight="1" x14ac:dyDescent="0.2">
      <c r="A21" s="330"/>
      <c r="B21" s="330"/>
      <c r="C21" s="332" t="str">
        <f>IF(A21&lt;&gt;"",VLOOKUP(A21,Personnel!$B$17:$D$121,2,FALSE),"")</f>
        <v/>
      </c>
      <c r="D21" s="268"/>
      <c r="E21" s="279"/>
      <c r="F21" s="399">
        <f t="shared" ref="F21:F42" si="0">IF(E21="",0,E21*D21)</f>
        <v>0</v>
      </c>
      <c r="G21" s="403"/>
      <c r="H21" s="400"/>
      <c r="I21" s="279">
        <f>IF(A21&lt;&gt;"",VLOOKUP(A21,Personnel!$B$15:$L$107,3,FALSE),0)</f>
        <v>0</v>
      </c>
      <c r="J21" s="268">
        <f t="shared" ref="J21:J42" si="1">IF(I21="",0,I21*D21)</f>
        <v>0</v>
      </c>
      <c r="K21" s="260"/>
      <c r="L21" s="268">
        <f t="shared" ref="L21:L42" si="2">IF(K21="",0,K21*D21)</f>
        <v>0</v>
      </c>
      <c r="M21" s="399">
        <f>F21+J21+L21</f>
        <v>0</v>
      </c>
      <c r="N21" s="400"/>
      <c r="O21" s="268"/>
      <c r="P21" s="268">
        <f>IF(O21="",0,O21*D21)</f>
        <v>0</v>
      </c>
    </row>
    <row r="22" spans="1:16" s="261" customFormat="1" ht="17.45" customHeight="1" x14ac:dyDescent="0.2">
      <c r="A22" s="330"/>
      <c r="B22" s="330"/>
      <c r="C22" s="332" t="str">
        <f>IF(A22&lt;&gt;"",VLOOKUP(A22,Personnel!$B$17:$D$121,2,FALSE),"")</f>
        <v/>
      </c>
      <c r="D22" s="268"/>
      <c r="E22" s="279"/>
      <c r="F22" s="399">
        <f t="shared" si="0"/>
        <v>0</v>
      </c>
      <c r="G22" s="403"/>
      <c r="H22" s="400"/>
      <c r="I22" s="279" t="str">
        <f>IF(A22&lt;&gt;"",VLOOKUP(A22,Personnel!$B$15:$L$107,3,FALSE),"")</f>
        <v/>
      </c>
      <c r="J22" s="268">
        <f t="shared" si="1"/>
        <v>0</v>
      </c>
      <c r="K22" s="260"/>
      <c r="L22" s="268">
        <f t="shared" si="2"/>
        <v>0</v>
      </c>
      <c r="M22" s="399">
        <f t="shared" ref="M22:M42" si="3">IF(ISERR(F22+J22+L22),"",F22+J22+L22)</f>
        <v>0</v>
      </c>
      <c r="N22" s="400"/>
      <c r="O22" s="268"/>
      <c r="P22" s="268">
        <f t="shared" ref="P22:P42" si="4">IF(O22="",0,O22*D22)</f>
        <v>0</v>
      </c>
    </row>
    <row r="23" spans="1:16" ht="17.45" customHeight="1" x14ac:dyDescent="0.2">
      <c r="A23" s="333"/>
      <c r="B23" s="333"/>
      <c r="C23" s="334" t="str">
        <f>IF(A23&lt;&gt;"",VLOOKUP(A23,Personnel!$B$17:$D$121,2,FALSE),"")</f>
        <v/>
      </c>
      <c r="D23" s="270"/>
      <c r="E23" s="280"/>
      <c r="F23" s="395">
        <f t="shared" si="0"/>
        <v>0</v>
      </c>
      <c r="G23" s="401"/>
      <c r="H23" s="396"/>
      <c r="I23" s="280" t="str">
        <f>IF(A23&lt;&gt;"",VLOOKUP(A23,Personnel!$B$15:$L$107,3,FALSE),"")</f>
        <v/>
      </c>
      <c r="J23" s="270">
        <f t="shared" si="1"/>
        <v>0</v>
      </c>
      <c r="K23" s="271"/>
      <c r="L23" s="270">
        <f t="shared" si="2"/>
        <v>0</v>
      </c>
      <c r="M23" s="395">
        <f t="shared" si="3"/>
        <v>0</v>
      </c>
      <c r="N23" s="396"/>
      <c r="O23" s="270"/>
      <c r="P23" s="270">
        <f t="shared" si="4"/>
        <v>0</v>
      </c>
    </row>
    <row r="24" spans="1:16" ht="17.45" customHeight="1" x14ac:dyDescent="0.2">
      <c r="A24" s="278" t="s">
        <v>5</v>
      </c>
      <c r="B24" s="278"/>
      <c r="C24" s="335"/>
      <c r="D24" s="273"/>
      <c r="E24" s="281"/>
      <c r="F24" s="397">
        <f t="shared" si="0"/>
        <v>0</v>
      </c>
      <c r="G24" s="402"/>
      <c r="H24" s="398"/>
      <c r="I24" s="281"/>
      <c r="J24" s="273">
        <f t="shared" si="1"/>
        <v>0</v>
      </c>
      <c r="K24" s="274"/>
      <c r="L24" s="273">
        <f t="shared" si="2"/>
        <v>0</v>
      </c>
      <c r="M24" s="397">
        <f t="shared" si="3"/>
        <v>0</v>
      </c>
      <c r="N24" s="398"/>
      <c r="O24" s="273"/>
      <c r="P24" s="273">
        <f t="shared" si="4"/>
        <v>0</v>
      </c>
    </row>
    <row r="25" spans="1:16" ht="17.45" customHeight="1" x14ac:dyDescent="0.2">
      <c r="A25" s="330"/>
      <c r="B25" s="330"/>
      <c r="C25" s="332" t="str">
        <f>IF(A25&lt;&gt;"",VLOOKUP(A25,Materiel!$B$15:$J$124,9,FALSE),"")</f>
        <v/>
      </c>
      <c r="D25" s="268"/>
      <c r="E25" s="279" t="str">
        <f>IF(A25&lt;&gt;"",VLOOKUP(A25,Materiel!$B$14:$M$410,8,FALSE),"")</f>
        <v/>
      </c>
      <c r="F25" s="399">
        <f t="shared" si="0"/>
        <v>0</v>
      </c>
      <c r="G25" s="403"/>
      <c r="H25" s="400"/>
      <c r="I25" s="279" t="str">
        <f>IF(A25&lt;&gt;"",VLOOKUP(A25,Materiel!$B$15:$L$110,10,FALSE),"")</f>
        <v/>
      </c>
      <c r="J25" s="268">
        <f t="shared" si="1"/>
        <v>0</v>
      </c>
      <c r="K25" s="260"/>
      <c r="L25" s="268">
        <f t="shared" si="2"/>
        <v>0</v>
      </c>
      <c r="M25" s="399">
        <f t="shared" si="3"/>
        <v>0</v>
      </c>
      <c r="N25" s="400"/>
      <c r="O25" s="268"/>
      <c r="P25" s="268">
        <f t="shared" si="4"/>
        <v>0</v>
      </c>
    </row>
    <row r="26" spans="1:16" ht="17.45" customHeight="1" x14ac:dyDescent="0.2">
      <c r="A26" s="330"/>
      <c r="B26" s="330"/>
      <c r="C26" s="332" t="str">
        <f>IF(A26&lt;&gt;"",VLOOKUP(A26,Materiel!$B$15:$J$124,9,FALSE),"")</f>
        <v/>
      </c>
      <c r="D26" s="268"/>
      <c r="E26" s="279" t="str">
        <f>IF(A26&lt;&gt;"",VLOOKUP(A26,Materiel!$B$14:$M$410,8,FALSE),"")</f>
        <v/>
      </c>
      <c r="F26" s="399">
        <f t="shared" si="0"/>
        <v>0</v>
      </c>
      <c r="G26" s="403"/>
      <c r="H26" s="400"/>
      <c r="I26" s="279" t="str">
        <f>IF(A26&lt;&gt;"",VLOOKUP(A26,Materiel!$B$15:$L$110,10,FALSE),"")</f>
        <v/>
      </c>
      <c r="J26" s="268">
        <f t="shared" si="1"/>
        <v>0</v>
      </c>
      <c r="K26" s="260"/>
      <c r="L26" s="268">
        <f t="shared" si="2"/>
        <v>0</v>
      </c>
      <c r="M26" s="399">
        <f t="shared" si="3"/>
        <v>0</v>
      </c>
      <c r="N26" s="400"/>
      <c r="O26" s="268"/>
      <c r="P26" s="268">
        <f t="shared" si="4"/>
        <v>0</v>
      </c>
    </row>
    <row r="27" spans="1:16" ht="18" customHeight="1" x14ac:dyDescent="0.2">
      <c r="A27" s="330"/>
      <c r="B27" s="330"/>
      <c r="C27" s="332" t="str">
        <f>IF(A27&lt;&gt;"",VLOOKUP(A27,Materiel!$B$15:$J$124,9,FALSE),"")</f>
        <v/>
      </c>
      <c r="D27" s="268"/>
      <c r="E27" s="279" t="str">
        <f>IF(A27&lt;&gt;"",VLOOKUP(A27,Materiel!$B$14:$M$410,8,FALSE),"")</f>
        <v/>
      </c>
      <c r="F27" s="399">
        <f t="shared" si="0"/>
        <v>0</v>
      </c>
      <c r="G27" s="403"/>
      <c r="H27" s="400"/>
      <c r="I27" s="279" t="str">
        <f>IF(A27&lt;&gt;"",VLOOKUP(A27,Materiel!$B$15:$L$110,10,FALSE),"")</f>
        <v/>
      </c>
      <c r="J27" s="268">
        <f t="shared" si="1"/>
        <v>0</v>
      </c>
      <c r="K27" s="260"/>
      <c r="L27" s="268">
        <f t="shared" si="2"/>
        <v>0</v>
      </c>
      <c r="M27" s="399">
        <f t="shared" si="3"/>
        <v>0</v>
      </c>
      <c r="N27" s="400"/>
      <c r="O27" s="268"/>
      <c r="P27" s="268">
        <f t="shared" si="4"/>
        <v>0</v>
      </c>
    </row>
    <row r="28" spans="1:16" ht="17.45" customHeight="1" x14ac:dyDescent="0.2">
      <c r="A28" s="330"/>
      <c r="B28" s="330"/>
      <c r="C28" s="332" t="str">
        <f>IF(A28&lt;&gt;"",VLOOKUP(A28,Materiel!$B$15:$J$124,9,FALSE),"")</f>
        <v/>
      </c>
      <c r="D28" s="268"/>
      <c r="E28" s="279" t="str">
        <f>IF(A28&lt;&gt;"",VLOOKUP(A28,Materiel!$B$14:$M$410,8,FALSE),"")</f>
        <v/>
      </c>
      <c r="F28" s="399">
        <f t="shared" si="0"/>
        <v>0</v>
      </c>
      <c r="G28" s="403"/>
      <c r="H28" s="400"/>
      <c r="I28" s="279" t="str">
        <f>IF(A28&lt;&gt;"",VLOOKUP(A28,Materiel!$B$15:$L$110,10,FALSE),"")</f>
        <v/>
      </c>
      <c r="J28" s="268">
        <f t="shared" si="1"/>
        <v>0</v>
      </c>
      <c r="K28" s="260"/>
      <c r="L28" s="268">
        <f t="shared" si="2"/>
        <v>0</v>
      </c>
      <c r="M28" s="399">
        <f t="shared" si="3"/>
        <v>0</v>
      </c>
      <c r="N28" s="400"/>
      <c r="O28" s="268"/>
      <c r="P28" s="268">
        <f t="shared" si="4"/>
        <v>0</v>
      </c>
    </row>
    <row r="29" spans="1:16" ht="17.45" customHeight="1" x14ac:dyDescent="0.2">
      <c r="A29" s="333"/>
      <c r="B29" s="333"/>
      <c r="C29" s="334" t="str">
        <f>IF(A29&lt;&gt;"",VLOOKUP(A29,Materiel!$B$15:$J$124,9,FALSE),"")</f>
        <v/>
      </c>
      <c r="D29" s="270"/>
      <c r="E29" s="280" t="str">
        <f>IF(A29&lt;&gt;"",VLOOKUP(A29,Materiel!$B$14:$M$410,8,FALSE),"")</f>
        <v/>
      </c>
      <c r="F29" s="395">
        <f t="shared" si="0"/>
        <v>0</v>
      </c>
      <c r="G29" s="401"/>
      <c r="H29" s="396"/>
      <c r="I29" s="280" t="str">
        <f>IF(A29&lt;&gt;"",VLOOKUP(A29,Materiel!$B$15:$L$110,10,FALSE),"")</f>
        <v/>
      </c>
      <c r="J29" s="270">
        <f t="shared" si="1"/>
        <v>0</v>
      </c>
      <c r="K29" s="271"/>
      <c r="L29" s="270">
        <f t="shared" si="2"/>
        <v>0</v>
      </c>
      <c r="M29" s="395">
        <f t="shared" si="3"/>
        <v>0</v>
      </c>
      <c r="N29" s="396"/>
      <c r="O29" s="270"/>
      <c r="P29" s="270">
        <f t="shared" si="4"/>
        <v>0</v>
      </c>
    </row>
    <row r="30" spans="1:16" s="261" customFormat="1" ht="17.45" customHeight="1" x14ac:dyDescent="0.2">
      <c r="A30" s="278" t="s">
        <v>6</v>
      </c>
      <c r="B30" s="278"/>
      <c r="C30" s="335"/>
      <c r="D30" s="273"/>
      <c r="E30" s="281"/>
      <c r="F30" s="397">
        <f t="shared" si="0"/>
        <v>0</v>
      </c>
      <c r="G30" s="402"/>
      <c r="H30" s="398"/>
      <c r="I30" s="281"/>
      <c r="J30" s="273">
        <f t="shared" si="1"/>
        <v>0</v>
      </c>
      <c r="K30" s="274"/>
      <c r="L30" s="273">
        <f t="shared" si="2"/>
        <v>0</v>
      </c>
      <c r="M30" s="397">
        <f t="shared" si="3"/>
        <v>0</v>
      </c>
      <c r="N30" s="398"/>
      <c r="O30" s="273"/>
      <c r="P30" s="273">
        <f t="shared" si="4"/>
        <v>0</v>
      </c>
    </row>
    <row r="31" spans="1:16" ht="17.45" customHeight="1" x14ac:dyDescent="0.2">
      <c r="A31" s="330"/>
      <c r="B31" s="330"/>
      <c r="C31" s="332" t="str">
        <f>IF(A31&lt;&gt;"",VLOOKUP(A31,Loc!$B$17:$J$114,2,FALSE),"")</f>
        <v/>
      </c>
      <c r="D31" s="268"/>
      <c r="E31" s="279"/>
      <c r="F31" s="399">
        <f t="shared" si="0"/>
        <v>0</v>
      </c>
      <c r="G31" s="403"/>
      <c r="H31" s="400"/>
      <c r="I31" s="279"/>
      <c r="J31" s="268">
        <f t="shared" si="1"/>
        <v>0</v>
      </c>
      <c r="K31" s="279" t="str">
        <f>IF(A31&lt;&gt;"",VLOOKUP(A31,Loc!$B$15:$D$50,3,FALSE),"")</f>
        <v/>
      </c>
      <c r="L31" s="268">
        <f t="shared" si="2"/>
        <v>0</v>
      </c>
      <c r="M31" s="399">
        <f t="shared" si="3"/>
        <v>0</v>
      </c>
      <c r="N31" s="400"/>
      <c r="O31" s="268"/>
      <c r="P31" s="268">
        <f t="shared" si="4"/>
        <v>0</v>
      </c>
    </row>
    <row r="32" spans="1:16" ht="17.45" customHeight="1" x14ac:dyDescent="0.2">
      <c r="A32" s="330"/>
      <c r="B32" s="330"/>
      <c r="C32" s="332" t="str">
        <f>IF(A32&lt;&gt;"",VLOOKUP(A32,Loc!$B$17:$J$114,2,FALSE),"")</f>
        <v/>
      </c>
      <c r="D32" s="268"/>
      <c r="E32" s="279"/>
      <c r="F32" s="399">
        <f t="shared" si="0"/>
        <v>0</v>
      </c>
      <c r="G32" s="403"/>
      <c r="H32" s="400"/>
      <c r="I32" s="279"/>
      <c r="J32" s="268">
        <f t="shared" si="1"/>
        <v>0</v>
      </c>
      <c r="K32" s="260" t="str">
        <f>IF(A32&lt;&gt;"",VLOOKUP(A32,Loc!$B$15:$D$50,3,FALSE),"")</f>
        <v/>
      </c>
      <c r="L32" s="268">
        <f t="shared" si="2"/>
        <v>0</v>
      </c>
      <c r="M32" s="399">
        <f t="shared" si="3"/>
        <v>0</v>
      </c>
      <c r="N32" s="400"/>
      <c r="O32" s="268"/>
      <c r="P32" s="268">
        <f t="shared" si="4"/>
        <v>0</v>
      </c>
    </row>
    <row r="33" spans="1:16" ht="17.45" customHeight="1" x14ac:dyDescent="0.2">
      <c r="A33" s="333"/>
      <c r="B33" s="333"/>
      <c r="C33" s="334" t="str">
        <f>IF(A33&lt;&gt;"",VLOOKUP(A33,Loc!$B$17:$J$114,2,FALSE),"")</f>
        <v/>
      </c>
      <c r="D33" s="270"/>
      <c r="E33" s="280"/>
      <c r="F33" s="395">
        <f t="shared" si="0"/>
        <v>0</v>
      </c>
      <c r="G33" s="401"/>
      <c r="H33" s="396"/>
      <c r="I33" s="280"/>
      <c r="J33" s="270">
        <f t="shared" si="1"/>
        <v>0</v>
      </c>
      <c r="K33" s="271" t="str">
        <f>IF(A33&lt;&gt;"",VLOOKUP(A33,Loc!$B$15:$D$50,3,FALSE),"")</f>
        <v/>
      </c>
      <c r="L33" s="270">
        <f t="shared" si="2"/>
        <v>0</v>
      </c>
      <c r="M33" s="395">
        <f t="shared" si="3"/>
        <v>0</v>
      </c>
      <c r="N33" s="396"/>
      <c r="O33" s="270"/>
      <c r="P33" s="270">
        <f t="shared" si="4"/>
        <v>0</v>
      </c>
    </row>
    <row r="34" spans="1:16" ht="17.45" customHeight="1" x14ac:dyDescent="0.2">
      <c r="A34" s="278" t="s">
        <v>7</v>
      </c>
      <c r="B34" s="278"/>
      <c r="C34" s="335"/>
      <c r="D34" s="273"/>
      <c r="E34" s="281"/>
      <c r="F34" s="397">
        <f t="shared" si="0"/>
        <v>0</v>
      </c>
      <c r="G34" s="402"/>
      <c r="H34" s="398"/>
      <c r="I34" s="281"/>
      <c r="J34" s="273">
        <f t="shared" si="1"/>
        <v>0</v>
      </c>
      <c r="K34" s="274"/>
      <c r="L34" s="273">
        <f t="shared" si="2"/>
        <v>0</v>
      </c>
      <c r="M34" s="397">
        <f t="shared" si="3"/>
        <v>0</v>
      </c>
      <c r="N34" s="398"/>
      <c r="O34" s="273"/>
      <c r="P34" s="273">
        <f t="shared" si="4"/>
        <v>0</v>
      </c>
    </row>
    <row r="35" spans="1:16" ht="17.45" customHeight="1" x14ac:dyDescent="0.2">
      <c r="A35" s="330"/>
      <c r="B35" s="330"/>
      <c r="C35" s="332" t="str">
        <f>IF(A35&lt;&gt;"",VLOOKUP(A35,Fourn!$B$17:$D$114,2,FALSE),"")</f>
        <v/>
      </c>
      <c r="D35" s="268"/>
      <c r="E35" s="279"/>
      <c r="F35" s="399">
        <f t="shared" si="0"/>
        <v>0</v>
      </c>
      <c r="G35" s="403"/>
      <c r="H35" s="400"/>
      <c r="I35" s="279"/>
      <c r="J35" s="268">
        <f t="shared" si="1"/>
        <v>0</v>
      </c>
      <c r="K35" s="279" t="str">
        <f>IF(A35&lt;&gt;"",VLOOKUP(A35,Fourn!$B$17:$D$300,3,FALSE),"")</f>
        <v/>
      </c>
      <c r="L35" s="268">
        <f t="shared" si="2"/>
        <v>0</v>
      </c>
      <c r="M35" s="399">
        <f t="shared" si="3"/>
        <v>0</v>
      </c>
      <c r="N35" s="400"/>
      <c r="O35" s="268"/>
      <c r="P35" s="268">
        <f t="shared" si="4"/>
        <v>0</v>
      </c>
    </row>
    <row r="36" spans="1:16" ht="17.45" customHeight="1" x14ac:dyDescent="0.2">
      <c r="A36" s="330"/>
      <c r="B36" s="330"/>
      <c r="C36" s="332" t="str">
        <f>IF(A36&lt;&gt;"",VLOOKUP(A36,Fourn!$B$17:$D$114,2,FALSE),"")</f>
        <v/>
      </c>
      <c r="D36" s="268"/>
      <c r="E36" s="279"/>
      <c r="F36" s="399">
        <f t="shared" si="0"/>
        <v>0</v>
      </c>
      <c r="G36" s="403"/>
      <c r="H36" s="400"/>
      <c r="I36" s="279"/>
      <c r="J36" s="268">
        <f t="shared" si="1"/>
        <v>0</v>
      </c>
      <c r="K36" s="279" t="str">
        <f>IF(A36&lt;&gt;"",VLOOKUP(A36,Fourn!$B$17:$D$300,3,FALSE),"")</f>
        <v/>
      </c>
      <c r="L36" s="268">
        <f t="shared" si="2"/>
        <v>0</v>
      </c>
      <c r="M36" s="399">
        <f t="shared" si="3"/>
        <v>0</v>
      </c>
      <c r="N36" s="400"/>
      <c r="O36" s="268"/>
      <c r="P36" s="268">
        <f t="shared" si="4"/>
        <v>0</v>
      </c>
    </row>
    <row r="37" spans="1:16" ht="17.45" customHeight="1" x14ac:dyDescent="0.2">
      <c r="A37" s="330"/>
      <c r="B37" s="330"/>
      <c r="C37" s="332" t="str">
        <f>IF(A37&lt;&gt;"",VLOOKUP(A37,Fourn!$B$17:$D$114,2,FALSE),"")</f>
        <v/>
      </c>
      <c r="D37" s="268"/>
      <c r="E37" s="279"/>
      <c r="F37" s="399">
        <f t="shared" si="0"/>
        <v>0</v>
      </c>
      <c r="G37" s="403"/>
      <c r="H37" s="400"/>
      <c r="I37" s="279"/>
      <c r="J37" s="268">
        <f t="shared" si="1"/>
        <v>0</v>
      </c>
      <c r="K37" s="260" t="str">
        <f>IF(A37&lt;&gt;"",VLOOKUP(A37,Fourn!$B$17:$D$300,3,FALSE),"")</f>
        <v/>
      </c>
      <c r="L37" s="268">
        <f t="shared" si="2"/>
        <v>0</v>
      </c>
      <c r="M37" s="399">
        <f t="shared" si="3"/>
        <v>0</v>
      </c>
      <c r="N37" s="400"/>
      <c r="O37" s="268"/>
      <c r="P37" s="268">
        <f t="shared" si="4"/>
        <v>0</v>
      </c>
    </row>
    <row r="38" spans="1:16" ht="17.45" customHeight="1" x14ac:dyDescent="0.2">
      <c r="A38" s="333"/>
      <c r="B38" s="333"/>
      <c r="C38" s="334" t="str">
        <f>IF(A38&lt;&gt;"",VLOOKUP(A38,Fourn!$B$17:$D$114,2,FALSE),"")</f>
        <v/>
      </c>
      <c r="D38" s="270"/>
      <c r="E38" s="280"/>
      <c r="F38" s="395">
        <f t="shared" si="0"/>
        <v>0</v>
      </c>
      <c r="G38" s="401"/>
      <c r="H38" s="396"/>
      <c r="I38" s="280"/>
      <c r="J38" s="270">
        <f t="shared" si="1"/>
        <v>0</v>
      </c>
      <c r="K38" s="271" t="str">
        <f>IF(A38&lt;&gt;"",VLOOKUP(A38,Fourn!$B$17:$D$300,3,FALSE),"")</f>
        <v/>
      </c>
      <c r="L38" s="270">
        <f t="shared" si="2"/>
        <v>0</v>
      </c>
      <c r="M38" s="395">
        <f t="shared" si="3"/>
        <v>0</v>
      </c>
      <c r="N38" s="396"/>
      <c r="O38" s="270"/>
      <c r="P38" s="270">
        <f t="shared" si="4"/>
        <v>0</v>
      </c>
    </row>
    <row r="39" spans="1:16" ht="17.45" customHeight="1" x14ac:dyDescent="0.2">
      <c r="A39" s="278" t="s">
        <v>8</v>
      </c>
      <c r="B39" s="278"/>
      <c r="C39" s="335"/>
      <c r="D39" s="273"/>
      <c r="E39" s="281"/>
      <c r="F39" s="397">
        <f t="shared" si="0"/>
        <v>0</v>
      </c>
      <c r="G39" s="402"/>
      <c r="H39" s="398"/>
      <c r="I39" s="281"/>
      <c r="J39" s="273">
        <f t="shared" si="1"/>
        <v>0</v>
      </c>
      <c r="K39" s="274"/>
      <c r="L39" s="273">
        <f t="shared" si="2"/>
        <v>0</v>
      </c>
      <c r="M39" s="397">
        <f t="shared" si="3"/>
        <v>0</v>
      </c>
      <c r="N39" s="398"/>
      <c r="O39" s="273"/>
      <c r="P39" s="273">
        <f t="shared" si="4"/>
        <v>0</v>
      </c>
    </row>
    <row r="40" spans="1:16" ht="17.45" customHeight="1" x14ac:dyDescent="0.2">
      <c r="A40" s="330"/>
      <c r="B40" s="330"/>
      <c r="C40" s="332"/>
      <c r="D40" s="268"/>
      <c r="E40" s="279"/>
      <c r="F40" s="399">
        <f t="shared" si="0"/>
        <v>0</v>
      </c>
      <c r="G40" s="403"/>
      <c r="H40" s="400"/>
      <c r="I40" s="279"/>
      <c r="J40" s="268">
        <f t="shared" si="1"/>
        <v>0</v>
      </c>
      <c r="K40" s="260"/>
      <c r="L40" s="268">
        <f t="shared" si="2"/>
        <v>0</v>
      </c>
      <c r="M40" s="399">
        <f t="shared" si="3"/>
        <v>0</v>
      </c>
      <c r="N40" s="400"/>
      <c r="O40" s="268"/>
      <c r="P40" s="268">
        <f t="shared" si="4"/>
        <v>0</v>
      </c>
    </row>
    <row r="41" spans="1:16" ht="17.45" customHeight="1" x14ac:dyDescent="0.2">
      <c r="A41" s="330"/>
      <c r="B41" s="330"/>
      <c r="C41" s="332"/>
      <c r="D41" s="268"/>
      <c r="E41" s="279"/>
      <c r="F41" s="399">
        <f t="shared" si="0"/>
        <v>0</v>
      </c>
      <c r="G41" s="403"/>
      <c r="H41" s="400"/>
      <c r="I41" s="279"/>
      <c r="J41" s="268">
        <f t="shared" si="1"/>
        <v>0</v>
      </c>
      <c r="K41" s="260"/>
      <c r="L41" s="268">
        <f t="shared" si="2"/>
        <v>0</v>
      </c>
      <c r="M41" s="399">
        <f t="shared" si="3"/>
        <v>0</v>
      </c>
      <c r="N41" s="400"/>
      <c r="O41" s="268"/>
      <c r="P41" s="268">
        <f t="shared" si="4"/>
        <v>0</v>
      </c>
    </row>
    <row r="42" spans="1:16" ht="17.45" customHeight="1" thickBot="1" x14ac:dyDescent="0.25">
      <c r="A42" s="330"/>
      <c r="B42" s="330"/>
      <c r="C42" s="332"/>
      <c r="D42" s="268"/>
      <c r="E42" s="260"/>
      <c r="F42" s="399">
        <f t="shared" si="0"/>
        <v>0</v>
      </c>
      <c r="G42" s="403"/>
      <c r="H42" s="400"/>
      <c r="I42" s="260"/>
      <c r="J42" s="268">
        <f t="shared" si="1"/>
        <v>0</v>
      </c>
      <c r="K42" s="260"/>
      <c r="L42" s="268">
        <f t="shared" si="2"/>
        <v>0</v>
      </c>
      <c r="M42" s="399">
        <f t="shared" si="3"/>
        <v>0</v>
      </c>
      <c r="N42" s="400"/>
      <c r="O42" s="268"/>
      <c r="P42" s="268">
        <f t="shared" si="4"/>
        <v>0</v>
      </c>
    </row>
    <row r="43" spans="1:16" ht="21.6" customHeight="1" thickBot="1" x14ac:dyDescent="0.25">
      <c r="A43" s="269" t="s">
        <v>40</v>
      </c>
      <c r="B43" s="249"/>
      <c r="C43" s="249"/>
      <c r="D43" s="249"/>
      <c r="E43" s="392">
        <f>SUM(F19:H42)</f>
        <v>0</v>
      </c>
      <c r="F43" s="404"/>
      <c r="G43" s="404"/>
      <c r="H43" s="393"/>
      <c r="I43" s="392">
        <f>SUM(J19:J42)</f>
        <v>0</v>
      </c>
      <c r="J43" s="393"/>
      <c r="K43" s="392">
        <f>SUM(L19:L42)</f>
        <v>0</v>
      </c>
      <c r="L43" s="393"/>
      <c r="M43" s="392">
        <f>SUM(M19:N42)</f>
        <v>0</v>
      </c>
      <c r="N43" s="393"/>
      <c r="O43" s="392">
        <f>SUM(P19:P42)</f>
        <v>0</v>
      </c>
      <c r="P43" s="393"/>
    </row>
    <row r="44" spans="1:16" ht="18.600000000000001" customHeight="1" thickBot="1" x14ac:dyDescent="0.25">
      <c r="A44" s="405"/>
      <c r="B44" s="405"/>
      <c r="C44" s="405"/>
      <c r="D44" s="405"/>
      <c r="E44" s="405"/>
      <c r="F44" s="405"/>
      <c r="G44" s="262"/>
      <c r="H44" s="405"/>
      <c r="I44" s="405"/>
      <c r="J44" s="405"/>
      <c r="K44" s="405"/>
      <c r="L44" s="405"/>
      <c r="M44" s="405"/>
      <c r="N44" s="262"/>
      <c r="O44" s="424" t="s">
        <v>41</v>
      </c>
      <c r="P44" s="433">
        <f>O43</f>
        <v>0</v>
      </c>
    </row>
    <row r="45" spans="1:16" ht="18.75" x14ac:dyDescent="0.2">
      <c r="A45" s="359"/>
      <c r="B45" s="360"/>
      <c r="C45" s="360"/>
      <c r="D45" s="360"/>
      <c r="E45" s="360"/>
      <c r="F45" s="361"/>
      <c r="G45" s="368"/>
      <c r="H45" s="359"/>
      <c r="I45" s="360"/>
      <c r="J45" s="360"/>
      <c r="K45" s="360"/>
      <c r="L45" s="360"/>
      <c r="M45" s="361"/>
      <c r="N45" s="370"/>
      <c r="O45" s="371"/>
      <c r="P45" s="374"/>
    </row>
    <row r="46" spans="1:16" ht="32.450000000000003" customHeight="1" x14ac:dyDescent="0.2">
      <c r="A46" s="365" t="s">
        <v>42</v>
      </c>
      <c r="B46" s="366"/>
      <c r="C46" s="366"/>
      <c r="D46" s="366"/>
      <c r="E46" s="366"/>
      <c r="F46" s="367"/>
      <c r="G46" s="368"/>
      <c r="H46" s="371" t="s">
        <v>43</v>
      </c>
      <c r="I46" s="372"/>
      <c r="J46" s="373">
        <f>M43</f>
        <v>0</v>
      </c>
      <c r="K46" s="373"/>
      <c r="L46" s="373"/>
      <c r="M46" s="374"/>
      <c r="N46" s="370"/>
      <c r="O46" s="414" t="s">
        <v>44</v>
      </c>
      <c r="P46" s="432">
        <f>Coeff!H5</f>
        <v>0.18</v>
      </c>
    </row>
    <row r="47" spans="1:16" ht="24" customHeight="1" x14ac:dyDescent="0.2">
      <c r="A47" s="362" t="s">
        <v>45</v>
      </c>
      <c r="B47" s="363"/>
      <c r="C47" s="363"/>
      <c r="D47" s="363"/>
      <c r="E47" s="363"/>
      <c r="F47" s="364"/>
      <c r="G47" s="368"/>
      <c r="H47" s="368"/>
      <c r="I47" s="369"/>
      <c r="J47" s="369"/>
      <c r="K47" s="369"/>
      <c r="L47" s="369"/>
      <c r="M47" s="370"/>
      <c r="N47" s="370"/>
      <c r="O47" s="414"/>
      <c r="P47" s="432"/>
    </row>
    <row r="48" spans="1:16" ht="18.600000000000001" customHeight="1" x14ac:dyDescent="0.2">
      <c r="A48" s="362"/>
      <c r="B48" s="363"/>
      <c r="C48" s="363"/>
      <c r="D48" s="363"/>
      <c r="E48" s="363"/>
      <c r="F48" s="364"/>
      <c r="G48" s="368"/>
      <c r="H48" s="368"/>
      <c r="I48" s="369"/>
      <c r="J48" s="369"/>
      <c r="K48" s="369"/>
      <c r="L48" s="369"/>
      <c r="M48" s="370"/>
      <c r="N48" s="370"/>
      <c r="O48" s="371" t="s">
        <v>46</v>
      </c>
      <c r="P48" s="394"/>
    </row>
    <row r="49" spans="1:16" ht="34.9" customHeight="1" thickBot="1" x14ac:dyDescent="0.25">
      <c r="A49" s="365" t="s">
        <v>47</v>
      </c>
      <c r="B49" s="366"/>
      <c r="C49" s="366"/>
      <c r="D49" s="366"/>
      <c r="E49" s="366"/>
      <c r="F49" s="367"/>
      <c r="G49" s="368"/>
      <c r="H49" s="375" t="s">
        <v>48</v>
      </c>
      <c r="I49" s="376"/>
      <c r="J49" s="376"/>
      <c r="K49" s="283">
        <f>Coeff!J2</f>
        <v>0.18</v>
      </c>
      <c r="L49" s="388" t="s">
        <v>49</v>
      </c>
      <c r="M49" s="389"/>
      <c r="N49" s="370"/>
      <c r="O49" s="434">
        <f>P44*(1+P46)</f>
        <v>0</v>
      </c>
      <c r="P49" s="435"/>
    </row>
    <row r="50" spans="1:16" ht="34.9" customHeight="1" x14ac:dyDescent="0.2">
      <c r="A50" s="381" t="s">
        <v>50</v>
      </c>
      <c r="B50" s="382"/>
      <c r="C50" s="382"/>
      <c r="D50" s="382"/>
      <c r="E50" s="382"/>
      <c r="F50" s="383"/>
      <c r="G50" s="368"/>
      <c r="H50" s="375" t="s">
        <v>51</v>
      </c>
      <c r="I50" s="376"/>
      <c r="J50" s="376"/>
      <c r="K50" s="283">
        <f>Coeff!J3</f>
        <v>0.08</v>
      </c>
      <c r="L50" s="388" t="s">
        <v>49</v>
      </c>
      <c r="M50" s="389"/>
      <c r="N50" s="369"/>
      <c r="O50" s="424" t="s">
        <v>52</v>
      </c>
      <c r="P50" s="425"/>
    </row>
    <row r="51" spans="1:16" ht="34.9" customHeight="1" x14ac:dyDescent="0.2">
      <c r="A51" s="381"/>
      <c r="B51" s="382"/>
      <c r="C51" s="382"/>
      <c r="D51" s="382"/>
      <c r="E51" s="382"/>
      <c r="F51" s="383"/>
      <c r="G51" s="368"/>
      <c r="H51" s="375" t="s">
        <v>53</v>
      </c>
      <c r="I51" s="376"/>
      <c r="J51" s="376"/>
      <c r="K51" s="283">
        <f>Coeff!J4</f>
        <v>0.05</v>
      </c>
      <c r="L51" s="388" t="s">
        <v>54</v>
      </c>
      <c r="M51" s="389"/>
      <c r="N51" s="369"/>
      <c r="O51" s="371" t="s">
        <v>55</v>
      </c>
      <c r="P51" s="394"/>
    </row>
    <row r="52" spans="1:16" ht="17.45" customHeight="1" x14ac:dyDescent="0.2">
      <c r="A52" s="365"/>
      <c r="B52" s="366"/>
      <c r="C52" s="366"/>
      <c r="D52" s="366"/>
      <c r="E52" s="366"/>
      <c r="F52" s="367"/>
      <c r="G52" s="368"/>
      <c r="H52" s="384" t="s">
        <v>56</v>
      </c>
      <c r="I52" s="385"/>
      <c r="J52" s="385"/>
      <c r="K52" s="385"/>
      <c r="L52" s="373">
        <f>J46*(1+K49+K50)</f>
        <v>0</v>
      </c>
      <c r="M52" s="374"/>
      <c r="N52" s="369"/>
      <c r="O52" s="438"/>
      <c r="P52" s="439"/>
    </row>
    <row r="53" spans="1:16" ht="21" customHeight="1" x14ac:dyDescent="0.2">
      <c r="A53" s="365" t="s">
        <v>57</v>
      </c>
      <c r="B53" s="366"/>
      <c r="C53" s="366"/>
      <c r="D53" s="366"/>
      <c r="E53" s="366"/>
      <c r="F53" s="367"/>
      <c r="G53" s="368"/>
      <c r="H53" s="384"/>
      <c r="I53" s="385"/>
      <c r="J53" s="385"/>
      <c r="K53" s="385"/>
      <c r="L53" s="373"/>
      <c r="M53" s="374"/>
      <c r="N53" s="369"/>
      <c r="O53" s="429">
        <f>O49+L54</f>
        <v>0</v>
      </c>
      <c r="P53" s="430"/>
    </row>
    <row r="54" spans="1:16" ht="18" customHeight="1" x14ac:dyDescent="0.2">
      <c r="A54" s="375"/>
      <c r="B54" s="376"/>
      <c r="C54" s="376"/>
      <c r="D54" s="376"/>
      <c r="E54" s="376"/>
      <c r="F54" s="377"/>
      <c r="G54" s="368"/>
      <c r="H54" s="384" t="s">
        <v>58</v>
      </c>
      <c r="I54" s="385"/>
      <c r="J54" s="385"/>
      <c r="K54" s="385"/>
      <c r="L54" s="373">
        <f>L52*(1+K51)</f>
        <v>0</v>
      </c>
      <c r="M54" s="374"/>
      <c r="N54" s="369"/>
      <c r="O54" s="431"/>
      <c r="P54" s="430"/>
    </row>
    <row r="55" spans="1:16" ht="19.5" thickBot="1" x14ac:dyDescent="0.25">
      <c r="A55" s="378"/>
      <c r="B55" s="379"/>
      <c r="C55" s="379"/>
      <c r="D55" s="379"/>
      <c r="E55" s="379"/>
      <c r="F55" s="380"/>
      <c r="G55" s="368"/>
      <c r="H55" s="386"/>
      <c r="I55" s="387"/>
      <c r="J55" s="387"/>
      <c r="K55" s="387"/>
      <c r="L55" s="390"/>
      <c r="M55" s="391"/>
      <c r="N55" s="369"/>
      <c r="O55" s="436"/>
      <c r="P55" s="437"/>
    </row>
    <row r="56" spans="1:16" ht="18.75" x14ac:dyDescent="0.2">
      <c r="A56" s="262"/>
      <c r="B56" s="262"/>
      <c r="C56" s="262"/>
      <c r="D56" s="262"/>
      <c r="E56" s="262"/>
      <c r="F56" s="262"/>
      <c r="G56" s="262"/>
      <c r="H56" s="262"/>
      <c r="I56" s="262"/>
      <c r="J56" s="262"/>
      <c r="K56" s="262"/>
      <c r="L56" s="262"/>
      <c r="M56" s="262"/>
      <c r="N56" s="262"/>
      <c r="O56" s="262"/>
      <c r="P56" s="262"/>
    </row>
    <row r="57" spans="1:16" x14ac:dyDescent="0.2">
      <c r="A57" s="265"/>
      <c r="B57" s="265"/>
      <c r="C57" s="241"/>
      <c r="D57" s="241"/>
      <c r="E57" s="241"/>
      <c r="F57" s="241"/>
      <c r="G57" s="241"/>
      <c r="H57" s="241"/>
      <c r="I57" s="241"/>
      <c r="J57" s="241"/>
      <c r="K57" s="241"/>
      <c r="L57" s="241"/>
      <c r="M57" s="241"/>
      <c r="N57" s="241"/>
      <c r="O57" s="241"/>
      <c r="P57" s="241"/>
    </row>
  </sheetData>
  <mergeCells count="121">
    <mergeCell ref="A3:P3"/>
    <mergeCell ref="C5:E5"/>
    <mergeCell ref="C6:G8"/>
    <mergeCell ref="J6:M8"/>
    <mergeCell ref="C9:F9"/>
    <mergeCell ref="C10:L11"/>
    <mergeCell ref="A12:D12"/>
    <mergeCell ref="E12:P12"/>
    <mergeCell ref="A13:A14"/>
    <mergeCell ref="C13:C14"/>
    <mergeCell ref="D13:D14"/>
    <mergeCell ref="E13:H13"/>
    <mergeCell ref="I13:J14"/>
    <mergeCell ref="K13:L14"/>
    <mergeCell ref="M13:N13"/>
    <mergeCell ref="O13:P14"/>
    <mergeCell ref="E14:H14"/>
    <mergeCell ref="M14:N14"/>
    <mergeCell ref="A15:A18"/>
    <mergeCell ref="C15:C18"/>
    <mergeCell ref="F15:H15"/>
    <mergeCell ref="M15:N15"/>
    <mergeCell ref="F16:H16"/>
    <mergeCell ref="M16:N16"/>
    <mergeCell ref="F17:H17"/>
    <mergeCell ref="M17:N17"/>
    <mergeCell ref="F22:H22"/>
    <mergeCell ref="M22:N22"/>
    <mergeCell ref="F23:H23"/>
    <mergeCell ref="M23:N23"/>
    <mergeCell ref="F24:H24"/>
    <mergeCell ref="M24:N24"/>
    <mergeCell ref="F18:H18"/>
    <mergeCell ref="M18:N18"/>
    <mergeCell ref="F19:H19"/>
    <mergeCell ref="F20:H20"/>
    <mergeCell ref="F21:H21"/>
    <mergeCell ref="M21:N21"/>
    <mergeCell ref="F28:H28"/>
    <mergeCell ref="M28:N28"/>
    <mergeCell ref="F29:H29"/>
    <mergeCell ref="M29:N29"/>
    <mergeCell ref="F30:H30"/>
    <mergeCell ref="M30:N30"/>
    <mergeCell ref="F25:H25"/>
    <mergeCell ref="M25:N25"/>
    <mergeCell ref="F26:H26"/>
    <mergeCell ref="M26:N26"/>
    <mergeCell ref="F27:H27"/>
    <mergeCell ref="M27:N27"/>
    <mergeCell ref="F34:H34"/>
    <mergeCell ref="M34:N34"/>
    <mergeCell ref="F35:H35"/>
    <mergeCell ref="M35:N35"/>
    <mergeCell ref="F36:H36"/>
    <mergeCell ref="M36:N36"/>
    <mergeCell ref="F31:H31"/>
    <mergeCell ref="M31:N31"/>
    <mergeCell ref="F32:H32"/>
    <mergeCell ref="M32:N32"/>
    <mergeCell ref="F33:H33"/>
    <mergeCell ref="M33:N33"/>
    <mergeCell ref="F40:H40"/>
    <mergeCell ref="M40:N40"/>
    <mergeCell ref="F41:H41"/>
    <mergeCell ref="M41:N41"/>
    <mergeCell ref="F42:H42"/>
    <mergeCell ref="M42:N42"/>
    <mergeCell ref="F37:H37"/>
    <mergeCell ref="M37:N37"/>
    <mergeCell ref="F38:H38"/>
    <mergeCell ref="M38:N38"/>
    <mergeCell ref="F39:H39"/>
    <mergeCell ref="M39:N39"/>
    <mergeCell ref="E43:H43"/>
    <mergeCell ref="I43:J43"/>
    <mergeCell ref="K43:L43"/>
    <mergeCell ref="M43:N43"/>
    <mergeCell ref="O43:P43"/>
    <mergeCell ref="A44:F44"/>
    <mergeCell ref="H44:M44"/>
    <mergeCell ref="O44:O45"/>
    <mergeCell ref="P44:P45"/>
    <mergeCell ref="A45:F45"/>
    <mergeCell ref="O46:O47"/>
    <mergeCell ref="P46:P47"/>
    <mergeCell ref="A47:F47"/>
    <mergeCell ref="H47:M47"/>
    <mergeCell ref="A48:F48"/>
    <mergeCell ref="H48:M48"/>
    <mergeCell ref="O48:P48"/>
    <mergeCell ref="G45:G49"/>
    <mergeCell ref="H45:M45"/>
    <mergeCell ref="N45:N49"/>
    <mergeCell ref="A46:F46"/>
    <mergeCell ref="H46:I46"/>
    <mergeCell ref="J46:M46"/>
    <mergeCell ref="A49:F49"/>
    <mergeCell ref="H49:J49"/>
    <mergeCell ref="L49:M49"/>
    <mergeCell ref="O49:P49"/>
    <mergeCell ref="A50:F51"/>
    <mergeCell ref="G50:G55"/>
    <mergeCell ref="H50:J50"/>
    <mergeCell ref="L50:M50"/>
    <mergeCell ref="N50:N55"/>
    <mergeCell ref="O50:P50"/>
    <mergeCell ref="H51:J51"/>
    <mergeCell ref="L51:M51"/>
    <mergeCell ref="O51:P51"/>
    <mergeCell ref="O55:P55"/>
    <mergeCell ref="A52:F52"/>
    <mergeCell ref="H52:K53"/>
    <mergeCell ref="L52:M53"/>
    <mergeCell ref="O52:P52"/>
    <mergeCell ref="A53:F53"/>
    <mergeCell ref="O53:P54"/>
    <mergeCell ref="A54:F54"/>
    <mergeCell ref="H54:K55"/>
    <mergeCell ref="L54:M55"/>
    <mergeCell ref="A55:F55"/>
  </mergeCells>
  <dataValidations count="4">
    <dataValidation type="list" allowBlank="1" showInputMessage="1" showErrorMessage="1" sqref="A21:B23 A19:B19" xr:uid="{980ACB2D-1273-4AE8-B953-445CC35BCB06}">
      <formula1>ListePersonnel</formula1>
    </dataValidation>
    <dataValidation type="list" allowBlank="1" showInputMessage="1" showErrorMessage="1" sqref="A31:B33 C65:C67 C49" xr:uid="{28B3199C-8D26-4085-BAB5-1AA242F003DD}">
      <formula1>ListeLocations</formula1>
    </dataValidation>
    <dataValidation type="list" allowBlank="1" showInputMessage="1" showErrorMessage="1" sqref="C53:C56 C69:C72 A35:B38" xr:uid="{38206BAA-1A66-4523-901F-B0CCE825FEB1}">
      <formula1>ListeFournitures</formula1>
    </dataValidation>
    <dataValidation type="list" allowBlank="1" showInputMessage="1" showErrorMessage="1" sqref="C58:C63 C43:C47 C74:C75 A25:B29 B40:B42" xr:uid="{3313BECB-CE8C-4CA7-A44E-1B4F43D21411}">
      <formula1>ListeMachine</formula1>
    </dataValidation>
  </dataValidations>
  <printOptions horizontalCentered="1" verticalCentered="1"/>
  <pageMargins left="0.23622047244094491" right="0.23622047244094491" top="0.19685039370078741" bottom="0.15748031496062992" header="0" footer="0"/>
  <pageSetup paperSize="9" scale="5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CF103-A3B2-4649-AF72-D72715105A83}">
  <sheetPr codeName="Feuil6"/>
  <dimension ref="A1:D120"/>
  <sheetViews>
    <sheetView workbookViewId="0"/>
  </sheetViews>
  <sheetFormatPr baseColWidth="10" defaultColWidth="11.42578125" defaultRowHeight="12.75" x14ac:dyDescent="0.2"/>
  <sheetData>
    <row r="1" spans="1:4" x14ac:dyDescent="0.2">
      <c r="A1" s="354" t="s">
        <v>507</v>
      </c>
      <c r="B1" s="354" t="s">
        <v>520</v>
      </c>
      <c r="C1" s="354" t="s">
        <v>510</v>
      </c>
      <c r="D1" s="354" t="s">
        <v>521</v>
      </c>
    </row>
    <row r="2" spans="1:4" x14ac:dyDescent="0.2">
      <c r="A2" s="355" t="s">
        <v>522</v>
      </c>
      <c r="B2" s="356" t="e">
        <f>IF(ISTEXT(('DE récap'!P_1_1 'DE récap'!Qté)),0,('DE récap'!P_1_1 'DE récap'!Qté))</f>
        <v>#NAME?</v>
      </c>
      <c r="C2" s="356" t="e">
        <f>('DE récap'!P_1_1 'DE récap'!PU)</f>
        <v>#NAME?</v>
      </c>
      <c r="D2" s="356" t="e">
        <f>IF(ISTEXT(('DE récap'!P_1_1 'DE récap'!MT)),0,('DE récap'!P_1_1 'DE récap'!MT))</f>
        <v>#NAME?</v>
      </c>
    </row>
    <row r="3" spans="1:4" x14ac:dyDescent="0.2">
      <c r="A3" s="355" t="s">
        <v>523</v>
      </c>
      <c r="B3" s="356" t="e">
        <f>IF(ISTEXT(('DE récap'!P_1_2 'DE récap'!Qté)),0,('DE récap'!P_1_2 'DE récap'!Qté))</f>
        <v>#NAME?</v>
      </c>
      <c r="C3" s="356" t="e">
        <f>('DE récap'!P_1_2 'DE récap'!PU)</f>
        <v>#NAME?</v>
      </c>
      <c r="D3" s="356" t="e">
        <f>IF(ISTEXT(('DE récap'!P_1_2 'DE récap'!MT)),0,('DE récap'!P_1_2 'DE récap'!MT))</f>
        <v>#NAME?</v>
      </c>
    </row>
    <row r="4" spans="1:4" x14ac:dyDescent="0.2">
      <c r="A4" s="355" t="s">
        <v>524</v>
      </c>
      <c r="B4" s="356" t="e">
        <f>IF(ISTEXT(('DE récap'!P_1_3 'DE récap'!Qté)),0,('DE récap'!P_1_3 'DE récap'!Qté))</f>
        <v>#NAME?</v>
      </c>
      <c r="C4" s="356" t="e">
        <f>('DE récap'!P_1_3 'DE récap'!PU)</f>
        <v>#NAME?</v>
      </c>
      <c r="D4" s="356" t="e">
        <f>IF(ISTEXT(('DE récap'!P_1_3 'DE récap'!MT)),0,('DE récap'!P_1_3 'DE récap'!MT))</f>
        <v>#NAME?</v>
      </c>
    </row>
    <row r="5" spans="1:4" x14ac:dyDescent="0.2">
      <c r="A5" s="355" t="s">
        <v>525</v>
      </c>
      <c r="B5" s="356" t="e">
        <f>IF(ISTEXT(('DE récap'!P_1_4 'DE récap'!Qté)),0,('DE récap'!P_1_4 'DE récap'!Qté))</f>
        <v>#NAME?</v>
      </c>
      <c r="C5" s="356" t="e">
        <f>('DE récap'!P_1_4 'DE récap'!PU)</f>
        <v>#NAME?</v>
      </c>
      <c r="D5" s="356" t="e">
        <f>IF(ISTEXT(('DE récap'!P_1_4 'DE récap'!MT)),0,('DE récap'!P_1_4 'DE récap'!MT))</f>
        <v>#NAME?</v>
      </c>
    </row>
    <row r="6" spans="1:4" x14ac:dyDescent="0.2">
      <c r="A6" s="355" t="s">
        <v>526</v>
      </c>
      <c r="B6" s="356" t="e">
        <f>IF(ISTEXT(('DE récap'!P_1_5 'DE récap'!Qté)),0,('DE récap'!P_1_5 'DE récap'!Qté))</f>
        <v>#NAME?</v>
      </c>
      <c r="C6" s="356" t="e">
        <f>('DE récap'!P_1_5 'DE récap'!PU)</f>
        <v>#NAME?</v>
      </c>
      <c r="D6" s="356" t="e">
        <f>IF(ISTEXT(('DE récap'!P_1_5 'DE récap'!MT)),0,('DE récap'!P_1_5 'DE récap'!MT))</f>
        <v>#NAME?</v>
      </c>
    </row>
    <row r="7" spans="1:4" x14ac:dyDescent="0.2">
      <c r="A7" s="355" t="s">
        <v>527</v>
      </c>
      <c r="B7" s="356" t="e">
        <f>IF(ISTEXT(('DE récap'!P_1_6 'DE récap'!Qté)),0,('DE récap'!P_1_6 'DE récap'!Qté))</f>
        <v>#NAME?</v>
      </c>
      <c r="C7" s="356" t="e">
        <f>('DE récap'!P_1_6 'DE récap'!PU)</f>
        <v>#NAME?</v>
      </c>
      <c r="D7" s="356" t="e">
        <f>IF(ISTEXT(('DE récap'!P_1_6 'DE récap'!MT)),0,('DE récap'!P_1_6 'DE récap'!MT))</f>
        <v>#NAME?</v>
      </c>
    </row>
    <row r="8" spans="1:4" x14ac:dyDescent="0.2">
      <c r="A8" s="355" t="s">
        <v>528</v>
      </c>
      <c r="B8" s="356" t="e">
        <f>IF(ISTEXT(('DE récap'!P_1_7 'DE récap'!Qté)),0,('DE récap'!P_1_7 'DE récap'!Qté))</f>
        <v>#NAME?</v>
      </c>
      <c r="C8" s="356" t="e">
        <f>('DE récap'!P_1_7 'DE récap'!PU)</f>
        <v>#NAME?</v>
      </c>
      <c r="D8" s="356" t="e">
        <f>IF(ISTEXT(('DE récap'!P_1_7 'DE récap'!MT)),0,('DE récap'!P_1_7 'DE récap'!MT))</f>
        <v>#NAME?</v>
      </c>
    </row>
    <row r="9" spans="1:4" x14ac:dyDescent="0.2">
      <c r="A9" s="355" t="s">
        <v>529</v>
      </c>
      <c r="B9" s="356" t="e">
        <f>IF(ISTEXT(('DE récap'!P_1_8 'DE récap'!Qté)),0,('DE récap'!P_1_8 'DE récap'!Qté))</f>
        <v>#NAME?</v>
      </c>
      <c r="C9" s="356" t="e">
        <f>('DE récap'!P_1_8 'DE récap'!PU)</f>
        <v>#NAME?</v>
      </c>
      <c r="D9" s="356" t="e">
        <f>IF(ISTEXT(('DE récap'!P_1_8 'DE récap'!MT)),0,('DE récap'!P_1_8 'DE récap'!MT))</f>
        <v>#NAME?</v>
      </c>
    </row>
    <row r="10" spans="1:4" x14ac:dyDescent="0.2">
      <c r="A10" s="355" t="s">
        <v>530</v>
      </c>
      <c r="B10" s="356" t="e">
        <f>IF(ISTEXT(('DE récap'!P_1_9 'DE récap'!Qté)),0,('DE récap'!P_1_9 'DE récap'!Qté))</f>
        <v>#NAME?</v>
      </c>
      <c r="C10" s="356" t="e">
        <f>('DE récap'!P_1_9 'DE récap'!PU)</f>
        <v>#NAME?</v>
      </c>
      <c r="D10" s="356" t="e">
        <f>IF(ISTEXT(('DE récap'!P_1_9 'DE récap'!MT)),0,('DE récap'!P_1_9 'DE récap'!MT))</f>
        <v>#NAME?</v>
      </c>
    </row>
    <row r="11" spans="1:4" x14ac:dyDescent="0.2">
      <c r="A11" s="355" t="s">
        <v>531</v>
      </c>
      <c r="B11" s="356" t="e">
        <f>IF(ISTEXT(('DE récap'!P_1_10 'DE récap'!Qté)),0,('DE récap'!P_1_10 'DE récap'!Qté))</f>
        <v>#NAME?</v>
      </c>
      <c r="C11" s="356" t="e">
        <f>('DE récap'!P_1_10 'DE récap'!PU)</f>
        <v>#NAME?</v>
      </c>
      <c r="D11" s="356" t="e">
        <f>IF(ISTEXT(('DE récap'!P_1_10 'DE récap'!MT)),0,('DE récap'!P_1_10 'DE récap'!MT))</f>
        <v>#NAME?</v>
      </c>
    </row>
    <row r="12" spans="1:4" x14ac:dyDescent="0.2">
      <c r="A12" s="355" t="s">
        <v>532</v>
      </c>
      <c r="B12" s="356" t="e">
        <f>IF(ISTEXT(('DE récap'!P_1_11 'DE récap'!Qté)),0,('DE récap'!P_1_11 'DE récap'!Qté))</f>
        <v>#NAME?</v>
      </c>
      <c r="C12" s="356" t="e">
        <f>('DE récap'!P_1_11 'DE récap'!PU)</f>
        <v>#NAME?</v>
      </c>
      <c r="D12" s="356" t="e">
        <f>IF(ISTEXT(('DE récap'!P_1_11 'DE récap'!MT)),0,('DE récap'!P_1_11 'DE récap'!MT))</f>
        <v>#NAME?</v>
      </c>
    </row>
    <row r="13" spans="1:4" x14ac:dyDescent="0.2">
      <c r="A13" s="355" t="s">
        <v>533</v>
      </c>
      <c r="B13" s="356" t="e">
        <f>IF(ISTEXT(('DE récap'!P_1_12 'DE récap'!Qté)),0,('DE récap'!P_1_12 'DE récap'!Qté))</f>
        <v>#NAME?</v>
      </c>
      <c r="C13" s="356" t="e">
        <f>('DE récap'!P_1_12 'DE récap'!PU)</f>
        <v>#NAME?</v>
      </c>
      <c r="D13" s="356" t="e">
        <f>IF(ISTEXT(('DE récap'!P_1_12 'DE récap'!MT)),0,('DE récap'!P_1_12 'DE récap'!MT))</f>
        <v>#NAME?</v>
      </c>
    </row>
    <row r="14" spans="1:4" x14ac:dyDescent="0.2">
      <c r="A14" s="355" t="s">
        <v>534</v>
      </c>
      <c r="B14" s="356" t="e">
        <f>IF(ISTEXT(('DE récap'!P_1_13 'DE récap'!Qté)),0,('DE récap'!P_1_13 'DE récap'!Qté))</f>
        <v>#NAME?</v>
      </c>
      <c r="C14" s="356" t="e">
        <f>('DE récap'!P_1_13 'DE récap'!PU)</f>
        <v>#NAME?</v>
      </c>
      <c r="D14" s="356" t="e">
        <f>IF(ISTEXT(('DE récap'!P_1_13 'DE récap'!MT)),0,('DE récap'!P_1_13 'DE récap'!MT))</f>
        <v>#NAME?</v>
      </c>
    </row>
    <row r="15" spans="1:4" x14ac:dyDescent="0.2">
      <c r="A15" s="355" t="s">
        <v>535</v>
      </c>
      <c r="B15" s="356" t="e">
        <f>IF(ISTEXT(('DE récap'!P_1_14 'DE récap'!Qté)),0,('DE récap'!P_1_14 'DE récap'!Qté))</f>
        <v>#NAME?</v>
      </c>
      <c r="C15" s="356" t="e">
        <f>('DE récap'!P_1_14 'DE récap'!PU)</f>
        <v>#NAME?</v>
      </c>
      <c r="D15" s="356" t="e">
        <f>IF(ISTEXT(('DE récap'!P_1_14 'DE récap'!MT)),0,('DE récap'!P_1_14 'DE récap'!MT))</f>
        <v>#NAME?</v>
      </c>
    </row>
    <row r="16" spans="1:4" x14ac:dyDescent="0.2">
      <c r="A16" s="355" t="s">
        <v>536</v>
      </c>
      <c r="B16" s="356" t="e">
        <f>IF(ISTEXT(('DE récap'!P_1_15 'DE récap'!Qté)),0,('DE récap'!P_1_15 'DE récap'!Qté))</f>
        <v>#NAME?</v>
      </c>
      <c r="C16" s="356" t="e">
        <f>('DE récap'!P_1_15 'DE récap'!PU)</f>
        <v>#NAME?</v>
      </c>
      <c r="D16" s="356" t="e">
        <f>IF(ISTEXT(('DE récap'!P_1_15 'DE récap'!MT)),0,('DE récap'!P_1_15 'DE récap'!MT))</f>
        <v>#NAME?</v>
      </c>
    </row>
    <row r="17" spans="1:4" x14ac:dyDescent="0.2">
      <c r="A17" s="355" t="s">
        <v>537</v>
      </c>
      <c r="B17" s="356" t="e">
        <f>IF(ISTEXT(('DE récap'!P_1_16 'DE récap'!Qté)),0,('DE récap'!P_1_16 'DE récap'!Qté))</f>
        <v>#NAME?</v>
      </c>
      <c r="C17" s="356" t="e">
        <f>('DE récap'!P_1_16 'DE récap'!PU)</f>
        <v>#NAME?</v>
      </c>
      <c r="D17" s="356" t="e">
        <f>IF(ISTEXT(('DE récap'!P_1_16 'DE récap'!MT)),0,('DE récap'!P_1_16 'DE récap'!MT))</f>
        <v>#NAME?</v>
      </c>
    </row>
    <row r="18" spans="1:4" x14ac:dyDescent="0.2">
      <c r="A18" s="355" t="s">
        <v>538</v>
      </c>
      <c r="B18" s="356" t="e">
        <f>IF(ISTEXT(('DE récap'!P_1_17 'DE récap'!Qté)),0,('DE récap'!P_1_17 'DE récap'!Qté))</f>
        <v>#NAME?</v>
      </c>
      <c r="C18" s="356" t="e">
        <f>('DE récap'!P_1_17 'DE récap'!PU)</f>
        <v>#NAME?</v>
      </c>
      <c r="D18" s="356" t="e">
        <f>IF(ISTEXT(('DE récap'!P_1_17 'DE récap'!MT)),0,('DE récap'!P_1_17 'DE récap'!MT))</f>
        <v>#NAME?</v>
      </c>
    </row>
    <row r="19" spans="1:4" x14ac:dyDescent="0.2">
      <c r="A19" s="355" t="s">
        <v>539</v>
      </c>
      <c r="B19" s="356" t="e">
        <f>IF(ISTEXT(('DE récap'!P_1_18 'DE récap'!Qté)),0,('DE récap'!P_1_18 'DE récap'!Qté))</f>
        <v>#NAME?</v>
      </c>
      <c r="C19" s="356" t="e">
        <f>('DE récap'!P_1_18 'DE récap'!PU)</f>
        <v>#NAME?</v>
      </c>
      <c r="D19" s="356" t="e">
        <f>IF(ISTEXT(('DE récap'!P_1_18 'DE récap'!MT)),0,('DE récap'!P_1_18 'DE récap'!MT))</f>
        <v>#NAME?</v>
      </c>
    </row>
    <row r="20" spans="1:4" x14ac:dyDescent="0.2">
      <c r="A20" s="355" t="s">
        <v>540</v>
      </c>
      <c r="B20" s="356" t="e">
        <f>IF(ISTEXT(('DE récap'!P_1_19 'DE récap'!Qté)),0,('DE récap'!P_1_19 'DE récap'!Qté))</f>
        <v>#NAME?</v>
      </c>
      <c r="C20" s="356" t="e">
        <f>('DE récap'!P_1_19 'DE récap'!PU)</f>
        <v>#NAME?</v>
      </c>
      <c r="D20" s="356" t="e">
        <f>IF(ISTEXT(('DE récap'!P_1_19 'DE récap'!MT)),0,('DE récap'!P_1_19 'DE récap'!MT))</f>
        <v>#NAME?</v>
      </c>
    </row>
    <row r="21" spans="1:4" x14ac:dyDescent="0.2">
      <c r="A21" s="355" t="s">
        <v>541</v>
      </c>
      <c r="B21" s="356" t="e">
        <f>IF(ISTEXT(('DE récap'!P_1_20 'DE récap'!Qté)),0,('DE récap'!P_1_20 'DE récap'!Qté))</f>
        <v>#NAME?</v>
      </c>
      <c r="C21" s="356" t="e">
        <f>('DE récap'!P_1_20 'DE récap'!PU)</f>
        <v>#NAME?</v>
      </c>
      <c r="D21" s="356" t="e">
        <f>IF(ISTEXT(('DE récap'!P_1_20 'DE récap'!MT)),0,('DE récap'!P_1_20 'DE récap'!MT))</f>
        <v>#NAME?</v>
      </c>
    </row>
    <row r="22" spans="1:4" x14ac:dyDescent="0.2">
      <c r="A22" s="355" t="s">
        <v>542</v>
      </c>
      <c r="B22" s="356" t="e">
        <f>IF(ISTEXT(('DE récap'!P_1_21 'DE récap'!Qté)),0,('DE récap'!P_1_21 'DE récap'!Qté))</f>
        <v>#NAME?</v>
      </c>
      <c r="C22" s="356" t="e">
        <f>('DE récap'!P_1_21 'DE récap'!PU)</f>
        <v>#NAME?</v>
      </c>
      <c r="D22" s="356" t="e">
        <f>IF(ISTEXT(('DE récap'!P_1_21 'DE récap'!MT)),0,('DE récap'!P_1_21 'DE récap'!MT))</f>
        <v>#NAME?</v>
      </c>
    </row>
    <row r="23" spans="1:4" x14ac:dyDescent="0.2">
      <c r="A23" s="355" t="s">
        <v>543</v>
      </c>
      <c r="B23" s="356" t="e">
        <f>IF(ISTEXT(('DE récap'!P_1_22 'DE récap'!Qté)),0,('DE récap'!P_1_22 'DE récap'!Qté))</f>
        <v>#NAME?</v>
      </c>
      <c r="C23" s="356" t="e">
        <f>('DE récap'!P_1_22 'DE récap'!PU)</f>
        <v>#NAME?</v>
      </c>
      <c r="D23" s="356" t="e">
        <f>IF(ISTEXT(('DE récap'!P_1_22 'DE récap'!MT)),0,('DE récap'!P_1_22 'DE récap'!MT))</f>
        <v>#NAME?</v>
      </c>
    </row>
    <row r="24" spans="1:4" x14ac:dyDescent="0.2">
      <c r="A24" s="355" t="s">
        <v>544</v>
      </c>
      <c r="B24" s="356" t="e">
        <f>IF(ISTEXT(('DE récap'!P_1_23 'DE récap'!Qté)),0,('DE récap'!P_1_23 'DE récap'!Qté))</f>
        <v>#NAME?</v>
      </c>
      <c r="C24" s="356" t="e">
        <f>('DE récap'!P_1_23 'DE récap'!PU)</f>
        <v>#NAME?</v>
      </c>
      <c r="D24" s="356" t="e">
        <f>IF(ISTEXT(('DE récap'!P_1_23 'DE récap'!MT)),0,('DE récap'!P_1_23 'DE récap'!MT))</f>
        <v>#NAME?</v>
      </c>
    </row>
    <row r="25" spans="1:4" x14ac:dyDescent="0.2">
      <c r="A25" s="355" t="s">
        <v>545</v>
      </c>
      <c r="B25" s="356" t="e">
        <f>IF(ISTEXT(('DE récap'!P_1_24 'DE récap'!Qté)),0,('DE récap'!P_1_24 'DE récap'!Qté))</f>
        <v>#NAME?</v>
      </c>
      <c r="C25" s="356" t="e">
        <f>('DE récap'!P_1_24 'DE récap'!PU)</f>
        <v>#NAME?</v>
      </c>
      <c r="D25" s="356" t="e">
        <f>IF(ISTEXT(('DE récap'!P_1_24 'DE récap'!MT)),0,('DE récap'!P_1_24 'DE récap'!MT))</f>
        <v>#NAME?</v>
      </c>
    </row>
    <row r="26" spans="1:4" x14ac:dyDescent="0.2">
      <c r="A26" s="355" t="s">
        <v>546</v>
      </c>
      <c r="B26" s="356" t="e">
        <f>IF(ISTEXT(('DE récap'!P_1_25 'DE récap'!Qté)),0,('DE récap'!P_1_25 'DE récap'!Qté))</f>
        <v>#NAME?</v>
      </c>
      <c r="C26" s="356" t="e">
        <f>('DE récap'!P_1_25 'DE récap'!PU)</f>
        <v>#NAME?</v>
      </c>
      <c r="D26" s="356" t="e">
        <f>IF(ISTEXT(('DE récap'!P_1_25 'DE récap'!MT)),0,('DE récap'!P_1_25 'DE récap'!MT))</f>
        <v>#NAME?</v>
      </c>
    </row>
    <row r="27" spans="1:4" x14ac:dyDescent="0.2">
      <c r="A27" s="355" t="s">
        <v>547</v>
      </c>
      <c r="B27" s="356" t="e">
        <f>IF(ISTEXT(('DE récap'!P_1_26 'DE récap'!Qté)),0,('DE récap'!P_1_26 'DE récap'!Qté))</f>
        <v>#NAME?</v>
      </c>
      <c r="C27" s="356" t="e">
        <f>('DE récap'!P_1_26 'DE récap'!PU)</f>
        <v>#NAME?</v>
      </c>
      <c r="D27" s="356" t="e">
        <f>IF(ISTEXT(('DE récap'!P_1_26 'DE récap'!MT)),0,('DE récap'!P_1_26 'DE récap'!MT))</f>
        <v>#NAME?</v>
      </c>
    </row>
    <row r="28" spans="1:4" x14ac:dyDescent="0.2">
      <c r="A28" s="355" t="s">
        <v>548</v>
      </c>
      <c r="B28" s="356" t="e">
        <f>IF(ISTEXT(('DE récap'!P_1_27 'DE récap'!Qté)),0,('DE récap'!P_1_27 'DE récap'!Qté))</f>
        <v>#NAME?</v>
      </c>
      <c r="C28" s="356" t="e">
        <f>('DE récap'!P_1_27 'DE récap'!PU)</f>
        <v>#NAME?</v>
      </c>
      <c r="D28" s="356" t="e">
        <f>IF(ISTEXT(('DE récap'!P_1_27 'DE récap'!MT)),0,('DE récap'!P_1_27 'DE récap'!MT))</f>
        <v>#NAME?</v>
      </c>
    </row>
    <row r="29" spans="1:4" x14ac:dyDescent="0.2">
      <c r="A29" s="355" t="s">
        <v>549</v>
      </c>
      <c r="B29" s="356" t="e">
        <f>IF(ISTEXT(('DE récap'!P_1_28 'DE récap'!Qté)),0,('DE récap'!P_1_28 'DE récap'!Qté))</f>
        <v>#NAME?</v>
      </c>
      <c r="C29" s="356" t="e">
        <f>('DE récap'!P_1_28 'DE récap'!PU)</f>
        <v>#NAME?</v>
      </c>
      <c r="D29" s="356" t="e">
        <f>IF(ISTEXT(('DE récap'!P_1_28 'DE récap'!MT)),0,('DE récap'!P_1_28 'DE récap'!MT))</f>
        <v>#NAME?</v>
      </c>
    </row>
    <row r="30" spans="1:4" x14ac:dyDescent="0.2">
      <c r="A30" s="355" t="s">
        <v>550</v>
      </c>
      <c r="B30" s="356" t="e">
        <f>IF(ISTEXT(('DE récap'!P_1_29 'DE récap'!Qté)),0,('DE récap'!P_1_29 'DE récap'!Qté))</f>
        <v>#NAME?</v>
      </c>
      <c r="C30" s="356" t="e">
        <f>('DE récap'!P_1_29 'DE récap'!PU)</f>
        <v>#NAME?</v>
      </c>
      <c r="D30" s="356" t="e">
        <f>IF(ISTEXT(('DE récap'!P_1_29 'DE récap'!MT)),0,('DE récap'!P_1_29 'DE récap'!MT))</f>
        <v>#NAME?</v>
      </c>
    </row>
    <row r="31" spans="1:4" x14ac:dyDescent="0.2">
      <c r="A31" s="355" t="s">
        <v>551</v>
      </c>
      <c r="B31" s="356" t="e">
        <f>IF(ISTEXT(('DE récap'!P_1_30 'DE récap'!Qté)),0,('DE récap'!P_1_30 'DE récap'!Qté))</f>
        <v>#NAME?</v>
      </c>
      <c r="C31" s="356" t="e">
        <f>('DE récap'!P_1_30 'DE récap'!PU)</f>
        <v>#NAME?</v>
      </c>
      <c r="D31" s="356" t="e">
        <f>IF(ISTEXT(('DE récap'!P_1_30 'DE récap'!MT)),0,('DE récap'!P_1_30 'DE récap'!MT))</f>
        <v>#NAME?</v>
      </c>
    </row>
    <row r="32" spans="1:4" x14ac:dyDescent="0.2">
      <c r="A32" s="355" t="s">
        <v>552</v>
      </c>
      <c r="B32" s="356" t="e">
        <f>IF(ISTEXT(('DE récap'!P_1_31 'DE récap'!Qté)),0,('DE récap'!P_1_31 'DE récap'!Qté))</f>
        <v>#NAME?</v>
      </c>
      <c r="C32" s="356" t="e">
        <f>('DE récap'!P_1_31 'DE récap'!PU)</f>
        <v>#NAME?</v>
      </c>
      <c r="D32" s="356" t="e">
        <f>IF(ISTEXT(('DE récap'!P_1_31 'DE récap'!MT)),0,('DE récap'!P_1_31 'DE récap'!MT))</f>
        <v>#NAME?</v>
      </c>
    </row>
    <row r="33" spans="1:4" x14ac:dyDescent="0.2">
      <c r="A33" s="355" t="s">
        <v>553</v>
      </c>
      <c r="B33" s="356" t="e">
        <f>IF(ISTEXT(('DE récap'!P_1_32 'DE récap'!Qté)),0,('DE récap'!P_1_32 'DE récap'!Qté))</f>
        <v>#NAME?</v>
      </c>
      <c r="C33" s="356" t="e">
        <f>('DE récap'!P_1_32 'DE récap'!PU)</f>
        <v>#NAME?</v>
      </c>
      <c r="D33" s="356" t="e">
        <f>IF(ISTEXT(('DE récap'!P_1_32 'DE récap'!MT)),0,('DE récap'!P_1_32 'DE récap'!MT))</f>
        <v>#NAME?</v>
      </c>
    </row>
    <row r="34" spans="1:4" x14ac:dyDescent="0.2">
      <c r="A34" s="355" t="s">
        <v>554</v>
      </c>
      <c r="B34" s="356" t="e">
        <f>IF(ISTEXT(('DE récap'!P_1_33 'DE récap'!Qté)),0,('DE récap'!P_1_33 'DE récap'!Qté))</f>
        <v>#NAME?</v>
      </c>
      <c r="C34" s="356" t="e">
        <f>('DE récap'!P_1_33 'DE récap'!PU)</f>
        <v>#NAME?</v>
      </c>
      <c r="D34" s="356" t="e">
        <f>IF(ISTEXT(('DE récap'!P_1_33 'DE récap'!MT)),0,('DE récap'!P_1_33 'DE récap'!MT))</f>
        <v>#NAME?</v>
      </c>
    </row>
    <row r="35" spans="1:4" x14ac:dyDescent="0.2">
      <c r="A35" s="355" t="s">
        <v>555</v>
      </c>
      <c r="B35" s="356" t="e">
        <f>IF(ISTEXT(('DE récap'!P_1_34 'DE récap'!Qté)),0,('DE récap'!P_1_34 'DE récap'!Qté))</f>
        <v>#NAME?</v>
      </c>
      <c r="C35" s="356" t="e">
        <f>('DE récap'!P_1_34 'DE récap'!PU)</f>
        <v>#NAME?</v>
      </c>
      <c r="D35" s="356" t="e">
        <f>IF(ISTEXT(('DE récap'!P_1_34 'DE récap'!MT)),0,('DE récap'!P_1_34 'DE récap'!MT))</f>
        <v>#NAME?</v>
      </c>
    </row>
    <row r="36" spans="1:4" x14ac:dyDescent="0.2">
      <c r="A36" s="355" t="s">
        <v>556</v>
      </c>
      <c r="B36" s="356" t="e">
        <f>IF(ISTEXT(('DE récap'!P_1_35 'DE récap'!Qté)),0,('DE récap'!P_1_35 'DE récap'!Qté))</f>
        <v>#NAME?</v>
      </c>
      <c r="C36" s="356" t="e">
        <f>('DE récap'!P_1_35 'DE récap'!PU)</f>
        <v>#NAME?</v>
      </c>
      <c r="D36" s="356" t="e">
        <f>IF(ISTEXT(('DE récap'!P_1_35 'DE récap'!MT)),0,('DE récap'!P_1_35 'DE récap'!MT))</f>
        <v>#NAME?</v>
      </c>
    </row>
    <row r="37" spans="1:4" x14ac:dyDescent="0.2">
      <c r="A37" s="355" t="s">
        <v>557</v>
      </c>
      <c r="B37" s="356" t="e">
        <f>IF(ISTEXT(('DE récap'!P_1_36 'DE récap'!Qté)),0,('DE récap'!P_1_36 'DE récap'!Qté))</f>
        <v>#NAME?</v>
      </c>
      <c r="C37" s="356" t="e">
        <f>('DE récap'!P_1_36 'DE récap'!PU)</f>
        <v>#NAME?</v>
      </c>
      <c r="D37" s="356" t="e">
        <f>IF(ISTEXT(('DE récap'!P_1_36 'DE récap'!MT)),0,('DE récap'!P_1_36 'DE récap'!MT))</f>
        <v>#NAME?</v>
      </c>
    </row>
    <row r="38" spans="1:4" x14ac:dyDescent="0.2">
      <c r="A38" s="355" t="s">
        <v>558</v>
      </c>
      <c r="B38" s="356" t="e">
        <f>IF(ISTEXT(('DE récap'!P_1_37 'DE récap'!Qté)),0,('DE récap'!P_1_37 'DE récap'!Qté))</f>
        <v>#NAME?</v>
      </c>
      <c r="C38" s="356" t="e">
        <f>('DE récap'!P_1_37 'DE récap'!PU)</f>
        <v>#NAME?</v>
      </c>
      <c r="D38" s="356" t="e">
        <f>IF(ISTEXT(('DE récap'!P_1_37 'DE récap'!MT)),0,('DE récap'!P_1_37 'DE récap'!MT))</f>
        <v>#NAME?</v>
      </c>
    </row>
    <row r="39" spans="1:4" x14ac:dyDescent="0.2">
      <c r="A39" s="355" t="s">
        <v>559</v>
      </c>
      <c r="B39" s="356" t="e">
        <f>IF(ISTEXT(('DE récap'!P_1_38 'DE récap'!Qté)),0,('DE récap'!P_1_38 'DE récap'!Qté))</f>
        <v>#NAME?</v>
      </c>
      <c r="C39" s="356" t="e">
        <f>('DE récap'!P_1_38 'DE récap'!PU)</f>
        <v>#NAME?</v>
      </c>
      <c r="D39" s="356" t="e">
        <f>IF(ISTEXT(('DE récap'!P_1_38 'DE récap'!MT)),0,('DE récap'!P_1_38 'DE récap'!MT))</f>
        <v>#NAME?</v>
      </c>
    </row>
    <row r="40" spans="1:4" x14ac:dyDescent="0.2">
      <c r="A40" s="355" t="s">
        <v>560</v>
      </c>
      <c r="B40" s="356" t="e">
        <f>IF(ISTEXT(('DE récap'!P_1_39 'DE récap'!Qté)),0,('DE récap'!P_1_39 'DE récap'!Qté))</f>
        <v>#NAME?</v>
      </c>
      <c r="C40" s="356" t="e">
        <f>('DE récap'!P_1_39 'DE récap'!PU)</f>
        <v>#NAME?</v>
      </c>
      <c r="D40" s="356" t="e">
        <f>IF(ISTEXT(('DE récap'!P_1_39 'DE récap'!MT)),0,('DE récap'!P_1_39 'DE récap'!MT))</f>
        <v>#NAME?</v>
      </c>
    </row>
    <row r="41" spans="1:4" x14ac:dyDescent="0.2">
      <c r="A41" s="355" t="s">
        <v>561</v>
      </c>
      <c r="B41" s="356" t="e">
        <f>IF(ISTEXT(('DE récap'!P_1_40 'DE récap'!Qté)),0,('DE récap'!P_1_40 'DE récap'!Qté))</f>
        <v>#NAME?</v>
      </c>
      <c r="C41" s="356" t="e">
        <f>('DE récap'!P_1_40 'DE récap'!PU)</f>
        <v>#NAME?</v>
      </c>
      <c r="D41" s="356" t="e">
        <f>IF(ISTEXT(('DE récap'!P_1_40 'DE récap'!MT)),0,('DE récap'!P_1_40 'DE récap'!MT))</f>
        <v>#NAME?</v>
      </c>
    </row>
    <row r="42" spans="1:4" x14ac:dyDescent="0.2">
      <c r="A42" s="355" t="s">
        <v>562</v>
      </c>
      <c r="B42" s="356" t="e">
        <f>IF(ISTEXT(('DE récap'!P_1_41 'DE récap'!Qté)),0,('DE récap'!P_1_41 'DE récap'!Qté))</f>
        <v>#NAME?</v>
      </c>
      <c r="C42" s="356" t="e">
        <f>('DE récap'!P_1_41 'DE récap'!PU)</f>
        <v>#NAME?</v>
      </c>
      <c r="D42" s="356" t="e">
        <f>IF(ISTEXT(('DE récap'!P_1_41 'DE récap'!MT)),0,('DE récap'!P_1_41 'DE récap'!MT))</f>
        <v>#NAME?</v>
      </c>
    </row>
    <row r="43" spans="1:4" x14ac:dyDescent="0.2">
      <c r="A43" s="355" t="s">
        <v>563</v>
      </c>
      <c r="B43" s="356" t="e">
        <f>IF(ISTEXT(('DE récap'!P_1_42 'DE récap'!Qté)),0,('DE récap'!P_1_42 'DE récap'!Qté))</f>
        <v>#NAME?</v>
      </c>
      <c r="C43" s="356" t="e">
        <f>('DE récap'!P_1_42 'DE récap'!PU)</f>
        <v>#NAME?</v>
      </c>
      <c r="D43" s="356" t="e">
        <f>IF(ISTEXT(('DE récap'!P_1_42 'DE récap'!MT)),0,('DE récap'!P_1_42 'DE récap'!MT))</f>
        <v>#NAME?</v>
      </c>
    </row>
    <row r="44" spans="1:4" x14ac:dyDescent="0.2">
      <c r="A44" s="355" t="s">
        <v>564</v>
      </c>
      <c r="B44" s="356" t="e">
        <f>IF(ISTEXT(('DE récap'!P_1_43 'DE récap'!Qté)),0,('DE récap'!P_1_43 'DE récap'!Qté))</f>
        <v>#NAME?</v>
      </c>
      <c r="C44" s="356" t="e">
        <f>('DE récap'!P_1_43 'DE récap'!PU)</f>
        <v>#NAME?</v>
      </c>
      <c r="D44" s="356" t="e">
        <f>IF(ISTEXT(('DE récap'!P_1_43 'DE récap'!MT)),0,('DE récap'!P_1_43 'DE récap'!MT))</f>
        <v>#NAME?</v>
      </c>
    </row>
    <row r="45" spans="1:4" x14ac:dyDescent="0.2">
      <c r="A45" s="355" t="s">
        <v>565</v>
      </c>
      <c r="B45" s="356" t="e">
        <f>IF(ISTEXT(('DE récap'!P_1_44 'DE récap'!Qté)),0,('DE récap'!P_1_44 'DE récap'!Qté))</f>
        <v>#NAME?</v>
      </c>
      <c r="C45" s="356" t="e">
        <f>('DE récap'!P_1_44 'DE récap'!PU)</f>
        <v>#NAME?</v>
      </c>
      <c r="D45" s="356" t="e">
        <f>IF(ISTEXT(('DE récap'!P_1_44 'DE récap'!MT)),0,('DE récap'!P_1_44 'DE récap'!MT))</f>
        <v>#NAME?</v>
      </c>
    </row>
    <row r="46" spans="1:4" x14ac:dyDescent="0.2">
      <c r="A46" s="355" t="s">
        <v>566</v>
      </c>
      <c r="B46" s="356" t="e">
        <f>IF(ISTEXT(('DE récap'!P_1_45 'DE récap'!Qté)),0,('DE récap'!P_1_45 'DE récap'!Qté))</f>
        <v>#NAME?</v>
      </c>
      <c r="C46" s="356" t="e">
        <f>('DE récap'!P_1_45 'DE récap'!PU)</f>
        <v>#NAME?</v>
      </c>
      <c r="D46" s="356" t="e">
        <f>IF(ISTEXT(('DE récap'!P_1_45 'DE récap'!MT)),0,('DE récap'!P_1_45 'DE récap'!MT))</f>
        <v>#NAME?</v>
      </c>
    </row>
    <row r="47" spans="1:4" x14ac:dyDescent="0.2">
      <c r="A47" s="355" t="s">
        <v>567</v>
      </c>
      <c r="B47" s="356" t="e">
        <f>IF(ISTEXT(('DE récap'!P_1_46 'DE récap'!Qté)),0,('DE récap'!P_1_46 'DE récap'!Qté))</f>
        <v>#NAME?</v>
      </c>
      <c r="C47" s="356" t="e">
        <f>('DE récap'!P_1_46 'DE récap'!PU)</f>
        <v>#NAME?</v>
      </c>
      <c r="D47" s="356" t="e">
        <f>IF(ISTEXT(('DE récap'!P_1_46 'DE récap'!MT)),0,('DE récap'!P_1_46 'DE récap'!MT))</f>
        <v>#NAME?</v>
      </c>
    </row>
    <row r="48" spans="1:4" x14ac:dyDescent="0.2">
      <c r="A48" s="355" t="s">
        <v>568</v>
      </c>
      <c r="B48" s="356" t="e">
        <f>IF(ISTEXT(('DE récap'!P_1_47 'DE récap'!Qté)),0,('DE récap'!P_1_47 'DE récap'!Qté))</f>
        <v>#NAME?</v>
      </c>
      <c r="C48" s="356" t="e">
        <f>('DE récap'!P_1_47 'DE récap'!PU)</f>
        <v>#NAME?</v>
      </c>
      <c r="D48" s="356" t="e">
        <f>IF(ISTEXT(('DE récap'!P_1_47 'DE récap'!MT)),0,('DE récap'!P_1_47 'DE récap'!MT))</f>
        <v>#NAME?</v>
      </c>
    </row>
    <row r="49" spans="1:4" x14ac:dyDescent="0.2">
      <c r="A49" s="355" t="s">
        <v>569</v>
      </c>
      <c r="B49" s="356" t="e">
        <f>IF(ISTEXT(('DE récap'!P_1_48 'DE récap'!Qté)),0,('DE récap'!P_1_48 'DE récap'!Qté))</f>
        <v>#NAME?</v>
      </c>
      <c r="C49" s="356" t="e">
        <f>('DE récap'!P_1_48 'DE récap'!PU)</f>
        <v>#NAME?</v>
      </c>
      <c r="D49" s="356" t="e">
        <f>IF(ISTEXT(('DE récap'!P_1_48 'DE récap'!MT)),0,('DE récap'!P_1_48 'DE récap'!MT))</f>
        <v>#NAME?</v>
      </c>
    </row>
    <row r="50" spans="1:4" x14ac:dyDescent="0.2">
      <c r="A50" s="355" t="s">
        <v>570</v>
      </c>
      <c r="B50" s="356" t="e">
        <f>IF(ISTEXT(('DE récap'!P_1_49 'DE récap'!Qté)),0,('DE récap'!P_1_49 'DE récap'!Qté))</f>
        <v>#NAME?</v>
      </c>
      <c r="C50" s="356" t="e">
        <f>('DE récap'!P_1_49 'DE récap'!PU)</f>
        <v>#NAME?</v>
      </c>
      <c r="D50" s="356" t="e">
        <f>IF(ISTEXT(('DE récap'!P_1_49 'DE récap'!MT)),0,('DE récap'!P_1_49 'DE récap'!MT))</f>
        <v>#NAME?</v>
      </c>
    </row>
    <row r="51" spans="1:4" x14ac:dyDescent="0.2">
      <c r="A51" s="355" t="s">
        <v>571</v>
      </c>
      <c r="B51" s="356" t="e">
        <f>IF(ISTEXT(('DE récap'!P_1_50 'DE récap'!Qté)),0,('DE récap'!P_1_50 'DE récap'!Qté))</f>
        <v>#NAME?</v>
      </c>
      <c r="C51" s="356" t="e">
        <f>('DE récap'!P_1_50 'DE récap'!PU)</f>
        <v>#NAME?</v>
      </c>
      <c r="D51" s="356" t="e">
        <f>IF(ISTEXT(('DE récap'!P_1_50 'DE récap'!MT)),0,('DE récap'!P_1_50 'DE récap'!MT))</f>
        <v>#NAME?</v>
      </c>
    </row>
    <row r="52" spans="1:4" x14ac:dyDescent="0.2">
      <c r="A52" s="355" t="s">
        <v>572</v>
      </c>
      <c r="B52" s="356" t="e">
        <f>IF(ISTEXT(('DE récap'!P_1_51 'DE récap'!Qté)),0,('DE récap'!P_1_51 'DE récap'!Qté))</f>
        <v>#NAME?</v>
      </c>
      <c r="C52" s="356" t="e">
        <f>('DE récap'!P_1_51 'DE récap'!PU)</f>
        <v>#NAME?</v>
      </c>
      <c r="D52" s="356" t="e">
        <f>IF(ISTEXT(('DE récap'!P_1_51 'DE récap'!MT)),0,('DE récap'!P_1_51 'DE récap'!MT))</f>
        <v>#NAME?</v>
      </c>
    </row>
    <row r="53" spans="1:4" x14ac:dyDescent="0.2">
      <c r="A53" s="355" t="s">
        <v>573</v>
      </c>
      <c r="B53" s="356" t="e">
        <f>IF(ISTEXT(('DE récap'!P_1_52 'DE récap'!Qté)),0,('DE récap'!P_1_52 'DE récap'!Qté))</f>
        <v>#NAME?</v>
      </c>
      <c r="C53" s="356" t="e">
        <f>('DE récap'!P_1_52 'DE récap'!PU)</f>
        <v>#NAME?</v>
      </c>
      <c r="D53" s="356" t="e">
        <f>IF(ISTEXT(('DE récap'!P_1_52 'DE récap'!MT)),0,('DE récap'!P_1_52 'DE récap'!MT))</f>
        <v>#NAME?</v>
      </c>
    </row>
    <row r="54" spans="1:4" x14ac:dyDescent="0.2">
      <c r="A54" s="355" t="s">
        <v>574</v>
      </c>
      <c r="B54" s="356" t="e">
        <f>IF(ISTEXT(('DE récap'!P_1_53 'DE récap'!Qté)),0,('DE récap'!P_1_53 'DE récap'!Qté))</f>
        <v>#NAME?</v>
      </c>
      <c r="C54" s="356" t="e">
        <f>('DE récap'!P_1_53 'DE récap'!PU)</f>
        <v>#NAME?</v>
      </c>
      <c r="D54" s="356" t="e">
        <f>IF(ISTEXT(('DE récap'!P_1_53 'DE récap'!MT)),0,('DE récap'!P_1_53 'DE récap'!MT))</f>
        <v>#NAME?</v>
      </c>
    </row>
    <row r="55" spans="1:4" x14ac:dyDescent="0.2">
      <c r="A55" s="355" t="s">
        <v>575</v>
      </c>
      <c r="B55" s="356" t="e">
        <f>IF(ISTEXT(('DE récap'!P_1_54 'DE récap'!Qté)),0,('DE récap'!P_1_54 'DE récap'!Qté))</f>
        <v>#NAME?</v>
      </c>
      <c r="C55" s="356" t="e">
        <f>('DE récap'!P_1_54 'DE récap'!PU)</f>
        <v>#NAME?</v>
      </c>
      <c r="D55" s="356" t="e">
        <f>IF(ISTEXT(('DE récap'!P_1_54 'DE récap'!MT)),0,('DE récap'!P_1_54 'DE récap'!MT))</f>
        <v>#NAME?</v>
      </c>
    </row>
    <row r="56" spans="1:4" x14ac:dyDescent="0.2">
      <c r="A56" s="355" t="s">
        <v>576</v>
      </c>
      <c r="B56" s="356" t="e">
        <f>IF(ISTEXT(('DE récap'!P_1_55 'DE récap'!Qté)),0,('DE récap'!P_1_55 'DE récap'!Qté))</f>
        <v>#NAME?</v>
      </c>
      <c r="C56" s="356" t="e">
        <f>('DE récap'!P_1_55 'DE récap'!PU)</f>
        <v>#NAME?</v>
      </c>
      <c r="D56" s="356" t="e">
        <f>IF(ISTEXT(('DE récap'!P_1_55 'DE récap'!MT)),0,('DE récap'!P_1_55 'DE récap'!MT))</f>
        <v>#NAME?</v>
      </c>
    </row>
    <row r="57" spans="1:4" x14ac:dyDescent="0.2">
      <c r="A57" s="355" t="s">
        <v>577</v>
      </c>
      <c r="B57" s="356" t="e">
        <f>IF(ISTEXT(('DE récap'!P_1_56 'DE récap'!Qté)),0,('DE récap'!P_1_56 'DE récap'!Qté))</f>
        <v>#NAME?</v>
      </c>
      <c r="C57" s="356" t="e">
        <f>('DE récap'!P_1_56 'DE récap'!PU)</f>
        <v>#NAME?</v>
      </c>
      <c r="D57" s="356" t="e">
        <f>IF(ISTEXT(('DE récap'!P_1_56 'DE récap'!MT)),0,('DE récap'!P_1_56 'DE récap'!MT))</f>
        <v>#NAME?</v>
      </c>
    </row>
    <row r="58" spans="1:4" x14ac:dyDescent="0.2">
      <c r="A58" s="355" t="s">
        <v>578</v>
      </c>
      <c r="B58" s="356" t="e">
        <f>IF(ISTEXT(('DE récap'!P_1_57 'DE récap'!Qté)),0,('DE récap'!P_1_57 'DE récap'!Qté))</f>
        <v>#NAME?</v>
      </c>
      <c r="C58" s="356" t="e">
        <f>('DE récap'!P_1_57 'DE récap'!PU)</f>
        <v>#NAME?</v>
      </c>
      <c r="D58" s="356" t="e">
        <f>IF(ISTEXT(('DE récap'!P_1_57 'DE récap'!MT)),0,('DE récap'!P_1_57 'DE récap'!MT))</f>
        <v>#NAME?</v>
      </c>
    </row>
    <row r="59" spans="1:4" x14ac:dyDescent="0.2">
      <c r="A59" s="355" t="s">
        <v>579</v>
      </c>
      <c r="B59" s="356" t="e">
        <f>IF(ISTEXT(('DE récap'!P_1_58 'DE récap'!Qté)),0,('DE récap'!P_1_58 'DE récap'!Qté))</f>
        <v>#NAME?</v>
      </c>
      <c r="C59" s="356" t="e">
        <f>('DE récap'!P_1_58 'DE récap'!PU)</f>
        <v>#NAME?</v>
      </c>
      <c r="D59" s="356" t="e">
        <f>IF(ISTEXT(('DE récap'!P_1_58 'DE récap'!MT)),0,('DE récap'!P_1_58 'DE récap'!MT))</f>
        <v>#NAME?</v>
      </c>
    </row>
    <row r="60" spans="1:4" x14ac:dyDescent="0.2">
      <c r="A60" s="355" t="s">
        <v>580</v>
      </c>
      <c r="B60" s="356" t="e">
        <f>IF(ISTEXT(('DE récap'!P_1_59 'DE récap'!Qté)),0,('DE récap'!P_1_59 'DE récap'!Qté))</f>
        <v>#NAME?</v>
      </c>
      <c r="C60" s="356" t="e">
        <f>('DE récap'!P_1_59 'DE récap'!PU)</f>
        <v>#NAME?</v>
      </c>
      <c r="D60" s="356" t="e">
        <f>IF(ISTEXT(('DE récap'!P_1_59 'DE récap'!MT)),0,('DE récap'!P_1_59 'DE récap'!MT))</f>
        <v>#NAME?</v>
      </c>
    </row>
    <row r="61" spans="1:4" x14ac:dyDescent="0.2">
      <c r="A61" s="355" t="s">
        <v>581</v>
      </c>
      <c r="B61" s="356" t="e">
        <f>IF(ISTEXT(('DE récap'!P_1_60 'DE récap'!Qté)),0,('DE récap'!P_1_60 'DE récap'!Qté))</f>
        <v>#NAME?</v>
      </c>
      <c r="C61" s="356" t="e">
        <f>('DE récap'!P_1_60 'DE récap'!PU)</f>
        <v>#NAME?</v>
      </c>
      <c r="D61" s="356" t="e">
        <f>IF(ISTEXT(('DE récap'!P_1_60 'DE récap'!MT)),0,('DE récap'!P_1_60 'DE récap'!MT))</f>
        <v>#NAME?</v>
      </c>
    </row>
    <row r="62" spans="1:4" x14ac:dyDescent="0.2">
      <c r="A62" s="355" t="s">
        <v>582</v>
      </c>
      <c r="B62" s="356" t="e">
        <f>IF(ISTEXT(('DE récap'!P_1_61 'DE récap'!Qté)),0,('DE récap'!P_1_61 'DE récap'!Qté))</f>
        <v>#NAME?</v>
      </c>
      <c r="C62" s="356" t="e">
        <f>('DE récap'!P_1_61 'DE récap'!PU)</f>
        <v>#NAME?</v>
      </c>
      <c r="D62" s="356" t="e">
        <f>IF(ISTEXT(('DE récap'!P_1_61 'DE récap'!MT)),0,('DE récap'!P_1_61 'DE récap'!MT))</f>
        <v>#NAME?</v>
      </c>
    </row>
    <row r="63" spans="1:4" x14ac:dyDescent="0.2">
      <c r="A63" s="355" t="s">
        <v>583</v>
      </c>
      <c r="B63" s="356" t="e">
        <f>IF(ISTEXT(('DE récap'!P_1_62 'DE récap'!Qté)),0,('DE récap'!P_1_62 'DE récap'!Qté))</f>
        <v>#NAME?</v>
      </c>
      <c r="C63" s="356" t="e">
        <f>('DE récap'!P_1_62 'DE récap'!PU)</f>
        <v>#NAME?</v>
      </c>
      <c r="D63" s="356" t="e">
        <f>IF(ISTEXT(('DE récap'!P_1_62 'DE récap'!MT)),0,('DE récap'!P_1_62 'DE récap'!MT))</f>
        <v>#NAME?</v>
      </c>
    </row>
    <row r="64" spans="1:4" x14ac:dyDescent="0.2">
      <c r="A64" s="355" t="s">
        <v>584</v>
      </c>
      <c r="B64" s="356" t="e">
        <f>IF(ISTEXT(('DE récap'!P_1_63 'DE récap'!Qté)),0,('DE récap'!P_1_63 'DE récap'!Qté))</f>
        <v>#NAME?</v>
      </c>
      <c r="C64" s="356" t="e">
        <f>('DE récap'!P_1_63 'DE récap'!PU)</f>
        <v>#NAME?</v>
      </c>
      <c r="D64" s="356" t="e">
        <f>IF(ISTEXT(('DE récap'!P_1_63 'DE récap'!MT)),0,('DE récap'!P_1_63 'DE récap'!MT))</f>
        <v>#NAME?</v>
      </c>
    </row>
    <row r="65" spans="1:4" x14ac:dyDescent="0.2">
      <c r="A65" s="355" t="s">
        <v>585</v>
      </c>
      <c r="B65" s="356" t="e">
        <f>IF(ISTEXT(('DE récap'!P_1_64 'DE récap'!Qté)),0,('DE récap'!P_1_64 'DE récap'!Qté))</f>
        <v>#NAME?</v>
      </c>
      <c r="C65" s="356" t="e">
        <f>('DE récap'!P_1_64 'DE récap'!PU)</f>
        <v>#NAME?</v>
      </c>
      <c r="D65" s="356" t="e">
        <f>IF(ISTEXT(('DE récap'!P_1_64 'DE récap'!MT)),0,('DE récap'!P_1_64 'DE récap'!MT))</f>
        <v>#NAME?</v>
      </c>
    </row>
    <row r="66" spans="1:4" x14ac:dyDescent="0.2">
      <c r="A66" s="355" t="s">
        <v>586</v>
      </c>
      <c r="B66" s="356" t="e">
        <f>IF(ISTEXT(('DE récap'!P_1_65 'DE récap'!Qté)),0,('DE récap'!P_1_65 'DE récap'!Qté))</f>
        <v>#NAME?</v>
      </c>
      <c r="C66" s="356" t="e">
        <f>('DE récap'!P_1_65 'DE récap'!PU)</f>
        <v>#NAME?</v>
      </c>
      <c r="D66" s="356" t="e">
        <f>IF(ISTEXT(('DE récap'!P_1_65 'DE récap'!MT)),0,('DE récap'!P_1_65 'DE récap'!MT))</f>
        <v>#NAME?</v>
      </c>
    </row>
    <row r="67" spans="1:4" x14ac:dyDescent="0.2">
      <c r="A67" s="355" t="s">
        <v>587</v>
      </c>
      <c r="B67" s="356" t="e">
        <f>IF(ISTEXT(('DE récap'!P_1_66 'DE récap'!Qté)),0,('DE récap'!P_1_66 'DE récap'!Qté))</f>
        <v>#NAME?</v>
      </c>
      <c r="C67" s="356" t="e">
        <f>('DE récap'!P_1_66 'DE récap'!PU)</f>
        <v>#NAME?</v>
      </c>
      <c r="D67" s="356" t="e">
        <f>IF(ISTEXT(('DE récap'!P_1_66 'DE récap'!MT)),0,('DE récap'!P_1_66 'DE récap'!MT))</f>
        <v>#NAME?</v>
      </c>
    </row>
    <row r="68" spans="1:4" x14ac:dyDescent="0.2">
      <c r="A68" s="355" t="s">
        <v>588</v>
      </c>
      <c r="B68" s="356" t="e">
        <f>IF(ISTEXT(('DE récap'!P_1_67 'DE récap'!Qté)),0,('DE récap'!P_1_67 'DE récap'!Qté))</f>
        <v>#NAME?</v>
      </c>
      <c r="C68" s="356" t="e">
        <f>('DE récap'!P_1_67 'DE récap'!PU)</f>
        <v>#NAME?</v>
      </c>
      <c r="D68" s="356" t="e">
        <f>IF(ISTEXT(('DE récap'!P_1_67 'DE récap'!MT)),0,('DE récap'!P_1_67 'DE récap'!MT))</f>
        <v>#NAME?</v>
      </c>
    </row>
    <row r="69" spans="1:4" x14ac:dyDescent="0.2">
      <c r="A69" s="355" t="s">
        <v>589</v>
      </c>
      <c r="B69" s="356" t="e">
        <f>IF(ISTEXT(('DE récap'!P_1_68 'DE récap'!Qté)),0,('DE récap'!P_1_68 'DE récap'!Qté))</f>
        <v>#NAME?</v>
      </c>
      <c r="C69" s="356" t="e">
        <f>('DE récap'!P_1_68 'DE récap'!PU)</f>
        <v>#NAME?</v>
      </c>
      <c r="D69" s="356" t="e">
        <f>IF(ISTEXT(('DE récap'!P_1_68 'DE récap'!MT)),0,('DE récap'!P_1_68 'DE récap'!MT))</f>
        <v>#NAME?</v>
      </c>
    </row>
    <row r="70" spans="1:4" x14ac:dyDescent="0.2">
      <c r="A70" s="355" t="s">
        <v>590</v>
      </c>
      <c r="B70" s="356" t="e">
        <f>IF(ISTEXT(('DE récap'!P_1_69 'DE récap'!Qté)),0,('DE récap'!P_1_69 'DE récap'!Qté))</f>
        <v>#NAME?</v>
      </c>
      <c r="C70" s="356" t="e">
        <f>('DE récap'!P_1_69 'DE récap'!PU)</f>
        <v>#NAME?</v>
      </c>
      <c r="D70" s="356" t="e">
        <f>IF(ISTEXT(('DE récap'!P_1_69 'DE récap'!MT)),0,('DE récap'!P_1_69 'DE récap'!MT))</f>
        <v>#NAME?</v>
      </c>
    </row>
    <row r="71" spans="1:4" x14ac:dyDescent="0.2">
      <c r="A71" s="355" t="s">
        <v>591</v>
      </c>
      <c r="B71" s="356" t="e">
        <f>IF(ISTEXT(('DE récap'!P_1_70 'DE récap'!Qté)),0,('DE récap'!P_1_70 'DE récap'!Qté))</f>
        <v>#NAME?</v>
      </c>
      <c r="C71" s="356" t="e">
        <f>('DE récap'!P_1_70 'DE récap'!PU)</f>
        <v>#NAME?</v>
      </c>
      <c r="D71" s="356" t="e">
        <f>IF(ISTEXT(('DE récap'!P_1_70 'DE récap'!MT)),0,('DE récap'!P_1_70 'DE récap'!MT))</f>
        <v>#NAME?</v>
      </c>
    </row>
    <row r="72" spans="1:4" x14ac:dyDescent="0.2">
      <c r="A72" s="355" t="s">
        <v>592</v>
      </c>
      <c r="B72" s="356" t="e">
        <f>IF(ISTEXT(('DE récap'!P_1_71 'DE récap'!Qté)),0,('DE récap'!P_1_71 'DE récap'!Qté))</f>
        <v>#NAME?</v>
      </c>
      <c r="C72" s="356" t="e">
        <f>('DE récap'!P_1_71 'DE récap'!PU)</f>
        <v>#NAME?</v>
      </c>
      <c r="D72" s="356" t="e">
        <f>IF(ISTEXT(('DE récap'!P_1_71 'DE récap'!MT)),0,('DE récap'!P_1_71 'DE récap'!MT))</f>
        <v>#NAME?</v>
      </c>
    </row>
    <row r="73" spans="1:4" x14ac:dyDescent="0.2">
      <c r="A73" s="355" t="s">
        <v>593</v>
      </c>
      <c r="B73" s="356" t="e">
        <f>IF(ISTEXT(('DE récap'!P_1_72 'DE récap'!Qté)),0,('DE récap'!P_1_72 'DE récap'!Qté))</f>
        <v>#NAME?</v>
      </c>
      <c r="C73" s="356" t="e">
        <f>('DE récap'!P_1_72 'DE récap'!PU)</f>
        <v>#NAME?</v>
      </c>
      <c r="D73" s="356" t="e">
        <f>IF(ISTEXT(('DE récap'!P_1_72 'DE récap'!MT)),0,('DE récap'!P_1_72 'DE récap'!MT))</f>
        <v>#NAME?</v>
      </c>
    </row>
    <row r="74" spans="1:4" x14ac:dyDescent="0.2">
      <c r="A74" s="355" t="s">
        <v>594</v>
      </c>
      <c r="B74" s="356" t="e">
        <f>IF(ISTEXT(('DE récap'!P_1_73 'DE récap'!Qté)),0,('DE récap'!P_1_73 'DE récap'!Qté))</f>
        <v>#NAME?</v>
      </c>
      <c r="C74" s="356" t="e">
        <f>('DE récap'!P_1_73 'DE récap'!PU)</f>
        <v>#NAME?</v>
      </c>
      <c r="D74" s="356" t="e">
        <f>IF(ISTEXT(('DE récap'!P_1_73 'DE récap'!MT)),0,('DE récap'!P_1_73 'DE récap'!MT))</f>
        <v>#NAME?</v>
      </c>
    </row>
    <row r="75" spans="1:4" x14ac:dyDescent="0.2">
      <c r="A75" s="355" t="s">
        <v>595</v>
      </c>
      <c r="B75" s="356" t="e">
        <f>IF(ISTEXT(('DE récap'!P_1_74 'DE récap'!Qté)),0,('DE récap'!P_1_74 'DE récap'!Qté))</f>
        <v>#NAME?</v>
      </c>
      <c r="C75" s="356" t="e">
        <f>('DE récap'!P_1_74 'DE récap'!PU)</f>
        <v>#NAME?</v>
      </c>
      <c r="D75" s="356" t="e">
        <f>IF(ISTEXT(('DE récap'!P_1_74 'DE récap'!MT)),0,('DE récap'!P_1_74 'DE récap'!MT))</f>
        <v>#NAME?</v>
      </c>
    </row>
    <row r="76" spans="1:4" x14ac:dyDescent="0.2">
      <c r="A76" s="355" t="s">
        <v>596</v>
      </c>
      <c r="B76" s="356" t="e">
        <f>IF(ISTEXT(('DE récap'!P_1_75 'DE récap'!Qté)),0,('DE récap'!P_1_75 'DE récap'!Qté))</f>
        <v>#NAME?</v>
      </c>
      <c r="C76" s="356" t="e">
        <f>('DE récap'!P_1_75 'DE récap'!PU)</f>
        <v>#NAME?</v>
      </c>
      <c r="D76" s="356" t="e">
        <f>IF(ISTEXT(('DE récap'!P_1_75 'DE récap'!MT)),0,('DE récap'!P_1_75 'DE récap'!MT))</f>
        <v>#NAME?</v>
      </c>
    </row>
    <row r="77" spans="1:4" x14ac:dyDescent="0.2">
      <c r="A77" s="355" t="s">
        <v>597</v>
      </c>
      <c r="B77" s="356" t="e">
        <f>IF(ISTEXT(('DE récap'!P_1_76 'DE récap'!Qté)),0,('DE récap'!P_1_76 'DE récap'!Qté))</f>
        <v>#NAME?</v>
      </c>
      <c r="C77" s="356" t="e">
        <f>('DE récap'!P_1_76 'DE récap'!PU)</f>
        <v>#NAME?</v>
      </c>
      <c r="D77" s="356" t="e">
        <f>IF(ISTEXT(('DE récap'!P_1_76 'DE récap'!MT)),0,('DE récap'!P_1_76 'DE récap'!MT))</f>
        <v>#NAME?</v>
      </c>
    </row>
    <row r="78" spans="1:4" x14ac:dyDescent="0.2">
      <c r="A78" s="355" t="s">
        <v>598</v>
      </c>
      <c r="B78" s="356" t="e">
        <f>IF(ISTEXT(('DE récap'!P_1_77 'DE récap'!Qté)),0,('DE récap'!P_1_77 'DE récap'!Qté))</f>
        <v>#NAME?</v>
      </c>
      <c r="C78" s="356" t="e">
        <f>('DE récap'!P_1_77 'DE récap'!PU)</f>
        <v>#NAME?</v>
      </c>
      <c r="D78" s="356" t="e">
        <f>IF(ISTEXT(('DE récap'!P_1_77 'DE récap'!MT)),0,('DE récap'!P_1_77 'DE récap'!MT))</f>
        <v>#NAME?</v>
      </c>
    </row>
    <row r="79" spans="1:4" x14ac:dyDescent="0.2">
      <c r="A79" s="355" t="s">
        <v>599</v>
      </c>
      <c r="B79" s="356" t="e">
        <f>IF(ISTEXT(('DE récap'!P_1_78 'DE récap'!Qté)),0,('DE récap'!P_1_78 'DE récap'!Qté))</f>
        <v>#NAME?</v>
      </c>
      <c r="C79" s="356" t="e">
        <f>('DE récap'!P_1_78 'DE récap'!PU)</f>
        <v>#NAME?</v>
      </c>
      <c r="D79" s="356" t="e">
        <f>IF(ISTEXT(('DE récap'!P_1_78 'DE récap'!MT)),0,('DE récap'!P_1_78 'DE récap'!MT))</f>
        <v>#NAME?</v>
      </c>
    </row>
    <row r="80" spans="1:4" x14ac:dyDescent="0.2">
      <c r="A80" s="355" t="s">
        <v>600</v>
      </c>
      <c r="B80" s="356" t="e">
        <f>IF(ISTEXT(('DE récap'!P_1_79 'DE récap'!Qté)),0,('DE récap'!P_1_79 'DE récap'!Qté))</f>
        <v>#NAME?</v>
      </c>
      <c r="C80" s="356" t="e">
        <f>('DE récap'!P_1_79 'DE récap'!PU)</f>
        <v>#NAME?</v>
      </c>
      <c r="D80" s="356" t="e">
        <f>IF(ISTEXT(('DE récap'!P_1_79 'DE récap'!MT)),0,('DE récap'!P_1_79 'DE récap'!MT))</f>
        <v>#NAME?</v>
      </c>
    </row>
    <row r="81" spans="1:4" x14ac:dyDescent="0.2">
      <c r="A81" s="355" t="s">
        <v>601</v>
      </c>
      <c r="B81" s="356" t="e">
        <f>IF(ISTEXT(('DE récap'!P_1_80 'DE récap'!Qté)),0,('DE récap'!P_1_80 'DE récap'!Qté))</f>
        <v>#NAME?</v>
      </c>
      <c r="C81" s="356" t="e">
        <f>('DE récap'!P_1_80 'DE récap'!PU)</f>
        <v>#NAME?</v>
      </c>
      <c r="D81" s="356" t="e">
        <f>IF(ISTEXT(('DE récap'!P_1_80 'DE récap'!MT)),0,('DE récap'!P_1_80 'DE récap'!MT))</f>
        <v>#NAME?</v>
      </c>
    </row>
    <row r="82" spans="1:4" x14ac:dyDescent="0.2">
      <c r="A82" s="355" t="s">
        <v>602</v>
      </c>
      <c r="B82" s="356" t="e">
        <f>IF(ISTEXT(('DE récap'!P_1_81 'DE récap'!Qté)),0,('DE récap'!P_1_81 'DE récap'!Qté))</f>
        <v>#NAME?</v>
      </c>
      <c r="C82" s="356" t="e">
        <f>('DE récap'!P_1_81 'DE récap'!PU)</f>
        <v>#NAME?</v>
      </c>
      <c r="D82" s="356" t="e">
        <f>IF(ISTEXT(('DE récap'!P_1_81 'DE récap'!MT)),0,('DE récap'!P_1_81 'DE récap'!MT))</f>
        <v>#NAME?</v>
      </c>
    </row>
    <row r="83" spans="1:4" x14ac:dyDescent="0.2">
      <c r="A83" s="355" t="s">
        <v>603</v>
      </c>
      <c r="B83" s="356" t="e">
        <f>IF(ISTEXT(('DE récap'!P_1_82 'DE récap'!Qté)),0,('DE récap'!P_1_82 'DE récap'!Qté))</f>
        <v>#NAME?</v>
      </c>
      <c r="C83" s="356" t="e">
        <f>('DE récap'!P_1_82 'DE récap'!PU)</f>
        <v>#NAME?</v>
      </c>
      <c r="D83" s="356" t="e">
        <f>IF(ISTEXT(('DE récap'!P_1_82 'DE récap'!MT)),0,('DE récap'!P_1_82 'DE récap'!MT))</f>
        <v>#NAME?</v>
      </c>
    </row>
    <row r="84" spans="1:4" x14ac:dyDescent="0.2">
      <c r="A84" s="355" t="s">
        <v>604</v>
      </c>
      <c r="B84" s="356" t="e">
        <f>IF(ISTEXT(('DE récap'!P_1_83 'DE récap'!Qté)),0,('DE récap'!P_1_83 'DE récap'!Qté))</f>
        <v>#NAME?</v>
      </c>
      <c r="C84" s="356" t="e">
        <f>('DE récap'!P_1_83 'DE récap'!PU)</f>
        <v>#NAME?</v>
      </c>
      <c r="D84" s="356" t="e">
        <f>IF(ISTEXT(('DE récap'!P_1_83 'DE récap'!MT)),0,('DE récap'!P_1_83 'DE récap'!MT))</f>
        <v>#NAME?</v>
      </c>
    </row>
    <row r="85" spans="1:4" x14ac:dyDescent="0.2">
      <c r="A85" s="355" t="s">
        <v>605</v>
      </c>
      <c r="B85" s="356" t="e">
        <f>IF(ISTEXT(('DE récap'!P_1_84 'DE récap'!Qté)),0,('DE récap'!P_1_84 'DE récap'!Qté))</f>
        <v>#NAME?</v>
      </c>
      <c r="C85" s="356" t="e">
        <f>('DE récap'!P_1_84 'DE récap'!PU)</f>
        <v>#NAME?</v>
      </c>
      <c r="D85" s="356" t="e">
        <f>IF(ISTEXT(('DE récap'!P_1_84 'DE récap'!MT)),0,('DE récap'!P_1_84 'DE récap'!MT))</f>
        <v>#NAME?</v>
      </c>
    </row>
    <row r="86" spans="1:4" x14ac:dyDescent="0.2">
      <c r="A86" s="355" t="s">
        <v>606</v>
      </c>
      <c r="B86" s="356" t="e">
        <f>IF(ISTEXT(('DE récap'!P_1_85 'DE récap'!Qté)),0,('DE récap'!P_1_85 'DE récap'!Qté))</f>
        <v>#NAME?</v>
      </c>
      <c r="C86" s="356" t="e">
        <f>('DE récap'!P_1_85 'DE récap'!PU)</f>
        <v>#NAME?</v>
      </c>
      <c r="D86" s="356" t="e">
        <f>IF(ISTEXT(('DE récap'!P_1_85 'DE récap'!MT)),0,('DE récap'!P_1_85 'DE récap'!MT))</f>
        <v>#NAME?</v>
      </c>
    </row>
    <row r="87" spans="1:4" x14ac:dyDescent="0.2">
      <c r="A87" s="355" t="s">
        <v>607</v>
      </c>
      <c r="B87" s="356" t="e">
        <f>IF(ISTEXT(('DE récap'!P_1_86 'DE récap'!Qté)),0,('DE récap'!P_1_86 'DE récap'!Qté))</f>
        <v>#NAME?</v>
      </c>
      <c r="C87" s="356" t="e">
        <f>('DE récap'!P_1_86 'DE récap'!PU)</f>
        <v>#NAME?</v>
      </c>
      <c r="D87" s="356" t="e">
        <f>IF(ISTEXT(('DE récap'!P_1_86 'DE récap'!MT)),0,('DE récap'!P_1_86 'DE récap'!MT))</f>
        <v>#NAME?</v>
      </c>
    </row>
    <row r="88" spans="1:4" x14ac:dyDescent="0.2">
      <c r="A88" s="355" t="s">
        <v>608</v>
      </c>
      <c r="B88" s="356" t="e">
        <f>IF(ISTEXT(('DE récap'!P_1_87 'DE récap'!Qté)),0,('DE récap'!P_1_87 'DE récap'!Qté))</f>
        <v>#NAME?</v>
      </c>
      <c r="C88" s="356" t="e">
        <f>('DE récap'!P_1_87 'DE récap'!PU)</f>
        <v>#NAME?</v>
      </c>
      <c r="D88" s="356" t="e">
        <f>IF(ISTEXT(('DE récap'!P_1_87 'DE récap'!MT)),0,('DE récap'!P_1_87 'DE récap'!MT))</f>
        <v>#NAME?</v>
      </c>
    </row>
    <row r="89" spans="1:4" x14ac:dyDescent="0.2">
      <c r="A89" s="355" t="s">
        <v>609</v>
      </c>
      <c r="B89" s="356" t="e">
        <f>IF(ISTEXT(('DE récap'!P_1_88 'DE récap'!Qté)),0,('DE récap'!P_1_88 'DE récap'!Qté))</f>
        <v>#NAME?</v>
      </c>
      <c r="C89" s="356" t="e">
        <f>('DE récap'!P_1_88 'DE récap'!PU)</f>
        <v>#NAME?</v>
      </c>
      <c r="D89" s="356" t="e">
        <f>IF(ISTEXT(('DE récap'!P_1_88 'DE récap'!MT)),0,('DE récap'!P_1_88 'DE récap'!MT))</f>
        <v>#NAME?</v>
      </c>
    </row>
    <row r="90" spans="1:4" x14ac:dyDescent="0.2">
      <c r="A90" s="355" t="s">
        <v>610</v>
      </c>
      <c r="B90" s="356" t="e">
        <f>IF(ISTEXT(('DE récap'!P_1_89 'DE récap'!Qté)),0,('DE récap'!P_1_89 'DE récap'!Qté))</f>
        <v>#NAME?</v>
      </c>
      <c r="C90" s="356" t="e">
        <f>('DE récap'!P_1_89 'DE récap'!PU)</f>
        <v>#NAME?</v>
      </c>
      <c r="D90" s="356" t="e">
        <f>IF(ISTEXT(('DE récap'!P_1_89 'DE récap'!MT)),0,('DE récap'!P_1_89 'DE récap'!MT))</f>
        <v>#NAME?</v>
      </c>
    </row>
    <row r="91" spans="1:4" x14ac:dyDescent="0.2">
      <c r="A91" s="355" t="s">
        <v>611</v>
      </c>
      <c r="B91" s="356" t="e">
        <f>IF(ISTEXT(('DE récap'!P_1_90 'DE récap'!Qté)),0,('DE récap'!P_1_90 'DE récap'!Qté))</f>
        <v>#NAME?</v>
      </c>
      <c r="C91" s="356" t="e">
        <f>('DE récap'!P_1_90 'DE récap'!PU)</f>
        <v>#NAME?</v>
      </c>
      <c r="D91" s="356" t="e">
        <f>IF(ISTEXT(('DE récap'!P_1_90 'DE récap'!MT)),0,('DE récap'!P_1_90 'DE récap'!MT))</f>
        <v>#NAME?</v>
      </c>
    </row>
    <row r="92" spans="1:4" x14ac:dyDescent="0.2">
      <c r="A92" s="355" t="s">
        <v>612</v>
      </c>
      <c r="B92" s="356" t="e">
        <f>IF(ISTEXT(('DE récap'!P_1_91 'DE récap'!Qté)),0,('DE récap'!P_1_91 'DE récap'!Qté))</f>
        <v>#NAME?</v>
      </c>
      <c r="C92" s="356" t="e">
        <f>('DE récap'!P_1_91 'DE récap'!PU)</f>
        <v>#NAME?</v>
      </c>
      <c r="D92" s="356" t="e">
        <f>IF(ISTEXT(('DE récap'!P_1_91 'DE récap'!MT)),0,('DE récap'!P_1_91 'DE récap'!MT))</f>
        <v>#NAME?</v>
      </c>
    </row>
    <row r="93" spans="1:4" x14ac:dyDescent="0.2">
      <c r="A93" s="355" t="s">
        <v>613</v>
      </c>
      <c r="B93" s="356" t="e">
        <f>IF(ISTEXT(('DE récap'!P_1_92 'DE récap'!Qté)),0,('DE récap'!P_1_92 'DE récap'!Qté))</f>
        <v>#NAME?</v>
      </c>
      <c r="C93" s="356" t="e">
        <f>('DE récap'!P_1_92 'DE récap'!PU)</f>
        <v>#NAME?</v>
      </c>
      <c r="D93" s="356" t="e">
        <f>IF(ISTEXT(('DE récap'!P_1_92 'DE récap'!MT)),0,('DE récap'!P_1_92 'DE récap'!MT))</f>
        <v>#NAME?</v>
      </c>
    </row>
    <row r="94" spans="1:4" x14ac:dyDescent="0.2">
      <c r="A94" s="355" t="s">
        <v>614</v>
      </c>
      <c r="B94" s="356" t="e">
        <f>IF(ISTEXT(('DE récap'!P_1_93 'DE récap'!Qté)),0,('DE récap'!P_1_93 'DE récap'!Qté))</f>
        <v>#NAME?</v>
      </c>
      <c r="C94" s="356" t="e">
        <f>('DE récap'!P_1_93 'DE récap'!PU)</f>
        <v>#NAME?</v>
      </c>
      <c r="D94" s="356" t="e">
        <f>IF(ISTEXT(('DE récap'!P_1_93 'DE récap'!MT)),0,('DE récap'!P_1_93 'DE récap'!MT))</f>
        <v>#NAME?</v>
      </c>
    </row>
    <row r="95" spans="1:4" x14ac:dyDescent="0.2">
      <c r="A95" s="355" t="s">
        <v>615</v>
      </c>
      <c r="B95" s="356" t="e">
        <f>IF(ISTEXT(('DE récap'!P_1_94 'DE récap'!Qté)),0,('DE récap'!P_1_94 'DE récap'!Qté))</f>
        <v>#NAME?</v>
      </c>
      <c r="C95" s="356" t="e">
        <f>('DE récap'!P_1_94 'DE récap'!PU)</f>
        <v>#NAME?</v>
      </c>
      <c r="D95" s="356" t="e">
        <f>IF(ISTEXT(('DE récap'!P_1_94 'DE récap'!MT)),0,('DE récap'!P_1_94 'DE récap'!MT))</f>
        <v>#NAME?</v>
      </c>
    </row>
    <row r="96" spans="1:4" x14ac:dyDescent="0.2">
      <c r="A96" s="355" t="s">
        <v>616</v>
      </c>
      <c r="B96" s="356" t="e">
        <f>IF(ISTEXT(('DE récap'!P_1_95 'DE récap'!Qté)),0,('DE récap'!P_1_95 'DE récap'!Qté))</f>
        <v>#NAME?</v>
      </c>
      <c r="C96" s="356" t="e">
        <f>('DE récap'!P_1_95 'DE récap'!PU)</f>
        <v>#NAME?</v>
      </c>
      <c r="D96" s="356" t="e">
        <f>IF(ISTEXT(('DE récap'!P_1_95 'DE récap'!MT)),0,('DE récap'!P_1_95 'DE récap'!MT))</f>
        <v>#NAME?</v>
      </c>
    </row>
    <row r="97" spans="1:4" x14ac:dyDescent="0.2">
      <c r="A97" s="355" t="s">
        <v>617</v>
      </c>
      <c r="B97" s="356" t="e">
        <f>IF(ISTEXT(('DE récap'!P_1_96 'DE récap'!Qté)),0,('DE récap'!P_1_96 'DE récap'!Qté))</f>
        <v>#NAME?</v>
      </c>
      <c r="C97" s="356" t="e">
        <f>('DE récap'!P_1_96 'DE récap'!PU)</f>
        <v>#NAME?</v>
      </c>
      <c r="D97" s="356" t="e">
        <f>IF(ISTEXT(('DE récap'!P_1_96 'DE récap'!MT)),0,('DE récap'!P_1_96 'DE récap'!MT))</f>
        <v>#NAME?</v>
      </c>
    </row>
    <row r="98" spans="1:4" x14ac:dyDescent="0.2">
      <c r="A98" s="355" t="s">
        <v>618</v>
      </c>
      <c r="B98" s="356" t="e">
        <f>IF(ISTEXT(('DE récap'!P_1_97 'DE récap'!Qté)),0,('DE récap'!P_1_97 'DE récap'!Qté))</f>
        <v>#NAME?</v>
      </c>
      <c r="C98" s="356" t="e">
        <f>('DE récap'!P_1_97 'DE récap'!PU)</f>
        <v>#NAME?</v>
      </c>
      <c r="D98" s="356" t="e">
        <f>IF(ISTEXT(('DE récap'!P_1_97 'DE récap'!MT)),0,('DE récap'!P_1_97 'DE récap'!MT))</f>
        <v>#NAME?</v>
      </c>
    </row>
    <row r="99" spans="1:4" x14ac:dyDescent="0.2">
      <c r="A99" s="355" t="s">
        <v>619</v>
      </c>
      <c r="B99" s="356" t="e">
        <f>IF(ISTEXT(('DE récap'!P_1_98 'DE récap'!Qté)),0,('DE récap'!P_1_98 'DE récap'!Qté))</f>
        <v>#NAME?</v>
      </c>
      <c r="C99" s="356" t="e">
        <f>('DE récap'!P_1_98 'DE récap'!PU)</f>
        <v>#NAME?</v>
      </c>
      <c r="D99" s="356" t="e">
        <f>IF(ISTEXT(('DE récap'!P_1_98 'DE récap'!MT)),0,('DE récap'!P_1_98 'DE récap'!MT))</f>
        <v>#NAME?</v>
      </c>
    </row>
    <row r="100" spans="1:4" x14ac:dyDescent="0.2">
      <c r="A100" s="355" t="s">
        <v>620</v>
      </c>
      <c r="B100" s="356" t="e">
        <f>IF(ISTEXT(('DE récap'!P_1_99 'DE récap'!Qté)),0,('DE récap'!P_1_99 'DE récap'!Qté))</f>
        <v>#NAME?</v>
      </c>
      <c r="C100" s="356" t="e">
        <f>('DE récap'!P_1_99 'DE récap'!PU)</f>
        <v>#NAME?</v>
      </c>
      <c r="D100" s="356" t="e">
        <f>IF(ISTEXT(('DE récap'!P_1_99 'DE récap'!MT)),0,('DE récap'!P_1_99 'DE récap'!MT))</f>
        <v>#NAME?</v>
      </c>
    </row>
    <row r="101" spans="1:4" x14ac:dyDescent="0.2">
      <c r="A101" s="355" t="s">
        <v>621</v>
      </c>
      <c r="B101" s="356" t="e">
        <f>IF(ISTEXT(('DE récap'!P_1_100 'DE récap'!Qté)),0,('DE récap'!P_1_100 'DE récap'!Qté))</f>
        <v>#NAME?</v>
      </c>
      <c r="C101" s="356" t="e">
        <f>('DE récap'!P_1_100 'DE récap'!PU)</f>
        <v>#NAME?</v>
      </c>
      <c r="D101" s="356" t="e">
        <f>IF(ISTEXT(('DE récap'!P_1_100 'DE récap'!MT)),0,('DE récap'!P_1_100 'DE récap'!MT))</f>
        <v>#NAME?</v>
      </c>
    </row>
    <row r="102" spans="1:4" x14ac:dyDescent="0.2">
      <c r="A102" s="355" t="s">
        <v>622</v>
      </c>
      <c r="B102" s="356" t="e">
        <f>IF(ISTEXT(('DE récap'!P_1_101 'DE récap'!Qté)),0,('DE récap'!P_1_101 'DE récap'!Qté))</f>
        <v>#NAME?</v>
      </c>
      <c r="C102" s="356" t="e">
        <f>('DE récap'!P_1_101 'DE récap'!PU)</f>
        <v>#NAME?</v>
      </c>
      <c r="D102" s="356" t="e">
        <f>IF(ISTEXT(('DE récap'!P_1_101 'DE récap'!MT)),0,('DE récap'!P_1_101 'DE récap'!MT))</f>
        <v>#NAME?</v>
      </c>
    </row>
    <row r="103" spans="1:4" x14ac:dyDescent="0.2">
      <c r="A103" s="355" t="s">
        <v>623</v>
      </c>
      <c r="B103" s="356" t="e">
        <f>IF(ISTEXT(('DE récap'!P_1_102 'DE récap'!Qté)),0,('DE récap'!P_1_102 'DE récap'!Qté))</f>
        <v>#NAME?</v>
      </c>
      <c r="C103" s="356" t="e">
        <f>('DE récap'!P_1_102 'DE récap'!PU)</f>
        <v>#NAME?</v>
      </c>
      <c r="D103" s="356" t="e">
        <f>IF(ISTEXT(('DE récap'!P_1_102 'DE récap'!MT)),0,('DE récap'!P_1_102 'DE récap'!MT))</f>
        <v>#NAME?</v>
      </c>
    </row>
    <row r="104" spans="1:4" x14ac:dyDescent="0.2">
      <c r="A104" s="355" t="s">
        <v>624</v>
      </c>
      <c r="B104" s="356" t="e">
        <f>IF(ISTEXT(('DE récap'!P_1_103 'DE récap'!Qté)),0,('DE récap'!P_1_103 'DE récap'!Qté))</f>
        <v>#NAME?</v>
      </c>
      <c r="C104" s="356" t="e">
        <f>('DE récap'!P_1_103 'DE récap'!PU)</f>
        <v>#NAME?</v>
      </c>
      <c r="D104" s="356" t="e">
        <f>IF(ISTEXT(('DE récap'!P_1_103 'DE récap'!MT)),0,('DE récap'!P_1_103 'DE récap'!MT))</f>
        <v>#NAME?</v>
      </c>
    </row>
    <row r="105" spans="1:4" x14ac:dyDescent="0.2">
      <c r="A105" s="355" t="s">
        <v>625</v>
      </c>
      <c r="B105" s="356" t="e">
        <f>IF(ISTEXT(('DE récap'!P_1_104 'DE récap'!Qté)),0,('DE récap'!P_1_104 'DE récap'!Qté))</f>
        <v>#NAME?</v>
      </c>
      <c r="C105" s="356" t="e">
        <f>('DE récap'!P_1_104 'DE récap'!PU)</f>
        <v>#NAME?</v>
      </c>
      <c r="D105" s="356" t="e">
        <f>IF(ISTEXT(('DE récap'!P_1_104 'DE récap'!MT)),0,('DE récap'!P_1_104 'DE récap'!MT))</f>
        <v>#NAME?</v>
      </c>
    </row>
    <row r="106" spans="1:4" x14ac:dyDescent="0.2">
      <c r="A106" s="355" t="s">
        <v>626</v>
      </c>
      <c r="B106" s="356" t="e">
        <f>IF(ISTEXT(('DE récap'!P_1_105 'DE récap'!Qté)),0,('DE récap'!P_1_105 'DE récap'!Qté))</f>
        <v>#NAME?</v>
      </c>
      <c r="C106" s="356" t="e">
        <f>('DE récap'!P_1_105 'DE récap'!PU)</f>
        <v>#NAME?</v>
      </c>
      <c r="D106" s="356" t="e">
        <f>IF(ISTEXT(('DE récap'!P_1_105 'DE récap'!MT)),0,('DE récap'!P_1_105 'DE récap'!MT))</f>
        <v>#NAME?</v>
      </c>
    </row>
    <row r="107" spans="1:4" x14ac:dyDescent="0.2">
      <c r="A107" s="355" t="s">
        <v>627</v>
      </c>
      <c r="B107" s="356" t="e">
        <f>IF(ISTEXT(('DE récap'!P_1_106 'DE récap'!Qté)),0,('DE récap'!P_1_106 'DE récap'!Qté))</f>
        <v>#NAME?</v>
      </c>
      <c r="C107" s="356" t="e">
        <f>('DE récap'!P_1_106 'DE récap'!PU)</f>
        <v>#NAME?</v>
      </c>
      <c r="D107" s="356" t="e">
        <f>IF(ISTEXT(('DE récap'!P_1_106 'DE récap'!MT)),0,('DE récap'!P_1_106 'DE récap'!MT))</f>
        <v>#NAME?</v>
      </c>
    </row>
    <row r="108" spans="1:4" x14ac:dyDescent="0.2">
      <c r="A108" s="355" t="s">
        <v>628</v>
      </c>
      <c r="B108" s="356" t="e">
        <f>IF(ISTEXT(('DE récap'!P_1_107 'DE récap'!Qté)),0,('DE récap'!P_1_107 'DE récap'!Qté))</f>
        <v>#NAME?</v>
      </c>
      <c r="C108" s="356" t="e">
        <f>('DE récap'!P_1_107 'DE récap'!PU)</f>
        <v>#NAME?</v>
      </c>
      <c r="D108" s="356" t="e">
        <f>IF(ISTEXT(('DE récap'!P_1_107 'DE récap'!MT)),0,('DE récap'!P_1_107 'DE récap'!MT))</f>
        <v>#NAME?</v>
      </c>
    </row>
    <row r="109" spans="1:4" x14ac:dyDescent="0.2">
      <c r="A109" s="355" t="s">
        <v>629</v>
      </c>
      <c r="B109" s="356" t="e">
        <f>IF(ISTEXT(('DE récap'!P_1_108 'DE récap'!Qté)),0,('DE récap'!P_1_108 'DE récap'!Qté))</f>
        <v>#NAME?</v>
      </c>
      <c r="C109" s="356" t="e">
        <f>('DE récap'!P_1_108 'DE récap'!PU)</f>
        <v>#NAME?</v>
      </c>
      <c r="D109" s="356" t="e">
        <f>IF(ISTEXT(('DE récap'!P_1_108 'DE récap'!MT)),0,('DE récap'!P_1_108 'DE récap'!MT))</f>
        <v>#NAME?</v>
      </c>
    </row>
    <row r="110" spans="1:4" x14ac:dyDescent="0.2">
      <c r="A110" s="355" t="s">
        <v>630</v>
      </c>
      <c r="B110" s="356" t="e">
        <f>IF(ISTEXT(('DE récap'!P_1_109 'DE récap'!Qté)),0,('DE récap'!P_1_109 'DE récap'!Qté))</f>
        <v>#NAME?</v>
      </c>
      <c r="C110" s="356" t="e">
        <f>('DE récap'!P_1_109 'DE récap'!PU)</f>
        <v>#NAME?</v>
      </c>
      <c r="D110" s="356" t="e">
        <f>IF(ISTEXT(('DE récap'!P_1_109 'DE récap'!MT)),0,('DE récap'!P_1_109 'DE récap'!MT))</f>
        <v>#NAME?</v>
      </c>
    </row>
    <row r="111" spans="1:4" x14ac:dyDescent="0.2">
      <c r="A111" s="355" t="s">
        <v>631</v>
      </c>
      <c r="B111" s="356" t="e">
        <f>IF(ISTEXT(('DE récap'!P_1_110 'DE récap'!Qté)),0,('DE récap'!P_1_110 'DE récap'!Qté))</f>
        <v>#NAME?</v>
      </c>
      <c r="C111" s="356" t="e">
        <f>('DE récap'!P_1_110 'DE récap'!PU)</f>
        <v>#NAME?</v>
      </c>
      <c r="D111" s="356" t="e">
        <f>IF(ISTEXT(('DE récap'!P_1_110 'DE récap'!MT)),0,('DE récap'!P_1_110 'DE récap'!MT))</f>
        <v>#NAME?</v>
      </c>
    </row>
    <row r="112" spans="1:4" x14ac:dyDescent="0.2">
      <c r="A112" s="355" t="s">
        <v>632</v>
      </c>
      <c r="B112" s="356" t="e">
        <f>IF(ISTEXT(('DE récap'!P_1_111 'DE récap'!Qté)),0,('DE récap'!P_1_111 'DE récap'!Qté))</f>
        <v>#NAME?</v>
      </c>
      <c r="C112" s="356" t="e">
        <f>('DE récap'!P_1_111 'DE récap'!PU)</f>
        <v>#NAME?</v>
      </c>
      <c r="D112" s="356" t="e">
        <f>IF(ISTEXT(('DE récap'!P_1_111 'DE récap'!MT)),0,('DE récap'!P_1_111 'DE récap'!MT))</f>
        <v>#NAME?</v>
      </c>
    </row>
    <row r="113" spans="1:4" x14ac:dyDescent="0.2">
      <c r="A113" s="355" t="s">
        <v>633</v>
      </c>
      <c r="B113" s="356" t="e">
        <f>IF(ISTEXT(('DE récap'!P_1_112 'DE récap'!Qté)),0,('DE récap'!P_1_112 'DE récap'!Qté))</f>
        <v>#NAME?</v>
      </c>
      <c r="C113" s="356" t="e">
        <f>('DE récap'!P_1_112 'DE récap'!PU)</f>
        <v>#NAME?</v>
      </c>
      <c r="D113" s="356" t="e">
        <f>IF(ISTEXT(('DE récap'!P_1_112 'DE récap'!MT)),0,('DE récap'!P_1_112 'DE récap'!MT))</f>
        <v>#NAME?</v>
      </c>
    </row>
    <row r="114" spans="1:4" x14ac:dyDescent="0.2">
      <c r="A114" s="355" t="s">
        <v>634</v>
      </c>
      <c r="B114" s="356" t="e">
        <f>IF(ISTEXT(('DE récap'!P_1_113 'DE récap'!Qté)),0,('DE récap'!P_1_113 'DE récap'!Qté))</f>
        <v>#NAME?</v>
      </c>
      <c r="C114" s="356" t="e">
        <f>('DE récap'!P_1_113 'DE récap'!PU)</f>
        <v>#NAME?</v>
      </c>
      <c r="D114" s="356" t="e">
        <f>IF(ISTEXT(('DE récap'!P_1_113 'DE récap'!MT)),0,('DE récap'!P_1_113 'DE récap'!MT))</f>
        <v>#NAME?</v>
      </c>
    </row>
    <row r="115" spans="1:4" x14ac:dyDescent="0.2">
      <c r="A115" s="355" t="s">
        <v>635</v>
      </c>
      <c r="B115" s="356" t="e">
        <f>IF(ISTEXT(('DE récap'!P_1_114 'DE récap'!Qté)),0,('DE récap'!P_1_114 'DE récap'!Qté))</f>
        <v>#NAME?</v>
      </c>
      <c r="C115" s="356" t="e">
        <f>('DE récap'!P_1_114 'DE récap'!PU)</f>
        <v>#NAME?</v>
      </c>
      <c r="D115" s="356" t="e">
        <f>IF(ISTEXT(('DE récap'!P_1_114 'DE récap'!MT)),0,('DE récap'!P_1_114 'DE récap'!MT))</f>
        <v>#NAME?</v>
      </c>
    </row>
    <row r="116" spans="1:4" x14ac:dyDescent="0.2">
      <c r="A116" s="355" t="s">
        <v>636</v>
      </c>
      <c r="B116" s="356" t="e">
        <f>IF(ISTEXT(('DE récap'!P_1_115 'DE récap'!Qté)),0,('DE récap'!P_1_115 'DE récap'!Qté))</f>
        <v>#NAME?</v>
      </c>
      <c r="C116" s="356" t="e">
        <f>('DE récap'!P_1_115 'DE récap'!PU)</f>
        <v>#NAME?</v>
      </c>
      <c r="D116" s="356" t="e">
        <f>IF(ISTEXT(('DE récap'!P_1_115 'DE récap'!MT)),0,('DE récap'!P_1_115 'DE récap'!MT))</f>
        <v>#NAME?</v>
      </c>
    </row>
    <row r="117" spans="1:4" x14ac:dyDescent="0.2">
      <c r="A117" s="355" t="s">
        <v>637</v>
      </c>
      <c r="B117" s="356" t="e">
        <f>IF(ISTEXT(('DE récap'!HT_0_HT01 'DE récap'!Qté)),0,('DE récap'!HT_0_HT01 'DE récap'!Qté))</f>
        <v>#NAME?</v>
      </c>
      <c r="C117" s="356" t="e">
        <f>('DE récap'!HT_0_HT01 'DE récap'!PU)</f>
        <v>#NAME?</v>
      </c>
      <c r="D117" s="356" t="e">
        <f>IF(ISTEXT(('DE récap'!HT_0_HT01 'DE récap'!MT)),0,('DE récap'!HT_0_HT01 'DE récap'!MT))</f>
        <v>#NAME?</v>
      </c>
    </row>
    <row r="118" spans="1:4" x14ac:dyDescent="0.2">
      <c r="A118" s="355" t="s">
        <v>638</v>
      </c>
      <c r="B118" s="356" t="e">
        <f>IF(ISTEXT(('DE récap'!TVA_0_TVA01 'DE récap'!Qté)),0,('DE récap'!TVA_0_TVA01 'DE récap'!Qté))</f>
        <v>#NAME?</v>
      </c>
      <c r="C118" s="356" t="e">
        <f>('DE récap'!TVA_0_TVA01 'DE récap'!PU)</f>
        <v>#NAME?</v>
      </c>
      <c r="D118" s="356" t="e">
        <f>IF(ISTEXT(('DE récap'!TVA_0_TVA01 'DE récap'!MT)),0,('DE récap'!TVA_0_TVA01 'DE récap'!MT))</f>
        <v>#NAME?</v>
      </c>
    </row>
    <row r="119" spans="1:4" x14ac:dyDescent="0.2">
      <c r="A119" s="355" t="s">
        <v>639</v>
      </c>
      <c r="B119" s="356" t="e">
        <f>IF(ISTEXT(('DE récap'!TTC_0_TTC01 'DE récap'!Qté)),0,('DE récap'!TTC_0_TTC01 'DE récap'!Qté))</f>
        <v>#NAME?</v>
      </c>
      <c r="C119" s="356" t="e">
        <f>('DE récap'!TTC_0_TTC01 'DE récap'!PU)</f>
        <v>#NAME?</v>
      </c>
      <c r="D119" s="356" t="e">
        <f>IF(ISTEXT(('DE récap'!TTC_0_TTC01 'DE récap'!MT)),0,('DE récap'!TTC_0_TTC01 'DE récap'!MT))</f>
        <v>#NAME?</v>
      </c>
    </row>
    <row r="120" spans="1:4" x14ac:dyDescent="0.2">
      <c r="A120" s="354" t="s">
        <v>640</v>
      </c>
      <c r="B120" s="357" t="e">
        <f>'DE récap'!#REF!</f>
        <v>#REF!</v>
      </c>
      <c r="C120" s="355" t="e">
        <f>'DE récap'!#REF!</f>
        <v>#REF!</v>
      </c>
      <c r="D120" s="354">
        <v>0</v>
      </c>
    </row>
  </sheetData>
  <phoneticPr fontId="0" type="noConversion"/>
  <pageMargins left="0.78740157499999996" right="0.78740157499999996" top="0.984251969" bottom="0.984251969" header="0.4921259845" footer="0.492125984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30AF11C403A640B29F45A2B63E3719" ma:contentTypeVersion="21" ma:contentTypeDescription="Crée un document." ma:contentTypeScope="" ma:versionID="493038c8679ba3e8da33a099b07487fc">
  <xsd:schema xmlns:xsd="http://www.w3.org/2001/XMLSchema" xmlns:xs="http://www.w3.org/2001/XMLSchema" xmlns:p="http://schemas.microsoft.com/office/2006/metadata/properties" xmlns:ns2="945804f7-83d4-4a57-af6b-81ce6dff3398" xmlns:ns3="62183745-74a8-4b6e-b10e-270d2bf409aa" targetNamespace="http://schemas.microsoft.com/office/2006/metadata/properties" ma:root="true" ma:fieldsID="2c3b209fe50b051507b43e8c68ec75da" ns2:_="" ns3:_="">
    <xsd:import namespace="945804f7-83d4-4a57-af6b-81ce6dff3398"/>
    <xsd:import namespace="62183745-74a8-4b6e-b10e-270d2bf409a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5804f7-83d4-4a57-af6b-81ce6dff33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07e0b37e-9e4a-4dc7-9c3e-6a51280a3c3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183745-74a8-4b6e-b10e-270d2bf409aa"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5e0e49b6-7fc9-46db-aa36-10e754c98948}" ma:internalName="TaxCatchAll" ma:showField="CatchAllData" ma:web="62183745-74a8-4b6e-b10e-270d2bf409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45804f7-83d4-4a57-af6b-81ce6dff3398">
      <Terms xmlns="http://schemas.microsoft.com/office/infopath/2007/PartnerControls"/>
    </lcf76f155ced4ddcb4097134ff3c332f>
    <TaxCatchAll xmlns="62183745-74a8-4b6e-b10e-270d2bf409a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193C82-165F-4E44-87DF-E795BE84E9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5804f7-83d4-4a57-af6b-81ce6dff3398"/>
    <ds:schemaRef ds:uri="62183745-74a8-4b6e-b10e-270d2bf409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F45C6C-8E93-4351-AC7D-25345E739708}">
  <ds:schemaRefs>
    <ds:schemaRef ds:uri="http://schemas.microsoft.com/office/2006/metadata/properties"/>
    <ds:schemaRef ds:uri="http://schemas.microsoft.com/office/infopath/2007/PartnerControls"/>
    <ds:schemaRef ds:uri="945804f7-83d4-4a57-af6b-81ce6dff3398"/>
    <ds:schemaRef ds:uri="62183745-74a8-4b6e-b10e-270d2bf409aa"/>
  </ds:schemaRefs>
</ds:datastoreItem>
</file>

<file path=customXml/itemProps3.xml><?xml version="1.0" encoding="utf-8"?>
<ds:datastoreItem xmlns:ds="http://schemas.openxmlformats.org/officeDocument/2006/customXml" ds:itemID="{FE3B045E-7B29-4912-B024-6938D9743C2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14</vt:i4>
      </vt:variant>
    </vt:vector>
  </HeadingPairs>
  <TitlesOfParts>
    <vt:vector size="25" baseType="lpstr">
      <vt:lpstr>modele</vt:lpstr>
      <vt:lpstr>Personnel</vt:lpstr>
      <vt:lpstr>Materiel</vt:lpstr>
      <vt:lpstr>Fourn</vt:lpstr>
      <vt:lpstr>Loc</vt:lpstr>
      <vt:lpstr>Coeff</vt:lpstr>
      <vt:lpstr>DE récap</vt:lpstr>
      <vt:lpstr>10B 11 702 00</vt:lpstr>
      <vt:lpstr>20C 11 400 00</vt:lpstr>
      <vt:lpstr>modele (3)</vt:lpstr>
      <vt:lpstr>COEX1det</vt:lpstr>
      <vt:lpstr>FOD</vt:lpstr>
      <vt:lpstr>GO</vt:lpstr>
      <vt:lpstr>'DE récap'!Impression_des_titres</vt:lpstr>
      <vt:lpstr>ListeFournitures</vt:lpstr>
      <vt:lpstr>ListeLocations</vt:lpstr>
      <vt:lpstr>Fourn!ListeMachine</vt:lpstr>
      <vt:lpstr>Loc!ListeMachine</vt:lpstr>
      <vt:lpstr>Personnel!ListeMachine</vt:lpstr>
      <vt:lpstr>ListeMachine</vt:lpstr>
      <vt:lpstr>ListePersonnel</vt:lpstr>
      <vt:lpstr>'10B 11 702 00'!Zone_d_impression</vt:lpstr>
      <vt:lpstr>'20C 11 400 00'!Zone_d_impression</vt:lpstr>
      <vt:lpstr>modele!Zone_d_impression</vt:lpstr>
      <vt:lpstr>'modele (3)'!Zone_d_impression</vt:lpstr>
    </vt:vector>
  </TitlesOfParts>
  <Manager/>
  <Company>Edisys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DQE_lot1</dc:title>
  <dc:subject/>
  <dc:creator>kersley</dc:creator>
  <cp:keywords/>
  <dc:description>Numéro du dossier : 1525434</dc:description>
  <cp:lastModifiedBy>Nicolas Roussille</cp:lastModifiedBy>
  <cp:revision/>
  <dcterms:created xsi:type="dcterms:W3CDTF">2011-03-03T19:14:56Z</dcterms:created>
  <dcterms:modified xsi:type="dcterms:W3CDTF">2025-06-17T14:02:28Z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atDebT">
    <vt:lpwstr>03/03/2011 09:51:25</vt:lpwstr>
  </property>
  <property fmtid="{D5CDD505-2E9C-101B-9397-08002B2CF9AE}" pid="3" name="NomStd">
    <vt:lpwstr>COEX1</vt:lpwstr>
  </property>
  <property fmtid="{D5CDD505-2E9C-101B-9397-08002B2CF9AE}" pid="4" name="MT_DET">
    <vt:lpwstr>=Qté_DET*PU_DET</vt:lpwstr>
  </property>
  <property fmtid="{D5CDD505-2E9C-101B-9397-08002B2CF9AE}" pid="5" name="NumDossier">
    <vt:lpwstr>1525434</vt:lpwstr>
  </property>
  <property fmtid="{D5CDD505-2E9C-101B-9397-08002B2CF9AE}" pid="6" name="TVA">
    <vt:lpwstr>0.196</vt:lpwstr>
  </property>
  <property fmtid="{D5CDD505-2E9C-101B-9397-08002B2CF9AE}" pid="7" name="Unit">
    <vt:bool>false</vt:bool>
  </property>
  <property fmtid="{D5CDD505-2E9C-101B-9397-08002B2CF9AE}" pid="8" name="StdVersion">
    <vt:lpwstr>3.5.8</vt:lpwstr>
  </property>
  <property fmtid="{D5CDD505-2E9C-101B-9397-08002B2CF9AE}" pid="9" name="bRecap">
    <vt:bool>false</vt:bool>
  </property>
  <property fmtid="{D5CDD505-2E9C-101B-9397-08002B2CF9AE}" pid="10" name="DET_NbPages">
    <vt:i4>5</vt:i4>
  </property>
  <property fmtid="{D5CDD505-2E9C-101B-9397-08002B2CF9AE}" pid="11" name="DET_NbGarde">
    <vt:i4>1</vt:i4>
  </property>
  <property fmtid="{D5CDD505-2E9C-101B-9397-08002B2CF9AE}" pid="12" name="DET_Orient">
    <vt:lpwstr>portrait</vt:lpwstr>
  </property>
  <property fmtid="{D5CDD505-2E9C-101B-9397-08002B2CF9AE}" pid="13" name="BPX_Orient">
    <vt:lpwstr>portrait</vt:lpwstr>
  </property>
  <property fmtid="{D5CDD505-2E9C-101B-9397-08002B2CF9AE}" pid="14" name="BPX_NbPages">
    <vt:i4>36</vt:i4>
  </property>
  <property fmtid="{D5CDD505-2E9C-101B-9397-08002B2CF9AE}" pid="15" name="BPX_NbGarde">
    <vt:i4>1</vt:i4>
  </property>
  <property fmtid="{D5CDD505-2E9C-101B-9397-08002B2CF9AE}" pid="16" name="BPX_Type">
    <vt:i4>1</vt:i4>
  </property>
  <property fmtid="{D5CDD505-2E9C-101B-9397-08002B2CF9AE}" pid="17" name="EtapEnCours">
    <vt:i4>6</vt:i4>
  </property>
  <property fmtid="{D5CDD505-2E9C-101B-9397-08002B2CF9AE}" pid="18" name="DebutDossier">
    <vt:i4>7</vt:i4>
  </property>
  <property fmtid="{D5CDD505-2E9C-101B-9397-08002B2CF9AE}" pid="19" name="cLsiQte">
    <vt:i4>4</vt:i4>
  </property>
  <property fmtid="{D5CDD505-2E9C-101B-9397-08002B2CF9AE}" pid="20" name="cLsiPU">
    <vt:i4>5</vt:i4>
  </property>
  <property fmtid="{D5CDD505-2E9C-101B-9397-08002B2CF9AE}" pid="21" name="Déci">
    <vt:i4>2</vt:i4>
  </property>
  <property fmtid="{D5CDD505-2E9C-101B-9397-08002B2CF9AE}" pid="22" name="DDE">
    <vt:bool>false</vt:bool>
  </property>
  <property fmtid="{D5CDD505-2E9C-101B-9397-08002B2CF9AE}" pid="23" name="Romain">
    <vt:bool>false</vt:bool>
  </property>
  <property fmtid="{D5CDD505-2E9C-101B-9397-08002B2CF9AE}" pid="24" name="RecupCols">
    <vt:lpwstr>-Qté-PU-</vt:lpwstr>
  </property>
  <property fmtid="{D5CDD505-2E9C-101B-9397-08002B2CF9AE}" pid="25" name="TexteCols">
    <vt:lpwstr>-</vt:lpwstr>
  </property>
  <property fmtid="{D5CDD505-2E9C-101B-9397-08002B2CF9AE}" pid="26" name="Doublons">
    <vt:bool>false</vt:bool>
  </property>
  <property fmtid="{D5CDD505-2E9C-101B-9397-08002B2CF9AE}" pid="27" name="Liaisons">
    <vt:bool>false</vt:bool>
  </property>
  <property fmtid="{D5CDD505-2E9C-101B-9397-08002B2CF9AE}" pid="28" name="IsUpdateFiles">
    <vt:bool>false</vt:bool>
  </property>
  <property fmtid="{D5CDD505-2E9C-101B-9397-08002B2CF9AE}" pid="29" name="VisuQtte">
    <vt:lpwstr>Qté</vt:lpwstr>
  </property>
  <property fmtid="{D5CDD505-2E9C-101B-9397-08002B2CF9AE}" pid="30" name="DatFinT">
    <vt:lpwstr>03/03/2011 14:04:50</vt:lpwstr>
  </property>
  <property fmtid="{D5CDD505-2E9C-101B-9397-08002B2CF9AE}" pid="31" name="DateDebT">
    <vt:lpwstr>03/03/2011 14:04:50</vt:lpwstr>
  </property>
  <property fmtid="{D5CDD505-2E9C-101B-9397-08002B2CF9AE}" pid="32" name="DateFinT">
    <vt:lpwstr>03/03/2011 14:04:50</vt:lpwstr>
  </property>
  <property fmtid="{D5CDD505-2E9C-101B-9397-08002B2CF9AE}" pid="33" name="dateMU">
    <vt:lpwstr>1525434|03/03/2011 16:01:54|03/03/2011 09:52:54|03/03/2011 09:53:22|03/03/2011 09:53:33|03/03/2011 16:10:24|03/03/2011 14:04:29</vt:lpwstr>
  </property>
  <property fmtid="{D5CDD505-2E9C-101B-9397-08002B2CF9AE}" pid="34" name="comments">
    <vt:lpwstr>Numéro du dossier : 1525434</vt:lpwstr>
  </property>
  <property fmtid="{D5CDD505-2E9C-101B-9397-08002B2CF9AE}" pid="35" name="MailAgence">
    <vt:lpwstr>nantes@edisys.eu</vt:lpwstr>
  </property>
  <property fmtid="{D5CDD505-2E9C-101B-9397-08002B2CF9AE}" pid="36" name="MediaServiceImageTags">
    <vt:lpwstr/>
  </property>
  <property fmtid="{D5CDD505-2E9C-101B-9397-08002B2CF9AE}" pid="37" name="ContentTypeId">
    <vt:lpwstr>0x0101003330AF11C403A640B29F45A2B63E3719</vt:lpwstr>
  </property>
</Properties>
</file>